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always"/>
  <mc:AlternateContent xmlns:mc="http://schemas.openxmlformats.org/markup-compatibility/2006">
    <mc:Choice Requires="x15">
      <x15ac:absPath xmlns:x15ac="http://schemas.microsoft.com/office/spreadsheetml/2010/11/ac" url="C:\Users\Сотрудник\Desktop\ПРОЕКТ 2017-2019\КР 2018\Утвержденный КП 2017-2019\0606-131 23.03.2018\"/>
    </mc:Choice>
  </mc:AlternateContent>
  <bookViews>
    <workbookView xWindow="14505" yWindow="-15" windowWidth="14310" windowHeight="12855" tabRatio="915"/>
  </bookViews>
  <sheets>
    <sheet name="1.перечень МКД" sheetId="1" r:id="rId1"/>
    <sheet name="2.виды ремонта" sheetId="2" r:id="rId2"/>
    <sheet name="." sheetId="5" state="hidden" r:id="rId3"/>
  </sheets>
  <definedNames>
    <definedName name="__xlnm._FilterDatabase" localSheetId="2">'.'!$A$8:$CO$4276</definedName>
    <definedName name="__xlnm._FilterDatabase" localSheetId="0">'1.перечень МКД'!$A$18:$EY$18</definedName>
    <definedName name="__xlnm._FilterDatabase" localSheetId="1">'2.виды ремонта'!$A$7:$HB$93</definedName>
    <definedName name="__xlnm._FilterDatabase_1">'1.перечень МКД'!$A$18:$EY$18</definedName>
    <definedName name="__xlnm._FilterDatabase_1_1">'2.виды ремонта'!$A$7:$HB$93</definedName>
    <definedName name="__xlnm._FilterDatabase_2">#REF!</definedName>
    <definedName name="__xlnm._FilterDatabase_3">#REF!</definedName>
    <definedName name="__xlnm._FilterDatabase_4">'.'!$A$8:$CO$4276</definedName>
    <definedName name="_xlnm._FilterDatabase" localSheetId="2" hidden="1">'.'!$A$1465:$XFB$4765</definedName>
    <definedName name="_xlnm._FilterDatabase" localSheetId="0" hidden="1">'1.перечень МКД'!#REF!</definedName>
    <definedName name="_xlnm._FilterDatabase" localSheetId="1" hidden="1">'2.виды ремонта'!$A$94:$AF$348</definedName>
    <definedName name="dvMKDG3O01LIST">#REF!</definedName>
    <definedName name="_xlnm.Print_Titles" localSheetId="2">'.'!$4:$8</definedName>
    <definedName name="_xlnm.Print_Titles" localSheetId="0">'1.перечень МКД'!$18:$18</definedName>
    <definedName name="_xlnm.Print_Area" localSheetId="2">'.'!$A$1:$R$4769</definedName>
    <definedName name="_xlnm.Print_Area" localSheetId="0">'1.перечень МКД'!$A$1:$U$386</definedName>
    <definedName name="_xlnm.Print_Area" localSheetId="1">'2.виды ремонта'!$A$1:$U$359</definedName>
  </definedNames>
  <calcPr calcId="152511"/>
</workbook>
</file>

<file path=xl/calcChain.xml><?xml version="1.0" encoding="utf-8"?>
<calcChain xmlns="http://schemas.openxmlformats.org/spreadsheetml/2006/main">
  <c r="L2449" i="5" l="1"/>
  <c r="L2045" i="5"/>
  <c r="L3101" i="5" l="1"/>
  <c r="A3102" i="5" l="1"/>
  <c r="L2917" i="5" l="1"/>
  <c r="R2916" i="5"/>
  <c r="L2916" i="5"/>
  <c r="J2875" i="5"/>
  <c r="G2875" i="5"/>
  <c r="E2875" i="5"/>
  <c r="D2875" i="5"/>
  <c r="Q2875" i="5"/>
  <c r="P2875" i="5"/>
  <c r="O2875" i="5"/>
  <c r="N2875" i="5"/>
  <c r="M2875" i="5"/>
  <c r="L2873" i="5"/>
  <c r="S2873" i="5" s="1"/>
  <c r="S2874" i="5"/>
  <c r="R2872" i="5"/>
  <c r="L2872" i="5"/>
  <c r="S2872" i="5" s="1"/>
  <c r="L2625" i="5"/>
  <c r="L2623" i="5"/>
  <c r="L2621" i="5"/>
  <c r="L2619" i="5"/>
  <c r="L2617" i="5"/>
  <c r="L2615" i="5"/>
  <c r="L2613" i="5"/>
  <c r="L2612" i="5"/>
  <c r="S2612" i="5" s="1"/>
  <c r="N211" i="1"/>
  <c r="N212" i="1"/>
  <c r="N213" i="1"/>
  <c r="N214" i="1"/>
  <c r="N215" i="1"/>
  <c r="R215" i="1" s="1"/>
  <c r="N216" i="1"/>
  <c r="R216" i="1" s="1"/>
  <c r="N217" i="1"/>
  <c r="N218" i="1"/>
  <c r="N219" i="1"/>
  <c r="N220" i="1"/>
  <c r="R220" i="1" s="1"/>
  <c r="N210" i="1"/>
  <c r="N209" i="1"/>
  <c r="Q221" i="1"/>
  <c r="P221" i="1"/>
  <c r="O221" i="1"/>
  <c r="K221" i="1"/>
  <c r="J221" i="1"/>
  <c r="I221" i="1"/>
  <c r="H221" i="1"/>
  <c r="A211" i="1"/>
  <c r="A213" i="1" s="1"/>
  <c r="A215" i="1" s="1"/>
  <c r="A217" i="1" s="1"/>
  <c r="A219" i="1" s="1"/>
  <c r="G193" i="2"/>
  <c r="L207" i="1" s="1"/>
  <c r="L2757" i="5"/>
  <c r="C199" i="2" s="1"/>
  <c r="D199" i="2" s="1"/>
  <c r="L2755" i="5"/>
  <c r="C198" i="2" s="1"/>
  <c r="D198" i="2" s="1"/>
  <c r="L2753" i="5"/>
  <c r="C197" i="2" s="1"/>
  <c r="D197" i="2" s="1"/>
  <c r="L2751" i="5"/>
  <c r="C196" i="2" s="1"/>
  <c r="D196" i="2" s="1"/>
  <c r="L2749" i="5"/>
  <c r="C195" i="2" s="1"/>
  <c r="D195" i="2" s="1"/>
  <c r="L2747" i="5"/>
  <c r="C194" i="2" s="1"/>
  <c r="D194" i="2" s="1"/>
  <c r="L2746" i="5"/>
  <c r="C193" i="2" s="1"/>
  <c r="N207" i="1" s="1"/>
  <c r="R207" i="1" s="1"/>
  <c r="D2746" i="5"/>
  <c r="S2746" i="5" l="1"/>
  <c r="H193" i="2"/>
  <c r="R211" i="1"/>
  <c r="R219" i="1"/>
  <c r="N221" i="1"/>
  <c r="R214" i="1"/>
  <c r="S207" i="1"/>
  <c r="R218" i="1"/>
  <c r="R209" i="1"/>
  <c r="R213" i="1"/>
  <c r="R217" i="1"/>
  <c r="R210" i="1"/>
  <c r="R212" i="1"/>
  <c r="R221" i="1" l="1"/>
  <c r="L2180" i="5" l="1"/>
  <c r="L2167" i="5"/>
  <c r="L2178" i="5"/>
  <c r="L2176" i="5"/>
  <c r="L2174" i="5"/>
  <c r="L2172" i="5"/>
  <c r="L2164" i="5"/>
  <c r="L2170" i="5"/>
  <c r="L2162" i="5"/>
  <c r="L2160" i="5"/>
  <c r="L2158" i="5"/>
  <c r="L2156" i="5"/>
  <c r="L2154" i="5"/>
  <c r="L2152" i="5"/>
  <c r="L2110" i="5" l="1"/>
  <c r="L2109" i="5" l="1"/>
  <c r="S2214" i="5" l="1"/>
  <c r="Q4620" i="5"/>
  <c r="P4620" i="5"/>
  <c r="O4620" i="5"/>
  <c r="N4620" i="5"/>
  <c r="M4620" i="5"/>
  <c r="E4620" i="5"/>
  <c r="J4620" i="5"/>
  <c r="G4620" i="5"/>
  <c r="D4620" i="5"/>
  <c r="L3711" i="5"/>
  <c r="L2181" i="5"/>
  <c r="L2169" i="5"/>
  <c r="Q2182" i="5" l="1"/>
  <c r="P2182" i="5"/>
  <c r="O2182" i="5"/>
  <c r="N2182" i="5"/>
  <c r="M2182" i="5"/>
  <c r="J2182" i="5"/>
  <c r="L2151" i="5"/>
  <c r="G2151" i="5"/>
  <c r="E2151" i="5"/>
  <c r="D2151" i="5"/>
  <c r="D2182" i="5" s="1"/>
  <c r="R2151" i="5" l="1"/>
  <c r="L2106" i="5" l="1"/>
  <c r="L2107" i="5"/>
  <c r="L2108" i="5"/>
  <c r="S2106" i="5" l="1"/>
  <c r="L3533" i="5" l="1"/>
  <c r="L3534" i="5"/>
  <c r="O334" i="2" l="1"/>
  <c r="O333" i="2"/>
  <c r="O329" i="2"/>
  <c r="O327" i="2"/>
  <c r="O325" i="2"/>
  <c r="O324" i="2"/>
  <c r="O322" i="2"/>
  <c r="O320" i="2"/>
  <c r="O319" i="2"/>
  <c r="O262" i="2"/>
  <c r="O2963" i="5" l="1"/>
  <c r="O2833" i="5"/>
  <c r="L4745" i="5" l="1"/>
  <c r="L4746" i="5"/>
  <c r="L4747" i="5"/>
  <c r="L4744" i="5"/>
  <c r="L3914" i="5"/>
  <c r="L4531" i="5" l="1"/>
  <c r="R4531" i="5" s="1"/>
  <c r="L4530" i="5"/>
  <c r="S4530" i="5" s="1"/>
  <c r="S4531" i="5" l="1"/>
  <c r="O293" i="2"/>
  <c r="O261" i="2"/>
  <c r="Q4748" i="5"/>
  <c r="P4748" i="5"/>
  <c r="O4748" i="5"/>
  <c r="N4748" i="5"/>
  <c r="M4748" i="5"/>
  <c r="L4748" i="5"/>
  <c r="J4748" i="5"/>
  <c r="G4748" i="5"/>
  <c r="E4748" i="5"/>
  <c r="D4748" i="5"/>
  <c r="A4745" i="5"/>
  <c r="A4746" i="5" s="1"/>
  <c r="A4747" i="5" s="1"/>
  <c r="L4216" i="5"/>
  <c r="O4215" i="5"/>
  <c r="L4215" i="5" s="1"/>
  <c r="L4214" i="5"/>
  <c r="L4234" i="5"/>
  <c r="L4235" i="5"/>
  <c r="L4236" i="5"/>
  <c r="L4233" i="5"/>
  <c r="L4222" i="5"/>
  <c r="L4223" i="5"/>
  <c r="R4221" i="5"/>
  <c r="L4221" i="5"/>
  <c r="L4166" i="5"/>
  <c r="L4167" i="5"/>
  <c r="L4168" i="5"/>
  <c r="L4169" i="5"/>
  <c r="L4170" i="5"/>
  <c r="L4171" i="5"/>
  <c r="L4172" i="5"/>
  <c r="L4173" i="5"/>
  <c r="L4159" i="5"/>
  <c r="L4160" i="5"/>
  <c r="L4161" i="5"/>
  <c r="L4162" i="5"/>
  <c r="L4158" i="5"/>
  <c r="S4158" i="5" s="1"/>
  <c r="L4154" i="5"/>
  <c r="L4155" i="5"/>
  <c r="L4156" i="5"/>
  <c r="L4157" i="5"/>
  <c r="A4190" i="5"/>
  <c r="L4186" i="5"/>
  <c r="L4178" i="5"/>
  <c r="L4177" i="5"/>
  <c r="S4177" i="5" s="1"/>
  <c r="L4176" i="5"/>
  <c r="S4176" i="5" s="1"/>
  <c r="L4175" i="5"/>
  <c r="S4175" i="5" s="1"/>
  <c r="L4174" i="5"/>
  <c r="A4152" i="5"/>
  <c r="R4173" i="5"/>
  <c r="L4144" i="5"/>
  <c r="L4145" i="5"/>
  <c r="A4144" i="5"/>
  <c r="A4145" i="5" s="1"/>
  <c r="P4146" i="5"/>
  <c r="O4146" i="5"/>
  <c r="N4146" i="5"/>
  <c r="J4146" i="5"/>
  <c r="G4146" i="5"/>
  <c r="E4146" i="5"/>
  <c r="D4146" i="5"/>
  <c r="R4143" i="5"/>
  <c r="L4077" i="5"/>
  <c r="L4076" i="5"/>
  <c r="L4064" i="5"/>
  <c r="L4059" i="5"/>
  <c r="P293" i="2" s="1"/>
  <c r="L4055" i="5"/>
  <c r="L4054" i="5"/>
  <c r="L4053" i="5"/>
  <c r="L4051" i="5"/>
  <c r="L4049" i="5"/>
  <c r="L4046" i="5"/>
  <c r="L4039" i="5"/>
  <c r="L4037" i="5"/>
  <c r="L4036" i="5"/>
  <c r="L4031" i="5"/>
  <c r="L4030" i="5"/>
  <c r="L4028" i="5"/>
  <c r="P262" i="2" s="1"/>
  <c r="L4027" i="5"/>
  <c r="P261" i="2" s="1"/>
  <c r="L4025" i="5"/>
  <c r="L4015" i="5"/>
  <c r="L4013" i="5"/>
  <c r="L4012" i="5"/>
  <c r="L4007" i="5"/>
  <c r="L3999" i="5"/>
  <c r="L3994" i="5"/>
  <c r="L3993" i="5"/>
  <c r="L3992" i="5"/>
  <c r="L3991" i="5"/>
  <c r="L3990" i="5"/>
  <c r="L3989" i="5"/>
  <c r="L3988" i="5"/>
  <c r="L3987" i="5"/>
  <c r="L3986" i="5"/>
  <c r="L3985" i="5"/>
  <c r="L3984" i="5"/>
  <c r="L3973" i="5"/>
  <c r="C209" i="2" s="1"/>
  <c r="D3973" i="5"/>
  <c r="L4129" i="5"/>
  <c r="L4126" i="5"/>
  <c r="L4127" i="5"/>
  <c r="L4128" i="5"/>
  <c r="L4131" i="5"/>
  <c r="G4126" i="5"/>
  <c r="L4125" i="5"/>
  <c r="L4117" i="5"/>
  <c r="S4178" i="5" l="1"/>
  <c r="S4174" i="5"/>
  <c r="S4173" i="5"/>
  <c r="M4146" i="5"/>
  <c r="L4143" i="5" l="1"/>
  <c r="Q4146" i="5"/>
  <c r="L4146" i="5" l="1"/>
  <c r="L290" i="1" l="1"/>
  <c r="G310" i="2"/>
  <c r="G309" i="2"/>
  <c r="G308" i="2"/>
  <c r="G307" i="2"/>
  <c r="G306" i="2"/>
  <c r="G305" i="2"/>
  <c r="G304" i="2"/>
  <c r="G303" i="2"/>
  <c r="G302" i="2"/>
  <c r="G215" i="2"/>
  <c r="G232" i="2"/>
  <c r="G231" i="2"/>
  <c r="G230" i="2"/>
  <c r="G229" i="2"/>
  <c r="G228" i="2"/>
  <c r="G241" i="2"/>
  <c r="G240" i="2"/>
  <c r="G239" i="2"/>
  <c r="G238" i="2"/>
  <c r="G237" i="2"/>
  <c r="G236" i="2"/>
  <c r="G235" i="2"/>
  <c r="G234" i="2"/>
  <c r="G242" i="2"/>
  <c r="G250" i="2"/>
  <c r="G249" i="2"/>
  <c r="G248" i="2"/>
  <c r="G247" i="2"/>
  <c r="G246" i="2"/>
  <c r="G245" i="2"/>
  <c r="G244" i="2"/>
  <c r="G260" i="2"/>
  <c r="G259" i="2"/>
  <c r="G258" i="2"/>
  <c r="G257" i="2"/>
  <c r="G256" i="2"/>
  <c r="G255" i="2"/>
  <c r="G254" i="2"/>
  <c r="G270" i="2"/>
  <c r="G269" i="2"/>
  <c r="G268" i="2"/>
  <c r="G267" i="2"/>
  <c r="G266" i="2"/>
  <c r="G264" i="2"/>
  <c r="G273" i="2"/>
  <c r="G274" i="2"/>
  <c r="G279" i="2"/>
  <c r="G278" i="2"/>
  <c r="G277" i="2"/>
  <c r="G281" i="2"/>
  <c r="G287" i="2"/>
  <c r="G286" i="2"/>
  <c r="G289" i="2"/>
  <c r="G292" i="2"/>
  <c r="G291" i="2"/>
  <c r="G295" i="2"/>
  <c r="G294" i="2"/>
  <c r="G299" i="2"/>
  <c r="G298" i="2"/>
  <c r="G297" i="2"/>
  <c r="G296" i="2"/>
  <c r="L321" i="1" s="1"/>
  <c r="Q3964" i="5"/>
  <c r="L3963" i="5"/>
  <c r="L3961" i="5"/>
  <c r="L3960" i="5"/>
  <c r="L3958" i="5"/>
  <c r="L3956" i="5"/>
  <c r="L3954" i="5"/>
  <c r="L3953" i="5"/>
  <c r="R3951" i="5"/>
  <c r="L3934" i="5"/>
  <c r="S3934" i="5" s="1"/>
  <c r="L3937" i="5"/>
  <c r="L3936" i="5"/>
  <c r="L3935" i="5"/>
  <c r="G343" i="2"/>
  <c r="L370" i="1" s="1"/>
  <c r="G330" i="2"/>
  <c r="G328" i="2"/>
  <c r="G326" i="2"/>
  <c r="G321" i="2"/>
  <c r="G318" i="2"/>
  <c r="G316" i="2"/>
  <c r="L374" i="1"/>
  <c r="L373" i="1"/>
  <c r="L372" i="1"/>
  <c r="L371" i="1"/>
  <c r="R4727" i="5"/>
  <c r="L4727" i="5"/>
  <c r="S4727" i="5" s="1"/>
  <c r="D4727" i="5"/>
  <c r="R4726" i="5"/>
  <c r="L4726" i="5"/>
  <c r="D346" i="2" s="1"/>
  <c r="D4726" i="5"/>
  <c r="R4725" i="5"/>
  <c r="L4725" i="5"/>
  <c r="S4725" i="5" s="1"/>
  <c r="D4725" i="5"/>
  <c r="R4724" i="5"/>
  <c r="L4724" i="5"/>
  <c r="S4724" i="5" s="1"/>
  <c r="D4724" i="5"/>
  <c r="R4723" i="5"/>
  <c r="L4723" i="5"/>
  <c r="S4723" i="5" s="1"/>
  <c r="D4723" i="5"/>
  <c r="L3951" i="5" l="1"/>
  <c r="C346" i="2"/>
  <c r="D344" i="2"/>
  <c r="H343" i="2"/>
  <c r="C345" i="2"/>
  <c r="D345" i="2"/>
  <c r="S4726" i="5"/>
  <c r="C344" i="2"/>
  <c r="C347" i="2"/>
  <c r="C343" i="2"/>
  <c r="N370" i="1" s="1"/>
  <c r="D347" i="2"/>
  <c r="N372" i="1" l="1"/>
  <c r="N374" i="1"/>
  <c r="N371" i="1"/>
  <c r="R370" i="1"/>
  <c r="N373" i="1"/>
  <c r="S370" i="1"/>
  <c r="R371" i="1" l="1"/>
  <c r="R373" i="1"/>
  <c r="S371" i="1"/>
  <c r="S373" i="1"/>
  <c r="R372" i="1"/>
  <c r="S372" i="1"/>
  <c r="R374" i="1"/>
  <c r="S374" i="1"/>
  <c r="Q4532" i="5" l="1"/>
  <c r="P4532" i="5"/>
  <c r="O4532" i="5"/>
  <c r="N4532" i="5"/>
  <c r="M4532" i="5"/>
  <c r="J4532" i="5"/>
  <c r="G4532" i="5"/>
  <c r="E4532" i="5"/>
  <c r="D4532" i="5"/>
  <c r="R4530" i="5"/>
  <c r="L4532" i="5" l="1"/>
  <c r="S4532" i="5" s="1"/>
  <c r="L364" i="1" l="1"/>
  <c r="L358" i="1"/>
  <c r="L307" i="1"/>
  <c r="R1617" i="5"/>
  <c r="L241" i="1" l="1"/>
  <c r="L313" i="1"/>
  <c r="L187" i="1"/>
  <c r="L326" i="1"/>
  <c r="L325" i="1"/>
  <c r="L301" i="1"/>
  <c r="L297" i="1"/>
  <c r="L4411" i="5"/>
  <c r="S4411" i="5" s="1"/>
  <c r="L4412" i="5"/>
  <c r="S4412" i="5" s="1"/>
  <c r="L4413" i="5"/>
  <c r="S4413" i="5" s="1"/>
  <c r="K332" i="2" l="1"/>
  <c r="L310" i="1" l="1"/>
  <c r="L309" i="1"/>
  <c r="L308" i="1"/>
  <c r="L296" i="1"/>
  <c r="L258" i="1"/>
  <c r="L192" i="1"/>
  <c r="L350" i="1"/>
  <c r="L344" i="1"/>
  <c r="L1909" i="5"/>
  <c r="L366" i="1" l="1"/>
  <c r="L365" i="1"/>
  <c r="L363" i="1"/>
  <c r="L300" i="1"/>
  <c r="L288" i="1"/>
  <c r="L268" i="1"/>
  <c r="L369" i="1"/>
  <c r="L368" i="1"/>
  <c r="L367" i="1"/>
  <c r="L362" i="1"/>
  <c r="L315" i="1"/>
  <c r="L278" i="1"/>
  <c r="L277" i="1"/>
  <c r="L276" i="1"/>
  <c r="L195" i="1"/>
  <c r="L194" i="1"/>
  <c r="L2915" i="5" l="1"/>
  <c r="L2914" i="5"/>
  <c r="L2913" i="5"/>
  <c r="L2852" i="5"/>
  <c r="L2548" i="5"/>
  <c r="L2549" i="5"/>
  <c r="R2547" i="5"/>
  <c r="L2547" i="5"/>
  <c r="S2547" i="5" s="1"/>
  <c r="AA2509" i="5" l="1"/>
  <c r="L4201" i="5" l="1"/>
  <c r="T3460" i="5"/>
  <c r="T3456" i="5"/>
  <c r="T3453" i="5"/>
  <c r="T3452" i="5"/>
  <c r="T3447" i="5"/>
  <c r="T3445" i="5"/>
  <c r="T3443" i="5"/>
  <c r="T3441" i="5"/>
  <c r="T3440" i="5"/>
  <c r="T3439" i="5"/>
  <c r="T3437" i="5"/>
  <c r="T3430" i="5"/>
  <c r="T3417" i="5"/>
  <c r="T3416" i="5"/>
  <c r="T3413" i="5"/>
  <c r="T3409" i="5"/>
  <c r="T3408" i="5"/>
  <c r="T3394" i="5"/>
  <c r="T3393" i="5"/>
  <c r="T3387" i="5"/>
  <c r="T3386" i="5"/>
  <c r="T3382" i="5"/>
  <c r="T3355" i="5"/>
  <c r="T3351" i="5"/>
  <c r="T3321" i="5"/>
  <c r="T3307" i="5"/>
  <c r="T3263" i="5"/>
  <c r="T3227" i="5"/>
  <c r="T3199" i="5"/>
  <c r="T3168" i="5"/>
  <c r="T3156" i="5"/>
  <c r="T3155" i="5"/>
  <c r="T3112" i="5"/>
  <c r="T3046" i="5"/>
  <c r="A4294" i="5"/>
  <c r="A4358" i="5"/>
  <c r="L4400" i="5"/>
  <c r="L4401" i="5"/>
  <c r="L4402" i="5"/>
  <c r="L4403" i="5"/>
  <c r="L4404" i="5"/>
  <c r="L4405" i="5"/>
  <c r="L4406" i="5"/>
  <c r="A3446" i="5"/>
  <c r="A3448" i="5" s="1"/>
  <c r="A3449" i="5" s="1"/>
  <c r="A3450" i="5" s="1"/>
  <c r="A3451" i="5" s="1"/>
  <c r="A3452" i="5" s="1"/>
  <c r="A3453" i="5" s="1"/>
  <c r="A3454" i="5" s="1"/>
  <c r="A3455" i="5" s="1"/>
  <c r="L3455" i="5"/>
  <c r="L3446" i="5"/>
  <c r="L3444" i="5"/>
  <c r="L3441" i="5"/>
  <c r="L3462" i="5"/>
  <c r="L3461" i="5"/>
  <c r="L3460" i="5"/>
  <c r="L3459" i="5"/>
  <c r="L3458" i="5"/>
  <c r="L3457" i="5"/>
  <c r="L3454" i="5"/>
  <c r="L3453" i="5"/>
  <c r="L3452" i="5"/>
  <c r="L3451" i="5"/>
  <c r="L3450" i="5"/>
  <c r="L3449" i="5"/>
  <c r="L3448" i="5"/>
  <c r="L3443" i="5"/>
  <c r="R3440" i="5"/>
  <c r="L3440" i="5"/>
  <c r="S3440" i="5" s="1"/>
  <c r="L3227" i="5"/>
  <c r="L1551" i="5"/>
  <c r="S1551" i="5" s="1"/>
  <c r="L1550" i="5"/>
  <c r="S1550" i="5" s="1"/>
  <c r="L1549" i="5"/>
  <c r="S1549" i="5" s="1"/>
  <c r="L1548" i="5"/>
  <c r="S1548" i="5" s="1"/>
  <c r="L1547" i="5"/>
  <c r="S1547" i="5" s="1"/>
  <c r="L1546" i="5"/>
  <c r="S1546" i="5" s="1"/>
  <c r="L1545" i="5"/>
  <c r="S1545" i="5" s="1"/>
  <c r="L1544" i="5"/>
  <c r="S1544" i="5" s="1"/>
  <c r="L1543" i="5"/>
  <c r="S1543" i="5" s="1"/>
  <c r="L1542" i="5"/>
  <c r="S1542" i="5" s="1"/>
  <c r="L1541" i="5"/>
  <c r="S1541" i="5" s="1"/>
  <c r="L1540" i="5"/>
  <c r="S1540" i="5" s="1"/>
  <c r="L1539" i="5"/>
  <c r="S1539" i="5" s="1"/>
  <c r="L1538" i="5"/>
  <c r="S1538" i="5" s="1"/>
  <c r="L1537" i="5"/>
  <c r="S1537" i="5" s="1"/>
  <c r="L1536" i="5"/>
  <c r="S1536" i="5" s="1"/>
  <c r="L1535" i="5"/>
  <c r="S1535" i="5" s="1"/>
  <c r="L1534" i="5"/>
  <c r="S1534" i="5" s="1"/>
  <c r="L1533" i="5"/>
  <c r="S1533" i="5" s="1"/>
  <c r="L1532" i="5"/>
  <c r="S1532" i="5" s="1"/>
  <c r="L1531" i="5"/>
  <c r="S1531" i="5" s="1"/>
  <c r="L1530" i="5"/>
  <c r="S1530" i="5" s="1"/>
  <c r="L1529" i="5"/>
  <c r="S1529" i="5" s="1"/>
  <c r="L1528" i="5"/>
  <c r="S1528" i="5" s="1"/>
  <c r="L1527" i="5"/>
  <c r="S1527" i="5" s="1"/>
  <c r="L1526" i="5"/>
  <c r="S1526" i="5" s="1"/>
  <c r="L1525" i="5"/>
  <c r="S1525" i="5" s="1"/>
  <c r="L1524" i="5"/>
  <c r="S1524" i="5" s="1"/>
  <c r="L1523" i="5"/>
  <c r="S1523" i="5" s="1"/>
  <c r="L1522" i="5"/>
  <c r="S1522" i="5" s="1"/>
  <c r="L1521" i="5"/>
  <c r="S1521" i="5" s="1"/>
  <c r="L1520" i="5"/>
  <c r="S1520" i="5" s="1"/>
  <c r="L1519" i="5"/>
  <c r="S1519" i="5" s="1"/>
  <c r="L1518" i="5"/>
  <c r="S1518" i="5" s="1"/>
  <c r="L1517" i="5"/>
  <c r="S1517" i="5" s="1"/>
  <c r="L1516" i="5"/>
  <c r="S1516" i="5" s="1"/>
  <c r="L1515" i="5"/>
  <c r="S1515" i="5" s="1"/>
  <c r="L1514" i="5"/>
  <c r="S1514" i="5" s="1"/>
  <c r="L1513" i="5"/>
  <c r="S1513" i="5" s="1"/>
  <c r="L1512" i="5"/>
  <c r="S1512" i="5" s="1"/>
  <c r="L1511" i="5"/>
  <c r="S1511" i="5" s="1"/>
  <c r="L1510" i="5"/>
  <c r="S1510" i="5" s="1"/>
  <c r="L1509" i="5"/>
  <c r="S1509" i="5" s="1"/>
  <c r="L1508" i="5"/>
  <c r="S1508" i="5" s="1"/>
  <c r="L1507" i="5"/>
  <c r="S1507" i="5" s="1"/>
  <c r="L1506" i="5"/>
  <c r="S1506" i="5" s="1"/>
  <c r="L1505" i="5"/>
  <c r="S1505" i="5" s="1"/>
  <c r="L1504" i="5"/>
  <c r="S1504" i="5" s="1"/>
  <c r="L1503" i="5"/>
  <c r="S1503" i="5" s="1"/>
  <c r="L1502" i="5"/>
  <c r="S1502" i="5" s="1"/>
  <c r="S1497" i="5"/>
  <c r="S1499" i="5"/>
  <c r="S1501" i="5"/>
  <c r="S1553" i="5"/>
  <c r="S1555" i="5"/>
  <c r="S1557" i="5"/>
  <c r="S1559" i="5"/>
  <c r="S1561" i="5"/>
  <c r="S1563" i="5"/>
  <c r="S1565" i="5"/>
  <c r="S1567" i="5"/>
  <c r="S1570" i="5"/>
  <c r="S1588" i="5"/>
  <c r="S1589" i="5"/>
  <c r="S1594" i="5"/>
  <c r="S1596" i="5"/>
  <c r="S1598" i="5"/>
  <c r="S1605" i="5"/>
  <c r="S1609" i="5"/>
  <c r="S1614" i="5"/>
  <c r="S1626" i="5"/>
  <c r="S1627" i="5"/>
  <c r="S1631" i="5"/>
  <c r="S1634" i="5"/>
  <c r="S1635" i="5"/>
  <c r="S1649" i="5"/>
  <c r="S1662" i="5"/>
  <c r="S1670" i="5"/>
  <c r="S1701" i="5"/>
  <c r="S1703" i="5"/>
  <c r="S1714" i="5"/>
  <c r="S1716" i="5"/>
  <c r="S1717" i="5"/>
  <c r="S1724" i="5"/>
  <c r="S1733" i="5"/>
  <c r="S1742" i="5"/>
  <c r="S1744" i="5"/>
  <c r="S1760" i="5"/>
  <c r="S1787" i="5"/>
  <c r="S1801" i="5"/>
  <c r="S1806" i="5"/>
  <c r="S1810" i="5"/>
  <c r="S1812" i="5"/>
  <c r="S1818" i="5"/>
  <c r="S1822" i="5"/>
  <c r="S1845" i="5"/>
  <c r="S1856" i="5"/>
  <c r="S1861" i="5"/>
  <c r="S1908" i="5"/>
  <c r="S1910" i="5"/>
  <c r="S1926" i="5"/>
  <c r="S1934" i="5"/>
  <c r="S1950" i="5"/>
  <c r="S1952" i="5"/>
  <c r="S1955" i="5"/>
  <c r="S1957" i="5"/>
  <c r="S1961" i="5"/>
  <c r="S1985" i="5"/>
  <c r="S1987" i="5"/>
  <c r="S1989" i="5"/>
  <c r="S1991" i="5"/>
  <c r="S1995" i="5"/>
  <c r="S1998" i="5"/>
  <c r="S1999" i="5"/>
  <c r="S2014" i="5"/>
  <c r="S2017" i="5"/>
  <c r="S2032" i="5"/>
  <c r="S2034" i="5"/>
  <c r="S2036" i="5"/>
  <c r="S2038" i="5"/>
  <c r="S2040" i="5"/>
  <c r="S2043" i="5"/>
  <c r="S2046" i="5"/>
  <c r="S2049" i="5"/>
  <c r="S2051" i="5"/>
  <c r="S2053" i="5"/>
  <c r="S2055" i="5"/>
  <c r="S2057" i="5"/>
  <c r="S2059" i="5"/>
  <c r="S2061" i="5"/>
  <c r="S2063" i="5"/>
  <c r="S2065" i="5"/>
  <c r="S2067" i="5"/>
  <c r="S2069" i="5"/>
  <c r="S2071" i="5"/>
  <c r="S2073" i="5"/>
  <c r="S2075" i="5"/>
  <c r="S2077" i="5"/>
  <c r="S2084" i="5"/>
  <c r="S2086" i="5"/>
  <c r="S2089" i="5"/>
  <c r="S2099" i="5"/>
  <c r="S2101" i="5"/>
  <c r="L1467" i="5"/>
  <c r="Q2111" i="5"/>
  <c r="L2013" i="5"/>
  <c r="S2013" i="5" s="1"/>
  <c r="L1661" i="5"/>
  <c r="S1661" i="5" s="1"/>
  <c r="A3457" i="5" l="1"/>
  <c r="A3458" i="5" s="1"/>
  <c r="A3459" i="5" s="1"/>
  <c r="A3460" i="5" s="1"/>
  <c r="A3461" i="5" s="1"/>
  <c r="A3462" i="5" s="1"/>
  <c r="L2105" i="5"/>
  <c r="AA2104" i="5"/>
  <c r="L2104" i="5"/>
  <c r="S2104" i="5" s="1"/>
  <c r="L2088" i="5"/>
  <c r="S2088" i="5" s="1"/>
  <c r="S2045" i="5"/>
  <c r="R2045" i="5"/>
  <c r="R2046" i="5"/>
  <c r="L1997" i="5"/>
  <c r="S1997" i="5" s="1"/>
  <c r="L1805" i="5"/>
  <c r="S1805" i="5" s="1"/>
  <c r="L1613" i="5"/>
  <c r="S1613" i="5" s="1"/>
  <c r="L1587" i="5"/>
  <c r="S1587" i="5" s="1"/>
  <c r="L1575" i="5"/>
  <c r="L1571" i="5"/>
  <c r="S2105" i="5" l="1"/>
  <c r="S1575" i="5"/>
  <c r="S1571" i="5"/>
  <c r="L4562" i="5" l="1"/>
  <c r="L4561" i="5"/>
  <c r="A4560" i="5"/>
  <c r="A4561" i="5" s="1"/>
  <c r="A4562" i="5" s="1"/>
  <c r="W4525" i="5"/>
  <c r="R4525" i="5"/>
  <c r="L4525" i="5"/>
  <c r="S4525" i="5" s="1"/>
  <c r="L4638" i="5"/>
  <c r="L4637" i="5"/>
  <c r="L3821" i="5"/>
  <c r="R3820" i="5"/>
  <c r="L3820" i="5"/>
  <c r="D3754" i="5"/>
  <c r="E3754" i="5"/>
  <c r="G3754" i="5"/>
  <c r="J3754" i="5"/>
  <c r="Q3754" i="5"/>
  <c r="P3754" i="5"/>
  <c r="O3754" i="5"/>
  <c r="M3753" i="5"/>
  <c r="N3753" i="5" s="1"/>
  <c r="M3752" i="5"/>
  <c r="N3752" i="5" s="1"/>
  <c r="L3752" i="5" s="1"/>
  <c r="M3726" i="5"/>
  <c r="M3725" i="5"/>
  <c r="L3725" i="5" s="1"/>
  <c r="M3724" i="5"/>
  <c r="O3724" i="5" s="1"/>
  <c r="L3724" i="5" s="1"/>
  <c r="R3723" i="5"/>
  <c r="L3723" i="5"/>
  <c r="L3694" i="5"/>
  <c r="L3523" i="5"/>
  <c r="L3524" i="5"/>
  <c r="G3524" i="5"/>
  <c r="E3524" i="5"/>
  <c r="D3524" i="5"/>
  <c r="R3522" i="5"/>
  <c r="L3522" i="5"/>
  <c r="S3522" i="5" s="1"/>
  <c r="R3521" i="5"/>
  <c r="L3521" i="5"/>
  <c r="S3521" i="5" s="1"/>
  <c r="R3520" i="5"/>
  <c r="L3520" i="5"/>
  <c r="S3520" i="5" s="1"/>
  <c r="R3519" i="5"/>
  <c r="L3519" i="5"/>
  <c r="S3519" i="5" s="1"/>
  <c r="R3518" i="5"/>
  <c r="L3518" i="5"/>
  <c r="S3518" i="5" s="1"/>
  <c r="R3517" i="5"/>
  <c r="L3517" i="5"/>
  <c r="S3517" i="5" s="1"/>
  <c r="R3516" i="5"/>
  <c r="L3516" i="5"/>
  <c r="S3516" i="5" s="1"/>
  <c r="R3515" i="5"/>
  <c r="L3515" i="5"/>
  <c r="S3515" i="5" s="1"/>
  <c r="R3514" i="5"/>
  <c r="L3514" i="5"/>
  <c r="S3514" i="5" s="1"/>
  <c r="G3514" i="5"/>
  <c r="L4526" i="5" l="1"/>
  <c r="S4526" i="5" s="1"/>
  <c r="L4527" i="5"/>
  <c r="S4527" i="5" s="1"/>
  <c r="N3754" i="5"/>
  <c r="R3752" i="5"/>
  <c r="M3754" i="5"/>
  <c r="L3753" i="5"/>
  <c r="L3726" i="5"/>
  <c r="R4560" i="5"/>
  <c r="L4560" i="5"/>
  <c r="L3754" i="5" l="1"/>
  <c r="T4560" i="5"/>
  <c r="R4453" i="5"/>
  <c r="L4453" i="5"/>
  <c r="L4452" i="5"/>
  <c r="L2453" i="5"/>
  <c r="S2453" i="5" s="1"/>
  <c r="S2449" i="5"/>
  <c r="L2391" i="5"/>
  <c r="L2392" i="5"/>
  <c r="L2390" i="5"/>
  <c r="L2213" i="5"/>
  <c r="S2213" i="5" s="1"/>
  <c r="S2392" i="5" l="1"/>
  <c r="S2391" i="5"/>
  <c r="S2390" i="5"/>
  <c r="S4452" i="5"/>
  <c r="S4453" i="5"/>
  <c r="R2390" i="5"/>
  <c r="L176" i="1" l="1"/>
  <c r="L163" i="1"/>
  <c r="L128" i="1"/>
  <c r="L238" i="1"/>
  <c r="L237" i="1"/>
  <c r="L240" i="1"/>
  <c r="L231" i="1"/>
  <c r="P116" i="1" l="1"/>
  <c r="L116" i="1"/>
  <c r="P111" i="1"/>
  <c r="L111" i="1"/>
  <c r="L359" i="1"/>
  <c r="L357" i="1"/>
  <c r="L356" i="1"/>
  <c r="L355" i="1"/>
  <c r="L353" i="1"/>
  <c r="L348" i="1"/>
  <c r="L349" i="1"/>
  <c r="L361" i="1"/>
  <c r="L360" i="1"/>
  <c r="L354" i="1"/>
  <c r="L352" i="1"/>
  <c r="L351" i="1"/>
  <c r="L347" i="1"/>
  <c r="L346" i="1"/>
  <c r="L345" i="1"/>
  <c r="L343" i="1"/>
  <c r="L318" i="1"/>
  <c r="L287" i="1"/>
  <c r="L286" i="1"/>
  <c r="L327" i="1"/>
  <c r="L324" i="1"/>
  <c r="L323" i="1"/>
  <c r="L322" i="1"/>
  <c r="L320" i="1"/>
  <c r="L319" i="1"/>
  <c r="L317" i="1"/>
  <c r="L316" i="1"/>
  <c r="L314" i="1"/>
  <c r="L312" i="1"/>
  <c r="L311" i="1"/>
  <c r="L306" i="1"/>
  <c r="L304" i="1"/>
  <c r="L303" i="1"/>
  <c r="L302" i="1"/>
  <c r="L299" i="1"/>
  <c r="L298" i="1"/>
  <c r="L295" i="1"/>
  <c r="L294" i="1"/>
  <c r="L293" i="1"/>
  <c r="L292" i="1"/>
  <c r="L291" i="1"/>
  <c r="L289" i="1"/>
  <c r="L285" i="1"/>
  <c r="L284" i="1"/>
  <c r="L283" i="1"/>
  <c r="L282" i="1"/>
  <c r="L281" i="1"/>
  <c r="L280" i="1"/>
  <c r="L279" i="1"/>
  <c r="L275" i="1"/>
  <c r="L274" i="1"/>
  <c r="L273" i="1"/>
  <c r="L272" i="1"/>
  <c r="L271" i="1"/>
  <c r="L270" i="1"/>
  <c r="L269" i="1"/>
  <c r="L267" i="1"/>
  <c r="L266" i="1"/>
  <c r="L265" i="1"/>
  <c r="L264" i="1"/>
  <c r="L263" i="1"/>
  <c r="L262" i="1"/>
  <c r="L261" i="1"/>
  <c r="L260" i="1"/>
  <c r="L259" i="1"/>
  <c r="L257" i="1"/>
  <c r="L256" i="1"/>
  <c r="L255" i="1"/>
  <c r="L254" i="1"/>
  <c r="L253" i="1"/>
  <c r="L225" i="1"/>
  <c r="L226" i="1"/>
  <c r="L227" i="1"/>
  <c r="L228" i="1"/>
  <c r="L229" i="1"/>
  <c r="L230" i="1"/>
  <c r="L232" i="1"/>
  <c r="L233" i="1"/>
  <c r="L234" i="1"/>
  <c r="L235" i="1"/>
  <c r="L236" i="1"/>
  <c r="L239" i="1"/>
  <c r="L242" i="1"/>
  <c r="L243" i="1"/>
  <c r="L244" i="1"/>
  <c r="L245" i="1"/>
  <c r="L246" i="1"/>
  <c r="L247" i="1"/>
  <c r="L248" i="1"/>
  <c r="L249" i="1"/>
  <c r="L250" i="1"/>
  <c r="L251" i="1"/>
  <c r="L224" i="1"/>
  <c r="L126" i="1"/>
  <c r="L125" i="1"/>
  <c r="L124" i="1"/>
  <c r="L123" i="1"/>
  <c r="L122" i="1"/>
  <c r="L121" i="1"/>
  <c r="L120" i="1"/>
  <c r="L119" i="1"/>
  <c r="L118" i="1"/>
  <c r="L115" i="1"/>
  <c r="L114" i="1"/>
  <c r="L113" i="1"/>
  <c r="L110" i="1"/>
  <c r="L109" i="1"/>
  <c r="L108" i="1"/>
  <c r="L107" i="1"/>
  <c r="L106" i="1"/>
  <c r="U2017" i="5" l="1"/>
  <c r="U1991" i="5"/>
  <c r="U1981" i="5"/>
  <c r="U1979" i="5"/>
  <c r="U1978" i="5"/>
  <c r="U1977" i="5"/>
  <c r="U1976" i="5"/>
  <c r="U1971" i="5"/>
  <c r="U1957" i="5"/>
  <c r="U1945" i="5"/>
  <c r="U1938" i="5"/>
  <c r="U1933" i="5"/>
  <c r="U1925" i="5"/>
  <c r="U1919" i="5"/>
  <c r="U1914" i="5"/>
  <c r="U1912" i="5"/>
  <c r="U1906" i="5"/>
  <c r="U1886" i="5"/>
  <c r="U1884" i="5"/>
  <c r="U1877" i="5"/>
  <c r="U1872" i="5"/>
  <c r="U1871" i="5"/>
  <c r="U1867" i="5"/>
  <c r="U1866" i="5"/>
  <c r="U1859" i="5"/>
  <c r="U1856" i="5"/>
  <c r="U1854" i="5"/>
  <c r="U1847" i="5"/>
  <c r="U1845" i="5"/>
  <c r="U1843" i="5"/>
  <c r="U1839" i="5"/>
  <c r="U1837" i="5"/>
  <c r="U1834" i="5"/>
  <c r="U1833" i="5"/>
  <c r="U1832" i="5"/>
  <c r="U1830" i="5"/>
  <c r="U1820" i="5"/>
  <c r="U1819" i="5"/>
  <c r="U1816" i="5"/>
  <c r="U1815" i="5"/>
  <c r="U1814" i="5"/>
  <c r="U1802" i="5"/>
  <c r="U1800" i="5"/>
  <c r="U1799" i="5"/>
  <c r="U1792" i="5"/>
  <c r="U1791" i="5"/>
  <c r="U1789" i="5"/>
  <c r="U1784" i="5"/>
  <c r="U1783" i="5"/>
  <c r="U1782" i="5"/>
  <c r="U1779" i="5"/>
  <c r="U1778" i="5"/>
  <c r="U1777" i="5"/>
  <c r="U1773" i="5"/>
  <c r="U1763" i="5"/>
  <c r="U1761" i="5"/>
  <c r="U1758" i="5"/>
  <c r="U1756" i="5"/>
  <c r="U1752" i="5"/>
  <c r="U1740" i="5"/>
  <c r="U1726" i="5"/>
  <c r="U1724" i="5"/>
  <c r="U1721" i="5"/>
  <c r="U1720" i="5"/>
  <c r="U1719" i="5"/>
  <c r="U1717" i="5"/>
  <c r="U1698" i="5"/>
  <c r="U1695" i="5"/>
  <c r="U1694" i="5"/>
  <c r="U1693" i="5"/>
  <c r="U1692" i="5"/>
  <c r="U1691" i="5"/>
  <c r="U1690" i="5"/>
  <c r="U1689" i="5"/>
  <c r="U1687" i="5"/>
  <c r="U1680" i="5"/>
  <c r="U1677" i="5"/>
  <c r="U1670" i="5"/>
  <c r="U1658" i="5"/>
  <c r="U1651" i="5"/>
  <c r="U1650" i="5"/>
  <c r="U1649" i="5"/>
  <c r="U1647" i="5"/>
  <c r="U1645" i="5"/>
  <c r="U1642" i="5"/>
  <c r="U1639" i="5"/>
  <c r="U1637" i="5"/>
  <c r="U1632" i="5"/>
  <c r="U1621" i="5"/>
  <c r="U1620" i="5"/>
  <c r="U1612" i="5"/>
  <c r="U1601" i="5"/>
  <c r="U1600" i="5"/>
  <c r="U1585" i="5"/>
  <c r="U1583" i="5"/>
  <c r="U1577" i="5"/>
  <c r="U1562" i="5"/>
  <c r="U1560" i="5"/>
  <c r="U1500" i="5"/>
  <c r="U1498" i="5"/>
  <c r="P4217" i="5" l="1"/>
  <c r="N4217" i="5"/>
  <c r="M4217" i="5"/>
  <c r="J4217" i="5"/>
  <c r="G4217" i="5"/>
  <c r="E4217" i="5"/>
  <c r="D4217" i="5"/>
  <c r="P4179" i="5"/>
  <c r="M4179" i="5"/>
  <c r="J4179" i="5"/>
  <c r="G4179" i="5"/>
  <c r="E4179" i="5"/>
  <c r="D4179" i="5"/>
  <c r="L4124" i="5"/>
  <c r="L4123" i="5"/>
  <c r="L4120" i="5"/>
  <c r="L4119" i="5"/>
  <c r="L4111" i="5"/>
  <c r="L4112" i="5"/>
  <c r="L4113" i="5"/>
  <c r="L4114" i="5"/>
  <c r="L4115" i="5"/>
  <c r="L4110" i="5"/>
  <c r="A4111" i="5"/>
  <c r="A4112" i="5" s="1"/>
  <c r="A4113" i="5" s="1"/>
  <c r="A4114" i="5" s="1"/>
  <c r="A4115" i="5" s="1"/>
  <c r="A4116" i="5" s="1"/>
  <c r="A4117" i="5" s="1"/>
  <c r="O313" i="2"/>
  <c r="F217" i="2"/>
  <c r="F215" i="2"/>
  <c r="F209" i="2"/>
  <c r="P4080" i="5"/>
  <c r="M4080" i="5"/>
  <c r="J4080" i="5"/>
  <c r="G4080" i="5"/>
  <c r="E4080" i="5"/>
  <c r="A3982" i="5"/>
  <c r="P313" i="2"/>
  <c r="E313" i="2"/>
  <c r="Q339" i="1"/>
  <c r="P339" i="1"/>
  <c r="O339" i="1"/>
  <c r="K339" i="1"/>
  <c r="J339" i="1"/>
  <c r="I339" i="1"/>
  <c r="H339" i="1"/>
  <c r="Q252" i="1"/>
  <c r="P252" i="1"/>
  <c r="O252" i="1"/>
  <c r="K252" i="1"/>
  <c r="J252" i="1"/>
  <c r="I252" i="1"/>
  <c r="H252" i="1"/>
  <c r="N237" i="1" l="1"/>
  <c r="N240" i="1"/>
  <c r="N231" i="1"/>
  <c r="O340" i="1"/>
  <c r="J340" i="1"/>
  <c r="Q340" i="1"/>
  <c r="K340" i="1"/>
  <c r="I340" i="1"/>
  <c r="P340" i="1"/>
  <c r="H340" i="1"/>
  <c r="P3964" i="5"/>
  <c r="N3964" i="5"/>
  <c r="M3964" i="5"/>
  <c r="J3964" i="5"/>
  <c r="G3964" i="5"/>
  <c r="D3964" i="5"/>
  <c r="E3964" i="5"/>
  <c r="A3941" i="5"/>
  <c r="P3938" i="5"/>
  <c r="N3938" i="5"/>
  <c r="M3938" i="5"/>
  <c r="J3938" i="5"/>
  <c r="G3938" i="5"/>
  <c r="E3938" i="5"/>
  <c r="D3938" i="5"/>
  <c r="A3903" i="5"/>
  <c r="A3904" i="5" s="1"/>
  <c r="A3942" i="5" l="1"/>
  <c r="A3943" i="5" s="1"/>
  <c r="A3944" i="5" s="1"/>
  <c r="A3945" i="5" s="1"/>
  <c r="A3946" i="5" s="1"/>
  <c r="A3905" i="5"/>
  <c r="A3906" i="5" s="1"/>
  <c r="A3907" i="5" s="1"/>
  <c r="A3908" i="5" s="1"/>
  <c r="A3909" i="5" s="1"/>
  <c r="A3910" i="5" s="1"/>
  <c r="A3911" i="5" s="1"/>
  <c r="A3912" i="5" s="1"/>
  <c r="A3913" i="5" s="1"/>
  <c r="A3914" i="5" s="1"/>
  <c r="A3915" i="5" s="1"/>
  <c r="R240" i="1"/>
  <c r="S240" i="1"/>
  <c r="R237" i="1"/>
  <c r="S237" i="1"/>
  <c r="R231" i="1"/>
  <c r="S231" i="1"/>
  <c r="P3900" i="5"/>
  <c r="N3900" i="5"/>
  <c r="M3900" i="5"/>
  <c r="J3900" i="5"/>
  <c r="G3900" i="5"/>
  <c r="E3900" i="5"/>
  <c r="D3900" i="5"/>
  <c r="A3875" i="5"/>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P3686" i="5"/>
  <c r="N3686" i="5"/>
  <c r="J3686" i="5"/>
  <c r="G3686" i="5"/>
  <c r="A3673" i="5"/>
  <c r="A3674" i="5" s="1"/>
  <c r="A3675" i="5" s="1"/>
  <c r="A3676" i="5" s="1"/>
  <c r="A3677" i="5" s="1"/>
  <c r="A3678" i="5" s="1"/>
  <c r="A3679" i="5" s="1"/>
  <c r="A3680" i="5" s="1"/>
  <c r="A3681" i="5" s="1"/>
  <c r="A3682" i="5" s="1"/>
  <c r="A3683" i="5" s="1"/>
  <c r="A3684" i="5" s="1"/>
  <c r="A3685" i="5" s="1"/>
  <c r="A3530" i="5"/>
  <c r="A3531" i="5" s="1"/>
  <c r="A3532" i="5" s="1"/>
  <c r="S3528" i="5"/>
  <c r="Q3595" i="5"/>
  <c r="P3595" i="5"/>
  <c r="O3595" i="5"/>
  <c r="N3595" i="5"/>
  <c r="M3595" i="5"/>
  <c r="J3595" i="5"/>
  <c r="G3595" i="5"/>
  <c r="E3595" i="5"/>
  <c r="D3595" i="5"/>
  <c r="Q3525" i="5"/>
  <c r="P3525" i="5"/>
  <c r="O3525" i="5"/>
  <c r="N3525" i="5"/>
  <c r="M3525" i="5"/>
  <c r="J3525" i="5"/>
  <c r="E3525" i="5"/>
  <c r="D3525" i="5"/>
  <c r="L3475" i="5"/>
  <c r="R3474" i="5"/>
  <c r="L3474" i="5"/>
  <c r="S3474" i="5" s="1"/>
  <c r="A3475" i="5"/>
  <c r="A3476" i="5" s="1"/>
  <c r="A3477" i="5" s="1"/>
  <c r="A3478" i="5" s="1"/>
  <c r="A3479" i="5" s="1"/>
  <c r="A3480" i="5" s="1"/>
  <c r="A3481" i="5" s="1"/>
  <c r="A3482" i="5" s="1"/>
  <c r="A3483" i="5" s="1"/>
  <c r="A3484" i="5" s="1"/>
  <c r="A3485" i="5" s="1"/>
  <c r="A3486" i="5" s="1"/>
  <c r="A3468" i="5"/>
  <c r="A3469" i="5" s="1"/>
  <c r="A3470" i="5" s="1"/>
  <c r="A3471" i="5" s="1"/>
  <c r="A3533" i="5" l="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947" i="5"/>
  <c r="A3948" i="5" s="1"/>
  <c r="A3949" i="5" s="1"/>
  <c r="A3916" i="5"/>
  <c r="A3917" i="5" s="1"/>
  <c r="A3918" i="5" s="1"/>
  <c r="S3475" i="5"/>
  <c r="A3919" i="5" l="1"/>
  <c r="A3920" i="5" s="1"/>
  <c r="A3921" i="5" l="1"/>
  <c r="A3922" i="5" s="1"/>
  <c r="A3923" i="5" s="1"/>
  <c r="A3924" i="5" s="1"/>
  <c r="A3925" i="5" s="1"/>
  <c r="A3926" i="5" s="1"/>
  <c r="A3927" i="5" s="1"/>
  <c r="A3928" i="5" s="1"/>
  <c r="A3929" i="5" s="1"/>
  <c r="A3930" i="5" s="1"/>
  <c r="A3931" i="5" s="1"/>
  <c r="A3932" i="5" s="1"/>
  <c r="A3933" i="5" s="1"/>
  <c r="A3934" i="5" s="1"/>
  <c r="A3935" i="5" s="1"/>
  <c r="A3936" i="5" s="1"/>
  <c r="A3937" i="5" s="1"/>
  <c r="P3463" i="5"/>
  <c r="N3463" i="5"/>
  <c r="D3463" i="5"/>
  <c r="A3033" i="5"/>
  <c r="A3034" i="5" s="1"/>
  <c r="A3035" i="5" s="1"/>
  <c r="A3036" i="5" s="1"/>
  <c r="A3037" i="5" s="1"/>
  <c r="A3038" i="5" s="1"/>
  <c r="A3039" i="5" s="1"/>
  <c r="A3040" i="5" s="1"/>
  <c r="A3041" i="5" s="1"/>
  <c r="A3042" i="5" s="1"/>
  <c r="A3043" i="5" s="1"/>
  <c r="A3044" i="5" s="1"/>
  <c r="A3045" i="5" s="1"/>
  <c r="A2999" i="5"/>
  <c r="A3000" i="5" s="1"/>
  <c r="A3001" i="5" s="1"/>
  <c r="A3002" i="5" s="1"/>
  <c r="A3003" i="5" s="1"/>
  <c r="A3004" i="5" s="1"/>
  <c r="A3005" i="5" s="1"/>
  <c r="A2969" i="5"/>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L3083" i="5"/>
  <c r="R3083" i="5"/>
  <c r="L2970" i="5" l="1"/>
  <c r="R2970" i="5"/>
  <c r="R2969" i="5"/>
  <c r="L2969" i="5"/>
  <c r="R2968" i="5"/>
  <c r="L2968" i="5"/>
  <c r="L2975" i="5" l="1"/>
  <c r="L2974" i="5"/>
  <c r="L2972" i="5"/>
  <c r="P126" i="1" l="1"/>
  <c r="P125" i="1"/>
  <c r="P124" i="1"/>
  <c r="P123" i="1"/>
  <c r="P122" i="1"/>
  <c r="P121" i="1"/>
  <c r="P120" i="1"/>
  <c r="P119" i="1"/>
  <c r="P118" i="1"/>
  <c r="P115" i="1"/>
  <c r="P114" i="1"/>
  <c r="P113" i="1"/>
  <c r="P110" i="1"/>
  <c r="P109" i="1"/>
  <c r="P108" i="1"/>
  <c r="P107" i="1"/>
  <c r="P106" i="1"/>
  <c r="L2553" i="5" l="1"/>
  <c r="L2552" i="5"/>
  <c r="L2568" i="5"/>
  <c r="L2572" i="5"/>
  <c r="R2555" i="5"/>
  <c r="L2555" i="5"/>
  <c r="S2555" i="5" s="1"/>
  <c r="R2554" i="5"/>
  <c r="L2554" i="5"/>
  <c r="S2554" i="5" s="1"/>
  <c r="L2561" i="5"/>
  <c r="S2561" i="5" s="1"/>
  <c r="L2562" i="5"/>
  <c r="S2562" i="5" s="1"/>
  <c r="R2562" i="5"/>
  <c r="AA2949" i="5" l="1"/>
  <c r="AA2945" i="5"/>
  <c r="AA2944" i="5"/>
  <c r="AA2941" i="5"/>
  <c r="AA2923" i="5"/>
  <c r="AA2902" i="5"/>
  <c r="AA2900" i="5"/>
  <c r="AA2869" i="5"/>
  <c r="AA2789" i="5"/>
  <c r="AA2788" i="5"/>
  <c r="AA2779" i="5"/>
  <c r="AA2778" i="5"/>
  <c r="AA2734" i="5"/>
  <c r="AA2733" i="5"/>
  <c r="AA2515" i="5"/>
  <c r="AA2514" i="5"/>
  <c r="AA2508" i="5"/>
  <c r="AA2507" i="5"/>
  <c r="AA2495" i="5"/>
  <c r="AA2494" i="5"/>
  <c r="AA2489" i="5"/>
  <c r="AA2482" i="5"/>
  <c r="AA2453" i="5"/>
  <c r="AA2442" i="5"/>
  <c r="AA2437" i="5"/>
  <c r="AA2436" i="5"/>
  <c r="AA2435" i="5"/>
  <c r="AA2426" i="5"/>
  <c r="AA2422" i="5"/>
  <c r="AA2386" i="5"/>
  <c r="AA2344" i="5"/>
  <c r="AA2300" i="5"/>
  <c r="AA2285" i="5"/>
  <c r="AA2283" i="5"/>
  <c r="AA2281" i="5"/>
  <c r="AA2279" i="5"/>
  <c r="AA2276" i="5"/>
  <c r="AA2275" i="5"/>
  <c r="AA2259" i="5"/>
  <c r="AA2243" i="5"/>
  <c r="AA2241" i="5"/>
  <c r="AA2240" i="5"/>
  <c r="AA2239" i="5"/>
  <c r="AA2238" i="5"/>
  <c r="AA2237" i="5"/>
  <c r="AA2234" i="5"/>
  <c r="AA2233" i="5"/>
  <c r="AA2232" i="5"/>
  <c r="AA2230" i="5"/>
  <c r="AA2229" i="5"/>
  <c r="AA2228" i="5"/>
  <c r="AA2226" i="5"/>
  <c r="AA2220" i="5"/>
  <c r="AA2219" i="5"/>
  <c r="AA2213" i="5"/>
  <c r="AA2212" i="5"/>
  <c r="AA2210" i="5"/>
  <c r="AA2136" i="5"/>
  <c r="AA2133" i="5"/>
  <c r="AA2132" i="5"/>
  <c r="AA2129" i="5"/>
  <c r="AA2126" i="5"/>
  <c r="AA2125" i="5"/>
  <c r="AA1980" i="5"/>
  <c r="AA1974" i="5"/>
  <c r="AA1973" i="5"/>
  <c r="AA1970" i="5"/>
  <c r="AA1968" i="5"/>
  <c r="AA1966" i="5"/>
  <c r="AA1965" i="5"/>
  <c r="AA1964" i="5"/>
  <c r="AA1963" i="5"/>
  <c r="AA1962" i="5"/>
  <c r="AA1958" i="5"/>
  <c r="AA1947" i="5"/>
  <c r="AA1943" i="5"/>
  <c r="AA1924" i="5"/>
  <c r="AA1913" i="5"/>
  <c r="AA1905" i="5"/>
  <c r="AA1904" i="5"/>
  <c r="AA1903" i="5"/>
  <c r="AA1901" i="5"/>
  <c r="AA1890" i="5"/>
  <c r="AA1883" i="5"/>
  <c r="AA1882" i="5"/>
  <c r="AA1881" i="5"/>
  <c r="AA1880" i="5"/>
  <c r="AA1878" i="5"/>
  <c r="AA1876" i="5"/>
  <c r="AA1875" i="5"/>
  <c r="AA1869" i="5"/>
  <c r="AA1868" i="5"/>
  <c r="AA1848" i="5"/>
  <c r="AA1846" i="5"/>
  <c r="AA1836" i="5"/>
  <c r="AA1831" i="5"/>
  <c r="AA1823" i="5"/>
  <c r="AA1809" i="5"/>
  <c r="AA1808" i="5"/>
  <c r="AA1807" i="5"/>
  <c r="AA1798" i="5"/>
  <c r="AA1797" i="5"/>
  <c r="AA1796" i="5"/>
  <c r="AA1790" i="5"/>
  <c r="AA1788" i="5"/>
  <c r="AA1785" i="5"/>
  <c r="AA1780" i="5"/>
  <c r="AA1776" i="5"/>
  <c r="AA1772" i="5"/>
  <c r="AA1771" i="5"/>
  <c r="AA1770" i="5"/>
  <c r="AA1759" i="5"/>
  <c r="AA1757" i="5"/>
  <c r="AA1749" i="5"/>
  <c r="AA1746" i="5"/>
  <c r="AA1729" i="5"/>
  <c r="AA1722" i="5"/>
  <c r="AA1710" i="5"/>
  <c r="AA1705" i="5"/>
  <c r="AA1688" i="5"/>
  <c r="AA1686" i="5"/>
  <c r="AA1685" i="5"/>
  <c r="AA1684" i="5"/>
  <c r="AA1681" i="5"/>
  <c r="AA1679" i="5"/>
  <c r="AA1678" i="5"/>
  <c r="AA1674" i="5"/>
  <c r="AA1673" i="5"/>
  <c r="AA1665" i="5"/>
  <c r="AA1663" i="5"/>
  <c r="AA1661" i="5"/>
  <c r="AA1652" i="5"/>
  <c r="AA1644" i="5"/>
  <c r="AA1641" i="5"/>
  <c r="AA1630" i="5"/>
  <c r="AA1625" i="5"/>
  <c r="AA1617" i="5"/>
  <c r="AA1615" i="5"/>
  <c r="AA1599" i="5"/>
  <c r="AA1592" i="5"/>
  <c r="AA1587" i="5"/>
  <c r="AA1578" i="5"/>
  <c r="AA1569" i="5"/>
  <c r="AA1566" i="5"/>
  <c r="AA1556" i="5"/>
  <c r="U229" i="5" l="1"/>
  <c r="U230" i="5"/>
  <c r="H208" i="1" l="1"/>
  <c r="H127" i="1"/>
  <c r="H222" i="1" l="1"/>
  <c r="L645" i="5"/>
  <c r="S553" i="5" l="1"/>
  <c r="G63" i="2" l="1"/>
  <c r="L1360" i="5" l="1"/>
  <c r="R311" i="2" l="1"/>
  <c r="L311" i="2"/>
  <c r="N337" i="1" s="1"/>
  <c r="K312" i="2"/>
  <c r="L338" i="1" s="1"/>
  <c r="K311" i="2"/>
  <c r="L337" i="1" s="1"/>
  <c r="R2243" i="5"/>
  <c r="L2243" i="5"/>
  <c r="S2243" i="5" s="1"/>
  <c r="R2242" i="5"/>
  <c r="L2242" i="5"/>
  <c r="S2242" i="5" s="1"/>
  <c r="R2241" i="5"/>
  <c r="L2241" i="5"/>
  <c r="S2241" i="5" s="1"/>
  <c r="R2240" i="5"/>
  <c r="L2240" i="5"/>
  <c r="S2240" i="5" s="1"/>
  <c r="R2239" i="5"/>
  <c r="L2239" i="5"/>
  <c r="L4213" i="5"/>
  <c r="L4212" i="5"/>
  <c r="L4203" i="5"/>
  <c r="S337" i="1" l="1"/>
  <c r="R313" i="2"/>
  <c r="N336" i="1"/>
  <c r="K313" i="2"/>
  <c r="S2239" i="5"/>
  <c r="A2914" i="5"/>
  <c r="Q311" i="2"/>
  <c r="L335" i="1"/>
  <c r="L4079" i="5"/>
  <c r="D4079" i="5"/>
  <c r="R4076" i="5"/>
  <c r="H310" i="2"/>
  <c r="L4121" i="5"/>
  <c r="A4119" i="5"/>
  <c r="A4120" i="5" s="1"/>
  <c r="A4121" i="5" s="1"/>
  <c r="A4124" i="5" s="1"/>
  <c r="A4125" i="5" s="1"/>
  <c r="A4126" i="5" s="1"/>
  <c r="A4127" i="5" s="1"/>
  <c r="A4128" i="5" s="1"/>
  <c r="A4129" i="5" s="1"/>
  <c r="L3899" i="5"/>
  <c r="L3898" i="5"/>
  <c r="L3875" i="5"/>
  <c r="S3875" i="5" s="1"/>
  <c r="R3875" i="5"/>
  <c r="Q313" i="2" l="1"/>
  <c r="L336" i="1"/>
  <c r="S336" i="1" s="1"/>
  <c r="R336" i="1"/>
  <c r="C310" i="2"/>
  <c r="C311" i="2"/>
  <c r="L312" i="2"/>
  <c r="L313" i="2" s="1"/>
  <c r="C312" i="2"/>
  <c r="S3899" i="5"/>
  <c r="S3898" i="5"/>
  <c r="N338" i="1" l="1"/>
  <c r="R337" i="1"/>
  <c r="N335" i="1"/>
  <c r="S338" i="1" l="1"/>
  <c r="S335" i="1"/>
  <c r="R338" i="1"/>
  <c r="R3594" i="5" l="1"/>
  <c r="L3594" i="5"/>
  <c r="R3593" i="5"/>
  <c r="L3593" i="5"/>
  <c r="R3592" i="5"/>
  <c r="L3592" i="5"/>
  <c r="S3592" i="5" s="1"/>
  <c r="R3591" i="5"/>
  <c r="L3591" i="5"/>
  <c r="R3590" i="5"/>
  <c r="L3590" i="5"/>
  <c r="S3590" i="5" s="1"/>
  <c r="R3589" i="5"/>
  <c r="L3589" i="5"/>
  <c r="S3589" i="5" s="1"/>
  <c r="R3588" i="5"/>
  <c r="L3588" i="5"/>
  <c r="S3588" i="5" s="1"/>
  <c r="R3587" i="5"/>
  <c r="L3587" i="5"/>
  <c r="S3587" i="5" s="1"/>
  <c r="R3586" i="5"/>
  <c r="L3586" i="5"/>
  <c r="S3586" i="5" s="1"/>
  <c r="R3585" i="5"/>
  <c r="L3585" i="5"/>
  <c r="S3585" i="5" s="1"/>
  <c r="R3532" i="5"/>
  <c r="L3532" i="5"/>
  <c r="S3532" i="5" l="1"/>
  <c r="S3594" i="5"/>
  <c r="S3591" i="5"/>
  <c r="S3593" i="5"/>
  <c r="L2016" i="5" l="1"/>
  <c r="S2016" i="5" s="1"/>
  <c r="L23" i="5" l="1"/>
  <c r="Y1439" i="5"/>
  <c r="Y521" i="5" l="1"/>
  <c r="Y523" i="5"/>
  <c r="Y524" i="5"/>
  <c r="Y525" i="5"/>
  <c r="Y526" i="5"/>
  <c r="Y527" i="5"/>
  <c r="Y528" i="5"/>
  <c r="Y529" i="5"/>
  <c r="Y532" i="5"/>
  <c r="Y533" i="5"/>
  <c r="Y534" i="5"/>
  <c r="Y535" i="5"/>
  <c r="Y536" i="5"/>
  <c r="Y537" i="5"/>
  <c r="Y538" i="5"/>
  <c r="Y539" i="5"/>
  <c r="Y540" i="5"/>
  <c r="Y541" i="5"/>
  <c r="Y542" i="5"/>
  <c r="Y543" i="5"/>
  <c r="Y545" i="5"/>
  <c r="Y546" i="5"/>
  <c r="Y547" i="5"/>
  <c r="Y548" i="5"/>
  <c r="Y549" i="5"/>
  <c r="Y551" i="5"/>
  <c r="Y552" i="5"/>
  <c r="Y553" i="5"/>
  <c r="Y555" i="5"/>
  <c r="Y556" i="5"/>
  <c r="Y557" i="5"/>
  <c r="Y558" i="5"/>
  <c r="Y559" i="5"/>
  <c r="Y560" i="5"/>
  <c r="Y561" i="5"/>
  <c r="Y562" i="5"/>
  <c r="Y563" i="5"/>
  <c r="Y564" i="5"/>
  <c r="Y565" i="5"/>
  <c r="Y566" i="5"/>
  <c r="Y567" i="5"/>
  <c r="Y568" i="5"/>
  <c r="Y569" i="5"/>
  <c r="Y571" i="5"/>
  <c r="Y572" i="5"/>
  <c r="Y573" i="5"/>
  <c r="Y574" i="5"/>
  <c r="Y575" i="5"/>
  <c r="Y576" i="5"/>
  <c r="Y577" i="5"/>
  <c r="Y579" i="5"/>
  <c r="Y580" i="5"/>
  <c r="Y581" i="5"/>
  <c r="Y582" i="5"/>
  <c r="Y583" i="5"/>
  <c r="Y584" i="5"/>
  <c r="Y585" i="5"/>
  <c r="Y588" i="5"/>
  <c r="Y589" i="5"/>
  <c r="Y592" i="5"/>
  <c r="Y593" i="5"/>
  <c r="Y594" i="5"/>
  <c r="Y595" i="5"/>
  <c r="Y596" i="5"/>
  <c r="Y597" i="5"/>
  <c r="Y598" i="5"/>
  <c r="Y599" i="5"/>
  <c r="Y600" i="5"/>
  <c r="Y601" i="5"/>
  <c r="Y602" i="5"/>
  <c r="Y604" i="5"/>
  <c r="Y605" i="5"/>
  <c r="Y606" i="5"/>
  <c r="Y607" i="5"/>
  <c r="Y608" i="5"/>
  <c r="Y609" i="5"/>
  <c r="Y610" i="5"/>
  <c r="Y611" i="5"/>
  <c r="Y612" i="5"/>
  <c r="Y613" i="5"/>
  <c r="Y614" i="5"/>
  <c r="Y616" i="5"/>
  <c r="Y617" i="5"/>
  <c r="Y618" i="5"/>
  <c r="Y620" i="5"/>
  <c r="Y621" i="5"/>
  <c r="Y622" i="5"/>
  <c r="Y623" i="5"/>
  <c r="Y624" i="5"/>
  <c r="Y625" i="5"/>
  <c r="Y626" i="5"/>
  <c r="Y627" i="5"/>
  <c r="Y629"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8" i="5"/>
  <c r="Y659" i="5"/>
  <c r="Y660" i="5"/>
  <c r="Y661" i="5"/>
  <c r="Y662" i="5"/>
  <c r="Y663" i="5"/>
  <c r="Y664" i="5"/>
  <c r="Y665" i="5"/>
  <c r="Y666" i="5"/>
  <c r="Y667" i="5"/>
  <c r="Y668" i="5"/>
  <c r="Y669" i="5"/>
  <c r="Y670" i="5"/>
  <c r="Y671" i="5"/>
  <c r="Y672" i="5"/>
  <c r="Y673" i="5"/>
  <c r="Y674" i="5"/>
  <c r="Y675" i="5"/>
  <c r="Y676" i="5"/>
  <c r="Y677" i="5"/>
  <c r="Y679" i="5"/>
  <c r="Y680" i="5"/>
  <c r="Y681" i="5"/>
  <c r="Y682" i="5"/>
  <c r="Y683" i="5"/>
  <c r="Y684" i="5"/>
  <c r="Y685" i="5"/>
  <c r="Y687" i="5"/>
  <c r="Y688" i="5"/>
  <c r="Y690" i="5"/>
  <c r="Y691" i="5"/>
  <c r="Y692" i="5"/>
  <c r="Y693" i="5"/>
  <c r="Y695" i="5"/>
  <c r="Y696" i="5"/>
  <c r="Y697"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2" i="5"/>
  <c r="Y743" i="5"/>
  <c r="Y745" i="5"/>
  <c r="Y746" i="5"/>
  <c r="Y747" i="5"/>
  <c r="Y749" i="5"/>
  <c r="Y750" i="5"/>
  <c r="Y751" i="5"/>
  <c r="Y752" i="5"/>
  <c r="Y753" i="5"/>
  <c r="Y754" i="5"/>
  <c r="Y755" i="5"/>
  <c r="Y756" i="5"/>
  <c r="Y757" i="5"/>
  <c r="Y758" i="5"/>
  <c r="Y759" i="5"/>
  <c r="Y760" i="5"/>
  <c r="Y761" i="5"/>
  <c r="Y763" i="5"/>
  <c r="Y764" i="5"/>
  <c r="Y765" i="5"/>
  <c r="Y766" i="5"/>
  <c r="Y767" i="5"/>
  <c r="Y768" i="5"/>
  <c r="Y769" i="5"/>
  <c r="Y770" i="5"/>
  <c r="Y772" i="5"/>
  <c r="Y773" i="5"/>
  <c r="Y774" i="5"/>
  <c r="Y776" i="5"/>
  <c r="Y777" i="5"/>
  <c r="Y778" i="5"/>
  <c r="Y779" i="5"/>
  <c r="Y780" i="5"/>
  <c r="Y782" i="5"/>
  <c r="Y783" i="5"/>
  <c r="Y784" i="5"/>
  <c r="Y785" i="5"/>
  <c r="Y786" i="5"/>
  <c r="Y787" i="5"/>
  <c r="Y788" i="5"/>
  <c r="Y789" i="5"/>
  <c r="Y790" i="5"/>
  <c r="Y791" i="5"/>
  <c r="Y792" i="5"/>
  <c r="Y794" i="5"/>
  <c r="Y795" i="5"/>
  <c r="Y796" i="5"/>
  <c r="Y797" i="5"/>
  <c r="Y799" i="5"/>
  <c r="Y800" i="5"/>
  <c r="Y802" i="5"/>
  <c r="Y803" i="5"/>
  <c r="Y804" i="5"/>
  <c r="Y805" i="5"/>
  <c r="Y806" i="5"/>
  <c r="Y807" i="5"/>
  <c r="Y808" i="5"/>
  <c r="Y810" i="5"/>
  <c r="Y811" i="5"/>
  <c r="Y812" i="5"/>
  <c r="Y814" i="5"/>
  <c r="Y815" i="5"/>
  <c r="Y816" i="5"/>
  <c r="Y817" i="5"/>
  <c r="Y818" i="5"/>
  <c r="Y819" i="5"/>
  <c r="Y820" i="5"/>
  <c r="Y821" i="5"/>
  <c r="Y822" i="5"/>
  <c r="Y823" i="5"/>
  <c r="Y824" i="5"/>
  <c r="Y825" i="5"/>
  <c r="Y826" i="5"/>
  <c r="Y828" i="5"/>
  <c r="Y829" i="5"/>
  <c r="Y830" i="5"/>
  <c r="Y831" i="5"/>
  <c r="Y833" i="5"/>
  <c r="Y834" i="5"/>
  <c r="Y835" i="5"/>
  <c r="Y836" i="5"/>
  <c r="Y837" i="5"/>
  <c r="Y838" i="5"/>
  <c r="Y839" i="5"/>
  <c r="Y840" i="5"/>
  <c r="Y842" i="5"/>
  <c r="Y843" i="5"/>
  <c r="Y845" i="5"/>
  <c r="Y846" i="5"/>
  <c r="Y847" i="5"/>
  <c r="Y848" i="5"/>
  <c r="Y850" i="5"/>
  <c r="Y852" i="5"/>
  <c r="Y853" i="5"/>
  <c r="Y854" i="5"/>
  <c r="Y856" i="5"/>
  <c r="Y857" i="5"/>
  <c r="Y858" i="5"/>
  <c r="Y859" i="5"/>
  <c r="Y860" i="5"/>
  <c r="Y861" i="5"/>
  <c r="Y862" i="5"/>
  <c r="Y863" i="5"/>
  <c r="Y864" i="5"/>
  <c r="Y865" i="5"/>
  <c r="Y866" i="5"/>
  <c r="Y867" i="5"/>
  <c r="Y868" i="5"/>
  <c r="Y869" i="5"/>
  <c r="Y870" i="5"/>
  <c r="Y871" i="5"/>
  <c r="Y873" i="5"/>
  <c r="Y874" i="5"/>
  <c r="Y876" i="5"/>
  <c r="Y877" i="5"/>
  <c r="Y879" i="5"/>
  <c r="Y880" i="5"/>
  <c r="Y881" i="5"/>
  <c r="Y882" i="5"/>
  <c r="Y884" i="5"/>
  <c r="Y886" i="5"/>
  <c r="Y887" i="5"/>
  <c r="Y889" i="5"/>
  <c r="Y890" i="5"/>
  <c r="Y891" i="5"/>
  <c r="Y892" i="5"/>
  <c r="Y894" i="5"/>
  <c r="Y895" i="5"/>
  <c r="Y897" i="5"/>
  <c r="Y898" i="5"/>
  <c r="Y900" i="5"/>
  <c r="Y901" i="5"/>
  <c r="Y902" i="5"/>
  <c r="Y904" i="5"/>
  <c r="Y905" i="5"/>
  <c r="Y906" i="5"/>
  <c r="Y908" i="5"/>
  <c r="Y909" i="5"/>
  <c r="Y911" i="5"/>
  <c r="Y912" i="5"/>
  <c r="Y913" i="5"/>
  <c r="Y914" i="5"/>
  <c r="Y915" i="5"/>
  <c r="Y916" i="5"/>
  <c r="Y917" i="5"/>
  <c r="Y918" i="5"/>
  <c r="Y919" i="5"/>
  <c r="Y920" i="5"/>
  <c r="Y921" i="5"/>
  <c r="Y922" i="5"/>
  <c r="Y923" i="5"/>
  <c r="Y924" i="5"/>
  <c r="Y925" i="5"/>
  <c r="Y926" i="5"/>
  <c r="Y927" i="5"/>
  <c r="Y928" i="5"/>
  <c r="Y929" i="5"/>
  <c r="Y930" i="5"/>
  <c r="Y931" i="5"/>
  <c r="Y932" i="5"/>
  <c r="Y933" i="5"/>
  <c r="Y934" i="5"/>
  <c r="Y935" i="5"/>
  <c r="Y937" i="5"/>
  <c r="Y938" i="5"/>
  <c r="Y939" i="5"/>
  <c r="Y940" i="5"/>
  <c r="Y941" i="5"/>
  <c r="Y942" i="5"/>
  <c r="Y943" i="5"/>
  <c r="Y944" i="5"/>
  <c r="Y945" i="5"/>
  <c r="Y946" i="5"/>
  <c r="Y947" i="5"/>
  <c r="Y948" i="5"/>
  <c r="Y949" i="5"/>
  <c r="Y950" i="5"/>
  <c r="Y951" i="5"/>
  <c r="Y952" i="5"/>
  <c r="Y953" i="5"/>
  <c r="Y954" i="5"/>
  <c r="Y955" i="5"/>
  <c r="Y956" i="5"/>
  <c r="Y957" i="5"/>
  <c r="Y958" i="5"/>
  <c r="Y960" i="5"/>
  <c r="Y962" i="5"/>
  <c r="Y963" i="5"/>
  <c r="Y964" i="5"/>
  <c r="Y965" i="5"/>
  <c r="Y967" i="5"/>
  <c r="Y968" i="5"/>
  <c r="Y969" i="5"/>
  <c r="Y970" i="5"/>
  <c r="Y971" i="5"/>
  <c r="Y972" i="5"/>
  <c r="Y973" i="5"/>
  <c r="Y974" i="5"/>
  <c r="Y976" i="5"/>
  <c r="Y977" i="5"/>
  <c r="Y978" i="5"/>
  <c r="Y979" i="5"/>
  <c r="Y980" i="5"/>
  <c r="Y981" i="5"/>
  <c r="Y982" i="5"/>
  <c r="Y983" i="5"/>
  <c r="Y984" i="5"/>
  <c r="Y986" i="5"/>
  <c r="Y987" i="5"/>
  <c r="Y988" i="5"/>
  <c r="Y989" i="5"/>
  <c r="Y990" i="5"/>
  <c r="Y991" i="5"/>
  <c r="Y992" i="5"/>
  <c r="Y993" i="5"/>
  <c r="Y994" i="5"/>
  <c r="Y995" i="5"/>
  <c r="Y996" i="5"/>
  <c r="Y997" i="5"/>
  <c r="Y999" i="5"/>
  <c r="Y1000" i="5"/>
  <c r="Y1001" i="5"/>
  <c r="Y1002" i="5"/>
  <c r="Y1003" i="5"/>
  <c r="Y1004" i="5"/>
  <c r="Y1005" i="5"/>
  <c r="Y1007" i="5"/>
  <c r="Y1008" i="5"/>
  <c r="Y1009" i="5"/>
  <c r="Y1010" i="5"/>
  <c r="Y1011" i="5"/>
  <c r="Y1012" i="5"/>
  <c r="Y1013" i="5"/>
  <c r="Y1014" i="5"/>
  <c r="Y1015" i="5"/>
  <c r="Y1016" i="5"/>
  <c r="Y1017" i="5"/>
  <c r="Y1018" i="5"/>
  <c r="Y1019" i="5"/>
  <c r="Y1020" i="5"/>
  <c r="Y1022" i="5"/>
  <c r="Y1024" i="5"/>
  <c r="Y1026" i="5"/>
  <c r="Y1027" i="5"/>
  <c r="Y1028" i="5"/>
  <c r="Y1029" i="5"/>
  <c r="Y1030" i="5"/>
  <c r="Y1031" i="5"/>
  <c r="Y1032" i="5"/>
  <c r="Y1033" i="5"/>
  <c r="Y1034" i="5"/>
  <c r="Y1035" i="5"/>
  <c r="Y1038" i="5"/>
  <c r="Y1039" i="5"/>
  <c r="Y1040" i="5"/>
  <c r="Y1041" i="5"/>
  <c r="Y1042" i="5"/>
  <c r="Y1043" i="5"/>
  <c r="Y1044" i="5"/>
  <c r="Y1045" i="5"/>
  <c r="Y1046" i="5"/>
  <c r="Y1047" i="5"/>
  <c r="Y1048" i="5"/>
  <c r="Y1049" i="5"/>
  <c r="Y1050" i="5"/>
  <c r="Y1051" i="5"/>
  <c r="Y1052" i="5"/>
  <c r="Y1053" i="5"/>
  <c r="Y1054" i="5"/>
  <c r="Y1055" i="5"/>
  <c r="Y1057" i="5"/>
  <c r="Y1058" i="5"/>
  <c r="Y1059" i="5"/>
  <c r="Y1060" i="5"/>
  <c r="Y1061" i="5"/>
  <c r="Y1062" i="5"/>
  <c r="Y1063" i="5"/>
  <c r="Y1064" i="5"/>
  <c r="Y1065" i="5"/>
  <c r="Y1066" i="5"/>
  <c r="Y1067" i="5"/>
  <c r="Y1068" i="5"/>
  <c r="Y1069" i="5"/>
  <c r="Y1070" i="5"/>
  <c r="Y1071" i="5"/>
  <c r="Y1072" i="5"/>
  <c r="Y1073" i="5"/>
  <c r="Y1074" i="5"/>
  <c r="Y1075" i="5"/>
  <c r="Y1076" i="5"/>
  <c r="Y1077" i="5"/>
  <c r="Y1078" i="5"/>
  <c r="Y1079" i="5"/>
  <c r="Y1080" i="5"/>
  <c r="Y1081" i="5"/>
  <c r="Y1082" i="5"/>
  <c r="Y1083" i="5"/>
  <c r="Y1084" i="5"/>
  <c r="Y1085" i="5"/>
  <c r="Y1086" i="5"/>
  <c r="Y1087" i="5"/>
  <c r="Y1088" i="5"/>
  <c r="Y1089" i="5"/>
  <c r="Y1090" i="5"/>
  <c r="Y1091" i="5"/>
  <c r="Y1092" i="5"/>
  <c r="Y1093" i="5"/>
  <c r="Y1094" i="5"/>
  <c r="Y1095" i="5"/>
  <c r="Y1096" i="5"/>
  <c r="Y1097" i="5"/>
  <c r="Y1098" i="5"/>
  <c r="Y1099" i="5"/>
  <c r="Y1100" i="5"/>
  <c r="Y1101" i="5"/>
  <c r="Y1102" i="5"/>
  <c r="Y1103" i="5"/>
  <c r="Y1104" i="5"/>
  <c r="Y1105" i="5"/>
  <c r="Y1106" i="5"/>
  <c r="Y1107" i="5"/>
  <c r="Y1108" i="5"/>
  <c r="Y1109" i="5"/>
  <c r="Y1110" i="5"/>
  <c r="Y1111" i="5"/>
  <c r="Y1112" i="5"/>
  <c r="Y1113" i="5"/>
  <c r="Y1114" i="5"/>
  <c r="Y1115" i="5"/>
  <c r="Y1116" i="5"/>
  <c r="Y1117" i="5"/>
  <c r="Y1118" i="5"/>
  <c r="Y1119" i="5"/>
  <c r="Y1120" i="5"/>
  <c r="Y1121" i="5"/>
  <c r="Y1122" i="5"/>
  <c r="Y1123" i="5"/>
  <c r="Y1124" i="5"/>
  <c r="Y1125" i="5"/>
  <c r="Y1127" i="5"/>
  <c r="Y1128" i="5"/>
  <c r="Y1129" i="5"/>
  <c r="Y1130" i="5"/>
  <c r="Y1131" i="5"/>
  <c r="Y1132" i="5"/>
  <c r="Y1133" i="5"/>
  <c r="Y1134" i="5"/>
  <c r="Y1135" i="5"/>
  <c r="Y1136" i="5"/>
  <c r="Y1137" i="5"/>
  <c r="Y1138" i="5"/>
  <c r="Y1139" i="5"/>
  <c r="Y1140" i="5"/>
  <c r="Y1141" i="5"/>
  <c r="Y1142" i="5"/>
  <c r="Y1143" i="5"/>
  <c r="Y1144" i="5"/>
  <c r="Y1145" i="5"/>
  <c r="Y1146" i="5"/>
  <c r="Y1147" i="5"/>
  <c r="Y1148" i="5"/>
  <c r="Y1150" i="5"/>
  <c r="Y1151" i="5"/>
  <c r="Y1152" i="5"/>
  <c r="Y1153" i="5"/>
  <c r="Y1154" i="5"/>
  <c r="Y1155" i="5"/>
  <c r="Y1157" i="5"/>
  <c r="Y1158" i="5"/>
  <c r="Y1159" i="5"/>
  <c r="Y1160" i="5"/>
  <c r="Y1161" i="5"/>
  <c r="Y1162" i="5"/>
  <c r="Y1163" i="5"/>
  <c r="Y1164" i="5"/>
  <c r="Y1165" i="5"/>
  <c r="Y1166" i="5"/>
  <c r="Y1167" i="5"/>
  <c r="Y1168" i="5"/>
  <c r="Y1169" i="5"/>
  <c r="Y1170" i="5"/>
  <c r="Y1171" i="5"/>
  <c r="Y1172" i="5"/>
  <c r="Y1173" i="5"/>
  <c r="Y1174" i="5"/>
  <c r="Y1175" i="5"/>
  <c r="Y1176" i="5"/>
  <c r="Y1177" i="5"/>
  <c r="Y1178" i="5"/>
  <c r="Y1180" i="5"/>
  <c r="Y1181" i="5"/>
  <c r="Y1182" i="5"/>
  <c r="Y1183" i="5"/>
  <c r="Y1184" i="5"/>
  <c r="Y1185" i="5"/>
  <c r="Y1186" i="5"/>
  <c r="Y1187" i="5"/>
  <c r="Y1188" i="5"/>
  <c r="Y1189" i="5"/>
  <c r="Y1190" i="5"/>
  <c r="Y1192" i="5"/>
  <c r="Y1193" i="5"/>
  <c r="Y1194" i="5"/>
  <c r="Y1195" i="5"/>
  <c r="Y1196" i="5"/>
  <c r="Y1197" i="5"/>
  <c r="Y1198" i="5"/>
  <c r="Y1199" i="5"/>
  <c r="Y1200" i="5"/>
  <c r="Y1201" i="5"/>
  <c r="Y1202" i="5"/>
  <c r="Y1203" i="5"/>
  <c r="Y1204" i="5"/>
  <c r="Y1205" i="5"/>
  <c r="Y1206" i="5"/>
  <c r="Y1207" i="5"/>
  <c r="Y1208" i="5"/>
  <c r="Y1209" i="5"/>
  <c r="Y1210" i="5"/>
  <c r="Y1211" i="5"/>
  <c r="Y1212" i="5"/>
  <c r="Y1213" i="5"/>
  <c r="Y1214" i="5"/>
  <c r="Y1215" i="5"/>
  <c r="Y1216" i="5"/>
  <c r="Y1217" i="5"/>
  <c r="Y1218" i="5"/>
  <c r="Y1219" i="5"/>
  <c r="Y1222" i="5"/>
  <c r="Y1223" i="5"/>
  <c r="Y1224" i="5"/>
  <c r="Y1225" i="5"/>
  <c r="Y1226" i="5"/>
  <c r="Y1227" i="5"/>
  <c r="Y1228" i="5"/>
  <c r="Y1229" i="5"/>
  <c r="Y1230" i="5"/>
  <c r="Y1231" i="5"/>
  <c r="Y1232" i="5"/>
  <c r="Y1233" i="5"/>
  <c r="Y1234" i="5"/>
  <c r="Y1235" i="5"/>
  <c r="Y1237" i="5"/>
  <c r="Y1238" i="5"/>
  <c r="Y1239" i="5"/>
  <c r="Y1240" i="5"/>
  <c r="Y1241" i="5"/>
  <c r="Y1242" i="5"/>
  <c r="Y1243" i="5"/>
  <c r="Y1244" i="5"/>
  <c r="Y1245" i="5"/>
  <c r="Y1246" i="5"/>
  <c r="Y1247" i="5"/>
  <c r="Y1249" i="5"/>
  <c r="Y1250" i="5"/>
  <c r="Y1251" i="5"/>
  <c r="Y1253" i="5"/>
  <c r="Y1254" i="5"/>
  <c r="Y1255" i="5"/>
  <c r="Y1256" i="5"/>
  <c r="Y1257" i="5"/>
  <c r="Y1258" i="5"/>
  <c r="Y1260" i="5"/>
  <c r="Y1261" i="5"/>
  <c r="Y1262" i="5"/>
  <c r="Y1263" i="5"/>
  <c r="Y1264" i="5"/>
  <c r="Y1266" i="5"/>
  <c r="Y1267" i="5"/>
  <c r="Y1268" i="5"/>
  <c r="Y1269" i="5"/>
  <c r="Y1270" i="5"/>
  <c r="Y1271" i="5"/>
  <c r="Y1272" i="5"/>
  <c r="Y1273" i="5"/>
  <c r="Y1275" i="5"/>
  <c r="Y1276" i="5"/>
  <c r="Y1277" i="5"/>
  <c r="Y1278" i="5"/>
  <c r="Y1279" i="5"/>
  <c r="Y1280" i="5"/>
  <c r="Y1281" i="5"/>
  <c r="Y1282" i="5"/>
  <c r="Y1283" i="5"/>
  <c r="Y1284" i="5"/>
  <c r="Y1285" i="5"/>
  <c r="Y1286" i="5"/>
  <c r="Y1287" i="5"/>
  <c r="Y1289" i="5"/>
  <c r="Y1290" i="5"/>
  <c r="Y1291" i="5"/>
  <c r="Y1292" i="5"/>
  <c r="Y1293" i="5"/>
  <c r="Y1294" i="5"/>
  <c r="Y1295" i="5"/>
  <c r="Y1298" i="5"/>
  <c r="Y1299" i="5"/>
  <c r="Y1300" i="5"/>
  <c r="Y1301" i="5"/>
  <c r="Y1302" i="5"/>
  <c r="Y1303" i="5"/>
  <c r="Y1305" i="5"/>
  <c r="Y1306" i="5"/>
  <c r="Y1308" i="5"/>
  <c r="Y1309" i="5"/>
  <c r="Y1310" i="5"/>
  <c r="Y1311" i="5"/>
  <c r="Y1313" i="5"/>
  <c r="Y1314" i="5"/>
  <c r="Y1315" i="5"/>
  <c r="Y1317" i="5"/>
  <c r="Y1318" i="5"/>
  <c r="Y1320" i="5"/>
  <c r="Y1321" i="5"/>
  <c r="Y1322" i="5"/>
  <c r="Y1323" i="5"/>
  <c r="Y1324" i="5"/>
  <c r="Y1325" i="5"/>
  <c r="Y1326" i="5"/>
  <c r="Y1328" i="5"/>
  <c r="Y1329" i="5"/>
  <c r="Y1330" i="5"/>
  <c r="Y1331" i="5"/>
  <c r="Y1333" i="5"/>
  <c r="Y1334" i="5"/>
  <c r="Y1336" i="5"/>
  <c r="Y1338" i="5"/>
  <c r="Y1339" i="5"/>
  <c r="Y1340" i="5"/>
  <c r="Y1341" i="5"/>
  <c r="Y1342" i="5"/>
  <c r="Y1343" i="5"/>
  <c r="Y1344" i="5"/>
  <c r="Y1345" i="5"/>
  <c r="Y1346" i="5"/>
  <c r="Y1347" i="5"/>
  <c r="Y1348" i="5"/>
  <c r="Y1349" i="5"/>
  <c r="Y1350" i="5"/>
  <c r="Y1351" i="5"/>
  <c r="Y1352" i="5"/>
  <c r="Y1353" i="5"/>
  <c r="Y1354" i="5"/>
  <c r="Y1355" i="5"/>
  <c r="Y1356" i="5"/>
  <c r="Y1357" i="5"/>
  <c r="Y1358" i="5"/>
  <c r="Y1359" i="5"/>
  <c r="Y1360" i="5"/>
  <c r="Y1362" i="5"/>
  <c r="Y1363" i="5"/>
  <c r="Y1364" i="5"/>
  <c r="Y1365" i="5"/>
  <c r="Y1366" i="5"/>
  <c r="Y1367" i="5"/>
  <c r="Y1369" i="5"/>
  <c r="Y1370" i="5"/>
  <c r="Y1371" i="5"/>
  <c r="Y1373" i="5"/>
  <c r="Y1375" i="5"/>
  <c r="Y1376" i="5"/>
  <c r="Y1379" i="5"/>
  <c r="Y1380" i="5"/>
  <c r="Y1381" i="5"/>
  <c r="Y1382" i="5"/>
  <c r="Y1383" i="5"/>
  <c r="Y1384" i="5"/>
  <c r="Y1385" i="5"/>
  <c r="Y1386" i="5"/>
  <c r="Y1387" i="5"/>
  <c r="Y1388" i="5"/>
  <c r="Y1389" i="5"/>
  <c r="Y1390" i="5"/>
  <c r="Y1391" i="5"/>
  <c r="Y1392" i="5"/>
  <c r="Y1393" i="5"/>
  <c r="Y1394" i="5"/>
  <c r="Y1395" i="5"/>
  <c r="Y1396" i="5"/>
  <c r="Y1397" i="5"/>
  <c r="Y1398" i="5"/>
  <c r="Y1399" i="5"/>
  <c r="Y1400" i="5"/>
  <c r="Y1402" i="5"/>
  <c r="Y1403" i="5"/>
  <c r="Y1404" i="5"/>
  <c r="Y1405" i="5"/>
  <c r="Y1407" i="5"/>
  <c r="Y1408" i="5"/>
  <c r="Y1409" i="5"/>
  <c r="Y1410" i="5"/>
  <c r="Y1411" i="5"/>
  <c r="Y1412" i="5"/>
  <c r="Y1413" i="5"/>
  <c r="Y1414" i="5"/>
  <c r="Y1415" i="5"/>
  <c r="Y1416" i="5"/>
  <c r="Y1417" i="5"/>
  <c r="Y1418" i="5"/>
  <c r="Y1419" i="5"/>
  <c r="Y1420" i="5"/>
  <c r="Y1421" i="5"/>
  <c r="Y1423" i="5"/>
  <c r="Y1424" i="5"/>
  <c r="Y1425" i="5"/>
  <c r="Y1426" i="5"/>
  <c r="Y1427" i="5"/>
  <c r="Y1428" i="5"/>
  <c r="Y1429" i="5"/>
  <c r="Y1430" i="5"/>
  <c r="Y1431" i="5"/>
  <c r="Y1433" i="5"/>
  <c r="Y1435" i="5"/>
  <c r="Y1436" i="5"/>
  <c r="Y1437" i="5"/>
  <c r="Y1438" i="5"/>
  <c r="Y1440" i="5"/>
  <c r="Y1441" i="5"/>
  <c r="Y1442" i="5"/>
  <c r="Y1443" i="5"/>
  <c r="Y1445" i="5"/>
  <c r="Y1446" i="5"/>
  <c r="Y1447" i="5"/>
  <c r="Y1448" i="5"/>
  <c r="Y1449" i="5"/>
  <c r="Y1450" i="5"/>
  <c r="Y1451" i="5"/>
  <c r="Y1454" i="5"/>
  <c r="Y1455" i="5"/>
  <c r="Y1457" i="5"/>
  <c r="Y1458" i="5"/>
  <c r="Y1459" i="5"/>
  <c r="Y1460" i="5"/>
  <c r="Y1461" i="5"/>
  <c r="R4211" i="5" l="1"/>
  <c r="L4211" i="5"/>
  <c r="Q2963" i="5" l="1"/>
  <c r="N2963" i="5"/>
  <c r="M2963" i="5"/>
  <c r="A2783" i="5"/>
  <c r="A2784" i="5" s="1"/>
  <c r="A2785" i="5" s="1"/>
  <c r="L2785" i="5"/>
  <c r="L2784" i="5"/>
  <c r="L2783" i="5"/>
  <c r="L2782" i="5"/>
  <c r="L3932" i="5"/>
  <c r="L3933" i="5"/>
  <c r="R3932" i="5"/>
  <c r="L2611" i="5"/>
  <c r="L2610" i="5"/>
  <c r="L2609" i="5"/>
  <c r="L2608" i="5"/>
  <c r="L2607" i="5"/>
  <c r="L2606" i="5"/>
  <c r="L2605" i="5"/>
  <c r="L2604" i="5"/>
  <c r="L2603" i="5"/>
  <c r="L2602" i="5"/>
  <c r="S3932" i="5" l="1"/>
  <c r="S3933" i="5"/>
  <c r="S2609" i="5"/>
  <c r="S2603" i="5"/>
  <c r="S2607" i="5"/>
  <c r="S2611" i="5"/>
  <c r="S2605" i="5"/>
  <c r="S2608" i="5"/>
  <c r="S2604" i="5"/>
  <c r="S2610" i="5"/>
  <c r="S2606" i="5"/>
  <c r="S2602" i="5"/>
  <c r="S2558" i="5" l="1"/>
  <c r="M630" i="5" l="1"/>
  <c r="M628" i="5"/>
  <c r="M591" i="5"/>
  <c r="M590" i="5"/>
  <c r="Y591" i="5" l="1"/>
  <c r="Y628" i="5"/>
  <c r="Y630" i="5"/>
  <c r="Y590" i="5"/>
  <c r="L426" i="5"/>
  <c r="M1337" i="5"/>
  <c r="M1335" i="5"/>
  <c r="M1332" i="5"/>
  <c r="M1327" i="5"/>
  <c r="M781" i="5"/>
  <c r="M530" i="5"/>
  <c r="M578" i="5"/>
  <c r="M570" i="5"/>
  <c r="M544" i="5"/>
  <c r="M587" i="5"/>
  <c r="M586" i="5"/>
  <c r="M550" i="5"/>
  <c r="M554" i="5"/>
  <c r="L553" i="5" s="1"/>
  <c r="R2824" i="5"/>
  <c r="L2824" i="5"/>
  <c r="R2910" i="5"/>
  <c r="L2910" i="5"/>
  <c r="L2643" i="5"/>
  <c r="R2642" i="5"/>
  <c r="L2642" i="5"/>
  <c r="R3913" i="5"/>
  <c r="R2601" i="5"/>
  <c r="L2601" i="5"/>
  <c r="R1359" i="5"/>
  <c r="L1359" i="5"/>
  <c r="Y554" i="5" l="1"/>
  <c r="Y544" i="5"/>
  <c r="Y781" i="5"/>
  <c r="Y1337" i="5"/>
  <c r="Y550" i="5"/>
  <c r="Y570" i="5"/>
  <c r="Y1327" i="5"/>
  <c r="Y586" i="5"/>
  <c r="Y578" i="5"/>
  <c r="Y1332" i="5"/>
  <c r="Y587" i="5"/>
  <c r="Y530" i="5"/>
  <c r="Y1335" i="5"/>
  <c r="S2601" i="5"/>
  <c r="S426" i="5"/>
  <c r="S2642" i="5"/>
  <c r="S2643" i="5"/>
  <c r="L3913" i="5"/>
  <c r="S3913" i="5" l="1"/>
  <c r="L491" i="5" l="1"/>
  <c r="L449" i="5"/>
  <c r="L140" i="5"/>
  <c r="S141" i="5"/>
  <c r="R141" i="5"/>
  <c r="L1574" i="5" l="1"/>
  <c r="S1574" i="5" s="1"/>
  <c r="L1573" i="5"/>
  <c r="S1573" i="5" s="1"/>
  <c r="L1572" i="5"/>
  <c r="S1572" i="5" s="1"/>
  <c r="M4399" i="5"/>
  <c r="O4399" i="5" s="1"/>
  <c r="L2093" i="5" l="1"/>
  <c r="S2093" i="5" s="1"/>
  <c r="R4399" i="5"/>
  <c r="L4399" i="5"/>
  <c r="Y966" i="5" l="1"/>
  <c r="L2813" i="5" l="1"/>
  <c r="M883" i="5" l="1"/>
  <c r="L598" i="5"/>
  <c r="Y883" i="5" l="1"/>
  <c r="S3416" i="5"/>
  <c r="S3414" i="5"/>
  <c r="A2048" i="5"/>
  <c r="A2050" i="5" s="1"/>
  <c r="A2052" i="5" s="1"/>
  <c r="A2054" i="5" s="1"/>
  <c r="A2056" i="5" s="1"/>
  <c r="A2058" i="5" s="1"/>
  <c r="A2060" i="5" s="1"/>
  <c r="A2062" i="5" s="1"/>
  <c r="A2064" i="5" s="1"/>
  <c r="A2066" i="5" s="1"/>
  <c r="A2068" i="5" s="1"/>
  <c r="A2070" i="5" s="1"/>
  <c r="A2072" i="5" s="1"/>
  <c r="A2074" i="5" s="1"/>
  <c r="A2076" i="5" s="1"/>
  <c r="A2078" i="5" s="1"/>
  <c r="A2044" i="5"/>
  <c r="L2103" i="5"/>
  <c r="S2103" i="5" s="1"/>
  <c r="L2102" i="5"/>
  <c r="S2102" i="5" s="1"/>
  <c r="L2097" i="5"/>
  <c r="S2097" i="5" s="1"/>
  <c r="L2096" i="5"/>
  <c r="S2096" i="5" s="1"/>
  <c r="L2095" i="5"/>
  <c r="S2095" i="5" s="1"/>
  <c r="L2094" i="5"/>
  <c r="S2094" i="5" s="1"/>
  <c r="L2092" i="5"/>
  <c r="S2092" i="5" s="1"/>
  <c r="L2091" i="5"/>
  <c r="S2091" i="5" s="1"/>
  <c r="L2090" i="5"/>
  <c r="S2090" i="5" s="1"/>
  <c r="M3344" i="5" l="1"/>
  <c r="M3345" i="5"/>
  <c r="L65" i="5" l="1"/>
  <c r="L463" i="5"/>
  <c r="L318" i="5"/>
  <c r="L119" i="5" l="1"/>
  <c r="L61" i="5"/>
  <c r="M1850" i="5"/>
  <c r="S1850" i="5" s="1"/>
  <c r="L519" i="5"/>
  <c r="L518" i="5"/>
  <c r="L517" i="5"/>
  <c r="L516" i="5"/>
  <c r="L515" i="5"/>
  <c r="L514" i="5"/>
  <c r="R513" i="5"/>
  <c r="L513" i="5"/>
  <c r="S513" i="5" l="1"/>
  <c r="L1849" i="5"/>
  <c r="S1849" i="5" s="1"/>
  <c r="L3351" i="5"/>
  <c r="L3307" i="5"/>
  <c r="L3057" i="5"/>
  <c r="D4407" i="5"/>
  <c r="E4407" i="5"/>
  <c r="G4407" i="5"/>
  <c r="J4407" i="5"/>
  <c r="N4407" i="5"/>
  <c r="P4407" i="5"/>
  <c r="S4408" i="5"/>
  <c r="R4411" i="5"/>
  <c r="A4412" i="5"/>
  <c r="A4413" i="5" s="1"/>
  <c r="R4412" i="5"/>
  <c r="R4413" i="5"/>
  <c r="D4414" i="5"/>
  <c r="E4414" i="5"/>
  <c r="G4414" i="5"/>
  <c r="J4414" i="5"/>
  <c r="M4414" i="5"/>
  <c r="N4414" i="5"/>
  <c r="O4414" i="5"/>
  <c r="P4414" i="5"/>
  <c r="Q4414" i="5"/>
  <c r="T4415" i="5"/>
  <c r="G4416" i="5"/>
  <c r="R4416" i="5"/>
  <c r="A4417" i="5"/>
  <c r="A4418" i="5" s="1"/>
  <c r="A4419" i="5" s="1"/>
  <c r="A4420" i="5" s="1"/>
  <c r="A4421" i="5" s="1"/>
  <c r="A4422" i="5" s="1"/>
  <c r="A4423" i="5" s="1"/>
  <c r="A4424" i="5" s="1"/>
  <c r="A4425" i="5" s="1"/>
  <c r="A4426" i="5" s="1"/>
  <c r="A4427" i="5" s="1"/>
  <c r="A4428" i="5" s="1"/>
  <c r="A4429" i="5" s="1"/>
  <c r="R4418" i="5"/>
  <c r="G4422" i="5"/>
  <c r="G4423" i="5"/>
  <c r="G4425" i="5"/>
  <c r="E4427" i="5"/>
  <c r="G4427" i="5"/>
  <c r="R4427" i="5"/>
  <c r="E4428" i="5"/>
  <c r="G4428" i="5"/>
  <c r="L4428" i="5"/>
  <c r="L4429" i="5"/>
  <c r="L4430" i="5"/>
  <c r="R4430" i="5"/>
  <c r="L4431" i="5"/>
  <c r="R4431" i="5"/>
  <c r="L4432" i="5"/>
  <c r="R4432" i="5"/>
  <c r="L4433" i="5"/>
  <c r="R4433" i="5"/>
  <c r="L4434" i="5"/>
  <c r="R4434" i="5"/>
  <c r="L4435" i="5"/>
  <c r="R4435" i="5"/>
  <c r="L4436" i="5"/>
  <c r="R4436" i="5"/>
  <c r="L4437" i="5"/>
  <c r="R4437" i="5"/>
  <c r="D4438" i="5"/>
  <c r="L4438" i="5"/>
  <c r="R4438" i="5"/>
  <c r="L4439" i="5"/>
  <c r="R4439" i="5"/>
  <c r="L4440" i="5"/>
  <c r="R4440" i="5"/>
  <c r="L4441" i="5"/>
  <c r="R4441" i="5"/>
  <c r="L4442" i="5"/>
  <c r="R4442" i="5"/>
  <c r="L4443" i="5"/>
  <c r="R4443" i="5"/>
  <c r="L4444" i="5"/>
  <c r="R4444" i="5"/>
  <c r="S4445" i="5"/>
  <c r="A4447" i="5"/>
  <c r="A4448" i="5" s="1"/>
  <c r="A4449" i="5" s="1"/>
  <c r="L4446" i="5"/>
  <c r="R4446" i="5"/>
  <c r="L4447" i="5"/>
  <c r="L4448" i="5"/>
  <c r="L4449" i="5"/>
  <c r="M4398" i="5"/>
  <c r="R4398" i="5" s="1"/>
  <c r="M4397" i="5"/>
  <c r="R4397" i="5" s="1"/>
  <c r="M4396" i="5"/>
  <c r="R4396" i="5" s="1"/>
  <c r="M4395" i="5"/>
  <c r="O4395" i="5" s="1"/>
  <c r="L4395" i="5" s="1"/>
  <c r="M4393" i="5"/>
  <c r="R4393" i="5" s="1"/>
  <c r="M4392" i="5"/>
  <c r="O4392" i="5" s="1"/>
  <c r="L4392" i="5" s="1"/>
  <c r="L4391" i="5"/>
  <c r="M4390" i="5"/>
  <c r="R4390" i="5" s="1"/>
  <c r="M4389" i="5"/>
  <c r="R4389" i="5" s="1"/>
  <c r="M4388" i="5"/>
  <c r="R4388" i="5" s="1"/>
  <c r="R4387" i="5"/>
  <c r="L4387" i="5"/>
  <c r="M4386" i="5"/>
  <c r="O4386" i="5" s="1"/>
  <c r="L4386" i="5" s="1"/>
  <c r="R4385" i="5"/>
  <c r="O4385" i="5"/>
  <c r="L4385" i="5" s="1"/>
  <c r="R4384" i="5"/>
  <c r="O4384" i="5"/>
  <c r="L4384" i="5" s="1"/>
  <c r="M4383" i="5"/>
  <c r="R4383" i="5" s="1"/>
  <c r="M4382" i="5"/>
  <c r="R4382" i="5" s="1"/>
  <c r="M4381" i="5"/>
  <c r="R4381" i="5" s="1"/>
  <c r="O4380" i="5"/>
  <c r="L4380" i="5" s="1"/>
  <c r="O4379" i="5"/>
  <c r="L4379" i="5" s="1"/>
  <c r="M4378" i="5"/>
  <c r="R4378" i="5" s="1"/>
  <c r="M4377" i="5"/>
  <c r="R4377" i="5" s="1"/>
  <c r="M4376" i="5"/>
  <c r="R4376" i="5" s="1"/>
  <c r="L4375" i="5"/>
  <c r="R4374" i="5"/>
  <c r="L4374" i="5"/>
  <c r="R4373" i="5"/>
  <c r="L4373" i="5"/>
  <c r="O4372" i="5"/>
  <c r="L4372" i="5" s="1"/>
  <c r="R4371" i="5"/>
  <c r="L4371" i="5"/>
  <c r="L4370" i="5"/>
  <c r="R4369" i="5"/>
  <c r="O4369" i="5"/>
  <c r="L4369" i="5" s="1"/>
  <c r="R4368" i="5"/>
  <c r="O4368" i="5"/>
  <c r="L4368" i="5" s="1"/>
  <c r="M4367" i="5"/>
  <c r="R4367" i="5" s="1"/>
  <c r="M4366" i="5"/>
  <c r="L4366" i="5" s="1"/>
  <c r="M4365" i="5"/>
  <c r="R4365" i="5" s="1"/>
  <c r="M4364" i="5"/>
  <c r="R4364" i="5" s="1"/>
  <c r="M4363" i="5"/>
  <c r="R4363" i="5" s="1"/>
  <c r="A4430" i="5" l="1"/>
  <c r="A4431" i="5" s="1"/>
  <c r="A4432" i="5" s="1"/>
  <c r="A4433" i="5" s="1"/>
  <c r="A4434" i="5" s="1"/>
  <c r="A4435" i="5" s="1"/>
  <c r="S4441" i="5"/>
  <c r="S4438" i="5"/>
  <c r="S4435" i="5"/>
  <c r="S4432" i="5"/>
  <c r="S4430" i="5"/>
  <c r="T4411" i="5"/>
  <c r="S4437" i="5"/>
  <c r="S4436" i="5"/>
  <c r="S4434" i="5"/>
  <c r="S4433" i="5"/>
  <c r="S4431" i="5"/>
  <c r="S4428" i="5"/>
  <c r="S4449" i="5"/>
  <c r="S4446" i="5"/>
  <c r="S4443" i="5"/>
  <c r="S4440" i="5"/>
  <c r="S4448" i="5"/>
  <c r="S4447" i="5"/>
  <c r="S4444" i="5"/>
  <c r="S4442" i="5"/>
  <c r="S4439" i="5"/>
  <c r="S4429" i="5"/>
  <c r="T4412" i="5"/>
  <c r="R4419" i="5"/>
  <c r="L4414" i="5"/>
  <c r="S4414" i="5" s="1"/>
  <c r="R4420" i="5"/>
  <c r="R4426" i="5"/>
  <c r="L4420" i="5"/>
  <c r="L4419" i="5"/>
  <c r="R4428" i="5"/>
  <c r="L4426" i="5"/>
  <c r="L4363" i="5"/>
  <c r="L4422" i="5"/>
  <c r="R4421" i="5"/>
  <c r="R4417" i="5"/>
  <c r="R4425" i="5"/>
  <c r="L4421" i="5"/>
  <c r="L4417" i="5"/>
  <c r="L4425" i="5"/>
  <c r="L4427" i="5"/>
  <c r="R4422" i="5"/>
  <c r="R4386" i="5"/>
  <c r="R4424" i="5"/>
  <c r="R4423" i="5"/>
  <c r="L4376" i="5"/>
  <c r="L4367" i="5"/>
  <c r="L4390" i="5"/>
  <c r="R4392" i="5"/>
  <c r="L4396" i="5"/>
  <c r="L4389" i="5"/>
  <c r="L4393" i="5"/>
  <c r="R4366" i="5"/>
  <c r="L4365" i="5"/>
  <c r="L4388" i="5"/>
  <c r="R4395" i="5"/>
  <c r="L4364" i="5"/>
  <c r="O4377" i="5"/>
  <c r="L4377" i="5" s="1"/>
  <c r="O4378" i="5"/>
  <c r="L4378" i="5" s="1"/>
  <c r="O4381" i="5"/>
  <c r="L4381" i="5" s="1"/>
  <c r="O4382" i="5"/>
  <c r="L4382" i="5" s="1"/>
  <c r="O4383" i="5"/>
  <c r="L4383" i="5" s="1"/>
  <c r="O4397" i="5"/>
  <c r="L4397" i="5" s="1"/>
  <c r="O4398" i="5"/>
  <c r="L4398" i="5" s="1"/>
  <c r="M4362" i="5"/>
  <c r="R4362" i="5" s="1"/>
  <c r="L422" i="5"/>
  <c r="L413" i="5"/>
  <c r="L308" i="5"/>
  <c r="R2096" i="5"/>
  <c r="A2103" i="5"/>
  <c r="A2104" i="5" s="1"/>
  <c r="A2088" i="5"/>
  <c r="A2090" i="5" s="1"/>
  <c r="A2091" i="5" s="1"/>
  <c r="A2092" i="5" s="1"/>
  <c r="L2085" i="5"/>
  <c r="S2085" i="5" s="1"/>
  <c r="R2086" i="5"/>
  <c r="A2105" i="5" l="1"/>
  <c r="A2106" i="5" s="1"/>
  <c r="A2107" i="5" s="1"/>
  <c r="A4436" i="5"/>
  <c r="A4437" i="5" s="1"/>
  <c r="A4438" i="5" s="1"/>
  <c r="A4439" i="5" s="1"/>
  <c r="A4440" i="5" s="1"/>
  <c r="T4425" i="5"/>
  <c r="T4419" i="5"/>
  <c r="T4414" i="5"/>
  <c r="S4427" i="5"/>
  <c r="A2093" i="5"/>
  <c r="A2094" i="5" s="1"/>
  <c r="A2095" i="5" s="1"/>
  <c r="A2096" i="5" s="1"/>
  <c r="A2097" i="5" s="1"/>
  <c r="A2098" i="5" s="1"/>
  <c r="L4423" i="5"/>
  <c r="L4416" i="5"/>
  <c r="S4416" i="5" s="1"/>
  <c r="S4420" i="5"/>
  <c r="T4420" i="5"/>
  <c r="S4426" i="5"/>
  <c r="T4426" i="5"/>
  <c r="S4419" i="5"/>
  <c r="T4421" i="5"/>
  <c r="S4421" i="5"/>
  <c r="T4417" i="5"/>
  <c r="S4417" i="5"/>
  <c r="L4424" i="5"/>
  <c r="S4425" i="5"/>
  <c r="L4418" i="5"/>
  <c r="S4422" i="5"/>
  <c r="T4422" i="5"/>
  <c r="O4362" i="5"/>
  <c r="L4362" i="5" s="1"/>
  <c r="L2098" i="5"/>
  <c r="S2098" i="5" s="1"/>
  <c r="L2087" i="5"/>
  <c r="S2087" i="5" s="1"/>
  <c r="L2100" i="5"/>
  <c r="S2100" i="5" s="1"/>
  <c r="A2108" i="5" l="1"/>
  <c r="A2109" i="5" s="1"/>
  <c r="A2110" i="5" s="1"/>
  <c r="A4441" i="5"/>
  <c r="A4442" i="5" s="1"/>
  <c r="A4443" i="5" s="1"/>
  <c r="A4444" i="5" s="1"/>
  <c r="T4423" i="5"/>
  <c r="S4424" i="5"/>
  <c r="S4423" i="5"/>
  <c r="T4416" i="5"/>
  <c r="T4424" i="5"/>
  <c r="T4418" i="5"/>
  <c r="S4418" i="5"/>
  <c r="A4592" i="5" l="1"/>
  <c r="R2490" i="5"/>
  <c r="L2490" i="5"/>
  <c r="S2490" i="5" s="1"/>
  <c r="R2489" i="5"/>
  <c r="L2489" i="5"/>
  <c r="S2489" i="5" s="1"/>
  <c r="A2489" i="5"/>
  <c r="A2490" i="5" s="1"/>
  <c r="Q2491" i="5"/>
  <c r="P2491" i="5"/>
  <c r="O2491" i="5"/>
  <c r="N2491" i="5"/>
  <c r="M2491" i="5"/>
  <c r="J2491" i="5"/>
  <c r="E2491" i="5"/>
  <c r="D2491" i="5"/>
  <c r="L2488" i="5"/>
  <c r="G2488" i="5"/>
  <c r="A2386" i="5"/>
  <c r="A2387" i="5" s="1"/>
  <c r="A2388" i="5" s="1"/>
  <c r="R2389" i="5"/>
  <c r="L2388" i="5"/>
  <c r="S2388" i="5" s="1"/>
  <c r="R2387" i="5"/>
  <c r="L2387" i="5"/>
  <c r="S2387" i="5" s="1"/>
  <c r="A2389" i="5" l="1"/>
  <c r="A2390" i="5" s="1"/>
  <c r="A2391" i="5" s="1"/>
  <c r="A2392" i="5" s="1"/>
  <c r="S2488" i="5"/>
  <c r="G2491" i="5"/>
  <c r="L2389" i="5"/>
  <c r="S2389" i="5" s="1"/>
  <c r="R2488" i="5"/>
  <c r="L2491" i="5"/>
  <c r="L653" i="5"/>
  <c r="L650" i="5" l="1"/>
  <c r="R602" i="5" l="1"/>
  <c r="L602" i="5"/>
  <c r="G602" i="5"/>
  <c r="R601" i="5"/>
  <c r="L601" i="5"/>
  <c r="R600" i="5"/>
  <c r="L600" i="5"/>
  <c r="R599" i="5"/>
  <c r="L599" i="5"/>
  <c r="R598" i="5"/>
  <c r="R597" i="5"/>
  <c r="L597" i="5"/>
  <c r="L2150" i="5"/>
  <c r="G2150" i="5"/>
  <c r="E2150" i="5"/>
  <c r="L2149" i="5"/>
  <c r="G2149" i="5"/>
  <c r="E2149" i="5"/>
  <c r="L2148" i="5"/>
  <c r="G2148" i="5"/>
  <c r="E2148" i="5"/>
  <c r="L2147" i="5"/>
  <c r="G2147" i="5"/>
  <c r="E2147" i="5"/>
  <c r="E2182" i="5" l="1"/>
  <c r="G2182" i="5"/>
  <c r="R2149" i="5"/>
  <c r="R2150" i="5"/>
  <c r="S597" i="5"/>
  <c r="R2147" i="5"/>
  <c r="R2148" i="5"/>
  <c r="R2146" i="5" l="1"/>
  <c r="L2146" i="5"/>
  <c r="R596" i="5"/>
  <c r="L596" i="5"/>
  <c r="S596" i="5" l="1"/>
  <c r="L504" i="5" l="1"/>
  <c r="L507" i="5"/>
  <c r="L506" i="5"/>
  <c r="L505" i="5"/>
  <c r="L509" i="5"/>
  <c r="L512" i="5"/>
  <c r="L511" i="5"/>
  <c r="S16" i="5"/>
  <c r="S20" i="5"/>
  <c r="S29" i="5"/>
  <c r="S40" i="5"/>
  <c r="S44" i="5"/>
  <c r="S51" i="5"/>
  <c r="S53" i="5"/>
  <c r="S72" i="5"/>
  <c r="S73" i="5"/>
  <c r="S76" i="5"/>
  <c r="S78" i="5"/>
  <c r="S80" i="5"/>
  <c r="S82" i="5"/>
  <c r="S88" i="5"/>
  <c r="S93" i="5"/>
  <c r="S98" i="5"/>
  <c r="S100" i="5"/>
  <c r="S101" i="5"/>
  <c r="S103" i="5"/>
  <c r="S106" i="5"/>
  <c r="S109" i="5"/>
  <c r="S112" i="5"/>
  <c r="S116" i="5"/>
  <c r="S120" i="5"/>
  <c r="S129" i="5"/>
  <c r="S134" i="5"/>
  <c r="S136" i="5"/>
  <c r="S142" i="5"/>
  <c r="S148" i="5"/>
  <c r="S159" i="5"/>
  <c r="S182" i="5"/>
  <c r="S184" i="5"/>
  <c r="S194" i="5"/>
  <c r="S197" i="5"/>
  <c r="S199" i="5"/>
  <c r="S218" i="5"/>
  <c r="S223" i="5"/>
  <c r="S230" i="5"/>
  <c r="S236" i="5"/>
  <c r="S240" i="5"/>
  <c r="S245" i="5"/>
  <c r="S266" i="5"/>
  <c r="S269" i="5"/>
  <c r="S277" i="5"/>
  <c r="S279" i="5"/>
  <c r="S299" i="5"/>
  <c r="S308" i="5"/>
  <c r="S313" i="5"/>
  <c r="S314" i="5"/>
  <c r="S321" i="5"/>
  <c r="S329" i="5"/>
  <c r="S331" i="5"/>
  <c r="S336" i="5"/>
  <c r="S342" i="5"/>
  <c r="S344" i="5"/>
  <c r="S353" i="5"/>
  <c r="S359" i="5"/>
  <c r="S364" i="5"/>
  <c r="S365" i="5"/>
  <c r="S366" i="5"/>
  <c r="S368" i="5"/>
  <c r="S369" i="5"/>
  <c r="S370" i="5"/>
  <c r="S373" i="5"/>
  <c r="S382" i="5"/>
  <c r="S385" i="5"/>
  <c r="S404" i="5"/>
  <c r="S413" i="5"/>
  <c r="S422" i="5"/>
  <c r="S430" i="5"/>
  <c r="S438" i="5"/>
  <c r="S439" i="5"/>
  <c r="S453" i="5"/>
  <c r="S457" i="5"/>
  <c r="S466" i="5"/>
  <c r="S469" i="5"/>
  <c r="S494" i="5"/>
  <c r="S504" i="5"/>
  <c r="S510" i="5"/>
  <c r="S505" i="5" l="1"/>
  <c r="S511" i="5"/>
  <c r="S506" i="5"/>
  <c r="S512" i="5"/>
  <c r="S507" i="5"/>
  <c r="S509" i="5"/>
  <c r="M1221" i="5"/>
  <c r="M1220" i="5"/>
  <c r="M1156" i="5"/>
  <c r="M657" i="5"/>
  <c r="Y1221" i="5" l="1"/>
  <c r="Y657" i="5"/>
  <c r="Y1156" i="5"/>
  <c r="Y1220" i="5"/>
  <c r="M305" i="5"/>
  <c r="M166" i="5"/>
  <c r="M34" i="5"/>
  <c r="E4141" i="5" l="1"/>
  <c r="M287" i="5" l="1"/>
  <c r="M75" i="5"/>
  <c r="M85" i="5"/>
  <c r="S287" i="5" l="1"/>
  <c r="R2952" i="5" l="1"/>
  <c r="L2896" i="5" l="1"/>
  <c r="R2641" i="5" l="1"/>
  <c r="R2640" i="5"/>
  <c r="R2084" i="5"/>
  <c r="R2077" i="5"/>
  <c r="R2075" i="5"/>
  <c r="R2073" i="5"/>
  <c r="R2071" i="5"/>
  <c r="R2069" i="5"/>
  <c r="R2067" i="5"/>
  <c r="R2065" i="5"/>
  <c r="R2063" i="5"/>
  <c r="R2061" i="5"/>
  <c r="R2059" i="5"/>
  <c r="R2057" i="5"/>
  <c r="R2055" i="5"/>
  <c r="R2053" i="5"/>
  <c r="R2051" i="5"/>
  <c r="R2049" i="5"/>
  <c r="R2043" i="5"/>
  <c r="R2040" i="5"/>
  <c r="R2038" i="5"/>
  <c r="R2036" i="5"/>
  <c r="R2032" i="5"/>
  <c r="L2641" i="5" l="1"/>
  <c r="L2640" i="5"/>
  <c r="S2640" i="5" l="1"/>
  <c r="S2641" i="5"/>
  <c r="R2582" i="5"/>
  <c r="M1377" i="5" l="1"/>
  <c r="M1191" i="5"/>
  <c r="Y1191" i="5" l="1"/>
  <c r="Y1377" i="5"/>
  <c r="M619" i="5" l="1"/>
  <c r="Y619" i="5" l="1"/>
  <c r="M1452" i="5"/>
  <c r="M1374" i="5"/>
  <c r="Y1452" i="5" l="1"/>
  <c r="Y1374" i="5"/>
  <c r="M1179" i="5"/>
  <c r="Y1179" i="5" l="1"/>
  <c r="M961" i="5" l="1"/>
  <c r="M851" i="5"/>
  <c r="Y851" i="5" l="1"/>
  <c r="Y961" i="5"/>
  <c r="M531" i="5"/>
  <c r="L633" i="5" l="1"/>
  <c r="L641" i="5"/>
  <c r="S424" i="5" l="1"/>
  <c r="M145" i="5" l="1"/>
  <c r="L1844" i="5" l="1"/>
  <c r="S1844" i="5" s="1"/>
  <c r="L1821" i="5" l="1"/>
  <c r="S1821" i="5" s="1"/>
  <c r="L1786" i="5"/>
  <c r="S1786" i="5" s="1"/>
  <c r="L1702" i="5"/>
  <c r="S1702" i="5" s="1"/>
  <c r="L1633" i="5"/>
  <c r="S1633" i="5" s="1"/>
  <c r="L1625" i="5"/>
  <c r="S1625" i="5" s="1"/>
  <c r="L912" i="5" l="1"/>
  <c r="T911" i="5"/>
  <c r="R4627" i="5"/>
  <c r="L4627" i="5"/>
  <c r="G4627" i="5"/>
  <c r="E4627" i="5"/>
  <c r="D4627" i="5"/>
  <c r="R4626" i="5"/>
  <c r="L4626" i="5"/>
  <c r="G4626" i="5"/>
  <c r="E4626" i="5"/>
  <c r="D4626" i="5"/>
  <c r="R4625" i="5"/>
  <c r="L4625" i="5"/>
  <c r="G4625" i="5"/>
  <c r="E4625" i="5"/>
  <c r="D4625" i="5"/>
  <c r="R4624" i="5"/>
  <c r="L4624" i="5"/>
  <c r="G4624" i="5"/>
  <c r="E4624" i="5"/>
  <c r="D4624" i="5"/>
  <c r="A4624" i="5"/>
  <c r="A4625" i="5" s="1"/>
  <c r="A4626" i="5" s="1"/>
  <c r="A4627" i="5" s="1"/>
  <c r="L1743" i="5"/>
  <c r="S1743" i="5" s="1"/>
  <c r="L1817" i="5"/>
  <c r="S1817" i="5" s="1"/>
  <c r="R4623" i="5" l="1"/>
  <c r="L4623" i="5"/>
  <c r="T4623" i="5" l="1"/>
  <c r="L2083" i="5" l="1"/>
  <c r="S2083" i="5" s="1"/>
  <c r="A2079" i="5"/>
  <c r="A2080" i="5" s="1"/>
  <c r="A2081" i="5" s="1"/>
  <c r="A2082" i="5" s="1"/>
  <c r="A2083" i="5" s="1"/>
  <c r="L2076" i="5"/>
  <c r="S2076" i="5" s="1"/>
  <c r="L2074" i="5"/>
  <c r="S2074" i="5" s="1"/>
  <c r="L2072" i="5"/>
  <c r="S2072" i="5" s="1"/>
  <c r="L2070" i="5"/>
  <c r="S2070" i="5" s="1"/>
  <c r="L2068" i="5"/>
  <c r="S2068" i="5" s="1"/>
  <c r="L2066" i="5"/>
  <c r="S2066" i="5" s="1"/>
  <c r="L2064" i="5"/>
  <c r="S2064" i="5" s="1"/>
  <c r="L2062" i="5"/>
  <c r="S2062" i="5" s="1"/>
  <c r="L2060" i="5"/>
  <c r="S2060" i="5" s="1"/>
  <c r="L2058" i="5"/>
  <c r="S2058" i="5" s="1"/>
  <c r="L2056" i="5"/>
  <c r="S2056" i="5" s="1"/>
  <c r="L2054" i="5"/>
  <c r="S2054" i="5" s="1"/>
  <c r="L2052" i="5"/>
  <c r="S2052" i="5" s="1"/>
  <c r="L2050" i="5"/>
  <c r="S2050" i="5" s="1"/>
  <c r="L2048" i="5"/>
  <c r="S2048" i="5" s="1"/>
  <c r="L2042" i="5"/>
  <c r="S2042" i="5" s="1"/>
  <c r="L2039" i="5"/>
  <c r="S2039" i="5" s="1"/>
  <c r="L2037" i="5"/>
  <c r="S2037" i="5" s="1"/>
  <c r="L2035" i="5"/>
  <c r="S2035" i="5" s="1"/>
  <c r="L2033" i="5"/>
  <c r="S2033" i="5" s="1"/>
  <c r="L2031" i="5"/>
  <c r="S2031" i="5" s="1"/>
  <c r="L2029" i="5"/>
  <c r="S2029" i="5" s="1"/>
  <c r="L2030" i="5"/>
  <c r="S2030" i="5" s="1"/>
  <c r="L2041" i="5"/>
  <c r="S2041" i="5" s="1"/>
  <c r="L2044" i="5"/>
  <c r="S2044" i="5" s="1"/>
  <c r="L2078" i="5"/>
  <c r="S2078" i="5" s="1"/>
  <c r="L2079" i="5"/>
  <c r="S2079" i="5" s="1"/>
  <c r="L2080" i="5"/>
  <c r="S2080" i="5" s="1"/>
  <c r="L2081" i="5"/>
  <c r="S2081" i="5" s="1"/>
  <c r="L2082" i="5"/>
  <c r="S2082" i="5" s="1"/>
  <c r="L2028" i="5"/>
  <c r="S2028" i="5" s="1"/>
  <c r="R2083" i="5"/>
  <c r="R2082" i="5"/>
  <c r="R2081" i="5"/>
  <c r="R2080" i="5"/>
  <c r="R2079" i="5"/>
  <c r="R2078" i="5"/>
  <c r="R2076" i="5"/>
  <c r="R2074" i="5"/>
  <c r="R2070" i="5"/>
  <c r="R2068" i="5"/>
  <c r="R2066" i="5"/>
  <c r="R2062" i="5"/>
  <c r="R2060" i="5"/>
  <c r="R2058" i="5"/>
  <c r="R2054" i="5"/>
  <c r="R2052" i="5"/>
  <c r="R2050" i="5"/>
  <c r="R2044" i="5"/>
  <c r="R2042" i="5"/>
  <c r="R2041" i="5"/>
  <c r="R2039" i="5"/>
  <c r="R2035" i="5"/>
  <c r="R2034" i="5"/>
  <c r="R2033" i="5"/>
  <c r="R2031" i="5"/>
  <c r="R2030" i="5"/>
  <c r="R2029" i="5"/>
  <c r="R2028" i="5"/>
  <c r="R2037" i="5" l="1"/>
  <c r="R2048" i="5"/>
  <c r="R2056" i="5"/>
  <c r="R2064" i="5"/>
  <c r="R2072" i="5"/>
  <c r="R2085" i="5"/>
  <c r="R2027" i="5" l="1"/>
  <c r="L2027" i="5"/>
  <c r="S2027" i="5" s="1"/>
  <c r="L493" i="5" l="1"/>
  <c r="S493" i="5" l="1"/>
  <c r="R29" i="5"/>
  <c r="R1742" i="5"/>
  <c r="R1716" i="5"/>
  <c r="R4478" i="5"/>
  <c r="R4489" i="5"/>
  <c r="R4490" i="5"/>
  <c r="R4720" i="5"/>
  <c r="R4601" i="5"/>
  <c r="R4592" i="5"/>
  <c r="R4477" i="5"/>
  <c r="R4357" i="5"/>
  <c r="R4336" i="5"/>
  <c r="R4329" i="5"/>
  <c r="R4327" i="5"/>
  <c r="R4324" i="5"/>
  <c r="R4308" i="5"/>
  <c r="R4307" i="5"/>
  <c r="R4306" i="5"/>
  <c r="R4303" i="5"/>
  <c r="R4295" i="5"/>
  <c r="R4294" i="5"/>
  <c r="R4646" i="5"/>
  <c r="R4594" i="5"/>
  <c r="R4593" i="5"/>
  <c r="R4568" i="5"/>
  <c r="R4567" i="5"/>
  <c r="R4340" i="5"/>
  <c r="R4317" i="5"/>
  <c r="R4313" i="5"/>
  <c r="R4305" i="5"/>
  <c r="R4304" i="5"/>
  <c r="R4301" i="5"/>
  <c r="R4300" i="5"/>
  <c r="R4297" i="5"/>
  <c r="R4296" i="5"/>
  <c r="R3501" i="5"/>
  <c r="R3500" i="5"/>
  <c r="R3426" i="5"/>
  <c r="R3417" i="5"/>
  <c r="R3413" i="5"/>
  <c r="R3409" i="5"/>
  <c r="R3408" i="5"/>
  <c r="R3403" i="5"/>
  <c r="R3392" i="5"/>
  <c r="R3391" i="5"/>
  <c r="R2855" i="5"/>
  <c r="R2496" i="5"/>
  <c r="R2495" i="5"/>
  <c r="R2485" i="5"/>
  <c r="R2484" i="5"/>
  <c r="R2483" i="5"/>
  <c r="R2482" i="5"/>
  <c r="R2481" i="5"/>
  <c r="R2427" i="5"/>
  <c r="R2426" i="5"/>
  <c r="R2416" i="5"/>
  <c r="R2386" i="5"/>
  <c r="R2385" i="5"/>
  <c r="R2370" i="5"/>
  <c r="R2373" i="5"/>
  <c r="R2372" i="5"/>
  <c r="R2371" i="5"/>
  <c r="R2369" i="5"/>
  <c r="R2368" i="5"/>
  <c r="R2367" i="5"/>
  <c r="R2341" i="5"/>
  <c r="R2321" i="5"/>
  <c r="R2320" i="5"/>
  <c r="R2319" i="5"/>
  <c r="R2291" i="5"/>
  <c r="R2318" i="5"/>
  <c r="R2290" i="5"/>
  <c r="R2289" i="5"/>
  <c r="R2137" i="5"/>
  <c r="R2118" i="5"/>
  <c r="R2117" i="5"/>
  <c r="R2022" i="5"/>
  <c r="R2021" i="5"/>
  <c r="R2016" i="5"/>
  <c r="R2015" i="5"/>
  <c r="R2013" i="5"/>
  <c r="R2011" i="5"/>
  <c r="R2010" i="5"/>
  <c r="R2009" i="5"/>
  <c r="R2008" i="5"/>
  <c r="R2007" i="5"/>
  <c r="R2002" i="5"/>
  <c r="R2001" i="5"/>
  <c r="R2000" i="5"/>
  <c r="R1993" i="5"/>
  <c r="R1992" i="5"/>
  <c r="R1991" i="5"/>
  <c r="R1990" i="5"/>
  <c r="R1989" i="5"/>
  <c r="R1988" i="5"/>
  <c r="R1987" i="5"/>
  <c r="R1986" i="5"/>
  <c r="R1985" i="5"/>
  <c r="R1984" i="5"/>
  <c r="R1981" i="5"/>
  <c r="R1980" i="5"/>
  <c r="R1979" i="5"/>
  <c r="R1978" i="5"/>
  <c r="R1977" i="5"/>
  <c r="R1976" i="5"/>
  <c r="R1975" i="5"/>
  <c r="R1971" i="5"/>
  <c r="R1967" i="5"/>
  <c r="R1966" i="5"/>
  <c r="R1959" i="5"/>
  <c r="R1958" i="5"/>
  <c r="R1956" i="5"/>
  <c r="R1949" i="5"/>
  <c r="R1875" i="5"/>
  <c r="R1734" i="5"/>
  <c r="R1603" i="5"/>
  <c r="R4293" i="5" l="1"/>
  <c r="R4291" i="5"/>
  <c r="R4290" i="5"/>
  <c r="R4289" i="5"/>
  <c r="R4287" i="5"/>
  <c r="R4286" i="5"/>
  <c r="R4285" i="5"/>
  <c r="R4284" i="5"/>
  <c r="R4283" i="5"/>
  <c r="R4282" i="5"/>
  <c r="R4245" i="5"/>
  <c r="R4220" i="5"/>
  <c r="R4219" i="5"/>
  <c r="R4189" i="5"/>
  <c r="R4190" i="5"/>
  <c r="R4171" i="5"/>
  <c r="R4140" i="5"/>
  <c r="R4138" i="5"/>
  <c r="R4064" i="5"/>
  <c r="R3973" i="5"/>
  <c r="R3915" i="5"/>
  <c r="R3855" i="5"/>
  <c r="R3844" i="5"/>
  <c r="R3843" i="5"/>
  <c r="R3812" i="5"/>
  <c r="R3811" i="5"/>
  <c r="R3804" i="5"/>
  <c r="R3722" i="5"/>
  <c r="R3665" i="5"/>
  <c r="R3634" i="5"/>
  <c r="R3633" i="5"/>
  <c r="R3631" i="5"/>
  <c r="R3630" i="5"/>
  <c r="R3623" i="5"/>
  <c r="R3614" i="5"/>
  <c r="R3613" i="5"/>
  <c r="R3559" i="5"/>
  <c r="R4463" i="5"/>
  <c r="R3471" i="5"/>
  <c r="R3470" i="5"/>
  <c r="R3469" i="5"/>
  <c r="R3468" i="5"/>
  <c r="R3394" i="5" l="1"/>
  <c r="R3393" i="5"/>
  <c r="R3387" i="5"/>
  <c r="R3386" i="5"/>
  <c r="R3382" i="5"/>
  <c r="R3375" i="5"/>
  <c r="R3373" i="5"/>
  <c r="R3366" i="5"/>
  <c r="R3365" i="5"/>
  <c r="R3364" i="5"/>
  <c r="R3363" i="5"/>
  <c r="R3355" i="5"/>
  <c r="R3048" i="5"/>
  <c r="R3299" i="5"/>
  <c r="R3245" i="5"/>
  <c r="R3241" i="5"/>
  <c r="R3203" i="5"/>
  <c r="R3200" i="5"/>
  <c r="R3198" i="5"/>
  <c r="R3189" i="5"/>
  <c r="R3188" i="5"/>
  <c r="R3015" i="5"/>
  <c r="R3173" i="5"/>
  <c r="R3168" i="5"/>
  <c r="R3158" i="5"/>
  <c r="R3006" i="5"/>
  <c r="R3156" i="5"/>
  <c r="R3155" i="5"/>
  <c r="R3100" i="5"/>
  <c r="R3046" i="5"/>
  <c r="R3031" i="5"/>
  <c r="R2991" i="5"/>
  <c r="R2997" i="5"/>
  <c r="R2870" i="5"/>
  <c r="R2869" i="5"/>
  <c r="R2871" i="5"/>
  <c r="R2868" i="5"/>
  <c r="R2867" i="5"/>
  <c r="R2866" i="5"/>
  <c r="R2865" i="5"/>
  <c r="R2864" i="5"/>
  <c r="R2863" i="5"/>
  <c r="R2862" i="5"/>
  <c r="R2861" i="5"/>
  <c r="R2860" i="5"/>
  <c r="R2859" i="5"/>
  <c r="R2858" i="5"/>
  <c r="R2857" i="5"/>
  <c r="R2856" i="5"/>
  <c r="R2854" i="5"/>
  <c r="R2823" i="5"/>
  <c r="R2822" i="5"/>
  <c r="R2800" i="5"/>
  <c r="R2793" i="5"/>
  <c r="R2792" i="5"/>
  <c r="R2791" i="5"/>
  <c r="R2790" i="5"/>
  <c r="R2771" i="5"/>
  <c r="R2770" i="5"/>
  <c r="R2769" i="5"/>
  <c r="R2768" i="5"/>
  <c r="R2767" i="5"/>
  <c r="R2766" i="5"/>
  <c r="R2765" i="5"/>
  <c r="R2764" i="5"/>
  <c r="R2763" i="5"/>
  <c r="R2762" i="5"/>
  <c r="R2761" i="5"/>
  <c r="R2730" i="5"/>
  <c r="R2708" i="5"/>
  <c r="R2657" i="5"/>
  <c r="R2652" i="5"/>
  <c r="R1552" i="5"/>
  <c r="R1504" i="5"/>
  <c r="R1501" i="5"/>
  <c r="R1499" i="5"/>
  <c r="R1448" i="5"/>
  <c r="R1420" i="5"/>
  <c r="R1389" i="5"/>
  <c r="R1387" i="5"/>
  <c r="R1358" i="5"/>
  <c r="R1357" i="5"/>
  <c r="R1356" i="5"/>
  <c r="R1355" i="5"/>
  <c r="R1354" i="5"/>
  <c r="R1353" i="5"/>
  <c r="R1352" i="5"/>
  <c r="R1351" i="5"/>
  <c r="R1350" i="5"/>
  <c r="R1349" i="5"/>
  <c r="R1348" i="5"/>
  <c r="R1347" i="5"/>
  <c r="R1346" i="5"/>
  <c r="R1345" i="5"/>
  <c r="R1344" i="5"/>
  <c r="R1334" i="5"/>
  <c r="R1303" i="5"/>
  <c r="R1302" i="5"/>
  <c r="R1301" i="5"/>
  <c r="R1300" i="5"/>
  <c r="R1299" i="5"/>
  <c r="R1285" i="5"/>
  <c r="R1247" i="5"/>
  <c r="R1214" i="5"/>
  <c r="R1147" i="5"/>
  <c r="R1145" i="5"/>
  <c r="R1118" i="5"/>
  <c r="R1117" i="5"/>
  <c r="R1124" i="5"/>
  <c r="R1123" i="5"/>
  <c r="R1122" i="5"/>
  <c r="R1121" i="5"/>
  <c r="R1120" i="5"/>
  <c r="R1119" i="5"/>
  <c r="R1116" i="5"/>
  <c r="R1115" i="5"/>
  <c r="R1114" i="5"/>
  <c r="R1113" i="5"/>
  <c r="R1112" i="5"/>
  <c r="R1111" i="5"/>
  <c r="R1110" i="5"/>
  <c r="R1109" i="5"/>
  <c r="R1102" i="5"/>
  <c r="R1091" i="5"/>
  <c r="R1083" i="5"/>
  <c r="R1074" i="5"/>
  <c r="R1069" i="5"/>
  <c r="R1061" i="5"/>
  <c r="R1054" i="5"/>
  <c r="R1055" i="5"/>
  <c r="R1053" i="5"/>
  <c r="R1052" i="5"/>
  <c r="R1020" i="5"/>
  <c r="R1019" i="5"/>
  <c r="R1018" i="5"/>
  <c r="R1005" i="5"/>
  <c r="R1004" i="5"/>
  <c r="R1003" i="5"/>
  <c r="R996" i="5"/>
  <c r="R997" i="5"/>
  <c r="R995" i="5"/>
  <c r="R984" i="5"/>
  <c r="R983" i="5"/>
  <c r="R982" i="5"/>
  <c r="R974" i="5"/>
  <c r="R958" i="5"/>
  <c r="R957" i="5"/>
  <c r="R943" i="5"/>
  <c r="R854" i="5"/>
  <c r="R853" i="5"/>
  <c r="R848" i="5"/>
  <c r="R840" i="5"/>
  <c r="R839" i="5"/>
  <c r="R838" i="5"/>
  <c r="R829" i="5"/>
  <c r="R812" i="5"/>
  <c r="R792" i="5"/>
  <c r="R770" i="5"/>
  <c r="R769" i="5"/>
  <c r="R740" i="5"/>
  <c r="R739" i="5"/>
  <c r="R738" i="5"/>
  <c r="R677" i="5"/>
  <c r="R676" i="5"/>
  <c r="R653" i="5"/>
  <c r="R640" i="5"/>
  <c r="R638" i="5"/>
  <c r="R619" i="5"/>
  <c r="R616" i="5"/>
  <c r="R554" i="5"/>
  <c r="R546" i="5"/>
  <c r="R535" i="5"/>
  <c r="R512" i="5"/>
  <c r="R511" i="5"/>
  <c r="R510" i="5"/>
  <c r="R508" i="5"/>
  <c r="R507" i="5"/>
  <c r="R506" i="5"/>
  <c r="R505" i="5"/>
  <c r="R504" i="5"/>
  <c r="R498" i="5"/>
  <c r="R497" i="5"/>
  <c r="R496" i="5"/>
  <c r="R495" i="5"/>
  <c r="L4573" i="5" l="1"/>
  <c r="G4573" i="5"/>
  <c r="E4573" i="5"/>
  <c r="D4573" i="5"/>
  <c r="R4572" i="5"/>
  <c r="A2122" i="5"/>
  <c r="A2123" i="5" s="1"/>
  <c r="A2124" i="5" s="1"/>
  <c r="A2125" i="5" s="1"/>
  <c r="A2126" i="5" s="1"/>
  <c r="A2127" i="5" s="1"/>
  <c r="A2128" i="5" s="1"/>
  <c r="A2129" i="5" s="1"/>
  <c r="A2130" i="5" s="1"/>
  <c r="A2131" i="5" s="1"/>
  <c r="A2132" i="5" s="1"/>
  <c r="A2133" i="5" s="1"/>
  <c r="R2122" i="5"/>
  <c r="L2122" i="5"/>
  <c r="S2122" i="5" l="1"/>
  <c r="A2134" i="5"/>
  <c r="A2135" i="5" s="1"/>
  <c r="A2136" i="5" s="1"/>
  <c r="L2133" i="5"/>
  <c r="L2132" i="5"/>
  <c r="L2129" i="5"/>
  <c r="L2126" i="5"/>
  <c r="L2125" i="5"/>
  <c r="A4450" i="5"/>
  <c r="L4450" i="5"/>
  <c r="L4451" i="5"/>
  <c r="A4451" i="5" l="1"/>
  <c r="S4450" i="5"/>
  <c r="S4451" i="5"/>
  <c r="L4572" i="5"/>
  <c r="A4452" i="5" l="1"/>
  <c r="A4453" i="5" s="1"/>
  <c r="A4454" i="5" s="1"/>
  <c r="A4455" i="5" s="1"/>
  <c r="A4456" i="5" s="1"/>
  <c r="A4457" i="5" s="1"/>
  <c r="A4458" i="5" s="1"/>
  <c r="A4459" i="5" s="1"/>
  <c r="A4460" i="5" s="1"/>
  <c r="A4461" i="5" s="1"/>
  <c r="A4462" i="5" s="1"/>
  <c r="A4463" i="5" s="1"/>
  <c r="A4464" i="5" s="1"/>
  <c r="A4465" i="5" s="1"/>
  <c r="A4466" i="5" s="1"/>
  <c r="A4467" i="5" s="1"/>
  <c r="T4572" i="5"/>
  <c r="R491" i="5" l="1"/>
  <c r="R490" i="5"/>
  <c r="R489" i="5"/>
  <c r="R488" i="5"/>
  <c r="R487" i="5"/>
  <c r="R484" i="5"/>
  <c r="R485" i="5"/>
  <c r="R483" i="5"/>
  <c r="R482" i="5"/>
  <c r="R481" i="5"/>
  <c r="R480" i="5"/>
  <c r="R478" i="5"/>
  <c r="R477" i="5"/>
  <c r="R476" i="5"/>
  <c r="R475" i="5"/>
  <c r="R474" i="5"/>
  <c r="R473" i="5"/>
  <c r="R472" i="5"/>
  <c r="R471" i="5"/>
  <c r="R470" i="5"/>
  <c r="R469" i="5"/>
  <c r="R468" i="5"/>
  <c r="R467" i="5"/>
  <c r="R465" i="5"/>
  <c r="R466" i="5"/>
  <c r="R463" i="5"/>
  <c r="R461" i="5"/>
  <c r="R460" i="5"/>
  <c r="R458" i="5"/>
  <c r="R457" i="5"/>
  <c r="R456" i="5"/>
  <c r="R455" i="5"/>
  <c r="R452" i="5"/>
  <c r="R451" i="5"/>
  <c r="R449" i="5"/>
  <c r="R448" i="5"/>
  <c r="R447" i="5"/>
  <c r="R446" i="5"/>
  <c r="R445" i="5"/>
  <c r="R444" i="5"/>
  <c r="R443" i="5"/>
  <c r="R442" i="5"/>
  <c r="R441" i="5"/>
  <c r="R440" i="5"/>
  <c r="R595" i="5"/>
  <c r="R593" i="5"/>
  <c r="R592" i="5"/>
  <c r="R439" i="5" l="1"/>
  <c r="R438" i="5"/>
  <c r="R437" i="5"/>
  <c r="R436" i="5"/>
  <c r="R424" i="5"/>
  <c r="R413" i="5"/>
  <c r="R385" i="5"/>
  <c r="R382" i="5"/>
  <c r="R373" i="5"/>
  <c r="R370" i="5"/>
  <c r="R366" i="5"/>
  <c r="R359" i="5"/>
  <c r="R344" i="5"/>
  <c r="R321" i="5"/>
  <c r="R314" i="5"/>
  <c r="R313" i="5"/>
  <c r="R299" i="5"/>
  <c r="R279" i="5"/>
  <c r="R269" i="5"/>
  <c r="R266" i="5"/>
  <c r="R240" i="5"/>
  <c r="R230" i="5"/>
  <c r="R169" i="5"/>
  <c r="R148" i="5"/>
  <c r="R129" i="5"/>
  <c r="R120" i="5"/>
  <c r="R115" i="5"/>
  <c r="R103" i="5"/>
  <c r="R100" i="5"/>
  <c r="R99" i="5"/>
  <c r="R101" i="5"/>
  <c r="R98" i="5"/>
  <c r="R97" i="5"/>
  <c r="R88" i="5"/>
  <c r="R80" i="5"/>
  <c r="R73" i="5"/>
  <c r="R40" i="5"/>
  <c r="R15" i="5"/>
  <c r="R4354" i="5"/>
  <c r="R4201" i="5"/>
  <c r="R4199" i="5"/>
  <c r="R4195" i="5"/>
  <c r="R3940" i="5"/>
  <c r="R3903" i="5"/>
  <c r="R3902" i="5"/>
  <c r="R3531" i="5"/>
  <c r="R3672" i="5"/>
  <c r="R3467" i="5"/>
  <c r="R3056" i="5"/>
  <c r="R3000" i="5"/>
  <c r="R3096" i="5"/>
  <c r="R3012" i="5"/>
  <c r="R3010" i="5"/>
  <c r="R3065" i="5"/>
  <c r="R3064" i="5"/>
  <c r="R3042" i="5"/>
  <c r="R3041" i="5"/>
  <c r="R3024" i="5"/>
  <c r="R3016" i="5"/>
  <c r="R3013" i="5"/>
  <c r="R3008" i="5"/>
  <c r="R2992" i="5"/>
  <c r="R2989" i="5"/>
  <c r="R2988" i="5"/>
  <c r="R2987" i="5"/>
  <c r="R2986" i="5"/>
  <c r="R2985" i="5"/>
  <c r="R2984" i="5"/>
  <c r="R3098" i="5"/>
  <c r="R3097" i="5"/>
  <c r="R3091" i="5"/>
  <c r="R3069" i="5"/>
  <c r="R3090" i="5"/>
  <c r="R3089" i="5"/>
  <c r="R3082" i="5"/>
  <c r="R3081" i="5"/>
  <c r="R3077" i="5"/>
  <c r="R3076" i="5"/>
  <c r="R3074" i="5"/>
  <c r="R3073" i="5"/>
  <c r="R3071" i="5"/>
  <c r="R3086" i="5"/>
  <c r="R3084" i="5"/>
  <c r="R3070" i="5"/>
  <c r="R3068" i="5"/>
  <c r="R3067" i="5"/>
  <c r="R3066" i="5"/>
  <c r="R3063" i="5"/>
  <c r="R3062" i="5"/>
  <c r="R3040" i="5"/>
  <c r="R3036" i="5"/>
  <c r="R3060" i="5"/>
  <c r="R3057" i="5"/>
  <c r="R3055" i="5"/>
  <c r="R3054" i="5"/>
  <c r="R3052" i="5"/>
  <c r="R3051" i="5"/>
  <c r="R3045" i="5"/>
  <c r="R3039" i="5"/>
  <c r="R3035" i="5"/>
  <c r="R3033" i="5"/>
  <c r="R3030" i="5"/>
  <c r="R2995" i="5"/>
  <c r="R3023" i="5"/>
  <c r="R3022" i="5"/>
  <c r="R3020" i="5"/>
  <c r="R3019" i="5"/>
  <c r="R3018" i="5"/>
  <c r="R3017" i="5"/>
  <c r="R2999" i="5"/>
  <c r="R2996" i="5"/>
  <c r="R2990" i="5"/>
  <c r="R2983" i="5"/>
  <c r="R2981" i="5"/>
  <c r="R2980" i="5"/>
  <c r="R2973" i="5"/>
  <c r="R3011" i="5"/>
  <c r="R3032" i="5"/>
  <c r="R2971" i="5"/>
  <c r="R2892" i="5"/>
  <c r="R2891" i="5"/>
  <c r="R2895" i="5"/>
  <c r="R2894" i="5"/>
  <c r="R2893" i="5"/>
  <c r="R2890" i="5"/>
  <c r="R2889" i="5"/>
  <c r="R2844" i="5"/>
  <c r="R2843" i="5"/>
  <c r="R2842" i="5"/>
  <c r="R2841" i="5"/>
  <c r="R2840" i="5"/>
  <c r="R2839" i="5"/>
  <c r="R2838" i="5"/>
  <c r="R2806" i="5"/>
  <c r="R2803" i="5"/>
  <c r="R2807" i="5"/>
  <c r="R2808" i="5"/>
  <c r="R2665" i="5"/>
  <c r="R2664" i="5"/>
  <c r="R2663" i="5"/>
  <c r="R2666" i="5"/>
  <c r="R2662" i="5"/>
  <c r="R2647" i="5"/>
  <c r="R2567" i="5"/>
  <c r="R2566" i="5"/>
  <c r="R2565" i="5"/>
  <c r="R2564" i="5"/>
  <c r="R2563" i="5"/>
  <c r="R2560" i="5"/>
  <c r="R2526" i="5"/>
  <c r="R2446" i="5"/>
  <c r="R2203" i="5"/>
  <c r="R2197" i="5"/>
  <c r="R2194" i="5"/>
  <c r="R2193" i="5"/>
  <c r="R2195" i="5"/>
  <c r="R2196" i="5"/>
  <c r="R2198" i="5"/>
  <c r="R2199" i="5"/>
  <c r="R2200" i="5"/>
  <c r="R2201" i="5"/>
  <c r="R2202" i="5"/>
  <c r="R2192" i="5"/>
  <c r="R2184" i="5"/>
  <c r="R2121" i="5"/>
  <c r="R2115" i="5"/>
  <c r="R1551" i="5"/>
  <c r="R1550" i="5"/>
  <c r="R1548" i="5"/>
  <c r="R1547" i="5"/>
  <c r="R1546" i="5"/>
  <c r="R1545" i="5"/>
  <c r="R1539" i="5"/>
  <c r="R1537" i="5"/>
  <c r="R1544" i="5"/>
  <c r="R1541" i="5"/>
  <c r="R1538" i="5"/>
  <c r="R1536" i="5"/>
  <c r="R1533" i="5"/>
  <c r="R1532" i="5"/>
  <c r="R1530" i="5"/>
  <c r="R1529" i="5"/>
  <c r="R1527" i="5"/>
  <c r="R1526" i="5"/>
  <c r="R1525" i="5"/>
  <c r="R1524" i="5"/>
  <c r="R1523" i="5"/>
  <c r="R1522" i="5"/>
  <c r="R1521" i="5"/>
  <c r="R1520" i="5"/>
  <c r="R1519" i="5"/>
  <c r="R1518" i="5"/>
  <c r="R1516" i="5"/>
  <c r="R1515" i="5"/>
  <c r="R1514" i="5"/>
  <c r="R1513" i="5"/>
  <c r="R1512" i="5"/>
  <c r="R1511" i="5"/>
  <c r="R1510" i="5"/>
  <c r="R1509" i="5"/>
  <c r="R1508" i="5"/>
  <c r="R1507" i="5"/>
  <c r="R1506" i="5"/>
  <c r="R1505" i="5"/>
  <c r="R1497" i="5"/>
  <c r="R1494" i="5"/>
  <c r="R1496" i="5"/>
  <c r="R1495" i="5"/>
  <c r="R1491" i="5"/>
  <c r="R1490" i="5"/>
  <c r="R1489" i="5"/>
  <c r="R1488" i="5"/>
  <c r="R1487" i="5"/>
  <c r="R1486" i="5"/>
  <c r="R1479" i="5"/>
  <c r="R1483" i="5"/>
  <c r="R1485" i="5"/>
  <c r="R1484" i="5"/>
  <c r="R1482" i="5"/>
  <c r="R1481" i="5"/>
  <c r="R1480" i="5"/>
  <c r="R1478" i="5"/>
  <c r="R1477" i="5"/>
  <c r="R1475" i="5"/>
  <c r="R1474" i="5"/>
  <c r="R1473" i="5"/>
  <c r="R1472" i="5"/>
  <c r="R1471" i="5"/>
  <c r="R1469" i="5"/>
  <c r="R1393" i="5"/>
  <c r="R1392" i="5"/>
  <c r="R1391" i="5"/>
  <c r="R1390" i="5"/>
  <c r="R1383" i="5"/>
  <c r="R1382" i="5"/>
  <c r="R1337" i="5"/>
  <c r="R1336" i="5"/>
  <c r="R1332" i="5"/>
  <c r="R1232" i="5"/>
  <c r="R1230" i="5"/>
  <c r="R1229" i="5"/>
  <c r="R1228" i="5"/>
  <c r="R1227" i="5"/>
  <c r="R1226" i="5"/>
  <c r="R1225" i="5"/>
  <c r="R1224" i="5"/>
  <c r="R4200" i="5"/>
  <c r="R4198" i="5"/>
  <c r="R4197" i="5"/>
  <c r="R4196" i="5"/>
  <c r="R4194" i="5"/>
  <c r="R4111" i="5"/>
  <c r="R3941" i="5"/>
  <c r="R3088" i="5"/>
  <c r="R3087" i="5"/>
  <c r="R3085" i="5"/>
  <c r="R3072" i="5"/>
  <c r="R3038" i="5"/>
  <c r="R3037" i="5"/>
  <c r="R3034" i="5"/>
  <c r="R2998" i="5"/>
  <c r="R2796" i="5"/>
  <c r="R2559" i="5"/>
  <c r="R917" i="5" l="1"/>
  <c r="R781" i="5"/>
  <c r="R542" i="5"/>
  <c r="R111" i="5" l="1"/>
  <c r="R110" i="5"/>
  <c r="R108" i="5"/>
  <c r="R107" i="5"/>
  <c r="R106" i="5"/>
  <c r="R96" i="5"/>
  <c r="R95" i="5"/>
  <c r="R94" i="5"/>
  <c r="R92" i="5"/>
  <c r="R91" i="5"/>
  <c r="R90" i="5"/>
  <c r="R89" i="5"/>
  <c r="R87" i="5"/>
  <c r="R86" i="5"/>
  <c r="R81" i="5"/>
  <c r="R79" i="5"/>
  <c r="R70" i="5"/>
  <c r="R65" i="5"/>
  <c r="R63" i="5"/>
  <c r="R61" i="5"/>
  <c r="R59" i="5"/>
  <c r="R56" i="5"/>
  <c r="R54" i="5"/>
  <c r="R51" i="5"/>
  <c r="R45" i="5"/>
  <c r="R43" i="5"/>
  <c r="R42" i="5"/>
  <c r="R41" i="5"/>
  <c r="R39" i="5"/>
  <c r="R33" i="5"/>
  <c r="R32" i="5"/>
  <c r="R30" i="5"/>
  <c r="R27" i="5"/>
  <c r="R25" i="5"/>
  <c r="R23" i="5"/>
  <c r="R22" i="5"/>
  <c r="R17" i="5"/>
  <c r="R16" i="5"/>
  <c r="L71" i="5" l="1"/>
  <c r="S71" i="5" l="1"/>
  <c r="L2950" i="5"/>
  <c r="L2952" i="5"/>
  <c r="A2560" i="5" l="1"/>
  <c r="A2561" i="5" s="1"/>
  <c r="A2562" i="5" s="1"/>
  <c r="A2563" i="5" s="1"/>
  <c r="A2878" i="5"/>
  <c r="A2879" i="5" s="1"/>
  <c r="A2564" i="5" l="1"/>
  <c r="A2565" i="5" s="1"/>
  <c r="A2566" i="5" s="1"/>
  <c r="A2567" i="5" s="1"/>
  <c r="R2779" i="5"/>
  <c r="L2779" i="5" l="1"/>
  <c r="L3665" i="5" l="1"/>
  <c r="R3664" i="5"/>
  <c r="L3664" i="5"/>
  <c r="R2145" i="5"/>
  <c r="L2145" i="5"/>
  <c r="R2144" i="5"/>
  <c r="L2144" i="5"/>
  <c r="L828" i="5" l="1"/>
  <c r="S2657" i="5" l="1"/>
  <c r="S2652" i="5"/>
  <c r="L99" i="5" l="1"/>
  <c r="L312" i="5"/>
  <c r="L105" i="5"/>
  <c r="S99" i="5" l="1"/>
  <c r="S105" i="5"/>
  <c r="S312" i="5"/>
  <c r="M1434" i="5" l="1"/>
  <c r="M459" i="5"/>
  <c r="Y1434" i="5" l="1"/>
  <c r="R459" i="5"/>
  <c r="L2871" i="5" l="1"/>
  <c r="S2871" i="5" s="1"/>
  <c r="L2870" i="5"/>
  <c r="S2870" i="5" l="1"/>
  <c r="R4172" i="5"/>
  <c r="R2660" i="5"/>
  <c r="S4172" i="5" l="1"/>
  <c r="R2130" i="5" l="1"/>
  <c r="L595" i="5" l="1"/>
  <c r="R2733" i="5" l="1"/>
  <c r="D2733" i="5"/>
  <c r="L2733" i="5" l="1"/>
  <c r="S2733" i="5" l="1"/>
  <c r="C180" i="2"/>
  <c r="D180" i="2"/>
  <c r="R4722" i="5"/>
  <c r="D4722" i="5"/>
  <c r="L4721" i="5"/>
  <c r="D4721" i="5"/>
  <c r="L4719" i="5"/>
  <c r="D4719" i="5"/>
  <c r="R4718" i="5"/>
  <c r="D4718" i="5"/>
  <c r="L4717" i="5"/>
  <c r="D4717" i="5"/>
  <c r="R4716" i="5"/>
  <c r="D4716" i="5"/>
  <c r="A317" i="2"/>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R4715" i="5"/>
  <c r="L4715" i="5"/>
  <c r="D4715" i="5"/>
  <c r="A342" i="2" l="1"/>
  <c r="A343" i="2" s="1"/>
  <c r="A344" i="2" s="1"/>
  <c r="A345" i="2" s="1"/>
  <c r="A346" i="2" s="1"/>
  <c r="A347" i="2" s="1"/>
  <c r="C341" i="2"/>
  <c r="D335" i="2"/>
  <c r="S4717" i="5"/>
  <c r="S4719" i="5"/>
  <c r="N194" i="1"/>
  <c r="L4716" i="5"/>
  <c r="L4722" i="5"/>
  <c r="C335" i="2"/>
  <c r="L4718" i="5"/>
  <c r="R4717" i="5"/>
  <c r="C339" i="2"/>
  <c r="D340" i="2"/>
  <c r="C340" i="2"/>
  <c r="D341" i="2"/>
  <c r="D337" i="2"/>
  <c r="D339" i="2"/>
  <c r="R4719" i="5"/>
  <c r="C337" i="2"/>
  <c r="S4721" i="5"/>
  <c r="R4721" i="5"/>
  <c r="L4490" i="5"/>
  <c r="S4490" i="5" s="1"/>
  <c r="Q4491" i="5"/>
  <c r="P4491" i="5"/>
  <c r="O4491" i="5"/>
  <c r="N4491" i="5"/>
  <c r="M4491" i="5"/>
  <c r="J4491" i="5"/>
  <c r="G4491" i="5"/>
  <c r="E4491" i="5"/>
  <c r="D4491" i="5"/>
  <c r="S194" i="1" l="1"/>
  <c r="R194" i="1"/>
  <c r="N364" i="1"/>
  <c r="S364" i="1" s="1"/>
  <c r="N367" i="1"/>
  <c r="S4716" i="5"/>
  <c r="S4718" i="5"/>
  <c r="N366" i="1"/>
  <c r="S4722" i="5"/>
  <c r="N368" i="1"/>
  <c r="D336" i="2"/>
  <c r="C336" i="2"/>
  <c r="N362" i="1"/>
  <c r="S362" i="1" s="1"/>
  <c r="D338" i="2"/>
  <c r="C338" i="2"/>
  <c r="C342" i="2"/>
  <c r="D342" i="2"/>
  <c r="S368" i="1" l="1"/>
  <c r="R366" i="1"/>
  <c r="S366" i="1"/>
  <c r="R367" i="1"/>
  <c r="S367" i="1"/>
  <c r="R364" i="1"/>
  <c r="N365" i="1"/>
  <c r="R368" i="1"/>
  <c r="N369" i="1"/>
  <c r="N363" i="1"/>
  <c r="R362" i="1"/>
  <c r="L2829" i="5"/>
  <c r="L2828" i="5"/>
  <c r="L2827" i="5"/>
  <c r="R365" i="1" l="1"/>
  <c r="S365" i="1"/>
  <c r="S363" i="1"/>
  <c r="R369" i="1"/>
  <c r="S369" i="1"/>
  <c r="R363" i="1"/>
  <c r="R4524" i="5"/>
  <c r="L4524" i="5" l="1"/>
  <c r="S4524" i="5" s="1"/>
  <c r="L4139" i="5" l="1"/>
  <c r="R2829" i="5"/>
  <c r="R4139" i="5"/>
  <c r="A1503" i="5" l="1"/>
  <c r="R1500" i="5"/>
  <c r="L1500" i="5"/>
  <c r="S1500" i="5" s="1"/>
  <c r="R1498" i="5"/>
  <c r="L1498" i="5"/>
  <c r="S1498" i="5" s="1"/>
  <c r="L1496" i="5"/>
  <c r="S1496" i="5" s="1"/>
  <c r="L1495" i="5"/>
  <c r="S1495" i="5" s="1"/>
  <c r="L1494" i="5"/>
  <c r="S1494" i="5" s="1"/>
  <c r="L1493" i="5"/>
  <c r="S1493" i="5" s="1"/>
  <c r="L1492" i="5"/>
  <c r="S1492" i="5" s="1"/>
  <c r="L1491" i="5"/>
  <c r="S1491" i="5" s="1"/>
  <c r="L1490" i="5"/>
  <c r="S1490" i="5" s="1"/>
  <c r="L1489" i="5"/>
  <c r="S1489" i="5" s="1"/>
  <c r="L1488" i="5"/>
  <c r="S1488" i="5" s="1"/>
  <c r="L1487" i="5"/>
  <c r="S1487" i="5" s="1"/>
  <c r="L1486" i="5"/>
  <c r="S1486" i="5" s="1"/>
  <c r="L1485" i="5"/>
  <c r="S1485" i="5" s="1"/>
  <c r="L1484" i="5"/>
  <c r="S1484" i="5" s="1"/>
  <c r="L1483" i="5"/>
  <c r="S1483" i="5" s="1"/>
  <c r="L1482" i="5"/>
  <c r="S1482" i="5" s="1"/>
  <c r="L1481" i="5"/>
  <c r="S1481" i="5" s="1"/>
  <c r="L1480" i="5"/>
  <c r="S1480" i="5" s="1"/>
  <c r="L1479" i="5"/>
  <c r="S1479" i="5" s="1"/>
  <c r="L1478" i="5"/>
  <c r="S1478" i="5" s="1"/>
  <c r="L1477" i="5"/>
  <c r="S1477" i="5" s="1"/>
  <c r="L1476" i="5"/>
  <c r="S1476" i="5" s="1"/>
  <c r="L1302" i="5" l="1"/>
  <c r="L1303" i="5"/>
  <c r="M1297" i="5" l="1"/>
  <c r="M1296" i="5"/>
  <c r="M1288" i="5"/>
  <c r="M1037" i="5"/>
  <c r="M1036" i="5"/>
  <c r="M1025" i="5"/>
  <c r="M411" i="5"/>
  <c r="Y1288" i="5" l="1"/>
  <c r="Y1296" i="5"/>
  <c r="Y1036" i="5"/>
  <c r="Y1025" i="5"/>
  <c r="Y1297" i="5"/>
  <c r="Y1037" i="5"/>
  <c r="L2844" i="5" l="1"/>
  <c r="L2869" i="5"/>
  <c r="L2868" i="5"/>
  <c r="A4153" i="5"/>
  <c r="A4154" i="5" s="1"/>
  <c r="A4155" i="5" s="1"/>
  <c r="A4156" i="5" s="1"/>
  <c r="A4157" i="5" s="1"/>
  <c r="S4171" i="5" l="1"/>
  <c r="A4158" i="5"/>
  <c r="A4159" i="5" s="1"/>
  <c r="A4160" i="5" s="1"/>
  <c r="A4161" i="5" s="1"/>
  <c r="A4162" i="5" s="1"/>
  <c r="A4163" i="5" s="1"/>
  <c r="A4164" i="5" s="1"/>
  <c r="A4165" i="5" s="1"/>
  <c r="A4166" i="5" s="1"/>
  <c r="A4167" i="5" s="1"/>
  <c r="S2869" i="5"/>
  <c r="S2868" i="5"/>
  <c r="L2863" i="5"/>
  <c r="L2855" i="5"/>
  <c r="L2856" i="5"/>
  <c r="L2857" i="5"/>
  <c r="L2858" i="5"/>
  <c r="L2859" i="5"/>
  <c r="L2860" i="5"/>
  <c r="L2861" i="5"/>
  <c r="L2862" i="5"/>
  <c r="L2854" i="5"/>
  <c r="L90" i="5"/>
  <c r="A4168" i="5" l="1"/>
  <c r="A4169" i="5" s="1"/>
  <c r="S90" i="5"/>
  <c r="S2863" i="5"/>
  <c r="S2861" i="5"/>
  <c r="S2857" i="5"/>
  <c r="S2854" i="5"/>
  <c r="S2858" i="5"/>
  <c r="S2862" i="5"/>
  <c r="S2860" i="5"/>
  <c r="S2856" i="5"/>
  <c r="S2859" i="5"/>
  <c r="S2855" i="5"/>
  <c r="A4170" i="5" l="1"/>
  <c r="A4171" i="5" s="1"/>
  <c r="A4172" i="5" s="1"/>
  <c r="A4173" i="5" s="1"/>
  <c r="A4174" i="5" s="1"/>
  <c r="A4175" i="5" s="1"/>
  <c r="A4176" i="5" s="1"/>
  <c r="A4177" i="5" s="1"/>
  <c r="A4178" i="5" s="1"/>
  <c r="L2427" i="5" l="1"/>
  <c r="L2571" i="5" l="1"/>
  <c r="R2571" i="5"/>
  <c r="S2571" i="5" l="1"/>
  <c r="L2559" i="5"/>
  <c r="S2559" i="5" l="1"/>
  <c r="M1432" i="5" l="1"/>
  <c r="M832" i="5"/>
  <c r="M827" i="5"/>
  <c r="M486" i="5"/>
  <c r="Y1432" i="5" l="1"/>
  <c r="Y827" i="5"/>
  <c r="Y832" i="5"/>
  <c r="S486" i="5"/>
  <c r="R486" i="5"/>
  <c r="M396" i="5"/>
  <c r="M249" i="5"/>
  <c r="L4463" i="5" l="1"/>
  <c r="R4467" i="5"/>
  <c r="L4467" i="5"/>
  <c r="R4466" i="5"/>
  <c r="L4466" i="5"/>
  <c r="R4465" i="5"/>
  <c r="L4465" i="5"/>
  <c r="R4464" i="5"/>
  <c r="L4464" i="5"/>
  <c r="R3513" i="5"/>
  <c r="L3513" i="5"/>
  <c r="R3512" i="5"/>
  <c r="L3512" i="5"/>
  <c r="R3511" i="5"/>
  <c r="L3511" i="5"/>
  <c r="R3510" i="5"/>
  <c r="L3510" i="5"/>
  <c r="R3509" i="5"/>
  <c r="L3509" i="5"/>
  <c r="R3508" i="5"/>
  <c r="L3508" i="5"/>
  <c r="S4464" i="5" l="1"/>
  <c r="S4466" i="5"/>
  <c r="S3510" i="5"/>
  <c r="S3508" i="5"/>
  <c r="S3509" i="5"/>
  <c r="S3511" i="5"/>
  <c r="S3513" i="5"/>
  <c r="S4465" i="5"/>
  <c r="S4467" i="5"/>
  <c r="S4463" i="5"/>
  <c r="S3512" i="5"/>
  <c r="A2427" i="5" l="1"/>
  <c r="S2427" i="5"/>
  <c r="R2293" i="5"/>
  <c r="L2293" i="5"/>
  <c r="S2293" i="5" s="1"/>
  <c r="R2292" i="5"/>
  <c r="L2292" i="5"/>
  <c r="S2292" i="5" s="1"/>
  <c r="R2143" i="5"/>
  <c r="L2143" i="5"/>
  <c r="R2142" i="5"/>
  <c r="L2142" i="5"/>
  <c r="R2141" i="5"/>
  <c r="L2141" i="5"/>
  <c r="R2140" i="5"/>
  <c r="L2140" i="5"/>
  <c r="R2139" i="5"/>
  <c r="L2139" i="5"/>
  <c r="R2138" i="5"/>
  <c r="L2138" i="5"/>
  <c r="L2137" i="5"/>
  <c r="R3507" i="5"/>
  <c r="L3507" i="5"/>
  <c r="R3506" i="5"/>
  <c r="L3506" i="5"/>
  <c r="R4462" i="5"/>
  <c r="L4462" i="5"/>
  <c r="R3505" i="5"/>
  <c r="L3505" i="5"/>
  <c r="R3504" i="5"/>
  <c r="L3504" i="5"/>
  <c r="R3503" i="5"/>
  <c r="L3503" i="5"/>
  <c r="A962" i="5"/>
  <c r="S3503" i="5" l="1"/>
  <c r="S3505" i="5"/>
  <c r="S3506" i="5"/>
  <c r="S3504" i="5"/>
  <c r="S4462" i="5"/>
  <c r="S3507" i="5"/>
  <c r="S2491" i="5" l="1"/>
  <c r="L2008" i="5" l="1"/>
  <c r="S2008" i="5" s="1"/>
  <c r="L2007" i="5"/>
  <c r="S2007" i="5" s="1"/>
  <c r="L2006" i="5"/>
  <c r="S2006" i="5" s="1"/>
  <c r="L2005" i="5"/>
  <c r="S2005" i="5" s="1"/>
  <c r="L2004" i="5"/>
  <c r="S2004" i="5" s="1"/>
  <c r="L2003" i="5"/>
  <c r="S2003" i="5" s="1"/>
  <c r="L1686" i="5"/>
  <c r="S1686" i="5" s="1"/>
  <c r="L1685" i="5"/>
  <c r="S1685" i="5" s="1"/>
  <c r="R1605" i="5" l="1"/>
  <c r="L2864" i="5" l="1"/>
  <c r="L2865" i="5"/>
  <c r="L2866" i="5"/>
  <c r="L2867" i="5"/>
  <c r="S2867" i="5" l="1"/>
  <c r="S2852" i="5"/>
  <c r="S2865" i="5"/>
  <c r="S2866" i="5"/>
  <c r="S2864" i="5"/>
  <c r="L1418" i="5" l="1"/>
  <c r="L1247" i="5"/>
  <c r="M762" i="5" l="1"/>
  <c r="M454" i="5"/>
  <c r="M356" i="5"/>
  <c r="M125" i="5"/>
  <c r="Y762" i="5" l="1"/>
  <c r="R454" i="5"/>
  <c r="G172" i="2"/>
  <c r="L186" i="1" s="1"/>
  <c r="C227" i="2"/>
  <c r="F227" i="2" l="1"/>
  <c r="D3993" i="5"/>
  <c r="R335" i="1" l="1"/>
  <c r="N251" i="1"/>
  <c r="S251" i="1" l="1"/>
  <c r="R251" i="1"/>
  <c r="R200" i="2"/>
  <c r="G2401" i="5" l="1"/>
  <c r="E2401" i="5"/>
  <c r="D2401" i="5"/>
  <c r="R2400" i="5"/>
  <c r="L2400" i="5"/>
  <c r="M2401" i="5" l="1"/>
  <c r="R2401" i="5" s="1"/>
  <c r="S2400" i="5"/>
  <c r="T2400" i="5"/>
  <c r="L2401" i="5" l="1"/>
  <c r="R4210" i="5"/>
  <c r="O4210" i="5"/>
  <c r="L2895" i="5"/>
  <c r="L2894" i="5"/>
  <c r="L2893" i="5"/>
  <c r="L2892" i="5"/>
  <c r="L2891" i="5"/>
  <c r="L2890" i="5"/>
  <c r="L2889" i="5"/>
  <c r="L4210" i="5" l="1"/>
  <c r="R2909" i="5"/>
  <c r="R2908" i="5"/>
  <c r="R2907" i="5"/>
  <c r="L2907" i="5" l="1"/>
  <c r="R2898" i="5"/>
  <c r="L2898" i="5"/>
  <c r="L2908" i="5"/>
  <c r="L2909" i="5"/>
  <c r="D2699" i="5" l="1"/>
  <c r="D2687" i="5"/>
  <c r="R2256" i="5" l="1"/>
  <c r="L2977" i="5" l="1"/>
  <c r="L423" i="5"/>
  <c r="S423" i="5" l="1"/>
  <c r="L3199" i="5" l="1"/>
  <c r="L1715" i="5"/>
  <c r="S1715" i="5" s="1"/>
  <c r="L2990" i="5" l="1"/>
  <c r="L2022" i="5" l="1"/>
  <c r="S2022" i="5" s="1"/>
  <c r="L2021" i="5"/>
  <c r="S2021" i="5" s="1"/>
  <c r="L2015" i="5" l="1"/>
  <c r="S2015" i="5" s="1"/>
  <c r="L1604" i="5" l="1"/>
  <c r="S1604" i="5" s="1"/>
  <c r="L3001" i="5"/>
  <c r="L3032" i="5"/>
  <c r="L3011" i="5"/>
  <c r="L2973" i="5"/>
  <c r="L2976" i="5"/>
  <c r="L2978" i="5"/>
  <c r="L2980" i="5"/>
  <c r="L2981" i="5"/>
  <c r="L2982" i="5"/>
  <c r="L2983" i="5"/>
  <c r="L2995" i="5"/>
  <c r="L2999" i="5"/>
  <c r="L3017" i="5"/>
  <c r="L3018" i="5"/>
  <c r="L3019" i="5"/>
  <c r="L3020" i="5"/>
  <c r="L3022" i="5"/>
  <c r="L3023" i="5"/>
  <c r="L3025" i="5"/>
  <c r="L3026" i="5"/>
  <c r="L3027" i="5"/>
  <c r="L3028" i="5"/>
  <c r="L3033" i="5"/>
  <c r="L3035" i="5"/>
  <c r="L3036" i="5"/>
  <c r="L3039" i="5"/>
  <c r="L3040" i="5"/>
  <c r="L3043" i="5"/>
  <c r="L3051" i="5"/>
  <c r="L3052" i="5"/>
  <c r="L3054" i="5"/>
  <c r="L3055" i="5"/>
  <c r="L3059" i="5"/>
  <c r="L3060" i="5"/>
  <c r="L3061" i="5"/>
  <c r="L3062" i="5"/>
  <c r="L3063" i="5"/>
  <c r="L3066" i="5"/>
  <c r="L3067" i="5"/>
  <c r="L3068" i="5"/>
  <c r="L3070" i="5"/>
  <c r="L3084" i="5"/>
  <c r="L3086" i="5"/>
  <c r="L3071" i="5"/>
  <c r="L3073" i="5"/>
  <c r="L3074" i="5"/>
  <c r="L3076" i="5"/>
  <c r="L3077" i="5"/>
  <c r="L3078" i="5"/>
  <c r="L3081" i="5"/>
  <c r="L3082" i="5"/>
  <c r="L3089" i="5"/>
  <c r="L3090" i="5"/>
  <c r="L3069" i="5"/>
  <c r="L3091" i="5"/>
  <c r="L3097" i="5"/>
  <c r="L3098" i="5"/>
  <c r="L2971" i="5"/>
  <c r="A2996" i="5" l="1"/>
  <c r="L2012" i="5" l="1"/>
  <c r="S2012" i="5" s="1"/>
  <c r="R2012" i="5"/>
  <c r="L1569" i="5" l="1"/>
  <c r="S1569" i="5" s="1"/>
  <c r="L1566" i="5"/>
  <c r="S1566" i="5" s="1"/>
  <c r="L1564" i="5"/>
  <c r="S1564" i="5" s="1"/>
  <c r="L1797" i="5" l="1"/>
  <c r="S1797" i="5" s="1"/>
  <c r="R1797" i="5"/>
  <c r="L1562" i="5"/>
  <c r="S1562" i="5" s="1"/>
  <c r="L1560" i="5"/>
  <c r="S1560" i="5" s="1"/>
  <c r="E200" i="2" l="1"/>
  <c r="L1558" i="5" l="1"/>
  <c r="S1558" i="5" s="1"/>
  <c r="L1556" i="5" l="1"/>
  <c r="S1556" i="5" s="1"/>
  <c r="L1554" i="5"/>
  <c r="S1554" i="5" s="1"/>
  <c r="L1552" i="5"/>
  <c r="S1552" i="5" s="1"/>
  <c r="L2011" i="5"/>
  <c r="S2011" i="5" s="1"/>
  <c r="L2010" i="5"/>
  <c r="S2010" i="5" s="1"/>
  <c r="L2009" i="5"/>
  <c r="S2009" i="5" s="1"/>
  <c r="R2006" i="5"/>
  <c r="R2005" i="5"/>
  <c r="R2004" i="5"/>
  <c r="R2003" i="5"/>
  <c r="P2911" i="5" l="1"/>
  <c r="N2911" i="5"/>
  <c r="J2911" i="5"/>
  <c r="G2911" i="5"/>
  <c r="E2911" i="5"/>
  <c r="D2911" i="5"/>
  <c r="A2890" i="5"/>
  <c r="A2891" i="5" s="1"/>
  <c r="A2892" i="5" s="1"/>
  <c r="A2893" i="5" s="1"/>
  <c r="A2894" i="5" s="1"/>
  <c r="L2843" i="5"/>
  <c r="L2842" i="5"/>
  <c r="L2841" i="5"/>
  <c r="L2840" i="5"/>
  <c r="L2839" i="5"/>
  <c r="L2838" i="5"/>
  <c r="A2839" i="5"/>
  <c r="A2840" i="5" s="1"/>
  <c r="A2841" i="5" s="1"/>
  <c r="A2842" i="5" s="1"/>
  <c r="A2843" i="5" s="1"/>
  <c r="D2825" i="5"/>
  <c r="L2808" i="5"/>
  <c r="L2807" i="5"/>
  <c r="L2806" i="5"/>
  <c r="L2803" i="5"/>
  <c r="A2802" i="5"/>
  <c r="A2803" i="5" s="1"/>
  <c r="A2804" i="5" s="1"/>
  <c r="A2805" i="5" s="1"/>
  <c r="A2806" i="5" s="1"/>
  <c r="A2807" i="5" s="1"/>
  <c r="A2808" i="5" s="1"/>
  <c r="A2809" i="5" s="1"/>
  <c r="A2810" i="5" s="1"/>
  <c r="A2811" i="5" s="1"/>
  <c r="R2799" i="5"/>
  <c r="L2799" i="5"/>
  <c r="R2798" i="5"/>
  <c r="L2798" i="5"/>
  <c r="R2797" i="5"/>
  <c r="L2797" i="5"/>
  <c r="A2797" i="5"/>
  <c r="A2798" i="5" s="1"/>
  <c r="A2799" i="5" s="1"/>
  <c r="P2759" i="5"/>
  <c r="N2759" i="5"/>
  <c r="J2759" i="5"/>
  <c r="G2759" i="5"/>
  <c r="E2759" i="5"/>
  <c r="Q208" i="1"/>
  <c r="P208" i="1"/>
  <c r="O208" i="1"/>
  <c r="K208" i="1"/>
  <c r="J208" i="1"/>
  <c r="I208" i="1"/>
  <c r="Q127" i="1"/>
  <c r="O127" i="1"/>
  <c r="K127" i="1"/>
  <c r="J127" i="1"/>
  <c r="I127" i="1"/>
  <c r="U200" i="2"/>
  <c r="T200" i="2"/>
  <c r="S200" i="2"/>
  <c r="Q200" i="2"/>
  <c r="N200" i="2"/>
  <c r="M200" i="2"/>
  <c r="J200" i="2"/>
  <c r="I200" i="2"/>
  <c r="G104" i="2"/>
  <c r="L117" i="1" s="1"/>
  <c r="F104" i="2"/>
  <c r="G100" i="2"/>
  <c r="L112" i="1" s="1"/>
  <c r="F100" i="2"/>
  <c r="A96" i="2"/>
  <c r="A97" i="2" s="1"/>
  <c r="A98" i="2" s="1"/>
  <c r="A99" i="2" s="1"/>
  <c r="A100" i="2" s="1"/>
  <c r="A101" i="2" s="1"/>
  <c r="A102" i="2" s="1"/>
  <c r="A103" i="2" s="1"/>
  <c r="A104" i="2" s="1"/>
  <c r="A105" i="2" s="1"/>
  <c r="A106" i="2" s="1"/>
  <c r="A107" i="2" s="1"/>
  <c r="A108" i="2" s="1"/>
  <c r="A109" i="2" s="1"/>
  <c r="A110" i="2" s="1"/>
  <c r="A111" i="2" s="1"/>
  <c r="A112" i="2" s="1"/>
  <c r="A113" i="2" s="1"/>
  <c r="L2666" i="5"/>
  <c r="L2665" i="5"/>
  <c r="D2665" i="5"/>
  <c r="L2664" i="5"/>
  <c r="D2664" i="5"/>
  <c r="L2663" i="5"/>
  <c r="D2663" i="5"/>
  <c r="L2662" i="5"/>
  <c r="D2662" i="5"/>
  <c r="R2661" i="5"/>
  <c r="L2661" i="5"/>
  <c r="D2661" i="5"/>
  <c r="L2660" i="5"/>
  <c r="D2660" i="5"/>
  <c r="R2659" i="5"/>
  <c r="L2659" i="5"/>
  <c r="D2659" i="5"/>
  <c r="R2658" i="5"/>
  <c r="L2658" i="5"/>
  <c r="D2658" i="5"/>
  <c r="A2659" i="5"/>
  <c r="A2660" i="5" s="1"/>
  <c r="A2661" i="5" s="1"/>
  <c r="A2662" i="5" s="1"/>
  <c r="A2663" i="5" s="1"/>
  <c r="A2664" i="5" s="1"/>
  <c r="A2665" i="5" s="1"/>
  <c r="A2666" i="5" s="1"/>
  <c r="A2667" i="5" s="1"/>
  <c r="L2656" i="5"/>
  <c r="D2656" i="5"/>
  <c r="R2655" i="5"/>
  <c r="L2655" i="5"/>
  <c r="D2655" i="5"/>
  <c r="R2654" i="5"/>
  <c r="L2654" i="5"/>
  <c r="D2654" i="5"/>
  <c r="R2653" i="5"/>
  <c r="L2653" i="5"/>
  <c r="D2653" i="5"/>
  <c r="A2654" i="5"/>
  <c r="A2655" i="5" s="1"/>
  <c r="A2656" i="5" s="1"/>
  <c r="D2651" i="5"/>
  <c r="R2650" i="5"/>
  <c r="L2650" i="5"/>
  <c r="R2649" i="5"/>
  <c r="L2649" i="5"/>
  <c r="D2649" i="5"/>
  <c r="R2648" i="5"/>
  <c r="L2648" i="5"/>
  <c r="D2648" i="5"/>
  <c r="L2647" i="5"/>
  <c r="D2647" i="5"/>
  <c r="L2646" i="5"/>
  <c r="D2646" i="5"/>
  <c r="A2647" i="5"/>
  <c r="A2648" i="5" s="1"/>
  <c r="A2649" i="5" s="1"/>
  <c r="A2650" i="5" s="1"/>
  <c r="A2651" i="5" s="1"/>
  <c r="Q2644" i="5"/>
  <c r="P2644" i="5"/>
  <c r="J2644" i="5"/>
  <c r="G2644" i="5"/>
  <c r="E2644" i="5"/>
  <c r="R2630" i="5"/>
  <c r="N2630" i="5"/>
  <c r="A2630" i="5"/>
  <c r="A2631" i="5" s="1"/>
  <c r="N2629" i="5"/>
  <c r="Q2627" i="5"/>
  <c r="P2627" i="5"/>
  <c r="N2627" i="5"/>
  <c r="J2627" i="5"/>
  <c r="G2627" i="5"/>
  <c r="E2627" i="5"/>
  <c r="D2627" i="5"/>
  <c r="L2567" i="5"/>
  <c r="L2566" i="5"/>
  <c r="L2565" i="5"/>
  <c r="L2564" i="5"/>
  <c r="L2563" i="5"/>
  <c r="L2560" i="5"/>
  <c r="R2556" i="5"/>
  <c r="L2556" i="5"/>
  <c r="A2553" i="5"/>
  <c r="Q2550" i="5"/>
  <c r="P2550" i="5"/>
  <c r="J2550" i="5"/>
  <c r="G2550" i="5"/>
  <c r="E2550" i="5"/>
  <c r="D2550" i="5"/>
  <c r="N2526" i="5"/>
  <c r="L2526" i="5" s="1"/>
  <c r="R2525" i="5"/>
  <c r="L2525" i="5"/>
  <c r="A2525" i="5"/>
  <c r="A2526" i="5" s="1"/>
  <c r="A2527" i="5" s="1"/>
  <c r="A2528" i="5" s="1"/>
  <c r="A2529" i="5" s="1"/>
  <c r="A2530" i="5" s="1"/>
  <c r="A2531" i="5" s="1"/>
  <c r="A2532" i="5" s="1"/>
  <c r="A2533" i="5" s="1"/>
  <c r="A2534" i="5" s="1"/>
  <c r="A2535" i="5" s="1"/>
  <c r="A2536" i="5" s="1"/>
  <c r="A2537" i="5" s="1"/>
  <c r="A2538" i="5" s="1"/>
  <c r="A2539" i="5" s="1"/>
  <c r="A2540" i="5" s="1"/>
  <c r="R2524" i="5"/>
  <c r="L2524" i="5"/>
  <c r="Q2486" i="5"/>
  <c r="P2486" i="5"/>
  <c r="O2486" i="5"/>
  <c r="N2486" i="5"/>
  <c r="M2486" i="5"/>
  <c r="J2486" i="5"/>
  <c r="G2486" i="5"/>
  <c r="E2486" i="5"/>
  <c r="D2486" i="5"/>
  <c r="L2446" i="5"/>
  <c r="A2446" i="5"/>
  <c r="A2447" i="5" s="1"/>
  <c r="L2445" i="5"/>
  <c r="N2329" i="5"/>
  <c r="R2329" i="5"/>
  <c r="A2329" i="5"/>
  <c r="A2330" i="5" s="1"/>
  <c r="A2331" i="5" s="1"/>
  <c r="A2332" i="5" s="1"/>
  <c r="A2333" i="5" s="1"/>
  <c r="A2334" i="5" s="1"/>
  <c r="A2335" i="5" s="1"/>
  <c r="R2330" i="5"/>
  <c r="L2330" i="5"/>
  <c r="D2330" i="5"/>
  <c r="Q2244" i="5"/>
  <c r="P2244" i="5"/>
  <c r="O2244" i="5"/>
  <c r="N2244" i="5"/>
  <c r="M2244" i="5"/>
  <c r="J2244" i="5"/>
  <c r="G2244" i="5"/>
  <c r="E2244" i="5"/>
  <c r="D2244" i="5"/>
  <c r="L2203" i="5"/>
  <c r="S2203" i="5" s="1"/>
  <c r="L2202" i="5"/>
  <c r="S2202" i="5" s="1"/>
  <c r="L2201" i="5"/>
  <c r="S2201" i="5" s="1"/>
  <c r="L2200" i="5"/>
  <c r="S2200" i="5" s="1"/>
  <c r="L2199" i="5"/>
  <c r="S2199" i="5" s="1"/>
  <c r="L2198" i="5"/>
  <c r="S2198" i="5" s="1"/>
  <c r="L2197" i="5"/>
  <c r="S2197" i="5" s="1"/>
  <c r="L2196" i="5"/>
  <c r="S2196" i="5" s="1"/>
  <c r="L2195" i="5"/>
  <c r="S2195" i="5" s="1"/>
  <c r="L2194" i="5"/>
  <c r="S2194" i="5" s="1"/>
  <c r="L2193" i="5"/>
  <c r="S2193" i="5" s="1"/>
  <c r="L2192" i="5"/>
  <c r="S2192" i="5" s="1"/>
  <c r="L2191" i="5"/>
  <c r="L2190" i="5"/>
  <c r="L2189" i="5"/>
  <c r="L2188" i="5"/>
  <c r="L2187" i="5"/>
  <c r="R2186" i="5"/>
  <c r="L2186" i="5"/>
  <c r="R2185" i="5"/>
  <c r="L2185" i="5"/>
  <c r="L2184" i="5"/>
  <c r="A2185" i="5"/>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L2121" i="5"/>
  <c r="Q222" i="1" l="1"/>
  <c r="J222" i="1"/>
  <c r="I222" i="1"/>
  <c r="K222" i="1"/>
  <c r="O222" i="1"/>
  <c r="N116" i="1"/>
  <c r="N111" i="1"/>
  <c r="A2554" i="5"/>
  <c r="A2555" i="5" s="1"/>
  <c r="A2556" i="5" s="1"/>
  <c r="A2557" i="5" s="1"/>
  <c r="A2541" i="5"/>
  <c r="A2542" i="5" s="1"/>
  <c r="A2543" i="5" s="1"/>
  <c r="A2544" i="5" s="1"/>
  <c r="A2545" i="5" s="1"/>
  <c r="S2186" i="5"/>
  <c r="S2189" i="5"/>
  <c r="S2330" i="5"/>
  <c r="S2526" i="5"/>
  <c r="S2553" i="5"/>
  <c r="S2647" i="5"/>
  <c r="S2653" i="5"/>
  <c r="S2658" i="5"/>
  <c r="S2661" i="5"/>
  <c r="S2184" i="5"/>
  <c r="S2190" i="5"/>
  <c r="S2556" i="5"/>
  <c r="S2649" i="5"/>
  <c r="S2656" i="5"/>
  <c r="S2663" i="5"/>
  <c r="S2665" i="5"/>
  <c r="S2121" i="5"/>
  <c r="S2187" i="5"/>
  <c r="S2191" i="5"/>
  <c r="S2525" i="5"/>
  <c r="S2646" i="5"/>
  <c r="S2648" i="5"/>
  <c r="S2655" i="5"/>
  <c r="S2660" i="5"/>
  <c r="S2666" i="5"/>
  <c r="S2188" i="5"/>
  <c r="S2524" i="5"/>
  <c r="S2552" i="5"/>
  <c r="S2560" i="5"/>
  <c r="S2650" i="5"/>
  <c r="S2654" i="5"/>
  <c r="S2659" i="5"/>
  <c r="S2662" i="5"/>
  <c r="S2664" i="5"/>
  <c r="A2895" i="5"/>
  <c r="A2896" i="5" s="1"/>
  <c r="A2897" i="5" s="1"/>
  <c r="A2898" i="5" s="1"/>
  <c r="A2899" i="5" s="1"/>
  <c r="L2651" i="5"/>
  <c r="R2651" i="5"/>
  <c r="R2557" i="5"/>
  <c r="L2804" i="5"/>
  <c r="R2804" i="5"/>
  <c r="L2801" i="5"/>
  <c r="R2801" i="5"/>
  <c r="L2805" i="5"/>
  <c r="R2805" i="5"/>
  <c r="L2802" i="5"/>
  <c r="R2802" i="5"/>
  <c r="A2844" i="5"/>
  <c r="A2845" i="5" s="1"/>
  <c r="S2185" i="5"/>
  <c r="S2566" i="5"/>
  <c r="S2563" i="5"/>
  <c r="S2567" i="5"/>
  <c r="S2564" i="5"/>
  <c r="S2565" i="5"/>
  <c r="A114" i="2"/>
  <c r="A115" i="2" s="1"/>
  <c r="S2841" i="5"/>
  <c r="S2838" i="5"/>
  <c r="S2842" i="5"/>
  <c r="S2839" i="5"/>
  <c r="S2840" i="5"/>
  <c r="S2843" i="5"/>
  <c r="A2568" i="5"/>
  <c r="A2569" i="5" s="1"/>
  <c r="L2629" i="5"/>
  <c r="P127" i="1"/>
  <c r="F109" i="2"/>
  <c r="H100" i="2"/>
  <c r="N112" i="1" s="1"/>
  <c r="H104" i="2"/>
  <c r="N117" i="1" s="1"/>
  <c r="C104" i="2"/>
  <c r="C109" i="2"/>
  <c r="F95" i="2"/>
  <c r="C97" i="2"/>
  <c r="F97" i="2"/>
  <c r="C103" i="2"/>
  <c r="F105" i="2"/>
  <c r="C111" i="2"/>
  <c r="C107" i="2"/>
  <c r="F112" i="2"/>
  <c r="F108" i="2"/>
  <c r="C96" i="2"/>
  <c r="F96" i="2"/>
  <c r="C101" i="2"/>
  <c r="C102" i="2"/>
  <c r="C110" i="2"/>
  <c r="C106" i="2"/>
  <c r="F111" i="2"/>
  <c r="F107" i="2"/>
  <c r="C99" i="2"/>
  <c r="F99" i="2"/>
  <c r="F101" i="2"/>
  <c r="F103" i="2"/>
  <c r="C113" i="2"/>
  <c r="F110" i="2"/>
  <c r="F106" i="2"/>
  <c r="C95" i="2"/>
  <c r="C98" i="2"/>
  <c r="F98" i="2"/>
  <c r="F102" i="2"/>
  <c r="C105" i="2"/>
  <c r="C112" i="2"/>
  <c r="C108" i="2"/>
  <c r="F113" i="2"/>
  <c r="A107" i="1"/>
  <c r="N2644" i="5"/>
  <c r="R2656" i="5"/>
  <c r="L2630" i="5"/>
  <c r="R2629" i="5"/>
  <c r="N2550" i="5"/>
  <c r="L2329" i="5"/>
  <c r="S2329" i="5" s="1"/>
  <c r="L2557" i="5"/>
  <c r="P222" i="1" l="1"/>
  <c r="A2546" i="5"/>
  <c r="A2547" i="5" s="1"/>
  <c r="A2548" i="5" s="1"/>
  <c r="A2549" i="5" s="1"/>
  <c r="S112" i="1"/>
  <c r="R116" i="1"/>
  <c r="S116" i="1"/>
  <c r="S117" i="1"/>
  <c r="S111" i="1"/>
  <c r="R111" i="1"/>
  <c r="S2651" i="5"/>
  <c r="S2557" i="5"/>
  <c r="C100" i="2"/>
  <c r="N107" i="1"/>
  <c r="N124" i="1"/>
  <c r="N108" i="1"/>
  <c r="N121" i="1"/>
  <c r="N114" i="1"/>
  <c r="N125" i="1"/>
  <c r="N109" i="1"/>
  <c r="N119" i="1"/>
  <c r="N113" i="1"/>
  <c r="N115" i="1"/>
  <c r="N122" i="1"/>
  <c r="N118" i="1"/>
  <c r="N126" i="1"/>
  <c r="N110" i="1"/>
  <c r="N123" i="1"/>
  <c r="N120" i="1"/>
  <c r="S2629" i="5"/>
  <c r="F200" i="2"/>
  <c r="N106" i="1"/>
  <c r="S106" i="1" s="1"/>
  <c r="A108" i="1"/>
  <c r="A109" i="1" s="1"/>
  <c r="S120" i="1" l="1"/>
  <c r="S118" i="1"/>
  <c r="S115" i="1"/>
  <c r="S119" i="1"/>
  <c r="S125" i="1"/>
  <c r="S121" i="1"/>
  <c r="S108" i="1"/>
  <c r="S107" i="1"/>
  <c r="S123" i="1"/>
  <c r="S126" i="1"/>
  <c r="S122" i="1"/>
  <c r="S113" i="1"/>
  <c r="S109" i="1"/>
  <c r="S114" i="1"/>
  <c r="A110" i="1"/>
  <c r="S110" i="1"/>
  <c r="S124" i="1"/>
  <c r="R126" i="1"/>
  <c r="R115" i="1"/>
  <c r="R108" i="1"/>
  <c r="R117" i="1"/>
  <c r="R114" i="1"/>
  <c r="R110" i="1"/>
  <c r="R121" i="1"/>
  <c r="R123" i="1"/>
  <c r="R119" i="1"/>
  <c r="R120" i="1"/>
  <c r="R124" i="1"/>
  <c r="R125" i="1"/>
  <c r="R109" i="1"/>
  <c r="R118" i="1"/>
  <c r="R122" i="1"/>
  <c r="R107" i="1"/>
  <c r="R113" i="1"/>
  <c r="R106" i="1"/>
  <c r="R112" i="1" l="1"/>
  <c r="N127" i="1"/>
  <c r="A114" i="1"/>
  <c r="R127" i="1" l="1"/>
  <c r="A115" i="1"/>
  <c r="A119" i="1" l="1"/>
  <c r="A120" i="1" s="1"/>
  <c r="A121" i="1" s="1"/>
  <c r="A122" i="1" s="1"/>
  <c r="A123" i="1" s="1"/>
  <c r="A124" i="1" s="1"/>
  <c r="A125" i="1" s="1"/>
  <c r="A126" i="1" s="1"/>
  <c r="N2116" i="5" l="1"/>
  <c r="R2116" i="5"/>
  <c r="A2116" i="5"/>
  <c r="L2116" i="5" l="1"/>
  <c r="R1576" i="5" l="1"/>
  <c r="L1576" i="5"/>
  <c r="S1576" i="5" l="1"/>
  <c r="L1475" i="5"/>
  <c r="S1475" i="5" s="1"/>
  <c r="L1474" i="5"/>
  <c r="S1474" i="5" s="1"/>
  <c r="L1473" i="5"/>
  <c r="S1473" i="5" s="1"/>
  <c r="L1472" i="5"/>
  <c r="S1472" i="5" s="1"/>
  <c r="L1471" i="5"/>
  <c r="S1471" i="5" s="1"/>
  <c r="L1470" i="5"/>
  <c r="S1470" i="5" s="1"/>
  <c r="L1469" i="5"/>
  <c r="S1469" i="5" s="1"/>
  <c r="L1468" i="5"/>
  <c r="S1468" i="5" s="1"/>
  <c r="A1468" i="5"/>
  <c r="A1469" i="5" s="1"/>
  <c r="A1470" i="5" s="1"/>
  <c r="A1471" i="5" s="1"/>
  <c r="A1472" i="5" s="1"/>
  <c r="A1473" i="5" s="1"/>
  <c r="A1474" i="5" s="1"/>
  <c r="A1475" i="5" s="1"/>
  <c r="A1504" i="5" l="1"/>
  <c r="A1505" i="5" s="1"/>
  <c r="A1476" i="5"/>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S1467" i="5"/>
  <c r="A1500" i="5" l="1"/>
  <c r="A1506" i="5"/>
  <c r="A1507" i="5" s="1"/>
  <c r="A1508" i="5" s="1"/>
  <c r="A1509" i="5" s="1"/>
  <c r="A1510" i="5" s="1"/>
  <c r="A2762" i="5"/>
  <c r="A2763" i="5" s="1"/>
  <c r="A2764" i="5" s="1"/>
  <c r="A2765" i="5" s="1"/>
  <c r="A2766" i="5" s="1"/>
  <c r="A2767" i="5" s="1"/>
  <c r="A2768" i="5" s="1"/>
  <c r="A2769" i="5" s="1"/>
  <c r="A2770" i="5" s="1"/>
  <c r="A2771" i="5" s="1"/>
  <c r="L2771" i="5"/>
  <c r="L2770" i="5"/>
  <c r="L2769" i="5"/>
  <c r="L2768" i="5"/>
  <c r="S2768" i="5" l="1"/>
  <c r="A1511" i="5"/>
  <c r="A1512" i="5" s="1"/>
  <c r="A1513" i="5" s="1"/>
  <c r="A1514" i="5" s="1"/>
  <c r="A1515" i="5" s="1"/>
  <c r="A1516" i="5" s="1"/>
  <c r="S2771" i="5"/>
  <c r="S2770" i="5"/>
  <c r="S2769" i="5"/>
  <c r="L4200" i="5"/>
  <c r="L4199" i="5"/>
  <c r="L4198" i="5"/>
  <c r="L4197" i="5"/>
  <c r="L4196" i="5"/>
  <c r="L4195" i="5"/>
  <c r="L4194" i="5"/>
  <c r="R4209" i="5"/>
  <c r="O4209" i="5"/>
  <c r="R1400" i="5"/>
  <c r="L1400" i="5"/>
  <c r="R1399" i="5"/>
  <c r="L1399" i="5"/>
  <c r="R2852" i="5"/>
  <c r="R1235" i="5"/>
  <c r="L1235" i="5"/>
  <c r="D1235" i="5"/>
  <c r="L1234" i="5"/>
  <c r="D1234" i="5"/>
  <c r="R1233" i="5"/>
  <c r="L1233" i="5"/>
  <c r="S1233" i="5" l="1"/>
  <c r="S1234" i="5"/>
  <c r="D92" i="2"/>
  <c r="L3906" i="5"/>
  <c r="R3906" i="5"/>
  <c r="L3910" i="5"/>
  <c r="R3910" i="5"/>
  <c r="L3904" i="5"/>
  <c r="R3904" i="5"/>
  <c r="L3907" i="5"/>
  <c r="R3907" i="5"/>
  <c r="L3911" i="5"/>
  <c r="R3911" i="5"/>
  <c r="L3908" i="5"/>
  <c r="R3908" i="5"/>
  <c r="L3912" i="5"/>
  <c r="R3912" i="5"/>
  <c r="L3905" i="5"/>
  <c r="R3905" i="5"/>
  <c r="L3909" i="5"/>
  <c r="R3909" i="5"/>
  <c r="A1517" i="5"/>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L4209" i="5"/>
  <c r="Q2911" i="5"/>
  <c r="S1399" i="5"/>
  <c r="C91" i="2"/>
  <c r="C92" i="2"/>
  <c r="S1235" i="5"/>
  <c r="D91" i="2"/>
  <c r="D90" i="2"/>
  <c r="C90" i="2"/>
  <c r="R1234" i="5"/>
  <c r="S3905" i="5" l="1"/>
  <c r="S3908" i="5"/>
  <c r="S3911" i="5"/>
  <c r="S3904" i="5"/>
  <c r="S3906" i="5"/>
  <c r="S3909" i="5"/>
  <c r="S3912" i="5"/>
  <c r="S3907" i="5"/>
  <c r="S3910" i="5"/>
  <c r="N101" i="1"/>
  <c r="N102" i="1"/>
  <c r="S102" i="1" s="1"/>
  <c r="A1538" i="5"/>
  <c r="A1539" i="5" s="1"/>
  <c r="A1540" i="5" s="1"/>
  <c r="A1541" i="5" s="1"/>
  <c r="A1542" i="5" s="1"/>
  <c r="A1543" i="5" s="1"/>
  <c r="A1544" i="5" s="1"/>
  <c r="A1545" i="5" s="1"/>
  <c r="A1546" i="5" s="1"/>
  <c r="A1547" i="5" s="1"/>
  <c r="A1548" i="5" s="1"/>
  <c r="A1549" i="5" s="1"/>
  <c r="A1550" i="5" s="1"/>
  <c r="A1551" i="5" s="1"/>
  <c r="A1552" i="5" s="1"/>
  <c r="A1554" i="5" s="1"/>
  <c r="A1556" i="5" s="1"/>
  <c r="N103" i="1"/>
  <c r="R101" i="1" l="1"/>
  <c r="S101" i="1"/>
  <c r="R102" i="1"/>
  <c r="S103" i="1"/>
  <c r="R103" i="1"/>
  <c r="R503" i="5" l="1"/>
  <c r="L503" i="5"/>
  <c r="R4341" i="5"/>
  <c r="Q4341" i="5"/>
  <c r="L4341" i="5" s="1"/>
  <c r="S503" i="5" l="1"/>
  <c r="M4361" i="5"/>
  <c r="O4361" i="5" s="1"/>
  <c r="L4361" i="5" s="1"/>
  <c r="M4360" i="5"/>
  <c r="R4360" i="5" s="1"/>
  <c r="M4359" i="5"/>
  <c r="O4359" i="5" s="1"/>
  <c r="M4358" i="5"/>
  <c r="O4358" i="5" s="1"/>
  <c r="A4359" i="5"/>
  <c r="A4360" i="5" s="1"/>
  <c r="L4357" i="5"/>
  <c r="L3417" i="5"/>
  <c r="R3415" i="5"/>
  <c r="M3412" i="5"/>
  <c r="R3412" i="5" s="1"/>
  <c r="L2002" i="5"/>
  <c r="S2002" i="5" s="1"/>
  <c r="L2001" i="5"/>
  <c r="S2001" i="5" s="1"/>
  <c r="L2000" i="5"/>
  <c r="S2000" i="5" s="1"/>
  <c r="L508" i="5"/>
  <c r="R1998" i="5"/>
  <c r="R1994" i="5"/>
  <c r="L1994" i="5"/>
  <c r="S1994" i="5" s="1"/>
  <c r="L1993" i="5"/>
  <c r="S1993" i="5" s="1"/>
  <c r="L1992" i="5"/>
  <c r="S1992" i="5" s="1"/>
  <c r="L1990" i="5"/>
  <c r="S1990" i="5" s="1"/>
  <c r="L1988" i="5"/>
  <c r="S1988" i="5" s="1"/>
  <c r="L1986" i="5"/>
  <c r="S1986" i="5" s="1"/>
  <c r="L1984" i="5"/>
  <c r="S1984" i="5" s="1"/>
  <c r="R1983" i="5"/>
  <c r="L1983" i="5"/>
  <c r="S1983" i="5" s="1"/>
  <c r="R1982" i="5"/>
  <c r="L1982" i="5"/>
  <c r="S1982" i="5" s="1"/>
  <c r="L1980" i="5"/>
  <c r="S1980" i="5" s="1"/>
  <c r="I1980" i="5"/>
  <c r="G1980" i="5"/>
  <c r="E1980" i="5"/>
  <c r="D1980" i="5"/>
  <c r="L1979" i="5"/>
  <c r="S1979" i="5" s="1"/>
  <c r="L1978" i="5"/>
  <c r="S1978" i="5" s="1"/>
  <c r="L1977" i="5"/>
  <c r="S1977" i="5" s="1"/>
  <c r="L1976" i="5"/>
  <c r="S1976" i="5" s="1"/>
  <c r="L1741" i="5"/>
  <c r="S1741" i="5" s="1"/>
  <c r="L41" i="5"/>
  <c r="L367" i="5"/>
  <c r="L87" i="5"/>
  <c r="L79" i="5"/>
  <c r="S491" i="5"/>
  <c r="R502" i="5"/>
  <c r="L502" i="5"/>
  <c r="R501" i="5"/>
  <c r="L501" i="5"/>
  <c r="R500" i="5"/>
  <c r="L500" i="5"/>
  <c r="R499" i="5"/>
  <c r="L499" i="5"/>
  <c r="L498" i="5"/>
  <c r="L497" i="5"/>
  <c r="L496" i="5"/>
  <c r="L495" i="5"/>
  <c r="R493" i="5"/>
  <c r="L3415" i="5" l="1"/>
  <c r="S3417" i="5"/>
  <c r="S4357" i="5"/>
  <c r="S496" i="5"/>
  <c r="S495" i="5"/>
  <c r="S499" i="5"/>
  <c r="S79" i="5"/>
  <c r="S367" i="5"/>
  <c r="S87" i="5"/>
  <c r="S41" i="5"/>
  <c r="M4407" i="5"/>
  <c r="A4361" i="5"/>
  <c r="A4362" i="5" s="1"/>
  <c r="A4363" i="5" s="1"/>
  <c r="A4364" i="5" s="1"/>
  <c r="A4365" i="5" s="1"/>
  <c r="A4366" i="5" s="1"/>
  <c r="A4367" i="5" s="1"/>
  <c r="A4368" i="5" s="1"/>
  <c r="A4369" i="5" s="1"/>
  <c r="A4370" i="5" s="1"/>
  <c r="A4371" i="5" s="1"/>
  <c r="A4372" i="5" s="1"/>
  <c r="A4373" i="5" s="1"/>
  <c r="A4374" i="5" s="1"/>
  <c r="A4375" i="5" s="1"/>
  <c r="S501" i="5"/>
  <c r="S497" i="5"/>
  <c r="S500" i="5"/>
  <c r="S502" i="5"/>
  <c r="S508" i="5"/>
  <c r="S498" i="5"/>
  <c r="R1996" i="5"/>
  <c r="L1996" i="5"/>
  <c r="S1996" i="5" s="1"/>
  <c r="L1981" i="5"/>
  <c r="S1981" i="5" s="1"/>
  <c r="R4358" i="5"/>
  <c r="L4358" i="5"/>
  <c r="R4361" i="5"/>
  <c r="R4359" i="5"/>
  <c r="O4360" i="5"/>
  <c r="L4360" i="5" s="1"/>
  <c r="L4359" i="5"/>
  <c r="R1997" i="5"/>
  <c r="L3412" i="5"/>
  <c r="O309" i="5"/>
  <c r="A4376" i="5" l="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S3415" i="5"/>
  <c r="A4400" i="5" l="1"/>
  <c r="A4401" i="5" s="1"/>
  <c r="A4402" i="5" s="1"/>
  <c r="A4403" i="5" s="1"/>
  <c r="A4404" i="5" s="1"/>
  <c r="A4405" i="5" s="1"/>
  <c r="A4406" i="5" s="1"/>
  <c r="L490" i="5"/>
  <c r="L363" i="5"/>
  <c r="S363" i="5" l="1"/>
  <c r="S490" i="5"/>
  <c r="G4549" i="5"/>
  <c r="E4549" i="5"/>
  <c r="D4549" i="5"/>
  <c r="D4548" i="5"/>
  <c r="M3685" i="5"/>
  <c r="O3685" i="5" s="1"/>
  <c r="D3685" i="5"/>
  <c r="L3672" i="5"/>
  <c r="R4548" i="5" l="1"/>
  <c r="L4548" i="5"/>
  <c r="R3685" i="5"/>
  <c r="L3685" i="5"/>
  <c r="R4549" i="5" l="1"/>
  <c r="L4549" i="5"/>
  <c r="T4548" i="5"/>
  <c r="T3685" i="5"/>
  <c r="T4549" i="5" l="1"/>
  <c r="M1444" i="5" l="1"/>
  <c r="Y1444" i="5" l="1"/>
  <c r="L333" i="1"/>
  <c r="L334" i="1"/>
  <c r="C226" i="2"/>
  <c r="D3992" i="5"/>
  <c r="C225" i="2"/>
  <c r="D3991" i="5"/>
  <c r="C224" i="2"/>
  <c r="D3990" i="5"/>
  <c r="C223" i="2"/>
  <c r="D3989" i="5"/>
  <c r="C222" i="2"/>
  <c r="D3988" i="5"/>
  <c r="C221" i="2"/>
  <c r="D3987" i="5"/>
  <c r="C220" i="2"/>
  <c r="D3986" i="5"/>
  <c r="C219" i="2"/>
  <c r="D3985" i="5"/>
  <c r="C218" i="2"/>
  <c r="D3984" i="5"/>
  <c r="F219" i="2" l="1"/>
  <c r="F220" i="2"/>
  <c r="F224" i="2"/>
  <c r="F223" i="2"/>
  <c r="F226" i="2"/>
  <c r="F218" i="2"/>
  <c r="F222" i="2"/>
  <c r="F225" i="2"/>
  <c r="F221" i="2"/>
  <c r="R4075" i="5"/>
  <c r="D4075" i="5"/>
  <c r="L3941" i="5"/>
  <c r="L3940" i="5"/>
  <c r="R2544" i="5"/>
  <c r="L2544" i="5"/>
  <c r="N247" i="1" l="1"/>
  <c r="N244" i="1"/>
  <c r="N245" i="1"/>
  <c r="N249" i="1"/>
  <c r="S2544" i="5"/>
  <c r="N248" i="1"/>
  <c r="N242" i="1"/>
  <c r="N243" i="1"/>
  <c r="N246" i="1"/>
  <c r="L2545" i="5"/>
  <c r="R2545" i="5"/>
  <c r="L2546" i="5"/>
  <c r="R2546" i="5"/>
  <c r="N250" i="1"/>
  <c r="Q2759" i="5"/>
  <c r="O4075" i="5"/>
  <c r="L4075" i="5" s="1"/>
  <c r="S242" i="1" l="1"/>
  <c r="S247" i="1"/>
  <c r="S250" i="1"/>
  <c r="S246" i="1"/>
  <c r="S248" i="1"/>
  <c r="S245" i="1"/>
  <c r="S249" i="1"/>
  <c r="S243" i="1"/>
  <c r="S244" i="1"/>
  <c r="R247" i="1"/>
  <c r="R243" i="1"/>
  <c r="R248" i="1"/>
  <c r="R244" i="1"/>
  <c r="R242" i="1"/>
  <c r="R249" i="1"/>
  <c r="R245" i="1"/>
  <c r="S2545" i="5"/>
  <c r="R246" i="1"/>
  <c r="S2546" i="5"/>
  <c r="R250" i="1"/>
  <c r="C309" i="2" l="1"/>
  <c r="H309" i="2"/>
  <c r="N334" i="1" l="1"/>
  <c r="S334" i="1" l="1"/>
  <c r="R334" i="1"/>
  <c r="L358" i="5" l="1"/>
  <c r="L298" i="5"/>
  <c r="S358" i="5" l="1"/>
  <c r="S298" i="5"/>
  <c r="L3722" i="5" l="1"/>
  <c r="L3471" i="5"/>
  <c r="R4107" i="5"/>
  <c r="L4107" i="5"/>
  <c r="R4106" i="5"/>
  <c r="L4106" i="5"/>
  <c r="R4105" i="5"/>
  <c r="L4105" i="5"/>
  <c r="R4104" i="5"/>
  <c r="L4104" i="5"/>
  <c r="A4679" i="5"/>
  <c r="A4680" i="5" s="1"/>
  <c r="A4681" i="5" s="1"/>
  <c r="A4682" i="5" s="1"/>
  <c r="A4683" i="5" s="1"/>
  <c r="R4683" i="5"/>
  <c r="L4683" i="5"/>
  <c r="R4682" i="5"/>
  <c r="L4682" i="5"/>
  <c r="L2790" i="5"/>
  <c r="L2791" i="5"/>
  <c r="L2792" i="5"/>
  <c r="L2793" i="5"/>
  <c r="A2789" i="5"/>
  <c r="A2790" i="5" s="1"/>
  <c r="A2791" i="5" s="1"/>
  <c r="A2792" i="5" s="1"/>
  <c r="A2793" i="5" s="1"/>
  <c r="G184" i="2"/>
  <c r="L198" i="1" s="1"/>
  <c r="S4682" i="5" l="1"/>
  <c r="R2906" i="5"/>
  <c r="L2906" i="5"/>
  <c r="S4683" i="5"/>
  <c r="R3897" i="5" l="1"/>
  <c r="R4681" i="5"/>
  <c r="L1358" i="5"/>
  <c r="L1357" i="5"/>
  <c r="L1356" i="5"/>
  <c r="G192" i="2"/>
  <c r="L206" i="1" s="1"/>
  <c r="G191" i="2"/>
  <c r="L205" i="1" s="1"/>
  <c r="R2745" i="5"/>
  <c r="L2745" i="5"/>
  <c r="D2745" i="5"/>
  <c r="A21" i="1"/>
  <c r="A10" i="2"/>
  <c r="A1152" i="5"/>
  <c r="A116" i="2"/>
  <c r="A117" i="2" s="1"/>
  <c r="A118" i="2" s="1"/>
  <c r="A119" i="2" s="1"/>
  <c r="A120" i="2" s="1"/>
  <c r="A121" i="2" s="1"/>
  <c r="A122" i="2" s="1"/>
  <c r="A123" i="2" s="1"/>
  <c r="A124" i="2" s="1"/>
  <c r="A125" i="2" s="1"/>
  <c r="A126" i="2" s="1"/>
  <c r="A127" i="2" s="1"/>
  <c r="A128" i="2" s="1"/>
  <c r="D2744" i="5"/>
  <c r="S2745" i="5" l="1"/>
  <c r="A129" i="2"/>
  <c r="A130" i="2" s="1"/>
  <c r="A131" i="2" s="1"/>
  <c r="A132" i="2" s="1"/>
  <c r="A133" i="2" s="1"/>
  <c r="A134" i="2" s="1"/>
  <c r="A135" i="2" s="1"/>
  <c r="A136" i="2" s="1"/>
  <c r="C192" i="2"/>
  <c r="L4681" i="5"/>
  <c r="O3897" i="5"/>
  <c r="H192" i="2"/>
  <c r="L2744" i="5"/>
  <c r="R2744" i="5"/>
  <c r="A137" i="2" l="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N206" i="1"/>
  <c r="L3897" i="5"/>
  <c r="H191" i="2"/>
  <c r="C191" i="2"/>
  <c r="S2744" i="5"/>
  <c r="S206" i="1" l="1"/>
  <c r="N205" i="1"/>
  <c r="R206" i="1"/>
  <c r="A180" i="2"/>
  <c r="S3897" i="5"/>
  <c r="A181" i="2" l="1"/>
  <c r="A182" i="2" s="1"/>
  <c r="A183" i="2" s="1"/>
  <c r="A184" i="2" s="1"/>
  <c r="S205" i="1"/>
  <c r="R205" i="1"/>
  <c r="A185" i="2" l="1"/>
  <c r="A186" i="2" s="1"/>
  <c r="A187" i="2" s="1"/>
  <c r="A188" i="2" s="1"/>
  <c r="A189" i="2" s="1"/>
  <c r="A190" i="2" s="1"/>
  <c r="A191" i="2" s="1"/>
  <c r="A192" i="2" s="1"/>
  <c r="A193" i="2" s="1"/>
  <c r="A194" i="2" s="1"/>
  <c r="A195" i="2" s="1"/>
  <c r="A196" i="2" s="1"/>
  <c r="A197" i="2" s="1"/>
  <c r="A198" i="2" s="1"/>
  <c r="A199" i="2" s="1"/>
  <c r="L4660" i="5" l="1"/>
  <c r="L4661" i="5"/>
  <c r="R4660" i="5"/>
  <c r="R4636" i="5"/>
  <c r="L4588" i="5"/>
  <c r="A4586" i="5"/>
  <c r="A4587" i="5" s="1"/>
  <c r="A4588" i="5" s="1"/>
  <c r="R4523" i="5"/>
  <c r="L4523" i="5"/>
  <c r="S4523" i="5" s="1"/>
  <c r="L3810" i="5"/>
  <c r="L4578" i="5"/>
  <c r="G4578" i="5"/>
  <c r="A4578" i="5"/>
  <c r="R4577" i="5"/>
  <c r="L3467" i="5"/>
  <c r="L4587" i="5" l="1"/>
  <c r="R4587" i="5"/>
  <c r="R4578" i="5"/>
  <c r="S3722" i="5"/>
  <c r="L4577" i="5"/>
  <c r="S3471" i="5"/>
  <c r="L4636" i="5" l="1"/>
  <c r="T4587" i="5"/>
  <c r="T4636" i="5" l="1"/>
  <c r="R4659" i="5" l="1"/>
  <c r="L4659" i="5"/>
  <c r="R4658" i="5"/>
  <c r="L4658" i="5"/>
  <c r="R4657" i="5"/>
  <c r="L4657" i="5"/>
  <c r="R4656" i="5"/>
  <c r="L4656" i="5"/>
  <c r="D4656" i="5"/>
  <c r="R4655" i="5"/>
  <c r="L4655" i="5"/>
  <c r="R4654" i="5"/>
  <c r="L4654" i="5"/>
  <c r="D4654" i="5"/>
  <c r="R4653" i="5"/>
  <c r="L4653" i="5"/>
  <c r="R4652" i="5"/>
  <c r="L4652" i="5"/>
  <c r="R4651" i="5"/>
  <c r="L4651" i="5"/>
  <c r="D4651" i="5"/>
  <c r="R4650" i="5"/>
  <c r="L4650" i="5"/>
  <c r="R4649" i="5"/>
  <c r="L4649" i="5"/>
  <c r="R4648" i="5"/>
  <c r="L4648" i="5"/>
  <c r="R4647" i="5"/>
  <c r="L4647" i="5"/>
  <c r="D4647" i="5"/>
  <c r="L4646" i="5"/>
  <c r="L3837" i="5"/>
  <c r="R3836" i="5"/>
  <c r="L3836" i="5"/>
  <c r="R3835" i="5"/>
  <c r="L3835" i="5"/>
  <c r="R3834" i="5"/>
  <c r="L3834" i="5"/>
  <c r="R3833" i="5"/>
  <c r="L3833" i="5"/>
  <c r="G3833" i="5"/>
  <c r="R3832" i="5"/>
  <c r="L3832" i="5"/>
  <c r="R3831" i="5"/>
  <c r="L3831" i="5"/>
  <c r="R3830" i="5"/>
  <c r="L3830" i="5"/>
  <c r="L3829" i="5"/>
  <c r="G3829" i="5"/>
  <c r="E3829" i="5"/>
  <c r="L3828" i="5"/>
  <c r="G3828" i="5"/>
  <c r="E3828" i="5"/>
  <c r="L3827" i="5"/>
  <c r="G3827" i="5"/>
  <c r="D3827" i="5"/>
  <c r="L3826" i="5"/>
  <c r="G3826" i="5"/>
  <c r="E3826" i="5"/>
  <c r="D3826" i="5" s="1"/>
  <c r="L3825" i="5"/>
  <c r="G3825" i="5"/>
  <c r="E3825" i="5"/>
  <c r="D3825" i="5" s="1"/>
  <c r="A3825" i="5"/>
  <c r="A3826" i="5" s="1"/>
  <c r="A3827" i="5" s="1"/>
  <c r="A3828" i="5" s="1"/>
  <c r="A3829" i="5" s="1"/>
  <c r="A3830" i="5" s="1"/>
  <c r="A3831" i="5" s="1"/>
  <c r="A3832" i="5" s="1"/>
  <c r="A3833" i="5" s="1"/>
  <c r="A3834" i="5" s="1"/>
  <c r="A3835" i="5" s="1"/>
  <c r="A3836" i="5" s="1"/>
  <c r="A3837" i="5" s="1"/>
  <c r="L3824" i="5"/>
  <c r="G3824" i="5"/>
  <c r="E3824" i="5"/>
  <c r="D3824" i="5" s="1"/>
  <c r="N2417" i="5"/>
  <c r="L2414" i="5"/>
  <c r="L2416" i="5"/>
  <c r="S3824" i="5" l="1"/>
  <c r="R3828" i="5"/>
  <c r="S3829" i="5"/>
  <c r="S3833" i="5"/>
  <c r="S3835" i="5"/>
  <c r="S3836" i="5"/>
  <c r="S2416" i="5"/>
  <c r="S3828" i="5"/>
  <c r="S3830" i="5"/>
  <c r="S3832" i="5"/>
  <c r="R3826" i="5"/>
  <c r="S3834" i="5"/>
  <c r="S3837" i="5"/>
  <c r="S3827" i="5"/>
  <c r="R3824" i="5"/>
  <c r="S3826" i="5"/>
  <c r="R3829" i="5"/>
  <c r="S3831" i="5"/>
  <c r="R3827" i="5"/>
  <c r="R3825" i="5"/>
  <c r="S3825" i="5"/>
  <c r="L2483" i="5" l="1"/>
  <c r="S2483" i="5" s="1"/>
  <c r="L2484" i="5"/>
  <c r="S2484" i="5" s="1"/>
  <c r="L2485" i="5"/>
  <c r="S2485" i="5" s="1"/>
  <c r="A2415" i="5"/>
  <c r="A2416" i="5" s="1"/>
  <c r="E2416" i="5"/>
  <c r="L2367" i="5"/>
  <c r="S2367" i="5" s="1"/>
  <c r="L2368" i="5"/>
  <c r="S2368" i="5" s="1"/>
  <c r="L2369" i="5"/>
  <c r="S2369" i="5" s="1"/>
  <c r="L2370" i="5"/>
  <c r="S2370" i="5" s="1"/>
  <c r="L2371" i="5"/>
  <c r="S2371" i="5" s="1"/>
  <c r="L2372" i="5"/>
  <c r="S2372" i="5" s="1"/>
  <c r="L2373" i="5"/>
  <c r="S2373" i="5" s="1"/>
  <c r="M2366" i="5"/>
  <c r="R2366" i="5" s="1"/>
  <c r="L3721" i="5"/>
  <c r="G3721" i="5"/>
  <c r="L2341" i="5"/>
  <c r="L2320" i="5"/>
  <c r="S2320" i="5" s="1"/>
  <c r="L2321" i="5"/>
  <c r="S2321" i="5" s="1"/>
  <c r="L2319" i="5"/>
  <c r="S2319" i="5" s="1"/>
  <c r="L2318" i="5"/>
  <c r="S2318" i="5" l="1"/>
  <c r="R3721" i="5"/>
  <c r="R2415" i="5"/>
  <c r="L2415" i="5"/>
  <c r="L2366" i="5"/>
  <c r="S2341" i="5"/>
  <c r="L2255" i="5"/>
  <c r="S2366" i="5" l="1"/>
  <c r="S2415" i="5"/>
  <c r="L2118" i="5"/>
  <c r="L3470" i="5"/>
  <c r="S2118" i="5" l="1"/>
  <c r="R2438" i="5" l="1"/>
  <c r="L2438" i="5"/>
  <c r="R2437" i="5"/>
  <c r="L2437" i="5"/>
  <c r="T2438" i="5" l="1"/>
  <c r="T2437" i="5"/>
  <c r="S2437" i="5"/>
  <c r="L639" i="5" l="1"/>
  <c r="L618" i="5"/>
  <c r="L637" i="5"/>
  <c r="N615" i="5"/>
  <c r="R594" i="5"/>
  <c r="L594" i="5"/>
  <c r="Y698" i="5" l="1"/>
  <c r="Y615" i="5"/>
  <c r="L615" i="5"/>
  <c r="L1365" i="5" l="1"/>
  <c r="L534" i="5" l="1"/>
  <c r="L456" i="5"/>
  <c r="L102" i="5"/>
  <c r="L97" i="5"/>
  <c r="L320" i="5"/>
  <c r="S456" i="5" l="1"/>
  <c r="S97" i="5"/>
  <c r="S320" i="5"/>
  <c r="S102" i="5"/>
  <c r="P4766" i="5" l="1"/>
  <c r="N4766" i="5"/>
  <c r="J4766" i="5"/>
  <c r="G4766" i="5"/>
  <c r="E4766" i="5"/>
  <c r="D4766" i="5"/>
  <c r="M4766" i="5"/>
  <c r="P4763" i="5"/>
  <c r="N4763" i="5"/>
  <c r="J4763" i="5"/>
  <c r="G4763" i="5"/>
  <c r="E4763" i="5"/>
  <c r="D4763" i="5"/>
  <c r="P4758" i="5"/>
  <c r="O4758" i="5"/>
  <c r="N4758" i="5"/>
  <c r="M4758" i="5"/>
  <c r="J4758" i="5"/>
  <c r="G4758" i="5"/>
  <c r="E4758" i="5"/>
  <c r="D4758" i="5"/>
  <c r="R4757" i="5"/>
  <c r="L4757" i="5"/>
  <c r="P4755" i="5"/>
  <c r="O4755" i="5"/>
  <c r="N4755" i="5"/>
  <c r="M4755" i="5"/>
  <c r="J4755" i="5"/>
  <c r="G4755" i="5"/>
  <c r="E4755" i="5"/>
  <c r="D4755" i="5"/>
  <c r="R4754" i="5"/>
  <c r="P4752" i="5"/>
  <c r="O4752" i="5"/>
  <c r="N4752" i="5"/>
  <c r="J4752" i="5"/>
  <c r="G4752" i="5"/>
  <c r="E4752" i="5"/>
  <c r="D4752" i="5"/>
  <c r="P4742" i="5"/>
  <c r="O4742" i="5"/>
  <c r="N4742" i="5"/>
  <c r="J4742" i="5"/>
  <c r="G4742" i="5"/>
  <c r="E4742" i="5"/>
  <c r="D4742" i="5"/>
  <c r="P4738" i="5"/>
  <c r="O4738" i="5"/>
  <c r="N4738" i="5"/>
  <c r="J4738" i="5"/>
  <c r="G4738" i="5"/>
  <c r="E4738" i="5"/>
  <c r="D4738" i="5"/>
  <c r="P4735" i="5"/>
  <c r="O4735" i="5"/>
  <c r="N4735" i="5"/>
  <c r="M4735" i="5"/>
  <c r="J4735" i="5"/>
  <c r="G4735" i="5"/>
  <c r="E4735" i="5"/>
  <c r="D4735" i="5"/>
  <c r="R4734" i="5"/>
  <c r="P4732" i="5"/>
  <c r="N4732" i="5"/>
  <c r="J4732" i="5"/>
  <c r="G4732" i="5"/>
  <c r="E4732" i="5"/>
  <c r="R4731" i="5"/>
  <c r="D4731" i="5"/>
  <c r="D4732" i="5" s="1"/>
  <c r="Q4728" i="5"/>
  <c r="P4728" i="5"/>
  <c r="O4728" i="5"/>
  <c r="N4728" i="5"/>
  <c r="M4728" i="5"/>
  <c r="R4714" i="5"/>
  <c r="L4714" i="5"/>
  <c r="P334" i="2" s="1"/>
  <c r="D4714" i="5"/>
  <c r="R4713" i="5"/>
  <c r="L4713" i="5"/>
  <c r="P333" i="2" s="1"/>
  <c r="D4713" i="5"/>
  <c r="R4712" i="5"/>
  <c r="L4712" i="5"/>
  <c r="L332" i="2" s="1"/>
  <c r="D4712" i="5"/>
  <c r="L4711" i="5"/>
  <c r="D331" i="2" s="1"/>
  <c r="J4711" i="5"/>
  <c r="J4728" i="5" s="1"/>
  <c r="G4711" i="5"/>
  <c r="G4728" i="5" s="1"/>
  <c r="E4711" i="5"/>
  <c r="E4728" i="5" s="1"/>
  <c r="D4711" i="5"/>
  <c r="R4710" i="5"/>
  <c r="L4710" i="5"/>
  <c r="H330" i="2" s="1"/>
  <c r="R4709" i="5"/>
  <c r="L4709" i="5"/>
  <c r="P329" i="2" s="1"/>
  <c r="D4709" i="5"/>
  <c r="R4708" i="5"/>
  <c r="L4708" i="5"/>
  <c r="D4708" i="5"/>
  <c r="R4707" i="5"/>
  <c r="L4707" i="5"/>
  <c r="P327" i="2" s="1"/>
  <c r="D4707" i="5"/>
  <c r="R4706" i="5"/>
  <c r="L4706" i="5"/>
  <c r="H326" i="2" s="1"/>
  <c r="D4706" i="5"/>
  <c r="R4705" i="5"/>
  <c r="L4705" i="5"/>
  <c r="P325" i="2" s="1"/>
  <c r="D4705" i="5"/>
  <c r="R4704" i="5"/>
  <c r="L4704" i="5"/>
  <c r="P324" i="2" s="1"/>
  <c r="D4704" i="5"/>
  <c r="R4703" i="5"/>
  <c r="L4703" i="5"/>
  <c r="D323" i="2" s="1"/>
  <c r="D4703" i="5"/>
  <c r="R4702" i="5"/>
  <c r="L4702" i="5"/>
  <c r="P322" i="2" s="1"/>
  <c r="D4702" i="5"/>
  <c r="R4701" i="5"/>
  <c r="L4701" i="5"/>
  <c r="H321" i="2" s="1"/>
  <c r="D4701" i="5"/>
  <c r="R4700" i="5"/>
  <c r="L4700" i="5"/>
  <c r="P320" i="2" s="1"/>
  <c r="D4700" i="5"/>
  <c r="R4699" i="5"/>
  <c r="L4699" i="5"/>
  <c r="P319" i="2" s="1"/>
  <c r="D4699" i="5"/>
  <c r="R4698" i="5"/>
  <c r="L4698" i="5"/>
  <c r="H318" i="2" s="1"/>
  <c r="D4698" i="5"/>
  <c r="R4697" i="5"/>
  <c r="L4697" i="5"/>
  <c r="D317" i="2" s="1"/>
  <c r="D348" i="2" s="1"/>
  <c r="D4697" i="5"/>
  <c r="A4697" i="5"/>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R4696" i="5"/>
  <c r="L4696" i="5"/>
  <c r="H316" i="2" s="1"/>
  <c r="D4696" i="5"/>
  <c r="P4694" i="5"/>
  <c r="N4694" i="5"/>
  <c r="J4694" i="5"/>
  <c r="G4694" i="5"/>
  <c r="E4694" i="5"/>
  <c r="D4694" i="5"/>
  <c r="R4693" i="5"/>
  <c r="L4693" i="5"/>
  <c r="R4692" i="5"/>
  <c r="R4691" i="5"/>
  <c r="R4690" i="5"/>
  <c r="R4687" i="5"/>
  <c r="A4687" i="5"/>
  <c r="A4688" i="5" s="1"/>
  <c r="A4689" i="5" s="1"/>
  <c r="A4690" i="5" s="1"/>
  <c r="A4691" i="5" s="1"/>
  <c r="A4692" i="5" s="1"/>
  <c r="A4693" i="5" s="1"/>
  <c r="P4684" i="5"/>
  <c r="N4684" i="5"/>
  <c r="J4684" i="5"/>
  <c r="G4684" i="5"/>
  <c r="E4684" i="5"/>
  <c r="D4684" i="5"/>
  <c r="R4679" i="5"/>
  <c r="O4674" i="5"/>
  <c r="J4674" i="5"/>
  <c r="G4674" i="5"/>
  <c r="E4674" i="5"/>
  <c r="D4674" i="5"/>
  <c r="N4674" i="5"/>
  <c r="T4672" i="5"/>
  <c r="J4671" i="5"/>
  <c r="G4671" i="5"/>
  <c r="E4671" i="5"/>
  <c r="D4671" i="5"/>
  <c r="A4668" i="5"/>
  <c r="A4669" i="5" s="1"/>
  <c r="A4670" i="5" s="1"/>
  <c r="T4666" i="5"/>
  <c r="N4665" i="5"/>
  <c r="J4665" i="5"/>
  <c r="G4665" i="5"/>
  <c r="E4665" i="5"/>
  <c r="D4665" i="5"/>
  <c r="R4664" i="5"/>
  <c r="T4663" i="5"/>
  <c r="J4662" i="5"/>
  <c r="R4645" i="5"/>
  <c r="G4643" i="5"/>
  <c r="E4643" i="5"/>
  <c r="E4662" i="5" s="1"/>
  <c r="R4642" i="5"/>
  <c r="A4642" i="5"/>
  <c r="A4643" i="5" s="1"/>
  <c r="A4644" i="5" s="1"/>
  <c r="A4645" i="5" s="1"/>
  <c r="A4646" i="5" s="1"/>
  <c r="A4647" i="5" s="1"/>
  <c r="A4648" i="5" s="1"/>
  <c r="A4649" i="5" s="1"/>
  <c r="A4650" i="5" s="1"/>
  <c r="A4651" i="5" s="1"/>
  <c r="A4652" i="5" s="1"/>
  <c r="A4653" i="5" s="1"/>
  <c r="A4654" i="5" s="1"/>
  <c r="A4655" i="5" s="1"/>
  <c r="A4656" i="5" s="1"/>
  <c r="A4657" i="5" s="1"/>
  <c r="A4658" i="5" s="1"/>
  <c r="T4640" i="5"/>
  <c r="J4639" i="5"/>
  <c r="G4639" i="5"/>
  <c r="E4639" i="5"/>
  <c r="D4639" i="5"/>
  <c r="A4635" i="5"/>
  <c r="R4634" i="5"/>
  <c r="T4633" i="5"/>
  <c r="P4632" i="5"/>
  <c r="N4632" i="5"/>
  <c r="J4632" i="5"/>
  <c r="G4632" i="5"/>
  <c r="E4632" i="5"/>
  <c r="D4632" i="5"/>
  <c r="T4629" i="5"/>
  <c r="P4628" i="5"/>
  <c r="N4628" i="5"/>
  <c r="J4628" i="5"/>
  <c r="G4628" i="5"/>
  <c r="E4628" i="5"/>
  <c r="D4628" i="5"/>
  <c r="T4621" i="5"/>
  <c r="T4617" i="5"/>
  <c r="P4616" i="5"/>
  <c r="O4616" i="5"/>
  <c r="J4616" i="5"/>
  <c r="E4616" i="5"/>
  <c r="D4616" i="5"/>
  <c r="G4615" i="5"/>
  <c r="G4614" i="5"/>
  <c r="T4613" i="5"/>
  <c r="N4612" i="5"/>
  <c r="J4612" i="5"/>
  <c r="G4612" i="5"/>
  <c r="E4612" i="5"/>
  <c r="D4612" i="5"/>
  <c r="R4610" i="5"/>
  <c r="A4610" i="5"/>
  <c r="A4611" i="5" s="1"/>
  <c r="L4609" i="5"/>
  <c r="T4608" i="5"/>
  <c r="P4607" i="5"/>
  <c r="J4607" i="5"/>
  <c r="G4607" i="5"/>
  <c r="E4607" i="5"/>
  <c r="D4607" i="5"/>
  <c r="R4606" i="5"/>
  <c r="R4605" i="5"/>
  <c r="A4605" i="5"/>
  <c r="A4606" i="5" s="1"/>
  <c r="T4603" i="5"/>
  <c r="Q4602" i="5"/>
  <c r="N4602" i="5"/>
  <c r="M4602" i="5"/>
  <c r="J4602" i="5"/>
  <c r="G4602" i="5"/>
  <c r="E4602" i="5"/>
  <c r="D4602" i="5"/>
  <c r="L4601" i="5"/>
  <c r="T4600" i="5"/>
  <c r="J4599" i="5"/>
  <c r="E4599" i="5"/>
  <c r="D4599" i="5"/>
  <c r="R4598" i="5"/>
  <c r="T4596" i="5"/>
  <c r="P4595" i="5"/>
  <c r="O4595" i="5"/>
  <c r="J4595" i="5"/>
  <c r="G4595" i="5"/>
  <c r="E4595" i="5"/>
  <c r="D4595" i="5"/>
  <c r="L4594" i="5"/>
  <c r="L4593" i="5"/>
  <c r="L4592" i="5"/>
  <c r="A4593" i="5"/>
  <c r="A4594" i="5" s="1"/>
  <c r="T4590" i="5"/>
  <c r="N4589" i="5"/>
  <c r="J4589" i="5"/>
  <c r="G4589" i="5"/>
  <c r="E4589" i="5"/>
  <c r="M4589" i="5"/>
  <c r="R4586" i="5"/>
  <c r="L4586" i="5"/>
  <c r="D4589" i="5"/>
  <c r="R4585" i="5"/>
  <c r="L4585" i="5"/>
  <c r="T4584" i="5"/>
  <c r="J4583" i="5"/>
  <c r="G4583" i="5"/>
  <c r="E4583" i="5"/>
  <c r="D4583" i="5"/>
  <c r="R4582" i="5"/>
  <c r="A4582" i="5"/>
  <c r="R4581" i="5"/>
  <c r="T4580" i="5"/>
  <c r="N4579" i="5"/>
  <c r="J4579" i="5"/>
  <c r="E4579" i="5"/>
  <c r="D4579" i="5"/>
  <c r="G4576" i="5"/>
  <c r="T4575" i="5"/>
  <c r="O4574" i="5"/>
  <c r="J4574" i="5"/>
  <c r="G4574" i="5"/>
  <c r="E4574" i="5"/>
  <c r="D4574" i="5"/>
  <c r="N4574" i="5"/>
  <c r="T4570" i="5"/>
  <c r="O4569" i="5"/>
  <c r="J4569" i="5"/>
  <c r="G4569" i="5"/>
  <c r="E4569" i="5"/>
  <c r="D4569" i="5"/>
  <c r="L4568" i="5"/>
  <c r="L4567" i="5"/>
  <c r="R4566" i="5"/>
  <c r="L4565" i="5"/>
  <c r="T4564" i="5"/>
  <c r="J4563" i="5"/>
  <c r="G4563" i="5"/>
  <c r="E4559" i="5"/>
  <c r="D4559" i="5" s="1"/>
  <c r="T4558" i="5"/>
  <c r="P4557" i="5"/>
  <c r="N4557" i="5"/>
  <c r="J4557" i="5"/>
  <c r="G4557" i="5"/>
  <c r="E4557" i="5"/>
  <c r="R4554" i="5"/>
  <c r="L4554" i="5"/>
  <c r="D4554" i="5"/>
  <c r="D4553" i="5"/>
  <c r="A4553" i="5"/>
  <c r="A4554" i="5" s="1"/>
  <c r="A4555" i="5" s="1"/>
  <c r="A4556" i="5" s="1"/>
  <c r="T4551" i="5"/>
  <c r="P4550" i="5"/>
  <c r="J4550" i="5"/>
  <c r="D4547" i="5"/>
  <c r="E4546" i="5"/>
  <c r="D4546" i="5" s="1"/>
  <c r="E4545" i="5"/>
  <c r="D4545" i="5" s="1"/>
  <c r="R4544" i="5"/>
  <c r="E4544" i="5"/>
  <c r="D4543" i="5"/>
  <c r="R4542" i="5"/>
  <c r="D4542" i="5"/>
  <c r="D4541" i="5"/>
  <c r="D4540" i="5"/>
  <c r="D4539" i="5"/>
  <c r="D4538" i="5"/>
  <c r="L4537" i="5"/>
  <c r="D4537" i="5"/>
  <c r="G4536" i="5"/>
  <c r="D4536" i="5"/>
  <c r="G4535" i="5"/>
  <c r="D4535" i="5"/>
  <c r="A4535" i="5"/>
  <c r="A4536" i="5" s="1"/>
  <c r="D4534" i="5"/>
  <c r="M4528" i="5"/>
  <c r="J4528" i="5"/>
  <c r="G4528" i="5"/>
  <c r="E4528" i="5"/>
  <c r="D4528" i="5"/>
  <c r="R4522" i="5"/>
  <c r="R4521" i="5"/>
  <c r="R4520" i="5"/>
  <c r="R4519" i="5"/>
  <c r="R4518" i="5"/>
  <c r="R4517" i="5"/>
  <c r="R4516" i="5"/>
  <c r="R4515" i="5"/>
  <c r="R4514" i="5"/>
  <c r="O4528" i="5"/>
  <c r="A4514" i="5"/>
  <c r="A4515" i="5" s="1"/>
  <c r="A4516" i="5" s="1"/>
  <c r="R4513" i="5"/>
  <c r="O4511" i="5"/>
  <c r="N4511" i="5"/>
  <c r="J4511" i="5"/>
  <c r="G4511" i="5"/>
  <c r="E4511" i="5"/>
  <c r="D4511" i="5"/>
  <c r="J4507" i="5"/>
  <c r="G4507" i="5"/>
  <c r="E4507" i="5"/>
  <c r="D4507" i="5"/>
  <c r="R4506" i="5"/>
  <c r="A4505" i="5"/>
  <c r="A4506" i="5" s="1"/>
  <c r="R4503" i="5"/>
  <c r="J4501" i="5"/>
  <c r="G4501" i="5"/>
  <c r="E4501" i="5"/>
  <c r="D4501" i="5"/>
  <c r="R4499" i="5"/>
  <c r="R4497" i="5"/>
  <c r="R4494" i="5"/>
  <c r="A4494" i="5"/>
  <c r="A4495" i="5" s="1"/>
  <c r="A4496" i="5" s="1"/>
  <c r="A4497" i="5" s="1"/>
  <c r="A4498" i="5" s="1"/>
  <c r="A4499" i="5" s="1"/>
  <c r="A4500" i="5" s="1"/>
  <c r="R4493" i="5"/>
  <c r="N4487" i="5"/>
  <c r="M4487" i="5"/>
  <c r="J4487" i="5"/>
  <c r="G4487" i="5"/>
  <c r="E4487" i="5"/>
  <c r="R4486" i="5"/>
  <c r="Q4487" i="5"/>
  <c r="D4486" i="5"/>
  <c r="D4487" i="5" s="1"/>
  <c r="P4484" i="5"/>
  <c r="O4484" i="5"/>
  <c r="J4484" i="5"/>
  <c r="G4484" i="5"/>
  <c r="E4484" i="5"/>
  <c r="D4484" i="5"/>
  <c r="R4483" i="5"/>
  <c r="S4483" i="5"/>
  <c r="N4484" i="5"/>
  <c r="N4480" i="5"/>
  <c r="J4480" i="5"/>
  <c r="G4480" i="5"/>
  <c r="E4480" i="5"/>
  <c r="D4480" i="5"/>
  <c r="R4479" i="5"/>
  <c r="L4479" i="5"/>
  <c r="S4479" i="5" s="1"/>
  <c r="L4478" i="5"/>
  <c r="S4478" i="5" s="1"/>
  <c r="L4477" i="5"/>
  <c r="R4476" i="5"/>
  <c r="R4472" i="5"/>
  <c r="A4471" i="5"/>
  <c r="A4472" i="5" s="1"/>
  <c r="A4473" i="5" s="1"/>
  <c r="A4474" i="5" s="1"/>
  <c r="A4475" i="5" s="1"/>
  <c r="A4476" i="5" s="1"/>
  <c r="R4470" i="5"/>
  <c r="J4468" i="5"/>
  <c r="D4468" i="5"/>
  <c r="P4279" i="5"/>
  <c r="N4279" i="5"/>
  <c r="J4279" i="5"/>
  <c r="G4279" i="5"/>
  <c r="E4279" i="5"/>
  <c r="D4279" i="5"/>
  <c r="R4356" i="5"/>
  <c r="L4354" i="5"/>
  <c r="R4353" i="5"/>
  <c r="L4353" i="5"/>
  <c r="R4352" i="5"/>
  <c r="L4352" i="5"/>
  <c r="L4351" i="5"/>
  <c r="R4350" i="5"/>
  <c r="L4350" i="5"/>
  <c r="R4349" i="5"/>
  <c r="L4349" i="5"/>
  <c r="R4348" i="5"/>
  <c r="L4348" i="5"/>
  <c r="R4347" i="5"/>
  <c r="L4347" i="5"/>
  <c r="L4346" i="5"/>
  <c r="R4345" i="5"/>
  <c r="L4345" i="5"/>
  <c r="R4344" i="5"/>
  <c r="L4344" i="5"/>
  <c r="R4343" i="5"/>
  <c r="Q4343" i="5"/>
  <c r="L4343" i="5" s="1"/>
  <c r="R4342" i="5"/>
  <c r="Q4342" i="5"/>
  <c r="L4342" i="5" s="1"/>
  <c r="Q4340" i="5"/>
  <c r="L4340" i="5" s="1"/>
  <c r="R4339" i="5"/>
  <c r="Q4339" i="5"/>
  <c r="L4339" i="5" s="1"/>
  <c r="R4338" i="5"/>
  <c r="Q4338" i="5"/>
  <c r="L4338" i="5" s="1"/>
  <c r="R4337" i="5"/>
  <c r="Q4337" i="5"/>
  <c r="L4337" i="5" s="1"/>
  <c r="A4337" i="5"/>
  <c r="A4338" i="5" s="1"/>
  <c r="A4339" i="5" s="1"/>
  <c r="A4340" i="5" s="1"/>
  <c r="Q4336" i="5"/>
  <c r="L4336" i="5" s="1"/>
  <c r="Q4335" i="5"/>
  <c r="R4334" i="5"/>
  <c r="Q4334" i="5"/>
  <c r="R4333" i="5"/>
  <c r="Q4333" i="5"/>
  <c r="R4332" i="5"/>
  <c r="Q4332" i="5"/>
  <c r="R4331" i="5"/>
  <c r="Q4331" i="5"/>
  <c r="L4331" i="5" s="1"/>
  <c r="R4330" i="5"/>
  <c r="Q4330" i="5"/>
  <c r="L4330" i="5" s="1"/>
  <c r="L4329" i="5"/>
  <c r="R4328" i="5"/>
  <c r="Q4328" i="5"/>
  <c r="L4328" i="5" s="1"/>
  <c r="Q4327" i="5"/>
  <c r="L4327" i="5" s="1"/>
  <c r="R4326" i="5"/>
  <c r="Q4326" i="5"/>
  <c r="L4326" i="5" s="1"/>
  <c r="R4325" i="5"/>
  <c r="Q4325" i="5"/>
  <c r="L4325" i="5" s="1"/>
  <c r="Q4324" i="5"/>
  <c r="L4324" i="5" s="1"/>
  <c r="R4323" i="5"/>
  <c r="Q4323" i="5"/>
  <c r="L4323" i="5" s="1"/>
  <c r="R4322" i="5"/>
  <c r="Q4322" i="5"/>
  <c r="L4322" i="5" s="1"/>
  <c r="R4321" i="5"/>
  <c r="Q4321" i="5"/>
  <c r="L4321" i="5" s="1"/>
  <c r="R4320" i="5"/>
  <c r="Q4320" i="5"/>
  <c r="L4320" i="5" s="1"/>
  <c r="R4319" i="5"/>
  <c r="Q4319" i="5"/>
  <c r="L4319" i="5" s="1"/>
  <c r="R4318" i="5"/>
  <c r="Q4318" i="5"/>
  <c r="L4318" i="5" s="1"/>
  <c r="Q4317" i="5"/>
  <c r="L4317" i="5" s="1"/>
  <c r="Q4316" i="5"/>
  <c r="L4316" i="5" s="1"/>
  <c r="R4315" i="5"/>
  <c r="Q4315" i="5"/>
  <c r="L4315" i="5" s="1"/>
  <c r="R4314" i="5"/>
  <c r="Q4314" i="5"/>
  <c r="L4314" i="5" s="1"/>
  <c r="A4313" i="5"/>
  <c r="R4312" i="5"/>
  <c r="Q4312" i="5"/>
  <c r="L4312" i="5" s="1"/>
  <c r="Q4311" i="5"/>
  <c r="R4310" i="5"/>
  <c r="Q4310" i="5"/>
  <c r="Q4309" i="5"/>
  <c r="Q4308" i="5"/>
  <c r="Q4307" i="5"/>
  <c r="L4307" i="5" s="1"/>
  <c r="Q4306" i="5"/>
  <c r="L4306" i="5" s="1"/>
  <c r="Q4305" i="5"/>
  <c r="L4305" i="5" s="1"/>
  <c r="Q4304" i="5"/>
  <c r="L4304" i="5" s="1"/>
  <c r="A4304" i="5"/>
  <c r="A4305" i="5" s="1"/>
  <c r="A4306" i="5" s="1"/>
  <c r="Q4303" i="5"/>
  <c r="L4303" i="5" s="1"/>
  <c r="S4302" i="5"/>
  <c r="Q4301" i="5"/>
  <c r="Q4300" i="5"/>
  <c r="L4300" i="5" s="1"/>
  <c r="R4299" i="5"/>
  <c r="Q4299" i="5"/>
  <c r="R4298" i="5"/>
  <c r="Q4298" i="5"/>
  <c r="Q4297" i="5"/>
  <c r="L4297" i="5" s="1"/>
  <c r="Q4296" i="5"/>
  <c r="L4296" i="5" s="1"/>
  <c r="Q4295" i="5"/>
  <c r="L4295" i="5" s="1"/>
  <c r="A4295" i="5"/>
  <c r="A4296" i="5" s="1"/>
  <c r="A4297" i="5" s="1"/>
  <c r="Q4294" i="5"/>
  <c r="L4294" i="5" s="1"/>
  <c r="Q4293" i="5"/>
  <c r="L4293" i="5" s="1"/>
  <c r="R4292" i="5"/>
  <c r="Q4292" i="5"/>
  <c r="Q4290" i="5"/>
  <c r="Q4289" i="5"/>
  <c r="R4288" i="5"/>
  <c r="Q4288" i="5"/>
  <c r="Q4287" i="5"/>
  <c r="Q4286" i="5"/>
  <c r="Q4285" i="5"/>
  <c r="Q4284" i="5"/>
  <c r="Q4283" i="5"/>
  <c r="Q4282" i="5"/>
  <c r="L4282" i="5" s="1"/>
  <c r="A4282" i="5"/>
  <c r="R4281" i="5"/>
  <c r="Q4281" i="5"/>
  <c r="P4275" i="5"/>
  <c r="N4275" i="5"/>
  <c r="J4275" i="5"/>
  <c r="G4275" i="5"/>
  <c r="E4275" i="5"/>
  <c r="D4275" i="5"/>
  <c r="M4274" i="5"/>
  <c r="A4273" i="5"/>
  <c r="A4274" i="5" s="1"/>
  <c r="M4272" i="5"/>
  <c r="P4270" i="5"/>
  <c r="N4270" i="5"/>
  <c r="J4270" i="5"/>
  <c r="G4270" i="5"/>
  <c r="E4270" i="5"/>
  <c r="D4270" i="5"/>
  <c r="M4269" i="5"/>
  <c r="M4270" i="5" s="1"/>
  <c r="R4268" i="5"/>
  <c r="O4268" i="5"/>
  <c r="P4266" i="5"/>
  <c r="N4266" i="5"/>
  <c r="J4266" i="5"/>
  <c r="G4266" i="5"/>
  <c r="E4266" i="5"/>
  <c r="D4266" i="5"/>
  <c r="M4265" i="5"/>
  <c r="R4264" i="5"/>
  <c r="L4264" i="5"/>
  <c r="R4263" i="5"/>
  <c r="Q4263" i="5"/>
  <c r="M4262" i="5"/>
  <c r="R4261" i="5"/>
  <c r="Q4261" i="5"/>
  <c r="O4261" i="5"/>
  <c r="M4260" i="5"/>
  <c r="O4260" i="5" s="1"/>
  <c r="M4259" i="5"/>
  <c r="M4258" i="5"/>
  <c r="R4258" i="5" s="1"/>
  <c r="M4257" i="5"/>
  <c r="R4257" i="5" s="1"/>
  <c r="M4256" i="5"/>
  <c r="R4256" i="5" s="1"/>
  <c r="M4255" i="5"/>
  <c r="Q4255" i="5" s="1"/>
  <c r="M4254" i="5"/>
  <c r="O4254" i="5" s="1"/>
  <c r="M4253" i="5"/>
  <c r="O4253" i="5" s="1"/>
  <c r="M4252" i="5"/>
  <c r="O4252" i="5" s="1"/>
  <c r="M4251" i="5"/>
  <c r="O4251" i="5" s="1"/>
  <c r="M4250" i="5"/>
  <c r="O4250" i="5" s="1"/>
  <c r="R4249" i="5"/>
  <c r="L4249" i="5"/>
  <c r="M4248" i="5"/>
  <c r="Q4248" i="5" s="1"/>
  <c r="L4248" i="5" s="1"/>
  <c r="M4247" i="5"/>
  <c r="O4247" i="5" s="1"/>
  <c r="M4246" i="5"/>
  <c r="O4246" i="5" s="1"/>
  <c r="L4245" i="5"/>
  <c r="M4244" i="5"/>
  <c r="O4244" i="5" s="1"/>
  <c r="M4243" i="5"/>
  <c r="O4243" i="5" s="1"/>
  <c r="M4242" i="5"/>
  <c r="R4242" i="5" s="1"/>
  <c r="M4241" i="5"/>
  <c r="Q4241" i="5" s="1"/>
  <c r="L4241" i="5" s="1"/>
  <c r="A4241" i="5"/>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R4240" i="5"/>
  <c r="Q4240" i="5"/>
  <c r="M4239" i="5"/>
  <c r="P4237" i="5"/>
  <c r="N4237" i="5"/>
  <c r="J4237" i="5"/>
  <c r="G4237" i="5"/>
  <c r="E4237" i="5"/>
  <c r="D4237" i="5"/>
  <c r="A4234" i="5"/>
  <c r="A4235" i="5" s="1"/>
  <c r="A4236" i="5" s="1"/>
  <c r="R4232" i="5"/>
  <c r="R4231" i="5"/>
  <c r="O4230" i="5"/>
  <c r="R4229" i="5"/>
  <c r="L4228" i="5"/>
  <c r="R4227" i="5"/>
  <c r="L4227" i="5"/>
  <c r="A4227" i="5"/>
  <c r="A4228" i="5" s="1"/>
  <c r="A4229" i="5" s="1"/>
  <c r="A4230" i="5" s="1"/>
  <c r="A4231" i="5" s="1"/>
  <c r="O4226" i="5"/>
  <c r="P4224" i="5"/>
  <c r="O4224" i="5"/>
  <c r="N4224" i="5"/>
  <c r="J4224" i="5"/>
  <c r="G4224" i="5"/>
  <c r="E4224" i="5"/>
  <c r="D4224" i="5"/>
  <c r="A4220" i="5"/>
  <c r="A4221" i="5" s="1"/>
  <c r="A4222" i="5" s="1"/>
  <c r="A4223" i="5" s="1"/>
  <c r="R4208" i="5"/>
  <c r="O4208" i="5"/>
  <c r="R4206" i="5"/>
  <c r="O4206" i="5"/>
  <c r="R4205" i="5"/>
  <c r="P4192" i="5"/>
  <c r="O4192" i="5"/>
  <c r="N4192" i="5"/>
  <c r="J4192" i="5"/>
  <c r="G4192" i="5"/>
  <c r="E4192" i="5"/>
  <c r="D4192" i="5"/>
  <c r="M4192" i="5"/>
  <c r="L4190" i="5"/>
  <c r="A4191" i="5"/>
  <c r="L4189" i="5"/>
  <c r="P4187" i="5"/>
  <c r="O4187" i="5"/>
  <c r="N4187" i="5"/>
  <c r="J4187" i="5"/>
  <c r="E4187" i="5"/>
  <c r="D4187" i="5"/>
  <c r="P4184" i="5"/>
  <c r="N4184" i="5"/>
  <c r="J4184" i="5"/>
  <c r="G4184" i="5"/>
  <c r="E4184" i="5"/>
  <c r="D4184" i="5"/>
  <c r="R4170" i="5"/>
  <c r="S4170" i="5"/>
  <c r="R4169" i="5"/>
  <c r="R4168" i="5"/>
  <c r="S4157" i="5"/>
  <c r="S4156" i="5"/>
  <c r="S4155" i="5"/>
  <c r="R4167" i="5"/>
  <c r="S4154" i="5"/>
  <c r="N4153" i="5"/>
  <c r="L4153" i="5" s="1"/>
  <c r="L4165" i="5"/>
  <c r="R4164" i="5"/>
  <c r="N4152" i="5"/>
  <c r="L4152" i="5" s="1"/>
  <c r="N4151" i="5"/>
  <c r="L4151" i="5" s="1"/>
  <c r="R4161" i="5"/>
  <c r="S4161" i="5"/>
  <c r="Q4149" i="5"/>
  <c r="P4149" i="5"/>
  <c r="O4149" i="5"/>
  <c r="N4149" i="5"/>
  <c r="M4149" i="5"/>
  <c r="J4149" i="5"/>
  <c r="G4149" i="5"/>
  <c r="E4149" i="5"/>
  <c r="D4149" i="5"/>
  <c r="R4148" i="5"/>
  <c r="L4148" i="5"/>
  <c r="P4141" i="5"/>
  <c r="O4141" i="5"/>
  <c r="N4141" i="5"/>
  <c r="J4141" i="5"/>
  <c r="G4141" i="5"/>
  <c r="D4141" i="5"/>
  <c r="Q4135" i="5"/>
  <c r="P4135" i="5"/>
  <c r="N4135" i="5"/>
  <c r="M4135" i="5"/>
  <c r="J4135" i="5"/>
  <c r="G4135" i="5"/>
  <c r="E4135" i="5"/>
  <c r="D4135" i="5"/>
  <c r="R4134" i="5"/>
  <c r="L4134" i="5"/>
  <c r="P4132" i="5"/>
  <c r="J4132" i="5"/>
  <c r="E4132" i="5"/>
  <c r="D4132" i="5"/>
  <c r="O4116" i="5"/>
  <c r="R4110" i="5"/>
  <c r="P4108" i="5"/>
  <c r="O4108" i="5"/>
  <c r="N4108" i="5"/>
  <c r="J4108" i="5"/>
  <c r="G4108" i="5"/>
  <c r="E4108" i="5"/>
  <c r="D4108" i="5"/>
  <c r="P4102" i="5"/>
  <c r="N4102" i="5"/>
  <c r="J4102" i="5"/>
  <c r="G4102" i="5"/>
  <c r="E4102" i="5"/>
  <c r="D4102" i="5"/>
  <c r="P4098" i="5"/>
  <c r="O4098" i="5"/>
  <c r="N4098" i="5"/>
  <c r="J4098" i="5"/>
  <c r="G4098" i="5"/>
  <c r="E4098" i="5"/>
  <c r="D4098" i="5"/>
  <c r="P4095" i="5"/>
  <c r="O4095" i="5"/>
  <c r="N4095" i="5"/>
  <c r="J4095" i="5"/>
  <c r="G4095" i="5"/>
  <c r="E4095" i="5"/>
  <c r="D4095" i="5"/>
  <c r="Q4091" i="5"/>
  <c r="P4091" i="5"/>
  <c r="O4091" i="5"/>
  <c r="N4091" i="5"/>
  <c r="M4091" i="5"/>
  <c r="J4091" i="5"/>
  <c r="G4091" i="5"/>
  <c r="E4091" i="5"/>
  <c r="D4091" i="5"/>
  <c r="R4090" i="5"/>
  <c r="L4090" i="5"/>
  <c r="R4089" i="5"/>
  <c r="L4089" i="5"/>
  <c r="R4088" i="5"/>
  <c r="L4088" i="5"/>
  <c r="R4087" i="5"/>
  <c r="L4087" i="5"/>
  <c r="R4086" i="5"/>
  <c r="L4086" i="5"/>
  <c r="R4085" i="5"/>
  <c r="L4085" i="5"/>
  <c r="R4084" i="5"/>
  <c r="L4084" i="5"/>
  <c r="R4083" i="5"/>
  <c r="L4083" i="5"/>
  <c r="A4083" i="5"/>
  <c r="A4084" i="5" s="1"/>
  <c r="A4085" i="5" s="1"/>
  <c r="A4086" i="5" s="1"/>
  <c r="A4087" i="5" s="1"/>
  <c r="A4088" i="5" s="1"/>
  <c r="A4089" i="5" s="1"/>
  <c r="A4090" i="5" s="1"/>
  <c r="R4082" i="5"/>
  <c r="L4082" i="5"/>
  <c r="R4074" i="5"/>
  <c r="D4074" i="5"/>
  <c r="R4073" i="5"/>
  <c r="D4073" i="5"/>
  <c r="D4072" i="5"/>
  <c r="O4071" i="5"/>
  <c r="L4071" i="5" s="1"/>
  <c r="D4071" i="5"/>
  <c r="R4070" i="5"/>
  <c r="D4070" i="5"/>
  <c r="R4069" i="5"/>
  <c r="D4069" i="5"/>
  <c r="R3983" i="5"/>
  <c r="D3982" i="5"/>
  <c r="D4068" i="5"/>
  <c r="R4067" i="5"/>
  <c r="D4067" i="5"/>
  <c r="R4066" i="5"/>
  <c r="D4066" i="5"/>
  <c r="R4065" i="5"/>
  <c r="D4065" i="5"/>
  <c r="R3981" i="5"/>
  <c r="L3981" i="5"/>
  <c r="C216" i="2" s="1"/>
  <c r="D3981" i="5"/>
  <c r="D4064" i="5"/>
  <c r="O4063" i="5"/>
  <c r="L4063" i="5" s="1"/>
  <c r="D4063" i="5"/>
  <c r="R4062" i="5"/>
  <c r="D4062" i="5"/>
  <c r="R4061" i="5"/>
  <c r="D4061" i="5"/>
  <c r="D4060" i="5"/>
  <c r="R4059" i="5"/>
  <c r="C293" i="2"/>
  <c r="D4059" i="5"/>
  <c r="O4058" i="5"/>
  <c r="L4058" i="5" s="1"/>
  <c r="D4058" i="5"/>
  <c r="R4057" i="5"/>
  <c r="D4057" i="5"/>
  <c r="R4056" i="5"/>
  <c r="D4056" i="5"/>
  <c r="R4055" i="5"/>
  <c r="D4055" i="5"/>
  <c r="D4054" i="5"/>
  <c r="R4053" i="5"/>
  <c r="D4053" i="5"/>
  <c r="D3979" i="5"/>
  <c r="R3978" i="5"/>
  <c r="L3978" i="5"/>
  <c r="C214" i="2" s="1"/>
  <c r="D3978" i="5"/>
  <c r="R3977" i="5"/>
  <c r="L3977" i="5"/>
  <c r="C213" i="2" s="1"/>
  <c r="R4052" i="5"/>
  <c r="D4052" i="5"/>
  <c r="D4051" i="5"/>
  <c r="D4050" i="5"/>
  <c r="D4049" i="5"/>
  <c r="R4048" i="5"/>
  <c r="D4048" i="5"/>
  <c r="O4047" i="5"/>
  <c r="L4047" i="5" s="1"/>
  <c r="D4047" i="5"/>
  <c r="D4046" i="5"/>
  <c r="R3976" i="5"/>
  <c r="L3976" i="5"/>
  <c r="C212" i="2" s="1"/>
  <c r="R4045" i="5"/>
  <c r="D4045" i="5"/>
  <c r="R4044" i="5"/>
  <c r="D4044" i="5"/>
  <c r="D4043" i="5"/>
  <c r="D4042" i="5"/>
  <c r="R4041" i="5"/>
  <c r="D4041" i="5"/>
  <c r="R4040" i="5"/>
  <c r="D4040" i="5"/>
  <c r="D4039" i="5"/>
  <c r="R4038" i="5"/>
  <c r="D4038" i="5"/>
  <c r="R4037" i="5"/>
  <c r="D4037" i="5"/>
  <c r="R4036" i="5"/>
  <c r="D4036" i="5"/>
  <c r="D4035" i="5"/>
  <c r="R3975" i="5"/>
  <c r="L3975" i="5"/>
  <c r="C211" i="2" s="1"/>
  <c r="D3975" i="5"/>
  <c r="R4034" i="5"/>
  <c r="D4034" i="5"/>
  <c r="D4033" i="5"/>
  <c r="O4032" i="5"/>
  <c r="L4032" i="5" s="1"/>
  <c r="D4032" i="5"/>
  <c r="R4031" i="5"/>
  <c r="D4031" i="5"/>
  <c r="D4030" i="5"/>
  <c r="R4029" i="5"/>
  <c r="O4029" i="5"/>
  <c r="L4029" i="5" s="1"/>
  <c r="D4029" i="5"/>
  <c r="R4028" i="5"/>
  <c r="D4028" i="5"/>
  <c r="R4027" i="5"/>
  <c r="C261" i="2"/>
  <c r="D4027" i="5"/>
  <c r="D4026" i="5"/>
  <c r="R4025" i="5"/>
  <c r="D4025" i="5"/>
  <c r="O4024" i="5"/>
  <c r="L4024" i="5" s="1"/>
  <c r="D4024" i="5"/>
  <c r="D4023" i="5"/>
  <c r="R4022" i="5"/>
  <c r="D4022" i="5"/>
  <c r="D4021" i="5"/>
  <c r="O4020" i="5"/>
  <c r="L4020" i="5" s="1"/>
  <c r="D4020" i="5"/>
  <c r="R4019" i="5"/>
  <c r="D4019" i="5"/>
  <c r="R4018" i="5"/>
  <c r="D4018" i="5"/>
  <c r="D4017" i="5"/>
  <c r="O4016" i="5"/>
  <c r="L4016" i="5" s="1"/>
  <c r="D4016" i="5"/>
  <c r="R4015" i="5"/>
  <c r="D4015" i="5"/>
  <c r="D4014" i="5"/>
  <c r="D4013" i="5"/>
  <c r="R4012" i="5"/>
  <c r="D4012" i="5"/>
  <c r="O4011" i="5"/>
  <c r="L4011" i="5" s="1"/>
  <c r="D4011" i="5"/>
  <c r="O4010" i="5"/>
  <c r="L4010" i="5" s="1"/>
  <c r="D4010" i="5"/>
  <c r="R3974" i="5"/>
  <c r="L3974" i="5"/>
  <c r="C210" i="2" s="1"/>
  <c r="D3974" i="5"/>
  <c r="R3972" i="5"/>
  <c r="L3972" i="5"/>
  <c r="C208" i="2" s="1"/>
  <c r="D3972" i="5"/>
  <c r="R3971" i="5"/>
  <c r="L3971" i="5"/>
  <c r="C207" i="2" s="1"/>
  <c r="D3971" i="5"/>
  <c r="R3970" i="5"/>
  <c r="L3970" i="5"/>
  <c r="C206" i="2" s="1"/>
  <c r="D3970" i="5"/>
  <c r="O4009" i="5"/>
  <c r="L4009" i="5" s="1"/>
  <c r="D4009" i="5"/>
  <c r="D4008" i="5"/>
  <c r="R4007" i="5"/>
  <c r="D4007" i="5"/>
  <c r="R3969" i="5"/>
  <c r="L3969" i="5"/>
  <c r="C205" i="2" s="1"/>
  <c r="D3969" i="5"/>
  <c r="R4006" i="5"/>
  <c r="D4006" i="5"/>
  <c r="D4005" i="5"/>
  <c r="O4004" i="5"/>
  <c r="L4004" i="5" s="1"/>
  <c r="D4004" i="5"/>
  <c r="D4003" i="5"/>
  <c r="R4002" i="5"/>
  <c r="D4002" i="5"/>
  <c r="D4001" i="5"/>
  <c r="O4000" i="5"/>
  <c r="L4000" i="5" s="1"/>
  <c r="D4000" i="5"/>
  <c r="R3968" i="5"/>
  <c r="L3968" i="5"/>
  <c r="C204" i="2" s="1"/>
  <c r="D3968" i="5"/>
  <c r="R3967" i="5"/>
  <c r="L3967" i="5"/>
  <c r="C203" i="2" s="1"/>
  <c r="D3967" i="5"/>
  <c r="R3966" i="5"/>
  <c r="L3966" i="5"/>
  <c r="D3966" i="5"/>
  <c r="R3999" i="5"/>
  <c r="D3999" i="5"/>
  <c r="O3998" i="5"/>
  <c r="L3998" i="5" s="1"/>
  <c r="D3998" i="5"/>
  <c r="D3997" i="5"/>
  <c r="R3996" i="5"/>
  <c r="D3996" i="5"/>
  <c r="D3995" i="5"/>
  <c r="D3994" i="5"/>
  <c r="R3948" i="5"/>
  <c r="R3947" i="5"/>
  <c r="R3944" i="5"/>
  <c r="R3943" i="5"/>
  <c r="R3942" i="5"/>
  <c r="L3930" i="5"/>
  <c r="R3929" i="5"/>
  <c r="L3903" i="5"/>
  <c r="R3926" i="5"/>
  <c r="R3925" i="5"/>
  <c r="R3924" i="5"/>
  <c r="O3923" i="5"/>
  <c r="R3922" i="5"/>
  <c r="L3902" i="5"/>
  <c r="R3919" i="5"/>
  <c r="R3917" i="5"/>
  <c r="R3916" i="5"/>
  <c r="L3915" i="5"/>
  <c r="R3895" i="5"/>
  <c r="O3895" i="5"/>
  <c r="R3894" i="5"/>
  <c r="L3894" i="5"/>
  <c r="R3893" i="5"/>
  <c r="L3893" i="5"/>
  <c r="O3891" i="5"/>
  <c r="R3890" i="5"/>
  <c r="R3889" i="5"/>
  <c r="O3889" i="5"/>
  <c r="R3888" i="5"/>
  <c r="O3888" i="5"/>
  <c r="R3887" i="5"/>
  <c r="O3887" i="5"/>
  <c r="R3886" i="5"/>
  <c r="O3886" i="5"/>
  <c r="R3874" i="5"/>
  <c r="L3874" i="5"/>
  <c r="R3885" i="5"/>
  <c r="R3883" i="5"/>
  <c r="R3881" i="5"/>
  <c r="R3878" i="5"/>
  <c r="R3876" i="5"/>
  <c r="S3873" i="5"/>
  <c r="Q3870" i="5"/>
  <c r="O3870" i="5"/>
  <c r="N3870" i="5"/>
  <c r="M3870" i="5"/>
  <c r="J3870" i="5"/>
  <c r="G3870" i="5"/>
  <c r="E3870" i="5"/>
  <c r="D3870" i="5"/>
  <c r="R3869" i="5"/>
  <c r="L3869" i="5"/>
  <c r="R3868" i="5"/>
  <c r="L3868" i="5"/>
  <c r="R3867" i="5"/>
  <c r="L3867" i="5"/>
  <c r="R3866" i="5"/>
  <c r="L3866" i="5"/>
  <c r="R3865" i="5"/>
  <c r="L3865" i="5"/>
  <c r="R3864" i="5"/>
  <c r="L3864" i="5"/>
  <c r="A3864" i="5"/>
  <c r="A3865" i="5" s="1"/>
  <c r="A3866" i="5" s="1"/>
  <c r="A3867" i="5" s="1"/>
  <c r="A3868" i="5" s="1"/>
  <c r="A3869" i="5" s="1"/>
  <c r="R3863" i="5"/>
  <c r="L3863" i="5"/>
  <c r="J3861" i="5"/>
  <c r="G3861" i="5"/>
  <c r="E3861" i="5"/>
  <c r="D3861" i="5"/>
  <c r="M3860" i="5"/>
  <c r="M3859" i="5"/>
  <c r="R3859" i="5" s="1"/>
  <c r="M3858" i="5"/>
  <c r="O3858" i="5" s="1"/>
  <c r="Q3856" i="5"/>
  <c r="O3856" i="5"/>
  <c r="N3856" i="5"/>
  <c r="M3856" i="5"/>
  <c r="J3856" i="5"/>
  <c r="G3856" i="5"/>
  <c r="E3856" i="5"/>
  <c r="D3856" i="5"/>
  <c r="L3855" i="5"/>
  <c r="R3854" i="5"/>
  <c r="L3854" i="5"/>
  <c r="R3853" i="5"/>
  <c r="L3853" i="5"/>
  <c r="R3852" i="5"/>
  <c r="L3852" i="5"/>
  <c r="R3851" i="5"/>
  <c r="L3851" i="5"/>
  <c r="R3850" i="5"/>
  <c r="L3850" i="5"/>
  <c r="R3849" i="5"/>
  <c r="L3849" i="5"/>
  <c r="R3848" i="5"/>
  <c r="L3848" i="5"/>
  <c r="A3848" i="5"/>
  <c r="A3849" i="5" s="1"/>
  <c r="A3850" i="5" s="1"/>
  <c r="A3851" i="5" s="1"/>
  <c r="A3852" i="5" s="1"/>
  <c r="A3853" i="5" s="1"/>
  <c r="A3854" i="5" s="1"/>
  <c r="A3855" i="5" s="1"/>
  <c r="R3847" i="5"/>
  <c r="L3847" i="5"/>
  <c r="J3845" i="5"/>
  <c r="G3845" i="5"/>
  <c r="E3845" i="5"/>
  <c r="L3844" i="5"/>
  <c r="L3843" i="5"/>
  <c r="M3842" i="5"/>
  <c r="D3842" i="5"/>
  <c r="M3841" i="5"/>
  <c r="R3841" i="5" s="1"/>
  <c r="D3841" i="5"/>
  <c r="A3841" i="5"/>
  <c r="A3842" i="5" s="1"/>
  <c r="A3843" i="5" s="1"/>
  <c r="A3844" i="5" s="1"/>
  <c r="Q3838" i="5"/>
  <c r="O3838" i="5"/>
  <c r="N3838" i="5"/>
  <c r="M3838" i="5"/>
  <c r="J3838" i="5"/>
  <c r="G3838" i="5"/>
  <c r="E3838" i="5"/>
  <c r="Q3822" i="5"/>
  <c r="P3822" i="5"/>
  <c r="O3822" i="5"/>
  <c r="N3822" i="5"/>
  <c r="M3822" i="5"/>
  <c r="J3822" i="5"/>
  <c r="G3822" i="5"/>
  <c r="R3819" i="5"/>
  <c r="L3819" i="5"/>
  <c r="R3818" i="5"/>
  <c r="L3818" i="5"/>
  <c r="R3817" i="5"/>
  <c r="L3817" i="5"/>
  <c r="R3816" i="5"/>
  <c r="L3816" i="5"/>
  <c r="R3815" i="5"/>
  <c r="L3815" i="5"/>
  <c r="R3814" i="5"/>
  <c r="L3814" i="5"/>
  <c r="R3813" i="5"/>
  <c r="L3813" i="5"/>
  <c r="R3810" i="5"/>
  <c r="R3809" i="5"/>
  <c r="L3809" i="5"/>
  <c r="R3808" i="5"/>
  <c r="L3808" i="5"/>
  <c r="R3807" i="5"/>
  <c r="L3807" i="5"/>
  <c r="R3806" i="5"/>
  <c r="L3806" i="5"/>
  <c r="R3805" i="5"/>
  <c r="L3805" i="5"/>
  <c r="L3804" i="5"/>
  <c r="R3803" i="5"/>
  <c r="L3803" i="5"/>
  <c r="R3802" i="5"/>
  <c r="L3802" i="5"/>
  <c r="R3801" i="5"/>
  <c r="L3801" i="5"/>
  <c r="R3800" i="5"/>
  <c r="L3800" i="5"/>
  <c r="R3799" i="5"/>
  <c r="L3799" i="5"/>
  <c r="R3798" i="5"/>
  <c r="L3798" i="5"/>
  <c r="E3798" i="5"/>
  <c r="D3798" i="5" s="1"/>
  <c r="R3797" i="5"/>
  <c r="L3797" i="5"/>
  <c r="R3796" i="5"/>
  <c r="L3796" i="5"/>
  <c r="R3795" i="5"/>
  <c r="L3795" i="5"/>
  <c r="R3794" i="5"/>
  <c r="L3794" i="5"/>
  <c r="R3793" i="5"/>
  <c r="L3793" i="5"/>
  <c r="R3792" i="5"/>
  <c r="L3792" i="5"/>
  <c r="R3791" i="5"/>
  <c r="L3791" i="5"/>
  <c r="R3790" i="5"/>
  <c r="L3790" i="5"/>
  <c r="R3789" i="5"/>
  <c r="L3789" i="5"/>
  <c r="R3788" i="5"/>
  <c r="L3788" i="5"/>
  <c r="R3787" i="5"/>
  <c r="L3787" i="5"/>
  <c r="R3786" i="5"/>
  <c r="L3786" i="5"/>
  <c r="A3786" i="5"/>
  <c r="A3787" i="5" s="1"/>
  <c r="A3788" i="5" s="1"/>
  <c r="A3789" i="5" s="1"/>
  <c r="A3790" i="5" s="1"/>
  <c r="A3791" i="5" s="1"/>
  <c r="A3792" i="5" s="1"/>
  <c r="A3793" i="5" s="1"/>
  <c r="A3794" i="5" s="1"/>
  <c r="A3795" i="5" s="1"/>
  <c r="R3785" i="5"/>
  <c r="L3785" i="5"/>
  <c r="Q3783" i="5"/>
  <c r="O3783" i="5"/>
  <c r="M3783" i="5"/>
  <c r="J3783" i="5"/>
  <c r="G3783" i="5"/>
  <c r="E3783" i="5"/>
  <c r="D3783" i="5"/>
  <c r="R3782" i="5"/>
  <c r="L3782" i="5"/>
  <c r="J3780" i="5"/>
  <c r="G3780" i="5"/>
  <c r="E3780" i="5"/>
  <c r="D3780" i="5"/>
  <c r="M3779" i="5"/>
  <c r="R3779" i="5" s="1"/>
  <c r="N3777" i="5"/>
  <c r="M3777" i="5"/>
  <c r="J3777" i="5"/>
  <c r="G3777" i="5"/>
  <c r="E3777" i="5"/>
  <c r="D3777" i="5"/>
  <c r="R3776" i="5"/>
  <c r="O3776" i="5"/>
  <c r="R3775" i="5"/>
  <c r="L3775" i="5"/>
  <c r="Q3773" i="5"/>
  <c r="N3773" i="5"/>
  <c r="M3773" i="5"/>
  <c r="J3773" i="5"/>
  <c r="G3773" i="5"/>
  <c r="E3773" i="5"/>
  <c r="D3773" i="5"/>
  <c r="R3772" i="5"/>
  <c r="L3772" i="5"/>
  <c r="N3770" i="5"/>
  <c r="M3770" i="5"/>
  <c r="J3770" i="5"/>
  <c r="G3770" i="5"/>
  <c r="E3770" i="5"/>
  <c r="D3770" i="5"/>
  <c r="R3769" i="5"/>
  <c r="N3767" i="5"/>
  <c r="M3767" i="5"/>
  <c r="J3767" i="5"/>
  <c r="D3767" i="5"/>
  <c r="R3766" i="5"/>
  <c r="L3766" i="5"/>
  <c r="G3766" i="5"/>
  <c r="E3766" i="5" s="1"/>
  <c r="L3765" i="5"/>
  <c r="G3765" i="5"/>
  <c r="G3764" i="5"/>
  <c r="N3762" i="5"/>
  <c r="M3762" i="5"/>
  <c r="J3762" i="5"/>
  <c r="G3762" i="5"/>
  <c r="E3762" i="5"/>
  <c r="R3761" i="5"/>
  <c r="O3761" i="5"/>
  <c r="D3761" i="5"/>
  <c r="D3762" i="5" s="1"/>
  <c r="R3760" i="5"/>
  <c r="Q3762" i="5"/>
  <c r="Q3758" i="5"/>
  <c r="O3758" i="5"/>
  <c r="N3758" i="5"/>
  <c r="M3758" i="5"/>
  <c r="J3758" i="5"/>
  <c r="G3758" i="5"/>
  <c r="E3758" i="5"/>
  <c r="D3758" i="5"/>
  <c r="R3757" i="5"/>
  <c r="L3757" i="5"/>
  <c r="R3756" i="5"/>
  <c r="L3756" i="5"/>
  <c r="N3750" i="5"/>
  <c r="M3750" i="5"/>
  <c r="J3750" i="5"/>
  <c r="G3750" i="5"/>
  <c r="E3750" i="5"/>
  <c r="D3750" i="5"/>
  <c r="R3749" i="5"/>
  <c r="Q3750" i="5"/>
  <c r="O3747" i="5"/>
  <c r="N3747" i="5"/>
  <c r="J3747" i="5"/>
  <c r="G3747" i="5"/>
  <c r="E3747" i="5"/>
  <c r="D3747" i="5"/>
  <c r="M3746" i="5"/>
  <c r="R3746" i="5" s="1"/>
  <c r="A3745" i="5"/>
  <c r="A3746" i="5" s="1"/>
  <c r="J3742" i="5"/>
  <c r="G3742" i="5"/>
  <c r="E3742" i="5"/>
  <c r="D3742" i="5"/>
  <c r="M3741" i="5"/>
  <c r="O3741" i="5" s="1"/>
  <c r="M3740" i="5"/>
  <c r="R3740" i="5" s="1"/>
  <c r="M3739" i="5"/>
  <c r="R3739" i="5" s="1"/>
  <c r="M3738" i="5"/>
  <c r="N3738" i="5" s="1"/>
  <c r="N3736" i="5"/>
  <c r="J3736" i="5"/>
  <c r="E3736" i="5"/>
  <c r="L3735" i="5"/>
  <c r="G3735" i="5"/>
  <c r="D3735" i="5"/>
  <c r="L3734" i="5"/>
  <c r="G3734" i="5"/>
  <c r="D3734" i="5"/>
  <c r="G3733" i="5"/>
  <c r="D3733" i="5"/>
  <c r="N3731" i="5"/>
  <c r="M3731" i="5"/>
  <c r="J3731" i="5"/>
  <c r="G3731" i="5"/>
  <c r="E3731" i="5"/>
  <c r="D3731" i="5"/>
  <c r="R3730" i="5"/>
  <c r="Q3731" i="5"/>
  <c r="N3728" i="5"/>
  <c r="M3728" i="5"/>
  <c r="J3728" i="5"/>
  <c r="E3728" i="5"/>
  <c r="L3720" i="5"/>
  <c r="G3720" i="5"/>
  <c r="R3719" i="5"/>
  <c r="O3719" i="5"/>
  <c r="G3719" i="5"/>
  <c r="R3718" i="5"/>
  <c r="O3718" i="5"/>
  <c r="G3718" i="5"/>
  <c r="R3717" i="5"/>
  <c r="L3717" i="5"/>
  <c r="G3717" i="5"/>
  <c r="L3716" i="5"/>
  <c r="G3716" i="5"/>
  <c r="L3715" i="5"/>
  <c r="G3715" i="5"/>
  <c r="D3715" i="5"/>
  <c r="D3728" i="5" s="1"/>
  <c r="R3714" i="5"/>
  <c r="L3714" i="5"/>
  <c r="G3714" i="5"/>
  <c r="L3713" i="5"/>
  <c r="G3713" i="5"/>
  <c r="R3712" i="5"/>
  <c r="G3712" i="5"/>
  <c r="R3711" i="5"/>
  <c r="G3711" i="5"/>
  <c r="O3710" i="5"/>
  <c r="G3710" i="5"/>
  <c r="A3710" i="5"/>
  <c r="A3711" i="5" s="1"/>
  <c r="A3712" i="5" s="1"/>
  <c r="A3713" i="5" s="1"/>
  <c r="A3714" i="5" s="1"/>
  <c r="A3715" i="5" s="1"/>
  <c r="A3716" i="5" s="1"/>
  <c r="A3717" i="5" s="1"/>
  <c r="G3709" i="5"/>
  <c r="N3707" i="5"/>
  <c r="M3707" i="5"/>
  <c r="J3707" i="5"/>
  <c r="E3707" i="5"/>
  <c r="D3707" i="5"/>
  <c r="L3706" i="5"/>
  <c r="G3706" i="5"/>
  <c r="G3705" i="5"/>
  <c r="P3703" i="5"/>
  <c r="N3703" i="5"/>
  <c r="J3703" i="5"/>
  <c r="G3703" i="5"/>
  <c r="E3703" i="5"/>
  <c r="R3702" i="5"/>
  <c r="L3702" i="5"/>
  <c r="D3701" i="5"/>
  <c r="R3700" i="5"/>
  <c r="D3700" i="5"/>
  <c r="J3695" i="5"/>
  <c r="G3695" i="5"/>
  <c r="M3695" i="5"/>
  <c r="E3695" i="5"/>
  <c r="J3692" i="5"/>
  <c r="G3692" i="5"/>
  <c r="E3692" i="5"/>
  <c r="D3692" i="5"/>
  <c r="M3691" i="5"/>
  <c r="M3690" i="5"/>
  <c r="O3690" i="5" s="1"/>
  <c r="A3690" i="5"/>
  <c r="A3691" i="5" s="1"/>
  <c r="M3689" i="5"/>
  <c r="M3688" i="5"/>
  <c r="N3688" i="5" s="1"/>
  <c r="M3684" i="5"/>
  <c r="E3684" i="5"/>
  <c r="M3683" i="5"/>
  <c r="L3683" i="5" s="1"/>
  <c r="D3683" i="5"/>
  <c r="M3682" i="5"/>
  <c r="R3682" i="5" s="1"/>
  <c r="D3682" i="5"/>
  <c r="M3681" i="5"/>
  <c r="L3681" i="5" s="1"/>
  <c r="D3681" i="5"/>
  <c r="R3680" i="5"/>
  <c r="L3680" i="5"/>
  <c r="D3680" i="5"/>
  <c r="M3679" i="5"/>
  <c r="R3679" i="5" s="1"/>
  <c r="D3679" i="5"/>
  <c r="M3678" i="5"/>
  <c r="D3678" i="5"/>
  <c r="M3677" i="5"/>
  <c r="R3677" i="5" s="1"/>
  <c r="D3677" i="5"/>
  <c r="M3676" i="5"/>
  <c r="L3676" i="5" s="1"/>
  <c r="D3676" i="5"/>
  <c r="M3675" i="5"/>
  <c r="R3675" i="5" s="1"/>
  <c r="D3675" i="5"/>
  <c r="M3674" i="5"/>
  <c r="L3674" i="5" s="1"/>
  <c r="D3674" i="5"/>
  <c r="M3673" i="5"/>
  <c r="D3673" i="5"/>
  <c r="N3670" i="5"/>
  <c r="M3670" i="5"/>
  <c r="J3670" i="5"/>
  <c r="G3670" i="5"/>
  <c r="E3670" i="5"/>
  <c r="D3670" i="5"/>
  <c r="R3669" i="5"/>
  <c r="L3669" i="5"/>
  <c r="R3668" i="5"/>
  <c r="N3666" i="5"/>
  <c r="M3666" i="5"/>
  <c r="J3666" i="5"/>
  <c r="G3666" i="5"/>
  <c r="E3666" i="5"/>
  <c r="D3666" i="5"/>
  <c r="R3663" i="5"/>
  <c r="L3663" i="5"/>
  <c r="R3662" i="5"/>
  <c r="L3662" i="5"/>
  <c r="R3661" i="5"/>
  <c r="L3661" i="5"/>
  <c r="R3660" i="5"/>
  <c r="L3660" i="5"/>
  <c r="R3659" i="5"/>
  <c r="L3659" i="5"/>
  <c r="R3658" i="5"/>
  <c r="O3658" i="5"/>
  <c r="R3657" i="5"/>
  <c r="L3657" i="5"/>
  <c r="R3656" i="5"/>
  <c r="L3656" i="5"/>
  <c r="R3655" i="5"/>
  <c r="L3655" i="5"/>
  <c r="R3654" i="5"/>
  <c r="O3654" i="5"/>
  <c r="R3653" i="5"/>
  <c r="L3653" i="5"/>
  <c r="R3652" i="5"/>
  <c r="L3652" i="5"/>
  <c r="R3651" i="5"/>
  <c r="L3651" i="5"/>
  <c r="R3650" i="5"/>
  <c r="L3650" i="5"/>
  <c r="R3649" i="5"/>
  <c r="L3649" i="5"/>
  <c r="R3648" i="5"/>
  <c r="L3648" i="5"/>
  <c r="R3647" i="5"/>
  <c r="L3647" i="5"/>
  <c r="A3647" i="5"/>
  <c r="A3648" i="5" s="1"/>
  <c r="A3649" i="5" s="1"/>
  <c r="A3650" i="5" s="1"/>
  <c r="A3651" i="5" s="1"/>
  <c r="A3652" i="5" s="1"/>
  <c r="A3653" i="5" s="1"/>
  <c r="A3654" i="5" s="1"/>
  <c r="A3655" i="5" s="1"/>
  <c r="A3656" i="5" s="1"/>
  <c r="A3657" i="5" s="1"/>
  <c r="A3658" i="5" s="1"/>
  <c r="A3659" i="5" s="1"/>
  <c r="R3646" i="5"/>
  <c r="L3646" i="5"/>
  <c r="N3644" i="5"/>
  <c r="M3644" i="5"/>
  <c r="J3644" i="5"/>
  <c r="G3644" i="5"/>
  <c r="E3644" i="5"/>
  <c r="D3644" i="5"/>
  <c r="R3643" i="5"/>
  <c r="L3643" i="5"/>
  <c r="Q3641" i="5"/>
  <c r="N3641" i="5"/>
  <c r="M3641" i="5"/>
  <c r="J3641" i="5"/>
  <c r="G3641" i="5"/>
  <c r="E3641" i="5"/>
  <c r="D3641" i="5"/>
  <c r="R3640" i="5"/>
  <c r="L3640" i="5"/>
  <c r="Q3638" i="5"/>
  <c r="O3638" i="5"/>
  <c r="N3638" i="5"/>
  <c r="M3638" i="5"/>
  <c r="J3638" i="5"/>
  <c r="G3638" i="5"/>
  <c r="E3638" i="5"/>
  <c r="D3638" i="5"/>
  <c r="R3637" i="5"/>
  <c r="L3637" i="5"/>
  <c r="R3636" i="5"/>
  <c r="L3636" i="5"/>
  <c r="R3635" i="5"/>
  <c r="L3635" i="5"/>
  <c r="L3634" i="5"/>
  <c r="L3633" i="5"/>
  <c r="R3632" i="5"/>
  <c r="L3632" i="5"/>
  <c r="L3631" i="5"/>
  <c r="L3630" i="5"/>
  <c r="R3629" i="5"/>
  <c r="L3629" i="5"/>
  <c r="R3628" i="5"/>
  <c r="L3628" i="5"/>
  <c r="R3627" i="5"/>
  <c r="L3627" i="5"/>
  <c r="R3626" i="5"/>
  <c r="L3626" i="5"/>
  <c r="R3625" i="5"/>
  <c r="L3625" i="5"/>
  <c r="R3624" i="5"/>
  <c r="L3624" i="5"/>
  <c r="L3623" i="5"/>
  <c r="R3622" i="5"/>
  <c r="L3622" i="5"/>
  <c r="R3621" i="5"/>
  <c r="L3621" i="5"/>
  <c r="R3620" i="5"/>
  <c r="L3620" i="5"/>
  <c r="R3619" i="5"/>
  <c r="L3619" i="5"/>
  <c r="R3618" i="5"/>
  <c r="L3618" i="5"/>
  <c r="A3618" i="5"/>
  <c r="A3619" i="5" s="1"/>
  <c r="A3620" i="5" s="1"/>
  <c r="A3621" i="5" s="1"/>
  <c r="A3622" i="5" s="1"/>
  <c r="A3623" i="5" s="1"/>
  <c r="A3624" i="5" s="1"/>
  <c r="A3625" i="5" s="1"/>
  <c r="A3626" i="5" s="1"/>
  <c r="R3617" i="5"/>
  <c r="L3617" i="5"/>
  <c r="Q3615" i="5"/>
  <c r="O3615" i="5"/>
  <c r="M3615" i="5"/>
  <c r="J3615" i="5"/>
  <c r="G3615" i="5"/>
  <c r="E3615" i="5"/>
  <c r="D3615" i="5"/>
  <c r="L3614" i="5"/>
  <c r="A3614" i="5"/>
  <c r="L3613" i="5"/>
  <c r="Q3611" i="5"/>
  <c r="O3611" i="5"/>
  <c r="N3611" i="5"/>
  <c r="M3611" i="5"/>
  <c r="J3611" i="5"/>
  <c r="G3611" i="5"/>
  <c r="E3611" i="5"/>
  <c r="R3610" i="5"/>
  <c r="L3610" i="5"/>
  <c r="D3610" i="5"/>
  <c r="R3609" i="5"/>
  <c r="L3609" i="5"/>
  <c r="D3609" i="5"/>
  <c r="A3609" i="5"/>
  <c r="A3610" i="5" s="1"/>
  <c r="R3608" i="5"/>
  <c r="L3608" i="5"/>
  <c r="D3608" i="5"/>
  <c r="J3606" i="5"/>
  <c r="G3606" i="5"/>
  <c r="E3606" i="5"/>
  <c r="D3606" i="5"/>
  <c r="M3605" i="5"/>
  <c r="R3605" i="5" s="1"/>
  <c r="M3604" i="5"/>
  <c r="O3604" i="5" s="1"/>
  <c r="A3604" i="5"/>
  <c r="A3605" i="5" s="1"/>
  <c r="R3603" i="5"/>
  <c r="O3603" i="5"/>
  <c r="J3601" i="5"/>
  <c r="G3601" i="5"/>
  <c r="E3601" i="5"/>
  <c r="D3601" i="5"/>
  <c r="M3599" i="5"/>
  <c r="N3599" i="5" s="1"/>
  <c r="M3598" i="5"/>
  <c r="A3598" i="5"/>
  <c r="A3599" i="5" s="1"/>
  <c r="A3600" i="5" s="1"/>
  <c r="R3597" i="5"/>
  <c r="L3597" i="5"/>
  <c r="R3584" i="5"/>
  <c r="L3584" i="5"/>
  <c r="S3584" i="5" s="1"/>
  <c r="R3583" i="5"/>
  <c r="L3583" i="5"/>
  <c r="S3583" i="5" s="1"/>
  <c r="R3582" i="5"/>
  <c r="L3582" i="5"/>
  <c r="S3582" i="5" s="1"/>
  <c r="R3581" i="5"/>
  <c r="L3581" i="5"/>
  <c r="S3581" i="5" s="1"/>
  <c r="R3580" i="5"/>
  <c r="L3580" i="5"/>
  <c r="S3580" i="5" s="1"/>
  <c r="R3579" i="5"/>
  <c r="L3579" i="5"/>
  <c r="S3579" i="5" s="1"/>
  <c r="R3578" i="5"/>
  <c r="L3578" i="5"/>
  <c r="S3578" i="5" s="1"/>
  <c r="R3577" i="5"/>
  <c r="L3577" i="5"/>
  <c r="S3577" i="5" s="1"/>
  <c r="R3576" i="5"/>
  <c r="L3576" i="5"/>
  <c r="S3576" i="5" s="1"/>
  <c r="R3575" i="5"/>
  <c r="L3575" i="5"/>
  <c r="S3575" i="5" s="1"/>
  <c r="R3574" i="5"/>
  <c r="L3574" i="5"/>
  <c r="S3574" i="5" s="1"/>
  <c r="R3573" i="5"/>
  <c r="L3573" i="5"/>
  <c r="S3573" i="5" s="1"/>
  <c r="R3572" i="5"/>
  <c r="L3572" i="5"/>
  <c r="S3572" i="5" s="1"/>
  <c r="R3571" i="5"/>
  <c r="L3571" i="5"/>
  <c r="S3571" i="5" s="1"/>
  <c r="R3570" i="5"/>
  <c r="L3570" i="5"/>
  <c r="S3570" i="5" s="1"/>
  <c r="R3569" i="5"/>
  <c r="L3569" i="5"/>
  <c r="S3569" i="5" s="1"/>
  <c r="R3568" i="5"/>
  <c r="L3568" i="5"/>
  <c r="S3568" i="5" s="1"/>
  <c r="R3567" i="5"/>
  <c r="L3567" i="5"/>
  <c r="S3567" i="5" s="1"/>
  <c r="R3566" i="5"/>
  <c r="L3566" i="5"/>
  <c r="S3566" i="5" s="1"/>
  <c r="R3565" i="5"/>
  <c r="L3565" i="5"/>
  <c r="S3565" i="5" s="1"/>
  <c r="R3564" i="5"/>
  <c r="L3564" i="5"/>
  <c r="S3564" i="5" s="1"/>
  <c r="R3563" i="5"/>
  <c r="L3563" i="5"/>
  <c r="S3563" i="5" s="1"/>
  <c r="R3562" i="5"/>
  <c r="L3562" i="5"/>
  <c r="S3562" i="5" s="1"/>
  <c r="R3561" i="5"/>
  <c r="L3561" i="5"/>
  <c r="S3561" i="5" s="1"/>
  <c r="R3560" i="5"/>
  <c r="L3560" i="5"/>
  <c r="S3560" i="5" s="1"/>
  <c r="L3559" i="5"/>
  <c r="S3559" i="5" s="1"/>
  <c r="R3558" i="5"/>
  <c r="L3558" i="5"/>
  <c r="S3558" i="5" s="1"/>
  <c r="R3557" i="5"/>
  <c r="L3557" i="5"/>
  <c r="S3557" i="5" s="1"/>
  <c r="R3556" i="5"/>
  <c r="L3556" i="5"/>
  <c r="S3556" i="5" s="1"/>
  <c r="R3555" i="5"/>
  <c r="L3555" i="5"/>
  <c r="S3555" i="5" s="1"/>
  <c r="R3554" i="5"/>
  <c r="L3554" i="5"/>
  <c r="S3554" i="5" s="1"/>
  <c r="L3531" i="5"/>
  <c r="S3531" i="5" s="1"/>
  <c r="R3553" i="5"/>
  <c r="L3553" i="5"/>
  <c r="S3553" i="5" s="1"/>
  <c r="R3552" i="5"/>
  <c r="L3552" i="5"/>
  <c r="R3551" i="5"/>
  <c r="L3551" i="5"/>
  <c r="S3551" i="5" s="1"/>
  <c r="R3530" i="5"/>
  <c r="L3530" i="5"/>
  <c r="S3530" i="5" s="1"/>
  <c r="R3550" i="5"/>
  <c r="L3550" i="5"/>
  <c r="S3550" i="5" s="1"/>
  <c r="R3549" i="5"/>
  <c r="L3549" i="5"/>
  <c r="S3549" i="5" s="1"/>
  <c r="R3548" i="5"/>
  <c r="L3548" i="5"/>
  <c r="S3548" i="5" s="1"/>
  <c r="R3529" i="5"/>
  <c r="L3529" i="5"/>
  <c r="S3529" i="5" s="1"/>
  <c r="R3547" i="5"/>
  <c r="L3547" i="5"/>
  <c r="S3547" i="5" s="1"/>
  <c r="R3546" i="5"/>
  <c r="L3546" i="5"/>
  <c r="S3546" i="5" s="1"/>
  <c r="R3545" i="5"/>
  <c r="L3545" i="5"/>
  <c r="S3545" i="5" s="1"/>
  <c r="R3544" i="5"/>
  <c r="L3544" i="5"/>
  <c r="S3544" i="5" s="1"/>
  <c r="R3543" i="5"/>
  <c r="L3543" i="5"/>
  <c r="S3543" i="5" s="1"/>
  <c r="R3542" i="5"/>
  <c r="L3542" i="5"/>
  <c r="S3542" i="5" s="1"/>
  <c r="R3541" i="5"/>
  <c r="L3541" i="5"/>
  <c r="S3541" i="5" s="1"/>
  <c r="R3540" i="5"/>
  <c r="L3540" i="5"/>
  <c r="S3540" i="5" s="1"/>
  <c r="R3539" i="5"/>
  <c r="L3539" i="5"/>
  <c r="S3539" i="5" s="1"/>
  <c r="R3538" i="5"/>
  <c r="L3538" i="5"/>
  <c r="S3538" i="5" s="1"/>
  <c r="R3537" i="5"/>
  <c r="L3537" i="5"/>
  <c r="S3537" i="5" s="1"/>
  <c r="R3536" i="5"/>
  <c r="L3536" i="5"/>
  <c r="S3536" i="5" s="1"/>
  <c r="R3528" i="5"/>
  <c r="R3527" i="5"/>
  <c r="L3527" i="5"/>
  <c r="R3535" i="5"/>
  <c r="L3535" i="5"/>
  <c r="S3535" i="5" s="1"/>
  <c r="R3534" i="5"/>
  <c r="S3534" i="5"/>
  <c r="L3501" i="5"/>
  <c r="L3500" i="5"/>
  <c r="R3499" i="5"/>
  <c r="L3499" i="5"/>
  <c r="R3498" i="5"/>
  <c r="L3498" i="5"/>
  <c r="G3498" i="5"/>
  <c r="R3497" i="5"/>
  <c r="L3497" i="5"/>
  <c r="G3497" i="5"/>
  <c r="R3496" i="5"/>
  <c r="L3496" i="5"/>
  <c r="R3495" i="5"/>
  <c r="L3495" i="5"/>
  <c r="R4461" i="5"/>
  <c r="L4461" i="5"/>
  <c r="R4460" i="5"/>
  <c r="L4460" i="5"/>
  <c r="R3494" i="5"/>
  <c r="L3494" i="5"/>
  <c r="R3493" i="5"/>
  <c r="L3493" i="5"/>
  <c r="R3492" i="5"/>
  <c r="L3492" i="5"/>
  <c r="R3491" i="5"/>
  <c r="L3491" i="5"/>
  <c r="R3490" i="5"/>
  <c r="L3490" i="5"/>
  <c r="R3489" i="5"/>
  <c r="L3489" i="5"/>
  <c r="R3488" i="5"/>
  <c r="L3488" i="5"/>
  <c r="R3487" i="5"/>
  <c r="L3487" i="5"/>
  <c r="R3486" i="5"/>
  <c r="L3486" i="5"/>
  <c r="R3485" i="5"/>
  <c r="L3485" i="5"/>
  <c r="R3484" i="5"/>
  <c r="L3484" i="5"/>
  <c r="R4459" i="5"/>
  <c r="L4459" i="5"/>
  <c r="R4458" i="5"/>
  <c r="L4458" i="5"/>
  <c r="R4457" i="5"/>
  <c r="L4457" i="5"/>
  <c r="R4456" i="5"/>
  <c r="L4456" i="5"/>
  <c r="R4455" i="5"/>
  <c r="L4455" i="5"/>
  <c r="R3483" i="5"/>
  <c r="L3483" i="5"/>
  <c r="R3482" i="5"/>
  <c r="L3482" i="5"/>
  <c r="R3481" i="5"/>
  <c r="L3481" i="5"/>
  <c r="R3480" i="5"/>
  <c r="L3480" i="5"/>
  <c r="R4454" i="5"/>
  <c r="L4454" i="5"/>
  <c r="R3479" i="5"/>
  <c r="L3479" i="5"/>
  <c r="R3478" i="5"/>
  <c r="L3478" i="5"/>
  <c r="R3477" i="5"/>
  <c r="L3477" i="5"/>
  <c r="R3476" i="5"/>
  <c r="L3476" i="5"/>
  <c r="Q3472" i="5"/>
  <c r="O3472" i="5"/>
  <c r="N3472" i="5"/>
  <c r="M3472" i="5"/>
  <c r="J3472" i="5"/>
  <c r="G3472" i="5"/>
  <c r="E3472" i="5"/>
  <c r="D3472" i="5"/>
  <c r="L3469" i="5"/>
  <c r="L3468" i="5"/>
  <c r="P2966" i="5"/>
  <c r="N2966" i="5"/>
  <c r="D2966" i="5"/>
  <c r="R3411" i="5"/>
  <c r="M3410" i="5"/>
  <c r="R3410" i="5" s="1"/>
  <c r="L3409" i="5"/>
  <c r="L3408" i="5"/>
  <c r="O3407" i="5"/>
  <c r="R3406" i="5"/>
  <c r="O3405" i="5"/>
  <c r="T3405" i="5" s="1"/>
  <c r="R3404" i="5"/>
  <c r="L3056" i="5"/>
  <c r="R3402" i="5"/>
  <c r="L3402" i="5"/>
  <c r="M3401" i="5"/>
  <c r="R3400" i="5"/>
  <c r="L3400" i="5"/>
  <c r="R3399" i="5"/>
  <c r="M3398" i="5"/>
  <c r="O3398" i="5" s="1"/>
  <c r="R3396" i="5"/>
  <c r="O3396" i="5"/>
  <c r="T3396" i="5" s="1"/>
  <c r="M3395" i="5"/>
  <c r="R3395" i="5" s="1"/>
  <c r="L3394" i="5"/>
  <c r="L3393" i="5"/>
  <c r="L3392" i="5"/>
  <c r="M3390" i="5"/>
  <c r="R3390" i="5" s="1"/>
  <c r="M3389" i="5"/>
  <c r="M3388" i="5"/>
  <c r="R3388" i="5" s="1"/>
  <c r="L3387" i="5"/>
  <c r="L3386" i="5"/>
  <c r="L3000" i="5"/>
  <c r="R3385" i="5"/>
  <c r="M3384" i="5"/>
  <c r="R3384" i="5" s="1"/>
  <c r="O3383" i="5"/>
  <c r="L3382" i="5"/>
  <c r="R3381" i="5"/>
  <c r="L3381" i="5"/>
  <c r="M3380" i="5"/>
  <c r="R3380" i="5" s="1"/>
  <c r="O3379" i="5"/>
  <c r="T3379" i="5" s="1"/>
  <c r="R2026" i="5"/>
  <c r="O3378" i="5"/>
  <c r="T3378" i="5" s="1"/>
  <c r="M3377" i="5"/>
  <c r="R3376" i="5"/>
  <c r="L3375" i="5"/>
  <c r="O3374" i="5"/>
  <c r="T3374" i="5" s="1"/>
  <c r="L3373" i="5"/>
  <c r="M3371" i="5"/>
  <c r="R3371" i="5" s="1"/>
  <c r="M3370" i="5"/>
  <c r="R3369" i="5"/>
  <c r="R3367" i="5"/>
  <c r="O3366" i="5"/>
  <c r="O3365" i="5"/>
  <c r="O3364" i="5"/>
  <c r="O3363" i="5"/>
  <c r="M3362" i="5"/>
  <c r="M3361" i="5"/>
  <c r="M3360" i="5"/>
  <c r="M3359" i="5"/>
  <c r="R3358" i="5"/>
  <c r="O3357" i="5"/>
  <c r="T3357" i="5" s="1"/>
  <c r="L3096" i="5"/>
  <c r="R3356" i="5"/>
  <c r="L3355" i="5"/>
  <c r="M3354" i="5"/>
  <c r="R3353" i="5"/>
  <c r="M3352" i="5"/>
  <c r="R3351" i="5"/>
  <c r="L3012" i="5"/>
  <c r="L3010" i="5"/>
  <c r="L3095" i="5"/>
  <c r="L3094" i="5"/>
  <c r="L3093" i="5"/>
  <c r="L3092" i="5"/>
  <c r="R3349" i="5"/>
  <c r="O3348" i="5"/>
  <c r="T3348" i="5" s="1"/>
  <c r="M3347" i="5"/>
  <c r="M3346" i="5"/>
  <c r="R3345" i="5"/>
  <c r="R3344" i="5"/>
  <c r="M3341" i="5"/>
  <c r="M3340" i="5"/>
  <c r="M3339" i="5"/>
  <c r="L3088" i="5"/>
  <c r="L3087" i="5"/>
  <c r="R2025" i="5"/>
  <c r="L3085" i="5"/>
  <c r="L3080" i="5"/>
  <c r="L3079" i="5"/>
  <c r="L3075" i="5"/>
  <c r="O3338" i="5"/>
  <c r="T3338" i="5" s="1"/>
  <c r="L3072" i="5"/>
  <c r="M3337" i="5"/>
  <c r="O3337" i="5" s="1"/>
  <c r="R3336" i="5"/>
  <c r="R3335" i="5"/>
  <c r="M3334" i="5"/>
  <c r="O3334" i="5" s="1"/>
  <c r="J3334" i="5"/>
  <c r="M3333" i="5"/>
  <c r="R3333" i="5" s="1"/>
  <c r="O3332" i="5"/>
  <c r="T3332" i="5" s="1"/>
  <c r="L3065" i="5"/>
  <c r="L3064" i="5"/>
  <c r="M3331" i="5"/>
  <c r="R3331" i="5" s="1"/>
  <c r="M3330" i="5"/>
  <c r="R3330" i="5" s="1"/>
  <c r="M3329" i="5"/>
  <c r="O3329" i="5" s="1"/>
  <c r="M3328" i="5"/>
  <c r="R3328" i="5" s="1"/>
  <c r="G3328" i="5"/>
  <c r="M3327" i="5"/>
  <c r="M3326" i="5"/>
  <c r="R3326" i="5" s="1"/>
  <c r="R3324" i="5"/>
  <c r="O3324" i="5"/>
  <c r="T3324" i="5" s="1"/>
  <c r="R3322" i="5"/>
  <c r="L3322" i="5"/>
  <c r="L3321" i="5"/>
  <c r="O3319" i="5"/>
  <c r="T3319" i="5" s="1"/>
  <c r="O3317" i="5"/>
  <c r="T3317" i="5" s="1"/>
  <c r="O3315" i="5"/>
  <c r="T3315" i="5" s="1"/>
  <c r="L3313" i="5"/>
  <c r="O3312" i="5"/>
  <c r="T3312" i="5" s="1"/>
  <c r="R3311" i="5"/>
  <c r="M3310" i="5"/>
  <c r="L3310" i="5" s="1"/>
  <c r="M3309" i="5"/>
  <c r="L3053" i="5"/>
  <c r="M3308" i="5"/>
  <c r="L3050" i="5"/>
  <c r="L3049" i="5"/>
  <c r="M3047" i="5"/>
  <c r="M3305" i="5"/>
  <c r="R3304" i="5"/>
  <c r="M3303" i="5"/>
  <c r="O3303" i="5" s="1"/>
  <c r="M3302" i="5"/>
  <c r="R3302" i="5" s="1"/>
  <c r="O3301" i="5"/>
  <c r="T3301" i="5" s="1"/>
  <c r="M3300" i="5"/>
  <c r="O3299" i="5"/>
  <c r="M3298" i="5"/>
  <c r="L3298" i="5" s="1"/>
  <c r="M3296" i="5"/>
  <c r="M3295" i="5"/>
  <c r="M3294" i="5"/>
  <c r="R3294" i="5" s="1"/>
  <c r="M3293" i="5"/>
  <c r="R3293" i="5" s="1"/>
  <c r="L3044" i="5"/>
  <c r="R3292" i="5"/>
  <c r="O3291" i="5"/>
  <c r="T3291" i="5" s="1"/>
  <c r="R3290" i="5"/>
  <c r="R3289" i="5"/>
  <c r="R3288" i="5"/>
  <c r="O3288" i="5"/>
  <c r="T3288" i="5" s="1"/>
  <c r="O3286" i="5"/>
  <c r="T3286" i="5" s="1"/>
  <c r="R3285" i="5"/>
  <c r="O3284" i="5"/>
  <c r="T3284" i="5" s="1"/>
  <c r="M3283" i="5"/>
  <c r="M3282" i="5"/>
  <c r="L3282" i="5" s="1"/>
  <c r="M3281" i="5"/>
  <c r="M3278" i="5"/>
  <c r="R3277" i="5"/>
  <c r="L3277" i="5"/>
  <c r="M3276" i="5"/>
  <c r="R3276" i="5" s="1"/>
  <c r="M3275" i="5"/>
  <c r="R3275" i="5" s="1"/>
  <c r="O3274" i="5"/>
  <c r="T3274" i="5" s="1"/>
  <c r="M3273" i="5"/>
  <c r="R3273" i="5" s="1"/>
  <c r="M3272" i="5"/>
  <c r="R3272" i="5" s="1"/>
  <c r="M3271" i="5"/>
  <c r="R3270" i="5"/>
  <c r="L3270" i="5"/>
  <c r="L3042" i="5"/>
  <c r="L3041" i="5"/>
  <c r="M3269" i="5"/>
  <c r="R3269" i="5" s="1"/>
  <c r="M3268" i="5"/>
  <c r="O3268" i="5" s="1"/>
  <c r="M3267" i="5"/>
  <c r="M3266" i="5"/>
  <c r="O3266" i="5" s="1"/>
  <c r="O3264" i="5"/>
  <c r="T3264" i="5" s="1"/>
  <c r="R3263" i="5"/>
  <c r="O3262" i="5"/>
  <c r="T3262" i="5" s="1"/>
  <c r="O3260" i="5"/>
  <c r="T3260" i="5" s="1"/>
  <c r="M3259" i="5"/>
  <c r="O3258" i="5"/>
  <c r="T3258" i="5" s="1"/>
  <c r="O3256" i="5"/>
  <c r="T3256" i="5" s="1"/>
  <c r="M3255" i="5"/>
  <c r="O3254" i="5"/>
  <c r="T3254" i="5" s="1"/>
  <c r="L3038" i="5"/>
  <c r="L3037" i="5"/>
  <c r="M3253" i="5"/>
  <c r="R3252" i="5"/>
  <c r="M3251" i="5"/>
  <c r="O3251" i="5" s="1"/>
  <c r="L3034" i="5"/>
  <c r="M3250" i="5"/>
  <c r="L3250" i="5" s="1"/>
  <c r="M3249" i="5"/>
  <c r="M3248" i="5"/>
  <c r="R3248" i="5" s="1"/>
  <c r="M3247" i="5"/>
  <c r="L3247" i="5" s="1"/>
  <c r="L3245" i="5"/>
  <c r="O3243" i="5"/>
  <c r="T3243" i="5" s="1"/>
  <c r="L3241" i="5"/>
  <c r="M3240" i="5"/>
  <c r="R3240" i="5" s="1"/>
  <c r="M3239" i="5"/>
  <c r="R3239" i="5" s="1"/>
  <c r="M3238" i="5"/>
  <c r="L3238" i="5" s="1"/>
  <c r="M3237" i="5"/>
  <c r="M3236" i="5"/>
  <c r="R3236" i="5" s="1"/>
  <c r="O3031" i="5"/>
  <c r="L3029" i="5"/>
  <c r="O3235" i="5"/>
  <c r="T3235" i="5" s="1"/>
  <c r="R3234" i="5"/>
  <c r="R3233" i="5"/>
  <c r="L3233" i="5"/>
  <c r="O3232" i="5"/>
  <c r="T3232" i="5" s="1"/>
  <c r="M3230" i="5"/>
  <c r="M3229" i="5"/>
  <c r="M3226" i="5"/>
  <c r="O3226" i="5" s="1"/>
  <c r="O3224" i="5"/>
  <c r="T3224" i="5" s="1"/>
  <c r="O3223" i="5"/>
  <c r="T3223" i="5" s="1"/>
  <c r="O3222" i="5"/>
  <c r="T3222" i="5" s="1"/>
  <c r="R3221" i="5"/>
  <c r="O3220" i="5"/>
  <c r="T3220" i="5" s="1"/>
  <c r="O3219" i="5"/>
  <c r="T3219" i="5" s="1"/>
  <c r="M3218" i="5"/>
  <c r="L3218" i="5" s="1"/>
  <c r="O3217" i="5"/>
  <c r="T3217" i="5" s="1"/>
  <c r="M3216" i="5"/>
  <c r="M3215" i="5"/>
  <c r="R3215" i="5" s="1"/>
  <c r="M3214" i="5"/>
  <c r="L3214" i="5" s="1"/>
  <c r="M3213" i="5"/>
  <c r="L3213" i="5" s="1"/>
  <c r="M3212" i="5"/>
  <c r="M3211" i="5"/>
  <c r="O3210" i="5"/>
  <c r="T3210" i="5" s="1"/>
  <c r="M3209" i="5"/>
  <c r="R3209" i="5" s="1"/>
  <c r="M3208" i="5"/>
  <c r="R3208" i="5" s="1"/>
  <c r="M3207" i="5"/>
  <c r="L3207" i="5" s="1"/>
  <c r="M3206" i="5"/>
  <c r="L3206" i="5" s="1"/>
  <c r="M3205" i="5"/>
  <c r="E3205" i="5"/>
  <c r="M3204" i="5"/>
  <c r="M3201" i="5"/>
  <c r="L3201" i="5" s="1"/>
  <c r="R3199" i="5"/>
  <c r="M3197" i="5"/>
  <c r="L3024" i="5"/>
  <c r="R3195" i="5"/>
  <c r="M3194" i="5"/>
  <c r="L3194" i="5" s="1"/>
  <c r="L3021" i="5"/>
  <c r="M3193" i="5"/>
  <c r="R3193" i="5" s="1"/>
  <c r="M3192" i="5"/>
  <c r="R3191" i="5"/>
  <c r="O3190" i="5"/>
  <c r="T3190" i="5" s="1"/>
  <c r="O3189" i="5"/>
  <c r="O3188" i="5"/>
  <c r="M3187" i="5"/>
  <c r="M3186" i="5"/>
  <c r="O3186" i="5" s="1"/>
  <c r="M3185" i="5"/>
  <c r="R3185" i="5" s="1"/>
  <c r="O3184" i="5"/>
  <c r="T3184" i="5" s="1"/>
  <c r="L2020" i="5"/>
  <c r="S2020" i="5" s="1"/>
  <c r="M3183" i="5"/>
  <c r="R3183" i="5" s="1"/>
  <c r="O3182" i="5"/>
  <c r="T3182" i="5" s="1"/>
  <c r="M3180" i="5"/>
  <c r="R3180" i="5" s="1"/>
  <c r="M3179" i="5"/>
  <c r="L3179" i="5" s="1"/>
  <c r="M3178" i="5"/>
  <c r="L3016" i="5"/>
  <c r="O3176" i="5"/>
  <c r="T3176" i="5" s="1"/>
  <c r="R3175" i="5"/>
  <c r="O3174" i="5"/>
  <c r="T3174" i="5" s="1"/>
  <c r="L3173" i="5"/>
  <c r="M3172" i="5"/>
  <c r="L3172" i="5" s="1"/>
  <c r="L3013" i="5"/>
  <c r="M3170" i="5"/>
  <c r="M3169" i="5"/>
  <c r="O3169" i="5" s="1"/>
  <c r="L3168" i="5"/>
  <c r="L3009" i="5"/>
  <c r="R3167" i="5"/>
  <c r="L3167" i="5"/>
  <c r="M3166" i="5"/>
  <c r="M3165" i="5"/>
  <c r="L3165" i="5" s="1"/>
  <c r="L3008" i="5"/>
  <c r="L3007" i="5"/>
  <c r="O3164" i="5"/>
  <c r="T3164" i="5" s="1"/>
  <c r="M3163" i="5"/>
  <c r="M3162" i="5"/>
  <c r="O3160" i="5"/>
  <c r="T3160" i="5" s="1"/>
  <c r="R2018" i="5"/>
  <c r="M3159" i="5"/>
  <c r="R3159" i="5" s="1"/>
  <c r="L3158" i="5"/>
  <c r="M3005" i="5"/>
  <c r="L3004" i="5"/>
  <c r="O3157" i="5"/>
  <c r="T3157" i="5" s="1"/>
  <c r="L3156" i="5"/>
  <c r="L3155" i="5"/>
  <c r="M3154" i="5"/>
  <c r="O3154" i="5" s="1"/>
  <c r="R3153" i="5"/>
  <c r="M3152" i="5"/>
  <c r="M3151" i="5"/>
  <c r="M3150" i="5"/>
  <c r="M3149" i="5"/>
  <c r="R3149" i="5" s="1"/>
  <c r="M3148" i="5"/>
  <c r="R3148" i="5" s="1"/>
  <c r="M3147" i="5"/>
  <c r="L3147" i="5" s="1"/>
  <c r="M3146" i="5"/>
  <c r="M3145" i="5"/>
  <c r="R3145" i="5" s="1"/>
  <c r="R3144" i="5"/>
  <c r="L3144" i="5"/>
  <c r="M3143" i="5"/>
  <c r="O3143" i="5" s="1"/>
  <c r="L3142" i="5"/>
  <c r="M3141" i="5"/>
  <c r="M3140" i="5"/>
  <c r="L3003" i="5"/>
  <c r="L3002" i="5"/>
  <c r="O3139" i="5"/>
  <c r="T3139" i="5" s="1"/>
  <c r="O3138" i="5"/>
  <c r="T3138" i="5" s="1"/>
  <c r="M3137" i="5"/>
  <c r="M3136" i="5"/>
  <c r="M3134" i="5"/>
  <c r="R3134" i="5" s="1"/>
  <c r="M3133" i="5"/>
  <c r="O3133" i="5" s="1"/>
  <c r="M3132" i="5"/>
  <c r="O3132" i="5" s="1"/>
  <c r="M3131" i="5"/>
  <c r="O3131" i="5" s="1"/>
  <c r="M3130" i="5"/>
  <c r="M3129" i="5"/>
  <c r="O3129" i="5" s="1"/>
  <c r="M3128" i="5"/>
  <c r="R3128" i="5" s="1"/>
  <c r="M3127" i="5"/>
  <c r="O3127" i="5" s="1"/>
  <c r="R3126" i="5"/>
  <c r="M3125" i="5"/>
  <c r="O3125" i="5" s="1"/>
  <c r="M3124" i="5"/>
  <c r="O3124" i="5" s="1"/>
  <c r="L2998" i="5"/>
  <c r="M3123" i="5"/>
  <c r="R3123" i="5" s="1"/>
  <c r="O2993" i="5"/>
  <c r="T2993" i="5" s="1"/>
  <c r="L2992" i="5"/>
  <c r="L2989" i="5"/>
  <c r="L2988" i="5"/>
  <c r="M3122" i="5"/>
  <c r="L2987" i="5"/>
  <c r="L2986" i="5"/>
  <c r="L2985" i="5"/>
  <c r="L2984" i="5"/>
  <c r="M3121" i="5"/>
  <c r="O3120" i="5"/>
  <c r="T3120" i="5" s="1"/>
  <c r="M3119" i="5"/>
  <c r="M3118" i="5"/>
  <c r="M3117" i="5"/>
  <c r="M3116" i="5"/>
  <c r="R3116" i="5" s="1"/>
  <c r="M3115" i="5"/>
  <c r="L3115" i="5" s="1"/>
  <c r="M3114" i="5"/>
  <c r="M3113" i="5"/>
  <c r="R3113" i="5" s="1"/>
  <c r="M3111" i="5"/>
  <c r="O3110" i="5"/>
  <c r="T3110" i="5" s="1"/>
  <c r="R3109" i="5"/>
  <c r="O3108" i="5"/>
  <c r="T3108" i="5" s="1"/>
  <c r="M3107" i="5"/>
  <c r="O3106" i="5"/>
  <c r="T3106" i="5" s="1"/>
  <c r="M3105" i="5"/>
  <c r="R3105" i="5" s="1"/>
  <c r="M3104" i="5"/>
  <c r="O3104" i="5" s="1"/>
  <c r="O3103" i="5"/>
  <c r="T3103" i="5" s="1"/>
  <c r="M3102" i="5"/>
  <c r="L3102" i="5" s="1"/>
  <c r="T2963" i="5"/>
  <c r="J2963" i="5"/>
  <c r="G2963" i="5"/>
  <c r="D2963" i="5"/>
  <c r="L2962" i="5"/>
  <c r="L2961" i="5"/>
  <c r="L2960" i="5"/>
  <c r="L2959" i="5"/>
  <c r="A2960" i="5"/>
  <c r="A2961" i="5" s="1"/>
  <c r="A2962" i="5" s="1"/>
  <c r="T2957" i="5"/>
  <c r="Q2957" i="5"/>
  <c r="P2957" i="5"/>
  <c r="N2957" i="5"/>
  <c r="J2957" i="5"/>
  <c r="G2957" i="5"/>
  <c r="E2957" i="5"/>
  <c r="D2957" i="5"/>
  <c r="R2956" i="5"/>
  <c r="O2957" i="5"/>
  <c r="T2953" i="5"/>
  <c r="P2953" i="5"/>
  <c r="N2953" i="5"/>
  <c r="M2953" i="5"/>
  <c r="J2953" i="5"/>
  <c r="G2953" i="5"/>
  <c r="E2953" i="5"/>
  <c r="D2953" i="5"/>
  <c r="R2951" i="5"/>
  <c r="L2951" i="5"/>
  <c r="R2950" i="5"/>
  <c r="R2949" i="5"/>
  <c r="L2949" i="5"/>
  <c r="R2948" i="5"/>
  <c r="L2948" i="5"/>
  <c r="A2948" i="5"/>
  <c r="A2949" i="5" s="1"/>
  <c r="A2950" i="5" s="1"/>
  <c r="A2951" i="5" s="1"/>
  <c r="A2952" i="5" s="1"/>
  <c r="R2947" i="5"/>
  <c r="L2947" i="5"/>
  <c r="R2946" i="5"/>
  <c r="R2945" i="5"/>
  <c r="L2945" i="5"/>
  <c r="R2944" i="5"/>
  <c r="L2944" i="5"/>
  <c r="R2943" i="5"/>
  <c r="L2943" i="5"/>
  <c r="R2942" i="5"/>
  <c r="L2942" i="5"/>
  <c r="R2941" i="5"/>
  <c r="L2941" i="5"/>
  <c r="R2940" i="5"/>
  <c r="L2940" i="5"/>
  <c r="R2939" i="5"/>
  <c r="Q2953" i="5"/>
  <c r="R2938" i="5"/>
  <c r="L2938" i="5"/>
  <c r="R2937" i="5"/>
  <c r="L2937" i="5"/>
  <c r="R2936" i="5"/>
  <c r="L2936" i="5"/>
  <c r="R2935" i="5"/>
  <c r="L2935" i="5"/>
  <c r="R2934" i="5"/>
  <c r="L2934" i="5"/>
  <c r="R2933" i="5"/>
  <c r="L2933" i="5"/>
  <c r="A2933" i="5"/>
  <c r="A2934" i="5" s="1"/>
  <c r="A2935" i="5" s="1"/>
  <c r="A2936" i="5" s="1"/>
  <c r="A2937" i="5" s="1"/>
  <c r="A2938" i="5" s="1"/>
  <c r="A2939" i="5" s="1"/>
  <c r="A2940" i="5" s="1"/>
  <c r="A2941" i="5" s="1"/>
  <c r="A2942" i="5" s="1"/>
  <c r="R2932" i="5"/>
  <c r="L2932" i="5"/>
  <c r="Q2930" i="5"/>
  <c r="P2930" i="5"/>
  <c r="N2930" i="5"/>
  <c r="J2930" i="5"/>
  <c r="G2930" i="5"/>
  <c r="E2930" i="5"/>
  <c r="D2930" i="5"/>
  <c r="R2929" i="5"/>
  <c r="L2928" i="5"/>
  <c r="R2927" i="5"/>
  <c r="R2926" i="5"/>
  <c r="R2925" i="5"/>
  <c r="R2923" i="5"/>
  <c r="L2922" i="5"/>
  <c r="A2922" i="5"/>
  <c r="A2924" i="5" s="1"/>
  <c r="Q2919" i="5"/>
  <c r="P2919" i="5"/>
  <c r="O2919" i="5"/>
  <c r="N2919" i="5"/>
  <c r="J2919" i="5"/>
  <c r="G2919" i="5"/>
  <c r="E2919" i="5"/>
  <c r="D2919" i="5"/>
  <c r="R2915" i="5"/>
  <c r="R2914" i="5"/>
  <c r="A2915" i="5"/>
  <c r="A2916" i="5" s="1"/>
  <c r="A2917" i="5" s="1"/>
  <c r="R2913" i="5"/>
  <c r="M2905" i="5"/>
  <c r="R2903" i="5"/>
  <c r="R2902" i="5"/>
  <c r="L2902" i="5"/>
  <c r="L2901" i="5"/>
  <c r="A2900" i="5"/>
  <c r="A2901" i="5" s="1"/>
  <c r="A2902" i="5" s="1"/>
  <c r="R2897" i="5"/>
  <c r="L2897" i="5"/>
  <c r="Q2887" i="5"/>
  <c r="P2887" i="5"/>
  <c r="O2887" i="5"/>
  <c r="N2887" i="5"/>
  <c r="J2887" i="5"/>
  <c r="G2887" i="5"/>
  <c r="E2887" i="5"/>
  <c r="D2887" i="5"/>
  <c r="R2886" i="5"/>
  <c r="P2884" i="5"/>
  <c r="O2884" i="5"/>
  <c r="N2884" i="5"/>
  <c r="J2884" i="5"/>
  <c r="E2884" i="5"/>
  <c r="D2884" i="5"/>
  <c r="L2882" i="5"/>
  <c r="Q2880" i="5"/>
  <c r="P2880" i="5"/>
  <c r="O2880" i="5"/>
  <c r="N2880" i="5"/>
  <c r="J2880" i="5"/>
  <c r="G2880" i="5"/>
  <c r="E2880" i="5"/>
  <c r="D2880" i="5"/>
  <c r="L2879" i="5"/>
  <c r="R2878" i="5"/>
  <c r="R2877" i="5"/>
  <c r="R2851" i="5"/>
  <c r="R2850" i="5"/>
  <c r="L2850" i="5"/>
  <c r="R2848" i="5"/>
  <c r="R2847" i="5"/>
  <c r="L2847" i="5"/>
  <c r="R2846" i="5"/>
  <c r="L2846" i="5"/>
  <c r="A2846" i="5"/>
  <c r="A2847" i="5" s="1"/>
  <c r="A2848" i="5" s="1"/>
  <c r="R2845" i="5"/>
  <c r="L2845" i="5"/>
  <c r="P2836" i="5"/>
  <c r="O2836" i="5"/>
  <c r="N2836" i="5"/>
  <c r="J2836" i="5"/>
  <c r="G2836" i="5"/>
  <c r="E2836" i="5"/>
  <c r="D2836" i="5"/>
  <c r="R2835" i="5"/>
  <c r="Q2833" i="5"/>
  <c r="P2833" i="5"/>
  <c r="N2833" i="5"/>
  <c r="J2833" i="5"/>
  <c r="G2833" i="5"/>
  <c r="E2833" i="5"/>
  <c r="D2833" i="5"/>
  <c r="R2832" i="5"/>
  <c r="Q2830" i="5"/>
  <c r="P2830" i="5"/>
  <c r="O2830" i="5"/>
  <c r="N2830" i="5"/>
  <c r="J2830" i="5"/>
  <c r="G2830" i="5"/>
  <c r="E2830" i="5"/>
  <c r="D2830" i="5"/>
  <c r="P2825" i="5"/>
  <c r="O2825" i="5"/>
  <c r="N2825" i="5"/>
  <c r="M2825" i="5"/>
  <c r="J2825" i="5"/>
  <c r="E2825" i="5"/>
  <c r="L2823" i="5"/>
  <c r="A2823" i="5"/>
  <c r="A2824" i="5" s="1"/>
  <c r="L2822" i="5"/>
  <c r="R2821" i="5"/>
  <c r="R2820" i="5"/>
  <c r="R2819" i="5"/>
  <c r="L2819" i="5"/>
  <c r="R2818" i="5"/>
  <c r="L2818" i="5"/>
  <c r="G2818" i="5"/>
  <c r="L2817" i="5"/>
  <c r="G2817" i="5"/>
  <c r="L2816" i="5"/>
  <c r="G2816" i="5"/>
  <c r="R2815" i="5"/>
  <c r="L2815" i="5"/>
  <c r="R2814" i="5"/>
  <c r="L2814" i="5"/>
  <c r="R2813" i="5"/>
  <c r="R2812" i="5"/>
  <c r="L2812" i="5"/>
  <c r="L2811" i="5"/>
  <c r="G2811" i="5"/>
  <c r="R2810" i="5"/>
  <c r="L2810" i="5"/>
  <c r="R2809" i="5"/>
  <c r="L2809" i="5"/>
  <c r="A2812" i="5"/>
  <c r="L2796" i="5"/>
  <c r="Q2794" i="5"/>
  <c r="P2794" i="5"/>
  <c r="N2794" i="5"/>
  <c r="J2794" i="5"/>
  <c r="G2794" i="5"/>
  <c r="E2794" i="5"/>
  <c r="R2789" i="5"/>
  <c r="L2789" i="5"/>
  <c r="R2788" i="5"/>
  <c r="L2788" i="5"/>
  <c r="Q2786" i="5"/>
  <c r="P2786" i="5"/>
  <c r="O2786" i="5"/>
  <c r="N2786" i="5"/>
  <c r="J2786" i="5"/>
  <c r="G2786" i="5"/>
  <c r="E2786" i="5"/>
  <c r="D2786" i="5"/>
  <c r="R2785" i="5"/>
  <c r="R2783" i="5"/>
  <c r="R2782" i="5"/>
  <c r="Q2780" i="5"/>
  <c r="P2780" i="5"/>
  <c r="N2780" i="5"/>
  <c r="J2780" i="5"/>
  <c r="G2780" i="5"/>
  <c r="E2780" i="5"/>
  <c r="D2780" i="5"/>
  <c r="C2780" i="5"/>
  <c r="Q2776" i="5"/>
  <c r="P2776" i="5"/>
  <c r="O2776" i="5"/>
  <c r="N2776" i="5"/>
  <c r="J2776" i="5"/>
  <c r="G2776" i="5"/>
  <c r="E2776" i="5"/>
  <c r="D2776" i="5"/>
  <c r="R2775" i="5"/>
  <c r="R2774" i="5"/>
  <c r="Q2772" i="5"/>
  <c r="P2772" i="5"/>
  <c r="O2772" i="5"/>
  <c r="N2772" i="5"/>
  <c r="M2772" i="5"/>
  <c r="J2772" i="5"/>
  <c r="G2772" i="5"/>
  <c r="E2772" i="5"/>
  <c r="D2772" i="5"/>
  <c r="L2767" i="5"/>
  <c r="L2766" i="5"/>
  <c r="L2765" i="5"/>
  <c r="L2764" i="5"/>
  <c r="L2763" i="5"/>
  <c r="L2762" i="5"/>
  <c r="L2761" i="5"/>
  <c r="D2743" i="5"/>
  <c r="R2742" i="5"/>
  <c r="D2742" i="5"/>
  <c r="D2741" i="5"/>
  <c r="R2740" i="5"/>
  <c r="L2740" i="5"/>
  <c r="D2740" i="5"/>
  <c r="R2739" i="5"/>
  <c r="D2739" i="5"/>
  <c r="D2738" i="5"/>
  <c r="L2737" i="5"/>
  <c r="D2737" i="5"/>
  <c r="R2736" i="5"/>
  <c r="D2736" i="5"/>
  <c r="D2735" i="5"/>
  <c r="R2734" i="5"/>
  <c r="D2734" i="5"/>
  <c r="D2732" i="5"/>
  <c r="R2731" i="5"/>
  <c r="D2731" i="5"/>
  <c r="L2730" i="5"/>
  <c r="D2730" i="5"/>
  <c r="R2729" i="5"/>
  <c r="D2729" i="5"/>
  <c r="L2728" i="5"/>
  <c r="D2728" i="5"/>
  <c r="D2727" i="5"/>
  <c r="R2726" i="5"/>
  <c r="D2726" i="5"/>
  <c r="R2725" i="5"/>
  <c r="L2725" i="5"/>
  <c r="D2725" i="5"/>
  <c r="R2724" i="5"/>
  <c r="D2724" i="5"/>
  <c r="R2723" i="5"/>
  <c r="D2723" i="5"/>
  <c r="D2722" i="5"/>
  <c r="R2721" i="5"/>
  <c r="D2721" i="5"/>
  <c r="R2720" i="5"/>
  <c r="L2720" i="5"/>
  <c r="D2720" i="5"/>
  <c r="R2719" i="5"/>
  <c r="D2719" i="5"/>
  <c r="D2718" i="5"/>
  <c r="R2717" i="5"/>
  <c r="D2717" i="5"/>
  <c r="R2716" i="5"/>
  <c r="D2716" i="5"/>
  <c r="R2715" i="5"/>
  <c r="L2715" i="5"/>
  <c r="D2715" i="5"/>
  <c r="L2714" i="5"/>
  <c r="D2714" i="5"/>
  <c r="D2713" i="5"/>
  <c r="R2712" i="5"/>
  <c r="D2712" i="5"/>
  <c r="R2711" i="5"/>
  <c r="L2711" i="5"/>
  <c r="D2711" i="5"/>
  <c r="R2710" i="5"/>
  <c r="D2710" i="5"/>
  <c r="L2709" i="5"/>
  <c r="D2709" i="5"/>
  <c r="L2708" i="5"/>
  <c r="D2708" i="5"/>
  <c r="R2707" i="5"/>
  <c r="D2707" i="5"/>
  <c r="D2706" i="5"/>
  <c r="R2705" i="5"/>
  <c r="D2705" i="5"/>
  <c r="R2704" i="5"/>
  <c r="L2704" i="5"/>
  <c r="D2704" i="5"/>
  <c r="R2703" i="5"/>
  <c r="D2703" i="5"/>
  <c r="L2702" i="5"/>
  <c r="D2702" i="5"/>
  <c r="D2701" i="5"/>
  <c r="R2700" i="5"/>
  <c r="D2700" i="5"/>
  <c r="L2699" i="5"/>
  <c r="R2698" i="5"/>
  <c r="D2698" i="5"/>
  <c r="D2697" i="5"/>
  <c r="R2696" i="5"/>
  <c r="L2696" i="5"/>
  <c r="D2696" i="5"/>
  <c r="L2695" i="5"/>
  <c r="D2695" i="5"/>
  <c r="D2694" i="5"/>
  <c r="R2693" i="5"/>
  <c r="D2693" i="5"/>
  <c r="L2692" i="5"/>
  <c r="D2692" i="5"/>
  <c r="R2691" i="5"/>
  <c r="D2691" i="5"/>
  <c r="R2690" i="5"/>
  <c r="D2690" i="5"/>
  <c r="D2689" i="5"/>
  <c r="R2688" i="5"/>
  <c r="L2688" i="5"/>
  <c r="D2688" i="5"/>
  <c r="R2686" i="5"/>
  <c r="D2686" i="5"/>
  <c r="L2685" i="5"/>
  <c r="D2685" i="5"/>
  <c r="R2684" i="5"/>
  <c r="D2684" i="5"/>
  <c r="D2683" i="5"/>
  <c r="L2682" i="5"/>
  <c r="D2682" i="5"/>
  <c r="D2681" i="5"/>
  <c r="R2680" i="5"/>
  <c r="D2680" i="5"/>
  <c r="L2679" i="5"/>
  <c r="D2679" i="5"/>
  <c r="R2678" i="5"/>
  <c r="D2678" i="5"/>
  <c r="D2677" i="5"/>
  <c r="D2676" i="5"/>
  <c r="R2675" i="5"/>
  <c r="D2675" i="5"/>
  <c r="L2674" i="5"/>
  <c r="D2674" i="5"/>
  <c r="R2673" i="5"/>
  <c r="D2673" i="5"/>
  <c r="R2672" i="5"/>
  <c r="D2672" i="5"/>
  <c r="D2671" i="5"/>
  <c r="R2670" i="5"/>
  <c r="D2670" i="5"/>
  <c r="R2669" i="5"/>
  <c r="L2669" i="5"/>
  <c r="D2669" i="5"/>
  <c r="R2668" i="5"/>
  <c r="L2668" i="5"/>
  <c r="D2668" i="5"/>
  <c r="A2668" i="5"/>
  <c r="A2669" i="5" s="1"/>
  <c r="A2670" i="5" s="1"/>
  <c r="A2671" i="5" s="1"/>
  <c r="A2672" i="5" s="1"/>
  <c r="L2667" i="5"/>
  <c r="D2667" i="5"/>
  <c r="D2644" i="5"/>
  <c r="R2639" i="5"/>
  <c r="L2638" i="5"/>
  <c r="R2637" i="5"/>
  <c r="L2635" i="5"/>
  <c r="R2634" i="5"/>
  <c r="R2633" i="5"/>
  <c r="L2632" i="5"/>
  <c r="R2631" i="5"/>
  <c r="A2632" i="5"/>
  <c r="A2633" i="5" s="1"/>
  <c r="A2634" i="5" s="1"/>
  <c r="A2635" i="5" s="1"/>
  <c r="A2636" i="5" s="1"/>
  <c r="A2637" i="5" s="1"/>
  <c r="A2638" i="5" s="1"/>
  <c r="A2639" i="5" s="1"/>
  <c r="A2640" i="5" s="1"/>
  <c r="L2598" i="5"/>
  <c r="R2586" i="5"/>
  <c r="L2582" i="5"/>
  <c r="A2570" i="5"/>
  <c r="A2571" i="5" s="1"/>
  <c r="A2572" i="5" s="1"/>
  <c r="A2573" i="5" s="1"/>
  <c r="A2574" i="5" s="1"/>
  <c r="A2575" i="5" s="1"/>
  <c r="A2576" i="5" s="1"/>
  <c r="A2577" i="5" s="1"/>
  <c r="A2578" i="5" s="1"/>
  <c r="R2543" i="5"/>
  <c r="L2543" i="5"/>
  <c r="R2542" i="5"/>
  <c r="L2542" i="5"/>
  <c r="R2541" i="5"/>
  <c r="L2541" i="5"/>
  <c r="R2540" i="5"/>
  <c r="L2540" i="5"/>
  <c r="R2539" i="5"/>
  <c r="L2539" i="5"/>
  <c r="R2536" i="5"/>
  <c r="L2536" i="5"/>
  <c r="R2534" i="5"/>
  <c r="L2534" i="5"/>
  <c r="R2533" i="5"/>
  <c r="L2533" i="5"/>
  <c r="R2532" i="5"/>
  <c r="L2532" i="5"/>
  <c r="R2531" i="5"/>
  <c r="L2531" i="5"/>
  <c r="R2527" i="5"/>
  <c r="S2521" i="5"/>
  <c r="Q2520" i="5"/>
  <c r="N2520" i="5"/>
  <c r="M2520" i="5"/>
  <c r="J2520" i="5"/>
  <c r="G2520" i="5"/>
  <c r="E2520" i="5"/>
  <c r="D2520" i="5"/>
  <c r="R2519" i="5"/>
  <c r="L2519" i="5"/>
  <c r="R2518" i="5"/>
  <c r="L2518" i="5"/>
  <c r="R2517" i="5"/>
  <c r="L2517" i="5"/>
  <c r="R2516" i="5"/>
  <c r="L2516" i="5"/>
  <c r="R2515" i="5"/>
  <c r="L2515" i="5"/>
  <c r="R2514" i="5"/>
  <c r="L2514" i="5"/>
  <c r="R2513" i="5"/>
  <c r="L2513" i="5"/>
  <c r="A2513" i="5"/>
  <c r="A2514" i="5" s="1"/>
  <c r="A2515" i="5" s="1"/>
  <c r="A2516" i="5" s="1"/>
  <c r="A2517" i="5" s="1"/>
  <c r="A2518" i="5" s="1"/>
  <c r="A2519" i="5" s="1"/>
  <c r="R2512" i="5"/>
  <c r="L2512" i="5"/>
  <c r="Q2510" i="5"/>
  <c r="J2510" i="5"/>
  <c r="G2510" i="5"/>
  <c r="E2510" i="5"/>
  <c r="D2510" i="5"/>
  <c r="M2509" i="5"/>
  <c r="M2508" i="5"/>
  <c r="A2508" i="5"/>
  <c r="A2509" i="5" s="1"/>
  <c r="M2507" i="5"/>
  <c r="R2507" i="5" s="1"/>
  <c r="Q2505" i="5"/>
  <c r="P2505" i="5"/>
  <c r="N2505" i="5"/>
  <c r="M2505" i="5"/>
  <c r="J2505" i="5"/>
  <c r="G2505" i="5"/>
  <c r="D2505" i="5"/>
  <c r="R2504" i="5"/>
  <c r="L2504" i="5"/>
  <c r="R2503" i="5"/>
  <c r="L2503" i="5"/>
  <c r="E2503" i="5"/>
  <c r="R2502" i="5"/>
  <c r="L2502" i="5"/>
  <c r="E2502" i="5"/>
  <c r="A2502" i="5"/>
  <c r="R2501" i="5"/>
  <c r="L2501" i="5"/>
  <c r="E2501" i="5"/>
  <c r="R2500" i="5"/>
  <c r="L2500" i="5"/>
  <c r="E2500" i="5"/>
  <c r="A2500" i="5"/>
  <c r="R2499" i="5"/>
  <c r="O2505" i="5"/>
  <c r="Q2497" i="5"/>
  <c r="O2497" i="5"/>
  <c r="N2497" i="5"/>
  <c r="M2497" i="5"/>
  <c r="J2497" i="5"/>
  <c r="G2497" i="5"/>
  <c r="E2497" i="5"/>
  <c r="L2496" i="5"/>
  <c r="L2495" i="5"/>
  <c r="R2494" i="5"/>
  <c r="L2494" i="5"/>
  <c r="D2494" i="5"/>
  <c r="D2497" i="5" s="1"/>
  <c r="A2494" i="5"/>
  <c r="A2495" i="5" s="1"/>
  <c r="R2493" i="5"/>
  <c r="L2493" i="5"/>
  <c r="L2482" i="5"/>
  <c r="S2482" i="5" s="1"/>
  <c r="L2481" i="5"/>
  <c r="S2481" i="5" s="1"/>
  <c r="L2480" i="5"/>
  <c r="R2479" i="5"/>
  <c r="L2479" i="5"/>
  <c r="R2478" i="5"/>
  <c r="L2478" i="5"/>
  <c r="R2477" i="5"/>
  <c r="L2477" i="5"/>
  <c r="R2476" i="5"/>
  <c r="L2476" i="5"/>
  <c r="R2475" i="5"/>
  <c r="L2475" i="5"/>
  <c r="R2474" i="5"/>
  <c r="L2474" i="5"/>
  <c r="R2473" i="5"/>
  <c r="L2473" i="5"/>
  <c r="R2472" i="5"/>
  <c r="L2472" i="5"/>
  <c r="R2471" i="5"/>
  <c r="L2471" i="5"/>
  <c r="R2470" i="5"/>
  <c r="L2470" i="5"/>
  <c r="R2469" i="5"/>
  <c r="L2469" i="5"/>
  <c r="R2468" i="5"/>
  <c r="L2468" i="5"/>
  <c r="R2467" i="5"/>
  <c r="L2467" i="5"/>
  <c r="R2466" i="5"/>
  <c r="L2466" i="5"/>
  <c r="R2465" i="5"/>
  <c r="L2465" i="5"/>
  <c r="R2464" i="5"/>
  <c r="L2464" i="5"/>
  <c r="R2463" i="5"/>
  <c r="L2463" i="5"/>
  <c r="R2462" i="5"/>
  <c r="L2462" i="5"/>
  <c r="R2461" i="5"/>
  <c r="L2461" i="5"/>
  <c r="R2460" i="5"/>
  <c r="L2460" i="5"/>
  <c r="R2459" i="5"/>
  <c r="L2459" i="5"/>
  <c r="R2458" i="5"/>
  <c r="L2458" i="5"/>
  <c r="R2457" i="5"/>
  <c r="L2457" i="5"/>
  <c r="R2456" i="5"/>
  <c r="L2456" i="5"/>
  <c r="R2455" i="5"/>
  <c r="L2455" i="5"/>
  <c r="R2454" i="5"/>
  <c r="L2454" i="5"/>
  <c r="S2454" i="5" s="1"/>
  <c r="R2453" i="5"/>
  <c r="R2452" i="5"/>
  <c r="L2452" i="5"/>
  <c r="S2452" i="5" s="1"/>
  <c r="R2451" i="5"/>
  <c r="L2451" i="5"/>
  <c r="S2451" i="5" s="1"/>
  <c r="R2450" i="5"/>
  <c r="L2450" i="5"/>
  <c r="S2450" i="5" s="1"/>
  <c r="R2449" i="5"/>
  <c r="R2448" i="5"/>
  <c r="L2448" i="5"/>
  <c r="A2448" i="5"/>
  <c r="R2447" i="5"/>
  <c r="L2447" i="5"/>
  <c r="Q2443" i="5"/>
  <c r="P2443" i="5"/>
  <c r="N2443" i="5"/>
  <c r="M2443" i="5"/>
  <c r="J2443" i="5"/>
  <c r="G2443" i="5"/>
  <c r="E2443" i="5"/>
  <c r="D2443" i="5"/>
  <c r="R2442" i="5"/>
  <c r="O2443" i="5"/>
  <c r="R2441" i="5"/>
  <c r="L2441" i="5"/>
  <c r="Q2439" i="5"/>
  <c r="N2439" i="5"/>
  <c r="M2439" i="5"/>
  <c r="J2439" i="5"/>
  <c r="G2439" i="5"/>
  <c r="E2439" i="5"/>
  <c r="D2439" i="5"/>
  <c r="R2436" i="5"/>
  <c r="L2436" i="5"/>
  <c r="R2435" i="5"/>
  <c r="L2435" i="5"/>
  <c r="A2435" i="5"/>
  <c r="R2434" i="5"/>
  <c r="L2434" i="5"/>
  <c r="Q2432" i="5"/>
  <c r="N2432" i="5"/>
  <c r="M2432" i="5"/>
  <c r="J2432" i="5"/>
  <c r="G2432" i="5"/>
  <c r="E2432" i="5"/>
  <c r="D2432" i="5"/>
  <c r="R2431" i="5"/>
  <c r="L2431" i="5"/>
  <c r="R2430" i="5"/>
  <c r="O2432" i="5"/>
  <c r="Q2428" i="5"/>
  <c r="P2428" i="5"/>
  <c r="O2428" i="5"/>
  <c r="N2428" i="5"/>
  <c r="M2428" i="5"/>
  <c r="J2428" i="5"/>
  <c r="G2428" i="5"/>
  <c r="E2428" i="5"/>
  <c r="D2428" i="5"/>
  <c r="L2426" i="5"/>
  <c r="Q2424" i="5"/>
  <c r="P2424" i="5"/>
  <c r="N2424" i="5"/>
  <c r="J2424" i="5"/>
  <c r="G2424" i="5"/>
  <c r="E2424" i="5"/>
  <c r="R2423" i="5"/>
  <c r="L2423" i="5"/>
  <c r="D2423" i="5"/>
  <c r="D2424" i="5" s="1"/>
  <c r="M2422" i="5"/>
  <c r="M2424" i="5" s="1"/>
  <c r="Q2420" i="5"/>
  <c r="P2420" i="5"/>
  <c r="O2420" i="5"/>
  <c r="N2420" i="5"/>
  <c r="M2420" i="5"/>
  <c r="J2420" i="5"/>
  <c r="G2420" i="5"/>
  <c r="E2420" i="5"/>
  <c r="D2420" i="5"/>
  <c r="R2419" i="5"/>
  <c r="L2419" i="5"/>
  <c r="Q2417" i="5"/>
  <c r="J2417" i="5"/>
  <c r="G2417" i="5"/>
  <c r="E2417" i="5"/>
  <c r="D2417" i="5"/>
  <c r="R2414" i="5"/>
  <c r="S2414" i="5"/>
  <c r="Q2412" i="5"/>
  <c r="O2412" i="5"/>
  <c r="N2412" i="5"/>
  <c r="M2412" i="5"/>
  <c r="J2412" i="5"/>
  <c r="G2412" i="5"/>
  <c r="E2412" i="5"/>
  <c r="D2412" i="5"/>
  <c r="R2411" i="5"/>
  <c r="L2411" i="5"/>
  <c r="R2410" i="5"/>
  <c r="L2410" i="5"/>
  <c r="Q2408" i="5"/>
  <c r="N2408" i="5"/>
  <c r="M2408" i="5"/>
  <c r="J2408" i="5"/>
  <c r="G2408" i="5"/>
  <c r="R2407" i="5"/>
  <c r="L2407" i="5"/>
  <c r="E2407" i="5"/>
  <c r="E2408" i="5" s="1"/>
  <c r="Q2405" i="5"/>
  <c r="N2405" i="5"/>
  <c r="M2405" i="5"/>
  <c r="J2405" i="5"/>
  <c r="G2405" i="5"/>
  <c r="E2405" i="5"/>
  <c r="D2405" i="5"/>
  <c r="R2404" i="5"/>
  <c r="L2404" i="5"/>
  <c r="Q2402" i="5"/>
  <c r="P2402" i="5"/>
  <c r="N2402" i="5"/>
  <c r="M2402" i="5"/>
  <c r="J2402" i="5"/>
  <c r="G2402" i="5"/>
  <c r="R2399" i="5"/>
  <c r="L2399" i="5"/>
  <c r="E2399" i="5"/>
  <c r="E2402" i="5" s="1"/>
  <c r="R2398" i="5"/>
  <c r="L2398" i="5"/>
  <c r="R2397" i="5"/>
  <c r="L2397" i="5"/>
  <c r="R2396" i="5"/>
  <c r="L2396" i="5"/>
  <c r="A2396" i="5"/>
  <c r="R2395" i="5"/>
  <c r="L2395" i="5"/>
  <c r="Q2393" i="5"/>
  <c r="P2393" i="5"/>
  <c r="O2393" i="5"/>
  <c r="N2393" i="5"/>
  <c r="M2393" i="5"/>
  <c r="J2393" i="5"/>
  <c r="G2393" i="5"/>
  <c r="E2393" i="5"/>
  <c r="D2393" i="5"/>
  <c r="L2386" i="5"/>
  <c r="L2385" i="5"/>
  <c r="Q2383" i="5"/>
  <c r="N2383" i="5"/>
  <c r="M2383" i="5"/>
  <c r="J2383" i="5"/>
  <c r="E2383" i="5"/>
  <c r="L2382" i="5"/>
  <c r="G2382" i="5"/>
  <c r="D2382" i="5"/>
  <c r="L2381" i="5"/>
  <c r="G2381" i="5"/>
  <c r="O2383" i="5"/>
  <c r="G2380" i="5"/>
  <c r="D2380" i="5"/>
  <c r="Q2378" i="5"/>
  <c r="P2378" i="5"/>
  <c r="O2378" i="5"/>
  <c r="N2378" i="5"/>
  <c r="M2378" i="5"/>
  <c r="J2378" i="5"/>
  <c r="G2378" i="5"/>
  <c r="E2378" i="5"/>
  <c r="R2377" i="5"/>
  <c r="L2377" i="5"/>
  <c r="R2376" i="5"/>
  <c r="L2376" i="5"/>
  <c r="D2376" i="5"/>
  <c r="D2378" i="5" s="1"/>
  <c r="Q2374" i="5"/>
  <c r="J2374" i="5"/>
  <c r="G2374" i="5"/>
  <c r="E2374" i="5"/>
  <c r="D2374" i="5"/>
  <c r="M2365" i="5"/>
  <c r="R2365" i="5" s="1"/>
  <c r="M2364" i="5"/>
  <c r="L2364" i="5" s="1"/>
  <c r="L2363" i="5"/>
  <c r="M2361" i="5"/>
  <c r="A2362" i="5"/>
  <c r="A2363" i="5" s="1"/>
  <c r="A2364" i="5" s="1"/>
  <c r="Q2359" i="5"/>
  <c r="P2359" i="5"/>
  <c r="O2359" i="5"/>
  <c r="N2359" i="5"/>
  <c r="M2359" i="5"/>
  <c r="J2359" i="5"/>
  <c r="E2359" i="5"/>
  <c r="D2359" i="5"/>
  <c r="L2358" i="5"/>
  <c r="G2358" i="5"/>
  <c r="Q2356" i="5"/>
  <c r="N2356" i="5"/>
  <c r="M2356" i="5"/>
  <c r="J2356" i="5"/>
  <c r="E2356" i="5"/>
  <c r="R2355" i="5"/>
  <c r="L2355" i="5"/>
  <c r="A2355" i="5"/>
  <c r="R2354" i="5"/>
  <c r="L2354" i="5"/>
  <c r="D2354" i="5"/>
  <c r="L2353" i="5"/>
  <c r="G2353" i="5"/>
  <c r="D2353" i="5"/>
  <c r="R2352" i="5"/>
  <c r="L2352" i="5"/>
  <c r="S2351" i="5"/>
  <c r="Q2350" i="5"/>
  <c r="N2350" i="5"/>
  <c r="M2350" i="5"/>
  <c r="J2350" i="5"/>
  <c r="G2350" i="5"/>
  <c r="R2349" i="5"/>
  <c r="L2349" i="5"/>
  <c r="E2350" i="5"/>
  <c r="Q2347" i="5"/>
  <c r="P2347" i="5"/>
  <c r="N2347" i="5"/>
  <c r="J2347" i="5"/>
  <c r="G2347" i="5"/>
  <c r="E2347" i="5"/>
  <c r="D2347" i="5"/>
  <c r="R2346" i="5"/>
  <c r="L2346" i="5"/>
  <c r="M2344" i="5"/>
  <c r="N2342" i="5"/>
  <c r="M2342" i="5"/>
  <c r="J2342" i="5"/>
  <c r="G2342" i="5"/>
  <c r="R2340" i="5"/>
  <c r="L2340" i="5"/>
  <c r="D2340" i="5"/>
  <c r="R2339" i="5"/>
  <c r="L2339" i="5"/>
  <c r="D2339" i="5"/>
  <c r="R2338" i="5"/>
  <c r="L2338" i="5"/>
  <c r="D2338" i="5"/>
  <c r="R2337" i="5"/>
  <c r="L2337" i="5"/>
  <c r="D2337" i="5"/>
  <c r="R2336" i="5"/>
  <c r="L2336" i="5"/>
  <c r="D2336" i="5"/>
  <c r="R2335" i="5"/>
  <c r="L2335" i="5"/>
  <c r="D2335" i="5"/>
  <c r="R2334" i="5"/>
  <c r="L2334" i="5"/>
  <c r="D2334" i="5"/>
  <c r="R2333" i="5"/>
  <c r="L2333" i="5"/>
  <c r="D2333" i="5"/>
  <c r="R2332" i="5"/>
  <c r="L2332" i="5"/>
  <c r="D2332" i="5"/>
  <c r="R2331" i="5"/>
  <c r="D2331" i="5"/>
  <c r="R2328" i="5"/>
  <c r="Q2342" i="5"/>
  <c r="E2328" i="5"/>
  <c r="E2342" i="5" s="1"/>
  <c r="A2336" i="5"/>
  <c r="A2337" i="5" s="1"/>
  <c r="A2338" i="5" s="1"/>
  <c r="A2339" i="5" s="1"/>
  <c r="Q2326" i="5"/>
  <c r="N2326" i="5"/>
  <c r="M2326" i="5"/>
  <c r="J2326" i="5"/>
  <c r="G2326" i="5"/>
  <c r="E2326" i="5"/>
  <c r="D2326" i="5"/>
  <c r="R2325" i="5"/>
  <c r="L2325" i="5"/>
  <c r="R2324" i="5"/>
  <c r="L2324" i="5"/>
  <c r="Q2322" i="5"/>
  <c r="P2322" i="5"/>
  <c r="N2322" i="5"/>
  <c r="M2322" i="5"/>
  <c r="J2322" i="5"/>
  <c r="G2322" i="5"/>
  <c r="E2322" i="5"/>
  <c r="D2322" i="5"/>
  <c r="R2317" i="5"/>
  <c r="L2317" i="5"/>
  <c r="R2316" i="5"/>
  <c r="L2316" i="5"/>
  <c r="R2315" i="5"/>
  <c r="L2315" i="5"/>
  <c r="R2314" i="5"/>
  <c r="L2314" i="5"/>
  <c r="R2313" i="5"/>
  <c r="L2313" i="5"/>
  <c r="R2312" i="5"/>
  <c r="L2312" i="5"/>
  <c r="R2311" i="5"/>
  <c r="L2311" i="5"/>
  <c r="R2310" i="5"/>
  <c r="L2310" i="5"/>
  <c r="O2322" i="5"/>
  <c r="R2309" i="5"/>
  <c r="L2309" i="5"/>
  <c r="R2308" i="5"/>
  <c r="L2308" i="5"/>
  <c r="R2307" i="5"/>
  <c r="L2307" i="5"/>
  <c r="R2306" i="5"/>
  <c r="L2306" i="5"/>
  <c r="R2305" i="5"/>
  <c r="L2305" i="5"/>
  <c r="R2304" i="5"/>
  <c r="L2304" i="5"/>
  <c r="A2304" i="5"/>
  <c r="A2305" i="5" s="1"/>
  <c r="A2306" i="5" s="1"/>
  <c r="A2307" i="5" s="1"/>
  <c r="A2308" i="5" s="1"/>
  <c r="A2309" i="5" s="1"/>
  <c r="R2303" i="5"/>
  <c r="L2303" i="5"/>
  <c r="Q2301" i="5"/>
  <c r="N2301" i="5"/>
  <c r="J2301" i="5"/>
  <c r="G2301" i="5"/>
  <c r="E2301" i="5"/>
  <c r="D2301" i="5"/>
  <c r="M2300" i="5"/>
  <c r="M2301" i="5" s="1"/>
  <c r="A2300" i="5"/>
  <c r="R2299" i="5"/>
  <c r="L2299" i="5"/>
  <c r="Q2297" i="5"/>
  <c r="P2297" i="5"/>
  <c r="N2297" i="5"/>
  <c r="J2297" i="5"/>
  <c r="G2297" i="5"/>
  <c r="E2297" i="5"/>
  <c r="D2297" i="5"/>
  <c r="R2296" i="5"/>
  <c r="L2296" i="5"/>
  <c r="Q2294" i="5"/>
  <c r="N2294" i="5"/>
  <c r="M2294" i="5"/>
  <c r="J2294" i="5"/>
  <c r="G2294" i="5"/>
  <c r="E2294" i="5"/>
  <c r="D2294" i="5"/>
  <c r="L2291" i="5"/>
  <c r="S2291" i="5" s="1"/>
  <c r="L2290" i="5"/>
  <c r="S2290" i="5" s="1"/>
  <c r="L2289" i="5"/>
  <c r="R2288" i="5"/>
  <c r="L2288" i="5"/>
  <c r="R2287" i="5"/>
  <c r="L2287" i="5"/>
  <c r="R2286" i="5"/>
  <c r="L2286" i="5"/>
  <c r="R2285" i="5"/>
  <c r="L2285" i="5"/>
  <c r="R2284" i="5"/>
  <c r="L2284" i="5"/>
  <c r="R2283" i="5"/>
  <c r="L2283" i="5"/>
  <c r="R2282" i="5"/>
  <c r="L2282" i="5"/>
  <c r="R2281" i="5"/>
  <c r="L2281" i="5"/>
  <c r="R2280" i="5"/>
  <c r="L2280" i="5"/>
  <c r="R2279" i="5"/>
  <c r="L2279" i="5"/>
  <c r="R2278" i="5"/>
  <c r="L2278" i="5"/>
  <c r="R2277" i="5"/>
  <c r="L2277" i="5"/>
  <c r="R2276" i="5"/>
  <c r="L2276" i="5"/>
  <c r="R2275" i="5"/>
  <c r="L2275" i="5"/>
  <c r="R2274" i="5"/>
  <c r="L2274" i="5"/>
  <c r="R2273" i="5"/>
  <c r="L2273" i="5"/>
  <c r="R2272" i="5"/>
  <c r="L2272" i="5"/>
  <c r="R2271" i="5"/>
  <c r="L2271" i="5"/>
  <c r="R2270" i="5"/>
  <c r="R2269" i="5"/>
  <c r="L2269" i="5"/>
  <c r="R2268" i="5"/>
  <c r="L2268" i="5"/>
  <c r="R2267" i="5"/>
  <c r="L2267" i="5"/>
  <c r="R2266" i="5"/>
  <c r="L2266" i="5"/>
  <c r="R2265" i="5"/>
  <c r="L2265" i="5"/>
  <c r="R2264" i="5"/>
  <c r="L2264" i="5"/>
  <c r="R2263" i="5"/>
  <c r="L2263" i="5"/>
  <c r="A2263" i="5"/>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R2262" i="5"/>
  <c r="L2262" i="5"/>
  <c r="Q2260" i="5"/>
  <c r="M2260" i="5"/>
  <c r="J2260" i="5"/>
  <c r="G2260" i="5"/>
  <c r="E2260" i="5"/>
  <c r="D2260" i="5"/>
  <c r="R2259" i="5"/>
  <c r="O2260" i="5"/>
  <c r="Q2257" i="5"/>
  <c r="N2257" i="5"/>
  <c r="J2257" i="5"/>
  <c r="G2257" i="5"/>
  <c r="E2257" i="5"/>
  <c r="S2255" i="5"/>
  <c r="Q2253" i="5"/>
  <c r="N2253" i="5"/>
  <c r="M2253" i="5"/>
  <c r="J2253" i="5"/>
  <c r="G2253" i="5"/>
  <c r="E2253" i="5"/>
  <c r="D2253" i="5"/>
  <c r="R2252" i="5"/>
  <c r="L2252" i="5"/>
  <c r="Q2250" i="5"/>
  <c r="N2250" i="5"/>
  <c r="M2250" i="5"/>
  <c r="J2250" i="5"/>
  <c r="G2250" i="5"/>
  <c r="E2250" i="5"/>
  <c r="R2249" i="5"/>
  <c r="L2249" i="5"/>
  <c r="D2249" i="5"/>
  <c r="R2248" i="5"/>
  <c r="L2248" i="5"/>
  <c r="D2248" i="5"/>
  <c r="R2247" i="5"/>
  <c r="L2247" i="5"/>
  <c r="D2247" i="5"/>
  <c r="R2246" i="5"/>
  <c r="L2246" i="5"/>
  <c r="D2246" i="5"/>
  <c r="R2238" i="5"/>
  <c r="L2238" i="5"/>
  <c r="R2237" i="5"/>
  <c r="L2237" i="5"/>
  <c r="R2236" i="5"/>
  <c r="L2236" i="5"/>
  <c r="R2235" i="5"/>
  <c r="L2235" i="5"/>
  <c r="R2234" i="5"/>
  <c r="L2234" i="5"/>
  <c r="R2233" i="5"/>
  <c r="L2233" i="5"/>
  <c r="R2232" i="5"/>
  <c r="L2232" i="5"/>
  <c r="R2231" i="5"/>
  <c r="L2231" i="5"/>
  <c r="R2230" i="5"/>
  <c r="L2230" i="5"/>
  <c r="R2229" i="5"/>
  <c r="L2229" i="5"/>
  <c r="R2228" i="5"/>
  <c r="L2228" i="5"/>
  <c r="R2227" i="5"/>
  <c r="L2227" i="5"/>
  <c r="R2226" i="5"/>
  <c r="L2226" i="5"/>
  <c r="R2225" i="5"/>
  <c r="L2225" i="5"/>
  <c r="R2224" i="5"/>
  <c r="L2224" i="5"/>
  <c r="R2223" i="5"/>
  <c r="L2223" i="5"/>
  <c r="R2222" i="5"/>
  <c r="L2222" i="5"/>
  <c r="R2221" i="5"/>
  <c r="L2221" i="5"/>
  <c r="R2220" i="5"/>
  <c r="L2220" i="5"/>
  <c r="R2219" i="5"/>
  <c r="L2219" i="5"/>
  <c r="R2218" i="5"/>
  <c r="L2218" i="5"/>
  <c r="R2217" i="5"/>
  <c r="L2217" i="5"/>
  <c r="R2216" i="5"/>
  <c r="L2216" i="5"/>
  <c r="S2216" i="5" s="1"/>
  <c r="R2215" i="5"/>
  <c r="L2215" i="5"/>
  <c r="S2215" i="5" s="1"/>
  <c r="R2213" i="5"/>
  <c r="R2212" i="5"/>
  <c r="L2212" i="5"/>
  <c r="R2211" i="5"/>
  <c r="L2211" i="5"/>
  <c r="R2210" i="5"/>
  <c r="L2210" i="5"/>
  <c r="R2209" i="5"/>
  <c r="L2209" i="5"/>
  <c r="R2208" i="5"/>
  <c r="L2208" i="5"/>
  <c r="R2207" i="5"/>
  <c r="L2207" i="5"/>
  <c r="R2206" i="5"/>
  <c r="L2206" i="5"/>
  <c r="R2205" i="5"/>
  <c r="L2205" i="5"/>
  <c r="S2205" i="5" s="1"/>
  <c r="R2204" i="5"/>
  <c r="L2204" i="5"/>
  <c r="S2204" i="5" s="1"/>
  <c r="A2205" i="5"/>
  <c r="A2206" i="5" s="1"/>
  <c r="R2136" i="5"/>
  <c r="L2136" i="5"/>
  <c r="R2135" i="5"/>
  <c r="L2135" i="5"/>
  <c r="R2134" i="5"/>
  <c r="L2134" i="5"/>
  <c r="R2133" i="5"/>
  <c r="R2132" i="5"/>
  <c r="R2131" i="5"/>
  <c r="L2131" i="5"/>
  <c r="L2130" i="5"/>
  <c r="R2129" i="5"/>
  <c r="R2128" i="5"/>
  <c r="L2128" i="5"/>
  <c r="R2127" i="5"/>
  <c r="L2127" i="5"/>
  <c r="R2126" i="5"/>
  <c r="R2125" i="5"/>
  <c r="R2124" i="5"/>
  <c r="L2124" i="5"/>
  <c r="R2123" i="5"/>
  <c r="L2123" i="5"/>
  <c r="Q2119" i="5"/>
  <c r="P2119" i="5"/>
  <c r="O2119" i="5"/>
  <c r="N2119" i="5"/>
  <c r="M2119" i="5"/>
  <c r="J2119" i="5"/>
  <c r="G2119" i="5"/>
  <c r="E2119" i="5"/>
  <c r="D2119" i="5"/>
  <c r="L2117" i="5"/>
  <c r="L2115" i="5"/>
  <c r="G2111" i="5"/>
  <c r="G1465" i="5" s="1"/>
  <c r="E2111" i="5"/>
  <c r="E1465" i="5" s="1"/>
  <c r="D2111" i="5"/>
  <c r="D1465" i="5" s="1"/>
  <c r="L1975" i="5"/>
  <c r="S1975" i="5" s="1"/>
  <c r="R1974" i="5"/>
  <c r="L1974" i="5"/>
  <c r="S1974" i="5" s="1"/>
  <c r="R1973" i="5"/>
  <c r="L1973" i="5"/>
  <c r="S1973" i="5" s="1"/>
  <c r="R1972" i="5"/>
  <c r="L1972" i="5"/>
  <c r="S1972" i="5" s="1"/>
  <c r="L1971" i="5"/>
  <c r="S1971" i="5" s="1"/>
  <c r="R1970" i="5"/>
  <c r="L1970" i="5"/>
  <c r="S1970" i="5" s="1"/>
  <c r="R1969" i="5"/>
  <c r="L1969" i="5"/>
  <c r="S1969" i="5" s="1"/>
  <c r="R1968" i="5"/>
  <c r="L1968" i="5"/>
  <c r="S1968" i="5" s="1"/>
  <c r="L1967" i="5"/>
  <c r="S1967" i="5" s="1"/>
  <c r="L1966" i="5"/>
  <c r="S1966" i="5" s="1"/>
  <c r="R1965" i="5"/>
  <c r="L1965" i="5"/>
  <c r="S1965" i="5" s="1"/>
  <c r="R1964" i="5"/>
  <c r="L1964" i="5"/>
  <c r="S1964" i="5" s="1"/>
  <c r="R1963" i="5"/>
  <c r="L1963" i="5"/>
  <c r="S1963" i="5" s="1"/>
  <c r="R1962" i="5"/>
  <c r="L1962" i="5"/>
  <c r="S1962" i="5" s="1"/>
  <c r="R1961" i="5"/>
  <c r="R1960" i="5"/>
  <c r="L1960" i="5"/>
  <c r="S1960" i="5" s="1"/>
  <c r="L1959" i="5"/>
  <c r="S1959" i="5" s="1"/>
  <c r="L1958" i="5"/>
  <c r="S1958" i="5" s="1"/>
  <c r="L1956" i="5"/>
  <c r="S1956" i="5" s="1"/>
  <c r="R1954" i="5"/>
  <c r="L1954" i="5"/>
  <c r="S1954" i="5" s="1"/>
  <c r="R1953" i="5"/>
  <c r="L1953" i="5"/>
  <c r="S1953" i="5" s="1"/>
  <c r="R1952" i="5"/>
  <c r="R1951" i="5"/>
  <c r="L1951" i="5"/>
  <c r="S1951" i="5" s="1"/>
  <c r="R1950" i="5"/>
  <c r="L1949" i="5"/>
  <c r="S1949" i="5" s="1"/>
  <c r="R1948" i="5"/>
  <c r="L1948" i="5"/>
  <c r="S1948" i="5" s="1"/>
  <c r="R1947" i="5"/>
  <c r="L1947" i="5"/>
  <c r="S1947" i="5" s="1"/>
  <c r="R1946" i="5"/>
  <c r="L1946" i="5"/>
  <c r="S1946" i="5" s="1"/>
  <c r="R1945" i="5"/>
  <c r="L1945" i="5"/>
  <c r="S1945" i="5" s="1"/>
  <c r="R1944" i="5"/>
  <c r="L1944" i="5"/>
  <c r="S1944" i="5" s="1"/>
  <c r="R1943" i="5"/>
  <c r="L1943" i="5"/>
  <c r="S1943" i="5" s="1"/>
  <c r="R1942" i="5"/>
  <c r="L1942" i="5"/>
  <c r="S1942" i="5" s="1"/>
  <c r="R1941" i="5"/>
  <c r="L1941" i="5"/>
  <c r="S1941" i="5" s="1"/>
  <c r="R1940" i="5"/>
  <c r="L1940" i="5"/>
  <c r="S1940" i="5" s="1"/>
  <c r="R1939" i="5"/>
  <c r="L1939" i="5"/>
  <c r="S1939" i="5" s="1"/>
  <c r="R1938" i="5"/>
  <c r="L1938" i="5"/>
  <c r="S1938" i="5" s="1"/>
  <c r="R1937" i="5"/>
  <c r="L1937" i="5"/>
  <c r="S1937" i="5" s="1"/>
  <c r="R1936" i="5"/>
  <c r="L1936" i="5"/>
  <c r="S1936" i="5" s="1"/>
  <c r="R1935" i="5"/>
  <c r="L1935" i="5"/>
  <c r="S1935" i="5" s="1"/>
  <c r="R1934" i="5"/>
  <c r="R1933" i="5"/>
  <c r="L1933" i="5"/>
  <c r="S1933" i="5" s="1"/>
  <c r="R1932" i="5"/>
  <c r="L1932" i="5"/>
  <c r="S1932" i="5" s="1"/>
  <c r="R1569" i="5"/>
  <c r="R1931" i="5"/>
  <c r="L1931" i="5"/>
  <c r="S1931" i="5" s="1"/>
  <c r="R1930" i="5"/>
  <c r="L1930" i="5"/>
  <c r="S1930" i="5" s="1"/>
  <c r="R1929" i="5"/>
  <c r="L1929" i="5"/>
  <c r="S1929" i="5" s="1"/>
  <c r="R1928" i="5"/>
  <c r="L1928" i="5"/>
  <c r="S1928" i="5" s="1"/>
  <c r="R1927" i="5"/>
  <c r="L1927" i="5"/>
  <c r="S1927" i="5" s="1"/>
  <c r="R1926" i="5"/>
  <c r="R1925" i="5"/>
  <c r="L1925" i="5"/>
  <c r="S1925" i="5" s="1"/>
  <c r="R1924" i="5"/>
  <c r="L1924" i="5"/>
  <c r="S1924" i="5" s="1"/>
  <c r="R1923" i="5"/>
  <c r="L1923" i="5"/>
  <c r="S1923" i="5" s="1"/>
  <c r="R1922" i="5"/>
  <c r="L1922" i="5"/>
  <c r="S1922" i="5" s="1"/>
  <c r="R1921" i="5"/>
  <c r="L1921" i="5"/>
  <c r="S1921" i="5" s="1"/>
  <c r="R3428" i="5"/>
  <c r="L3428" i="5"/>
  <c r="R3427" i="5"/>
  <c r="L3427" i="5"/>
  <c r="R1920" i="5"/>
  <c r="L1920" i="5"/>
  <c r="S1920" i="5" s="1"/>
  <c r="R1919" i="5"/>
  <c r="L1919" i="5"/>
  <c r="S1919" i="5" s="1"/>
  <c r="R1918" i="5"/>
  <c r="L1918" i="5"/>
  <c r="S1918" i="5" s="1"/>
  <c r="R1917" i="5"/>
  <c r="L1917" i="5"/>
  <c r="S1917" i="5" s="1"/>
  <c r="R1916" i="5"/>
  <c r="L1916" i="5"/>
  <c r="S1916" i="5" s="1"/>
  <c r="R1915" i="5"/>
  <c r="L1915" i="5"/>
  <c r="S1915" i="5" s="1"/>
  <c r="R1914" i="5"/>
  <c r="L1914" i="5"/>
  <c r="S1914" i="5" s="1"/>
  <c r="R1913" i="5"/>
  <c r="L1913" i="5"/>
  <c r="S1913" i="5" s="1"/>
  <c r="R1912" i="5"/>
  <c r="L1912" i="5"/>
  <c r="S1912" i="5" s="1"/>
  <c r="R1910" i="5"/>
  <c r="R1909" i="5"/>
  <c r="S1909" i="5"/>
  <c r="L3426" i="5"/>
  <c r="R1908" i="5"/>
  <c r="R1907" i="5"/>
  <c r="L1907" i="5"/>
  <c r="S1907" i="5" s="1"/>
  <c r="R1906" i="5"/>
  <c r="L1906" i="5"/>
  <c r="S1906" i="5" s="1"/>
  <c r="R1905" i="5"/>
  <c r="L1905" i="5"/>
  <c r="S1905" i="5" s="1"/>
  <c r="R1904" i="5"/>
  <c r="L1904" i="5"/>
  <c r="S1904" i="5" s="1"/>
  <c r="R1903" i="5"/>
  <c r="L1903" i="5"/>
  <c r="S1903" i="5" s="1"/>
  <c r="R1902" i="5"/>
  <c r="L1902" i="5"/>
  <c r="S1902" i="5" s="1"/>
  <c r="R3420" i="5"/>
  <c r="L3420" i="5"/>
  <c r="R1901" i="5"/>
  <c r="L1901" i="5"/>
  <c r="S1901" i="5" s="1"/>
  <c r="R1900" i="5"/>
  <c r="L1900" i="5"/>
  <c r="S1900" i="5" s="1"/>
  <c r="R1899" i="5"/>
  <c r="L1899" i="5"/>
  <c r="S1899" i="5" s="1"/>
  <c r="R1898" i="5"/>
  <c r="L1898" i="5"/>
  <c r="S1898" i="5" s="1"/>
  <c r="R1897" i="5"/>
  <c r="L1897" i="5"/>
  <c r="S1897" i="5" s="1"/>
  <c r="R1896" i="5"/>
  <c r="L1896" i="5"/>
  <c r="S1896" i="5" s="1"/>
  <c r="R1895" i="5"/>
  <c r="L1895" i="5"/>
  <c r="S1895" i="5" s="1"/>
  <c r="R1894" i="5"/>
  <c r="L1894" i="5"/>
  <c r="S1894" i="5" s="1"/>
  <c r="R1893" i="5"/>
  <c r="L1893" i="5"/>
  <c r="S1893" i="5" s="1"/>
  <c r="R1892" i="5"/>
  <c r="L1892" i="5"/>
  <c r="S1892" i="5" s="1"/>
  <c r="R1891" i="5"/>
  <c r="L1891" i="5"/>
  <c r="S1891" i="5" s="1"/>
  <c r="R1890" i="5"/>
  <c r="L1890" i="5"/>
  <c r="S1890" i="5" s="1"/>
  <c r="R1889" i="5"/>
  <c r="L1889" i="5"/>
  <c r="S1889" i="5" s="1"/>
  <c r="R1888" i="5"/>
  <c r="L1888" i="5"/>
  <c r="S1888" i="5" s="1"/>
  <c r="R1887" i="5"/>
  <c r="L1887" i="5"/>
  <c r="S1887" i="5" s="1"/>
  <c r="R1886" i="5"/>
  <c r="L1886" i="5"/>
  <c r="S1886" i="5" s="1"/>
  <c r="R1885" i="5"/>
  <c r="L1885" i="5"/>
  <c r="S1885" i="5" s="1"/>
  <c r="R1884" i="5"/>
  <c r="L1884" i="5"/>
  <c r="S1884" i="5" s="1"/>
  <c r="R1883" i="5"/>
  <c r="L1883" i="5"/>
  <c r="S1883" i="5" s="1"/>
  <c r="R1882" i="5"/>
  <c r="L1882" i="5"/>
  <c r="S1882" i="5" s="1"/>
  <c r="R1881" i="5"/>
  <c r="L1881" i="5"/>
  <c r="S1881" i="5" s="1"/>
  <c r="R1880" i="5"/>
  <c r="L1880" i="5"/>
  <c r="S1880" i="5" s="1"/>
  <c r="R1879" i="5"/>
  <c r="L1879" i="5"/>
  <c r="S1879" i="5" s="1"/>
  <c r="R1878" i="5"/>
  <c r="L1878" i="5"/>
  <c r="S1878" i="5" s="1"/>
  <c r="R1877" i="5"/>
  <c r="L1877" i="5"/>
  <c r="S1877" i="5" s="1"/>
  <c r="R1876" i="5"/>
  <c r="L1876" i="5"/>
  <c r="S1876" i="5" s="1"/>
  <c r="L1875" i="5"/>
  <c r="S1875" i="5" s="1"/>
  <c r="R1874" i="5"/>
  <c r="L1874" i="5"/>
  <c r="S1874" i="5" s="1"/>
  <c r="R1873" i="5"/>
  <c r="L1873" i="5"/>
  <c r="S1873" i="5" s="1"/>
  <c r="R1872" i="5"/>
  <c r="L1872" i="5"/>
  <c r="S1872" i="5" s="1"/>
  <c r="R1871" i="5"/>
  <c r="L1871" i="5"/>
  <c r="S1871" i="5" s="1"/>
  <c r="R1870" i="5"/>
  <c r="L1870" i="5"/>
  <c r="S1870" i="5" s="1"/>
  <c r="R1869" i="5"/>
  <c r="L1869" i="5"/>
  <c r="S1869" i="5" s="1"/>
  <c r="R1868" i="5"/>
  <c r="L1868" i="5"/>
  <c r="S1868" i="5" s="1"/>
  <c r="R1867" i="5"/>
  <c r="L1867" i="5"/>
  <c r="S1867" i="5" s="1"/>
  <c r="R1866" i="5"/>
  <c r="L1866" i="5"/>
  <c r="S1866" i="5" s="1"/>
  <c r="R1865" i="5"/>
  <c r="L1865" i="5"/>
  <c r="S1865" i="5" s="1"/>
  <c r="R1864" i="5"/>
  <c r="L1864" i="5"/>
  <c r="S1864" i="5" s="1"/>
  <c r="R1863" i="5"/>
  <c r="L1863" i="5"/>
  <c r="S1863" i="5" s="1"/>
  <c r="R1862" i="5"/>
  <c r="L1862" i="5"/>
  <c r="S1862" i="5" s="1"/>
  <c r="R1861" i="5"/>
  <c r="R1860" i="5"/>
  <c r="L1860" i="5"/>
  <c r="S1860" i="5" s="1"/>
  <c r="R1859" i="5"/>
  <c r="L1859" i="5"/>
  <c r="S1859" i="5" s="1"/>
  <c r="R1858" i="5"/>
  <c r="L1858" i="5"/>
  <c r="S1858" i="5" s="1"/>
  <c r="R1857" i="5"/>
  <c r="L1857" i="5"/>
  <c r="S1857" i="5" s="1"/>
  <c r="R1856" i="5"/>
  <c r="R1855" i="5"/>
  <c r="L1855" i="5"/>
  <c r="S1855" i="5" s="1"/>
  <c r="R1854" i="5"/>
  <c r="L1854" i="5"/>
  <c r="S1854" i="5" s="1"/>
  <c r="R1853" i="5"/>
  <c r="L1853" i="5"/>
  <c r="S1853" i="5" s="1"/>
  <c r="R1852" i="5"/>
  <c r="L1852" i="5"/>
  <c r="S1852" i="5" s="1"/>
  <c r="R1851" i="5"/>
  <c r="L1851" i="5"/>
  <c r="S1851" i="5" s="1"/>
  <c r="R1849" i="5"/>
  <c r="R1848" i="5"/>
  <c r="L1848" i="5"/>
  <c r="S1848" i="5" s="1"/>
  <c r="R1847" i="5"/>
  <c r="L1847" i="5"/>
  <c r="S1847" i="5" s="1"/>
  <c r="R1846" i="5"/>
  <c r="L1846" i="5"/>
  <c r="S1846" i="5" s="1"/>
  <c r="R1844" i="5"/>
  <c r="R1843" i="5"/>
  <c r="L1843" i="5"/>
  <c r="S1843" i="5" s="1"/>
  <c r="R1842" i="5"/>
  <c r="L1842" i="5"/>
  <c r="S1842" i="5" s="1"/>
  <c r="R1841" i="5"/>
  <c r="L1841" i="5"/>
  <c r="S1841" i="5" s="1"/>
  <c r="R1840" i="5"/>
  <c r="L1840" i="5"/>
  <c r="S1840" i="5" s="1"/>
  <c r="R1566" i="5"/>
  <c r="R1839" i="5"/>
  <c r="L1839" i="5"/>
  <c r="S1839" i="5" s="1"/>
  <c r="R1838" i="5"/>
  <c r="L1838" i="5"/>
  <c r="S1838" i="5" s="1"/>
  <c r="R1837" i="5"/>
  <c r="L1837" i="5"/>
  <c r="S1837" i="5" s="1"/>
  <c r="R1836" i="5"/>
  <c r="L1836" i="5"/>
  <c r="S1836" i="5" s="1"/>
  <c r="R1835" i="5"/>
  <c r="L1835" i="5"/>
  <c r="S1835" i="5" s="1"/>
  <c r="R1834" i="5"/>
  <c r="L1834" i="5"/>
  <c r="S1834" i="5" s="1"/>
  <c r="R1833" i="5"/>
  <c r="L1833" i="5"/>
  <c r="S1833" i="5" s="1"/>
  <c r="R1832" i="5"/>
  <c r="L1832" i="5"/>
  <c r="S1832" i="5" s="1"/>
  <c r="R1831" i="5"/>
  <c r="L1831" i="5"/>
  <c r="S1831" i="5" s="1"/>
  <c r="R1830" i="5"/>
  <c r="L1830" i="5"/>
  <c r="S1830" i="5" s="1"/>
  <c r="R1829" i="5"/>
  <c r="L1829" i="5"/>
  <c r="S1829" i="5" s="1"/>
  <c r="R1828" i="5"/>
  <c r="L1828" i="5"/>
  <c r="S1828" i="5" s="1"/>
  <c r="R1827" i="5"/>
  <c r="L1827" i="5"/>
  <c r="S1827" i="5" s="1"/>
  <c r="R1826" i="5"/>
  <c r="L1826" i="5"/>
  <c r="S1826" i="5" s="1"/>
  <c r="R1825" i="5"/>
  <c r="L1825" i="5"/>
  <c r="S1825" i="5" s="1"/>
  <c r="R1824" i="5"/>
  <c r="L1824" i="5"/>
  <c r="S1824" i="5" s="1"/>
  <c r="R1823" i="5"/>
  <c r="L1823" i="5"/>
  <c r="S1823" i="5" s="1"/>
  <c r="R1821" i="5"/>
  <c r="R1820" i="5"/>
  <c r="L1820" i="5"/>
  <c r="S1820" i="5" s="1"/>
  <c r="R1819" i="5"/>
  <c r="L1819" i="5"/>
  <c r="S1819" i="5" s="1"/>
  <c r="R1817" i="5"/>
  <c r="R1816" i="5"/>
  <c r="L1816" i="5"/>
  <c r="S1816" i="5" s="1"/>
  <c r="R1815" i="5"/>
  <c r="L1815" i="5"/>
  <c r="S1815" i="5" s="1"/>
  <c r="R1814" i="5"/>
  <c r="L1814" i="5"/>
  <c r="S1814" i="5" s="1"/>
  <c r="R1813" i="5"/>
  <c r="L1813" i="5"/>
  <c r="S1813" i="5" s="1"/>
  <c r="R1812" i="5"/>
  <c r="R1811" i="5"/>
  <c r="L1811" i="5"/>
  <c r="S1811" i="5" s="1"/>
  <c r="R1810" i="5"/>
  <c r="R1809" i="5"/>
  <c r="L1809" i="5"/>
  <c r="S1809" i="5" s="1"/>
  <c r="R1808" i="5"/>
  <c r="L1808" i="5"/>
  <c r="S1808" i="5" s="1"/>
  <c r="R1807" i="5"/>
  <c r="L1807" i="5"/>
  <c r="S1807" i="5" s="1"/>
  <c r="R3422" i="5"/>
  <c r="L3422" i="5"/>
  <c r="R3280" i="5"/>
  <c r="R1805" i="5"/>
  <c r="R1804" i="5"/>
  <c r="L1804" i="5"/>
  <c r="S1804" i="5" s="1"/>
  <c r="R1803" i="5"/>
  <c r="L1803" i="5"/>
  <c r="S1803" i="5" s="1"/>
  <c r="R1802" i="5"/>
  <c r="L1802" i="5"/>
  <c r="S1802" i="5" s="1"/>
  <c r="R1801" i="5"/>
  <c r="R1800" i="5"/>
  <c r="L1800" i="5"/>
  <c r="S1800" i="5" s="1"/>
  <c r="R1799" i="5"/>
  <c r="L1799" i="5"/>
  <c r="S1799" i="5" s="1"/>
  <c r="R1798" i="5"/>
  <c r="L1798" i="5"/>
  <c r="S1798" i="5" s="1"/>
  <c r="R1564" i="5"/>
  <c r="R1796" i="5"/>
  <c r="L1796" i="5"/>
  <c r="S1796" i="5" s="1"/>
  <c r="R1795" i="5"/>
  <c r="L1795" i="5"/>
  <c r="S1795" i="5" s="1"/>
  <c r="R1794" i="5"/>
  <c r="L1794" i="5"/>
  <c r="S1794" i="5" s="1"/>
  <c r="R1793" i="5"/>
  <c r="L1793" i="5"/>
  <c r="S1793" i="5" s="1"/>
  <c r="R1792" i="5"/>
  <c r="L1792" i="5"/>
  <c r="S1792" i="5" s="1"/>
  <c r="R1791" i="5"/>
  <c r="L1791" i="5"/>
  <c r="S1791" i="5" s="1"/>
  <c r="R1790" i="5"/>
  <c r="L1790" i="5"/>
  <c r="S1790" i="5" s="1"/>
  <c r="R1789" i="5"/>
  <c r="L1789" i="5"/>
  <c r="S1789" i="5" s="1"/>
  <c r="R1788" i="5"/>
  <c r="L1788" i="5"/>
  <c r="S1788" i="5" s="1"/>
  <c r="R1562" i="5"/>
  <c r="R1560" i="5"/>
  <c r="R1786" i="5"/>
  <c r="R1785" i="5"/>
  <c r="L1785" i="5"/>
  <c r="S1785" i="5" s="1"/>
  <c r="R1784" i="5"/>
  <c r="L1784" i="5"/>
  <c r="S1784" i="5" s="1"/>
  <c r="R1783" i="5"/>
  <c r="L1783" i="5"/>
  <c r="S1783" i="5" s="1"/>
  <c r="R1782" i="5"/>
  <c r="L1782" i="5"/>
  <c r="S1782" i="5" s="1"/>
  <c r="R1781" i="5"/>
  <c r="L1781" i="5"/>
  <c r="S1781" i="5" s="1"/>
  <c r="R1780" i="5"/>
  <c r="L1780" i="5"/>
  <c r="S1780" i="5" s="1"/>
  <c r="R1779" i="5"/>
  <c r="L1779" i="5"/>
  <c r="S1779" i="5" s="1"/>
  <c r="R1778" i="5"/>
  <c r="L1778" i="5"/>
  <c r="S1778" i="5" s="1"/>
  <c r="R1777" i="5"/>
  <c r="L1777" i="5"/>
  <c r="S1777" i="5" s="1"/>
  <c r="R1776" i="5"/>
  <c r="L1776" i="5"/>
  <c r="S1776" i="5" s="1"/>
  <c r="R1775" i="5"/>
  <c r="L1775" i="5"/>
  <c r="S1775" i="5" s="1"/>
  <c r="R1558" i="5"/>
  <c r="R1774" i="5"/>
  <c r="L1774" i="5"/>
  <c r="S1774" i="5" s="1"/>
  <c r="R1773" i="5"/>
  <c r="L1773" i="5"/>
  <c r="S1773" i="5" s="1"/>
  <c r="R1772" i="5"/>
  <c r="L1772" i="5"/>
  <c r="S1772" i="5" s="1"/>
  <c r="R1771" i="5"/>
  <c r="L1771" i="5"/>
  <c r="S1771" i="5" s="1"/>
  <c r="R1770" i="5"/>
  <c r="L1770" i="5"/>
  <c r="S1770" i="5" s="1"/>
  <c r="R1769" i="5"/>
  <c r="L1769" i="5"/>
  <c r="S1769" i="5" s="1"/>
  <c r="R1768" i="5"/>
  <c r="L1768" i="5"/>
  <c r="S1768" i="5" s="1"/>
  <c r="R1767" i="5"/>
  <c r="L1767" i="5"/>
  <c r="S1767" i="5" s="1"/>
  <c r="R1766" i="5"/>
  <c r="L1766" i="5"/>
  <c r="S1766" i="5" s="1"/>
  <c r="R1765" i="5"/>
  <c r="L1765" i="5"/>
  <c r="S1765" i="5" s="1"/>
  <c r="R1764" i="5"/>
  <c r="L1764" i="5"/>
  <c r="S1764" i="5" s="1"/>
  <c r="R3421" i="5"/>
  <c r="L3421" i="5"/>
  <c r="R1763" i="5"/>
  <c r="L1763" i="5"/>
  <c r="S1763" i="5" s="1"/>
  <c r="R1762" i="5"/>
  <c r="L1762" i="5"/>
  <c r="S1762" i="5" s="1"/>
  <c r="R1761" i="5"/>
  <c r="L1761" i="5"/>
  <c r="S1761" i="5" s="1"/>
  <c r="R1760" i="5"/>
  <c r="R1759" i="5"/>
  <c r="L1759" i="5"/>
  <c r="S1759" i="5" s="1"/>
  <c r="R1758" i="5"/>
  <c r="L1758" i="5"/>
  <c r="S1758" i="5" s="1"/>
  <c r="R1757" i="5"/>
  <c r="L1757" i="5"/>
  <c r="S1757" i="5" s="1"/>
  <c r="R1756" i="5"/>
  <c r="L1756" i="5"/>
  <c r="R1755" i="5"/>
  <c r="L1755" i="5"/>
  <c r="S1755" i="5" s="1"/>
  <c r="R1754" i="5"/>
  <c r="L1754" i="5"/>
  <c r="S1754" i="5" s="1"/>
  <c r="R1753" i="5"/>
  <c r="L1753" i="5"/>
  <c r="S1753" i="5" s="1"/>
  <c r="R1752" i="5"/>
  <c r="L1752" i="5"/>
  <c r="S1752" i="5" s="1"/>
  <c r="R1751" i="5"/>
  <c r="L1751" i="5"/>
  <c r="S1751" i="5" s="1"/>
  <c r="R1750" i="5"/>
  <c r="L1750" i="5"/>
  <c r="S1750" i="5" s="1"/>
  <c r="R1749" i="5"/>
  <c r="L1749" i="5"/>
  <c r="S1749" i="5" s="1"/>
  <c r="R1748" i="5"/>
  <c r="L1748" i="5"/>
  <c r="S1748" i="5" s="1"/>
  <c r="R1747" i="5"/>
  <c r="L1747" i="5"/>
  <c r="S1747" i="5" s="1"/>
  <c r="R1746" i="5"/>
  <c r="L1746" i="5"/>
  <c r="S1746" i="5" s="1"/>
  <c r="R1745" i="5"/>
  <c r="L1745" i="5"/>
  <c r="S1745" i="5" s="1"/>
  <c r="R1743" i="5"/>
  <c r="R1741" i="5"/>
  <c r="R1556" i="5"/>
  <c r="R3425" i="5"/>
  <c r="L3425" i="5"/>
  <c r="R1740" i="5"/>
  <c r="L1740" i="5"/>
  <c r="S1740" i="5" s="1"/>
  <c r="R1739" i="5"/>
  <c r="L1739" i="5"/>
  <c r="S1739" i="5" s="1"/>
  <c r="R1738" i="5"/>
  <c r="L1738" i="5"/>
  <c r="S1738" i="5" s="1"/>
  <c r="R1737" i="5"/>
  <c r="L1737" i="5"/>
  <c r="S1737" i="5" s="1"/>
  <c r="R1736" i="5"/>
  <c r="L1736" i="5"/>
  <c r="S1736" i="5" s="1"/>
  <c r="R1735" i="5"/>
  <c r="L1735" i="5"/>
  <c r="S1735" i="5" s="1"/>
  <c r="L1734" i="5"/>
  <c r="S1734" i="5" s="1"/>
  <c r="R1733" i="5"/>
  <c r="R1732" i="5"/>
  <c r="L1732" i="5"/>
  <c r="S1732" i="5" s="1"/>
  <c r="R1731" i="5"/>
  <c r="L1731" i="5"/>
  <c r="S1731" i="5" s="1"/>
  <c r="R1730" i="5"/>
  <c r="L1730" i="5"/>
  <c r="S1730" i="5" s="1"/>
  <c r="R1729" i="5"/>
  <c r="L1729" i="5"/>
  <c r="S1729" i="5" s="1"/>
  <c r="R1728" i="5"/>
  <c r="L1728" i="5"/>
  <c r="S1728" i="5" s="1"/>
  <c r="R1727" i="5"/>
  <c r="L1727" i="5"/>
  <c r="S1727" i="5" s="1"/>
  <c r="R1554" i="5"/>
  <c r="R1726" i="5"/>
  <c r="L1726" i="5"/>
  <c r="S1726" i="5" s="1"/>
  <c r="R1725" i="5"/>
  <c r="L1725" i="5"/>
  <c r="S1725" i="5" s="1"/>
  <c r="R1724" i="5"/>
  <c r="R1723" i="5"/>
  <c r="L1723" i="5"/>
  <c r="S1723" i="5" s="1"/>
  <c r="R1722" i="5"/>
  <c r="L1722" i="5"/>
  <c r="S1722" i="5" s="1"/>
  <c r="R1721" i="5"/>
  <c r="L1721" i="5"/>
  <c r="S1721" i="5" s="1"/>
  <c r="R1720" i="5"/>
  <c r="L1720" i="5"/>
  <c r="S1720" i="5" s="1"/>
  <c r="R1719" i="5"/>
  <c r="L1719" i="5"/>
  <c r="S1719" i="5" s="1"/>
  <c r="R3419" i="5"/>
  <c r="L3419" i="5"/>
  <c r="R3439" i="5"/>
  <c r="L3439" i="5"/>
  <c r="R1718" i="5"/>
  <c r="L1718" i="5"/>
  <c r="S1718" i="5" s="1"/>
  <c r="R3438" i="5"/>
  <c r="L3438" i="5"/>
  <c r="R1717" i="5"/>
  <c r="R1715" i="5"/>
  <c r="R1714" i="5"/>
  <c r="R1713" i="5"/>
  <c r="L1713" i="5"/>
  <c r="S1713" i="5" s="1"/>
  <c r="R1712" i="5"/>
  <c r="L1712" i="5"/>
  <c r="S1712" i="5" s="1"/>
  <c r="R1711" i="5"/>
  <c r="L1711" i="5"/>
  <c r="S1711" i="5" s="1"/>
  <c r="R1710" i="5"/>
  <c r="L1710" i="5"/>
  <c r="S1710" i="5" s="1"/>
  <c r="R1709" i="5"/>
  <c r="L1709" i="5"/>
  <c r="S1709" i="5" s="1"/>
  <c r="R1708" i="5"/>
  <c r="L1708" i="5"/>
  <c r="S1708" i="5" s="1"/>
  <c r="R1707" i="5"/>
  <c r="L1707" i="5"/>
  <c r="S1707" i="5" s="1"/>
  <c r="R1706" i="5"/>
  <c r="L1706" i="5"/>
  <c r="S1706" i="5" s="1"/>
  <c r="R1705" i="5"/>
  <c r="L1705" i="5"/>
  <c r="S1705" i="5" s="1"/>
  <c r="R1704" i="5"/>
  <c r="L1704" i="5"/>
  <c r="S1704" i="5" s="1"/>
  <c r="R3437" i="5"/>
  <c r="L3437" i="5"/>
  <c r="R1702" i="5"/>
  <c r="R3436" i="5"/>
  <c r="L3436" i="5"/>
  <c r="R1701" i="5"/>
  <c r="R1700" i="5"/>
  <c r="L1700" i="5"/>
  <c r="S1700" i="5" s="1"/>
  <c r="R3435" i="5"/>
  <c r="L3435" i="5"/>
  <c r="R3434" i="5"/>
  <c r="L3434" i="5"/>
  <c r="R3433" i="5"/>
  <c r="L3433" i="5"/>
  <c r="R1699" i="5"/>
  <c r="L1699" i="5"/>
  <c r="S1699" i="5" s="1"/>
  <c r="R3432" i="5"/>
  <c r="L3432" i="5"/>
  <c r="R1698" i="5"/>
  <c r="L1698" i="5"/>
  <c r="S1698" i="5" s="1"/>
  <c r="R3431" i="5"/>
  <c r="L3431" i="5"/>
  <c r="R1697" i="5"/>
  <c r="L1697" i="5"/>
  <c r="S1697" i="5" s="1"/>
  <c r="R1696" i="5"/>
  <c r="L1696" i="5"/>
  <c r="S1696" i="5" s="1"/>
  <c r="R1695" i="5"/>
  <c r="L1695" i="5"/>
  <c r="S1695" i="5" s="1"/>
  <c r="R1694" i="5"/>
  <c r="L1694" i="5"/>
  <c r="S1694" i="5" s="1"/>
  <c r="R1693" i="5"/>
  <c r="L1693" i="5"/>
  <c r="S1693" i="5" s="1"/>
  <c r="R1692" i="5"/>
  <c r="L1692" i="5"/>
  <c r="S1692" i="5" s="1"/>
  <c r="R1691" i="5"/>
  <c r="L1691" i="5"/>
  <c r="S1691" i="5" s="1"/>
  <c r="R1690" i="5"/>
  <c r="L1690" i="5"/>
  <c r="S1690" i="5" s="1"/>
  <c r="R1689" i="5"/>
  <c r="L1689" i="5"/>
  <c r="S1689" i="5" s="1"/>
  <c r="R1688" i="5"/>
  <c r="L1688" i="5"/>
  <c r="S1688" i="5" s="1"/>
  <c r="R1687" i="5"/>
  <c r="L1687" i="5"/>
  <c r="S1687" i="5" s="1"/>
  <c r="R1686" i="5"/>
  <c r="R1685" i="5"/>
  <c r="R1684" i="5"/>
  <c r="L1684" i="5"/>
  <c r="S1684" i="5" s="1"/>
  <c r="R1683" i="5"/>
  <c r="L1683" i="5"/>
  <c r="S1683" i="5" s="1"/>
  <c r="R1682" i="5"/>
  <c r="L1682" i="5"/>
  <c r="S1682" i="5" s="1"/>
  <c r="R1681" i="5"/>
  <c r="L1681" i="5"/>
  <c r="S1681" i="5" s="1"/>
  <c r="R1680" i="5"/>
  <c r="L1680" i="5"/>
  <c r="S1680" i="5" s="1"/>
  <c r="R1679" i="5"/>
  <c r="L1679" i="5"/>
  <c r="S1679" i="5" s="1"/>
  <c r="R1678" i="5"/>
  <c r="L1678" i="5"/>
  <c r="S1678" i="5" s="1"/>
  <c r="R1677" i="5"/>
  <c r="L1677" i="5"/>
  <c r="S1677" i="5" s="1"/>
  <c r="R1676" i="5"/>
  <c r="L1676" i="5"/>
  <c r="S1676" i="5" s="1"/>
  <c r="R1675" i="5"/>
  <c r="L1675" i="5"/>
  <c r="S1675" i="5" s="1"/>
  <c r="R1674" i="5"/>
  <c r="L1674" i="5"/>
  <c r="S1674" i="5" s="1"/>
  <c r="R1673" i="5"/>
  <c r="L1673" i="5"/>
  <c r="S1673" i="5" s="1"/>
  <c r="R1672" i="5"/>
  <c r="L1672" i="5"/>
  <c r="S1672" i="5" s="1"/>
  <c r="R1671" i="5"/>
  <c r="L1671" i="5"/>
  <c r="S1671" i="5" s="1"/>
  <c r="R1670" i="5"/>
  <c r="R1669" i="5"/>
  <c r="L1669" i="5"/>
  <c r="S1669" i="5" s="1"/>
  <c r="R1668" i="5"/>
  <c r="L1668" i="5"/>
  <c r="S1668" i="5" s="1"/>
  <c r="R1667" i="5"/>
  <c r="L1667" i="5"/>
  <c r="S1667" i="5" s="1"/>
  <c r="R1666" i="5"/>
  <c r="L1666" i="5"/>
  <c r="S1666" i="5" s="1"/>
  <c r="R1665" i="5"/>
  <c r="L1665" i="5"/>
  <c r="S1665" i="5" s="1"/>
  <c r="R1664" i="5"/>
  <c r="L1664" i="5"/>
  <c r="S1664" i="5" s="1"/>
  <c r="R1663" i="5"/>
  <c r="L1663" i="5"/>
  <c r="R1662" i="5"/>
  <c r="R1661" i="5"/>
  <c r="R1660" i="5"/>
  <c r="L1660" i="5"/>
  <c r="S1660" i="5" s="1"/>
  <c r="R1659" i="5"/>
  <c r="L1659" i="5"/>
  <c r="S1659" i="5" s="1"/>
  <c r="R1658" i="5"/>
  <c r="L1658" i="5"/>
  <c r="S1658" i="5" s="1"/>
  <c r="R1657" i="5"/>
  <c r="L1657" i="5"/>
  <c r="S1657" i="5" s="1"/>
  <c r="R1656" i="5"/>
  <c r="L1656" i="5"/>
  <c r="S1656" i="5" s="1"/>
  <c r="R1655" i="5"/>
  <c r="L1655" i="5"/>
  <c r="S1655" i="5" s="1"/>
  <c r="R1654" i="5"/>
  <c r="L1654" i="5"/>
  <c r="S1654" i="5" s="1"/>
  <c r="R1653" i="5"/>
  <c r="L1653" i="5"/>
  <c r="S1653" i="5" s="1"/>
  <c r="R1652" i="5"/>
  <c r="L1652" i="5"/>
  <c r="S1652" i="5" s="1"/>
  <c r="R1651" i="5"/>
  <c r="L1651" i="5"/>
  <c r="S1651" i="5" s="1"/>
  <c r="R1650" i="5"/>
  <c r="L1650" i="5"/>
  <c r="S1650" i="5" s="1"/>
  <c r="R1649" i="5"/>
  <c r="R1648" i="5"/>
  <c r="L1648" i="5"/>
  <c r="S1648" i="5" s="1"/>
  <c r="R3424" i="5"/>
  <c r="L3424" i="5"/>
  <c r="R1647" i="5"/>
  <c r="L1647" i="5"/>
  <c r="S1647" i="5" s="1"/>
  <c r="R3423" i="5"/>
  <c r="L3423" i="5"/>
  <c r="R1646" i="5"/>
  <c r="L1646" i="5"/>
  <c r="S1646" i="5" s="1"/>
  <c r="R1645" i="5"/>
  <c r="L1645" i="5"/>
  <c r="S1645" i="5" s="1"/>
  <c r="R1644" i="5"/>
  <c r="L1644" i="5"/>
  <c r="S1644" i="5" s="1"/>
  <c r="R1643" i="5"/>
  <c r="L1643" i="5"/>
  <c r="S1643" i="5" s="1"/>
  <c r="R1642" i="5"/>
  <c r="L1642" i="5"/>
  <c r="S1642" i="5" s="1"/>
  <c r="R1641" i="5"/>
  <c r="L1641" i="5"/>
  <c r="S1641" i="5" s="1"/>
  <c r="R1640" i="5"/>
  <c r="L1640" i="5"/>
  <c r="S1640" i="5" s="1"/>
  <c r="R1639" i="5"/>
  <c r="L1639" i="5"/>
  <c r="S1639" i="5" s="1"/>
  <c r="R1638" i="5"/>
  <c r="L1638" i="5"/>
  <c r="S1638" i="5" s="1"/>
  <c r="R1637" i="5"/>
  <c r="L1637" i="5"/>
  <c r="S1637" i="5" s="1"/>
  <c r="R1636" i="5"/>
  <c r="L1636" i="5"/>
  <c r="S1636" i="5" s="1"/>
  <c r="R1634" i="5"/>
  <c r="R1633" i="5"/>
  <c r="R509" i="5"/>
  <c r="R1632" i="5"/>
  <c r="L1632" i="5"/>
  <c r="S1632" i="5" s="1"/>
  <c r="R3430" i="5"/>
  <c r="L3430" i="5"/>
  <c r="R1631" i="5"/>
  <c r="R1630" i="5"/>
  <c r="L1630" i="5"/>
  <c r="S1630" i="5" s="1"/>
  <c r="R1629" i="5"/>
  <c r="L1629" i="5"/>
  <c r="S1629" i="5" s="1"/>
  <c r="R1628" i="5"/>
  <c r="L1628" i="5"/>
  <c r="S1628" i="5" s="1"/>
  <c r="R1626" i="5"/>
  <c r="R1625" i="5"/>
  <c r="R1624" i="5"/>
  <c r="L1624" i="5"/>
  <c r="S1624" i="5" s="1"/>
  <c r="R1623" i="5"/>
  <c r="L1623" i="5"/>
  <c r="S1623" i="5" s="1"/>
  <c r="R1622" i="5"/>
  <c r="L1622" i="5"/>
  <c r="S1622" i="5" s="1"/>
  <c r="R1621" i="5"/>
  <c r="L1621" i="5"/>
  <c r="S1621" i="5" s="1"/>
  <c r="R1620" i="5"/>
  <c r="L1620" i="5"/>
  <c r="S1620" i="5" s="1"/>
  <c r="R1619" i="5"/>
  <c r="L1619" i="5"/>
  <c r="S1619" i="5" s="1"/>
  <c r="R1618" i="5"/>
  <c r="L1618" i="5"/>
  <c r="S1618" i="5" s="1"/>
  <c r="L1617" i="5"/>
  <c r="S1617" i="5" s="1"/>
  <c r="R3418" i="5"/>
  <c r="L3418" i="5"/>
  <c r="R1616" i="5"/>
  <c r="L1616" i="5"/>
  <c r="S1616" i="5" s="1"/>
  <c r="R1615" i="5"/>
  <c r="L1615" i="5"/>
  <c r="S1615" i="5" s="1"/>
  <c r="R3429" i="5"/>
  <c r="L3429" i="5"/>
  <c r="R1613" i="5"/>
  <c r="R1612" i="5"/>
  <c r="L1612" i="5"/>
  <c r="S1612" i="5" s="1"/>
  <c r="R1611" i="5"/>
  <c r="L1611" i="5"/>
  <c r="S1611" i="5" s="1"/>
  <c r="R1610" i="5"/>
  <c r="L1610" i="5"/>
  <c r="S1610" i="5" s="1"/>
  <c r="R1609" i="5"/>
  <c r="R1608" i="5"/>
  <c r="L1608" i="5"/>
  <c r="S1608" i="5" s="1"/>
  <c r="R1607" i="5"/>
  <c r="L1607" i="5"/>
  <c r="S1607" i="5" s="1"/>
  <c r="R1606" i="5"/>
  <c r="L1606" i="5"/>
  <c r="S1606" i="5" s="1"/>
  <c r="R1604" i="5"/>
  <c r="L1603" i="5"/>
  <c r="S1603" i="5" s="1"/>
  <c r="L1602" i="5"/>
  <c r="S1602" i="5" s="1"/>
  <c r="J1602" i="5"/>
  <c r="L1601" i="5"/>
  <c r="S1601" i="5" s="1"/>
  <c r="R1600" i="5"/>
  <c r="L1600" i="5"/>
  <c r="S1600" i="5" s="1"/>
  <c r="R1599" i="5"/>
  <c r="L1599" i="5"/>
  <c r="S1599" i="5" s="1"/>
  <c r="R1598" i="5"/>
  <c r="R1597" i="5"/>
  <c r="L1597" i="5"/>
  <c r="S1597" i="5" s="1"/>
  <c r="R1596" i="5"/>
  <c r="R1595" i="5"/>
  <c r="L1595" i="5"/>
  <c r="S1595" i="5" s="1"/>
  <c r="R1594" i="5"/>
  <c r="R1593" i="5"/>
  <c r="L1593" i="5"/>
  <c r="S1593" i="5" s="1"/>
  <c r="R1592" i="5"/>
  <c r="L1592" i="5"/>
  <c r="S1592" i="5" s="1"/>
  <c r="R1591" i="5"/>
  <c r="L1591" i="5"/>
  <c r="S1591" i="5" s="1"/>
  <c r="R1590" i="5"/>
  <c r="L1590" i="5"/>
  <c r="S1590" i="5" s="1"/>
  <c r="R1587" i="5"/>
  <c r="R1586" i="5"/>
  <c r="L1586" i="5"/>
  <c r="S1586" i="5" s="1"/>
  <c r="R1585" i="5"/>
  <c r="L1585" i="5"/>
  <c r="S1585" i="5" s="1"/>
  <c r="R1584" i="5"/>
  <c r="L1584" i="5"/>
  <c r="S1584" i="5" s="1"/>
  <c r="R1583" i="5"/>
  <c r="L1583" i="5"/>
  <c r="S1583" i="5" s="1"/>
  <c r="R1582" i="5"/>
  <c r="L1582" i="5"/>
  <c r="S1582" i="5" s="1"/>
  <c r="R1581" i="5"/>
  <c r="L1581" i="5"/>
  <c r="S1581" i="5" s="1"/>
  <c r="R1580" i="5"/>
  <c r="L1580" i="5"/>
  <c r="S1580" i="5" s="1"/>
  <c r="R1579" i="5"/>
  <c r="L1579" i="5"/>
  <c r="S1579" i="5" s="1"/>
  <c r="R1578" i="5"/>
  <c r="L1578" i="5"/>
  <c r="S1578" i="5" s="1"/>
  <c r="R1577" i="5"/>
  <c r="L1577" i="5"/>
  <c r="P1462" i="5"/>
  <c r="O1462" i="5"/>
  <c r="N1462" i="5"/>
  <c r="M1462" i="5"/>
  <c r="J1462" i="5"/>
  <c r="G1462" i="5"/>
  <c r="E1462" i="5"/>
  <c r="D1462" i="5"/>
  <c r="R1461" i="5"/>
  <c r="L1461" i="5"/>
  <c r="R1460" i="5"/>
  <c r="L1460" i="5"/>
  <c r="R1459" i="5"/>
  <c r="L1459" i="5"/>
  <c r="A1459" i="5"/>
  <c r="A1460" i="5" s="1"/>
  <c r="A1461" i="5" s="1"/>
  <c r="R1458" i="5"/>
  <c r="L1458" i="5"/>
  <c r="P1456" i="5"/>
  <c r="O1456" i="5"/>
  <c r="N1456" i="5"/>
  <c r="M1456" i="5"/>
  <c r="J1456" i="5"/>
  <c r="G1456" i="5"/>
  <c r="E1456" i="5"/>
  <c r="D1456" i="5"/>
  <c r="R1455" i="5"/>
  <c r="Q1456" i="5"/>
  <c r="P1453" i="5"/>
  <c r="O1453" i="5"/>
  <c r="N1453" i="5"/>
  <c r="M1453" i="5"/>
  <c r="J1453" i="5"/>
  <c r="G1453" i="5"/>
  <c r="E1453" i="5"/>
  <c r="D1453" i="5"/>
  <c r="R1452" i="5"/>
  <c r="L1452" i="5"/>
  <c r="R1451" i="5"/>
  <c r="L1451" i="5"/>
  <c r="R1450" i="5"/>
  <c r="L1450" i="5"/>
  <c r="R1449" i="5"/>
  <c r="L1449" i="5"/>
  <c r="L1448" i="5"/>
  <c r="R1447" i="5"/>
  <c r="L1447" i="5"/>
  <c r="L1446" i="5"/>
  <c r="R1445" i="5"/>
  <c r="L1445" i="5"/>
  <c r="R1444" i="5"/>
  <c r="L1444" i="5"/>
  <c r="R1443" i="5"/>
  <c r="L1443" i="5"/>
  <c r="R1442" i="5"/>
  <c r="L1442" i="5"/>
  <c r="R1441" i="5"/>
  <c r="L1441" i="5"/>
  <c r="R1440" i="5"/>
  <c r="L1440" i="5"/>
  <c r="R1439" i="5"/>
  <c r="L1439" i="5"/>
  <c r="R1438" i="5"/>
  <c r="L1438" i="5"/>
  <c r="R1437" i="5"/>
  <c r="L1437" i="5"/>
  <c r="R1436" i="5"/>
  <c r="L1436" i="5"/>
  <c r="R1435" i="5"/>
  <c r="L1435" i="5"/>
  <c r="R1434" i="5"/>
  <c r="L1434" i="5"/>
  <c r="R1433" i="5"/>
  <c r="L1433" i="5"/>
  <c r="R1432" i="5"/>
  <c r="L1432" i="5"/>
  <c r="R1431" i="5"/>
  <c r="L1431" i="5"/>
  <c r="R1430" i="5"/>
  <c r="Q1453" i="5"/>
  <c r="R1429" i="5"/>
  <c r="L1429" i="5"/>
  <c r="R1428" i="5"/>
  <c r="L1428" i="5"/>
  <c r="R1427" i="5"/>
  <c r="L1427" i="5"/>
  <c r="R1426" i="5"/>
  <c r="L1426" i="5"/>
  <c r="R1425" i="5"/>
  <c r="L1425" i="5"/>
  <c r="A1425" i="5"/>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R1424" i="5"/>
  <c r="L1424" i="5"/>
  <c r="P1422" i="5"/>
  <c r="O1422" i="5"/>
  <c r="N1422" i="5"/>
  <c r="M1422" i="5"/>
  <c r="J1422" i="5"/>
  <c r="G1422" i="5"/>
  <c r="E1422" i="5"/>
  <c r="D1422" i="5"/>
  <c r="L1421" i="5"/>
  <c r="L1420" i="5"/>
  <c r="R1419" i="5"/>
  <c r="L1419" i="5"/>
  <c r="R1418" i="5"/>
  <c r="R1417" i="5"/>
  <c r="L1417" i="5"/>
  <c r="R1416" i="5"/>
  <c r="L1416" i="5"/>
  <c r="R1415" i="5"/>
  <c r="L1415" i="5"/>
  <c r="R1414" i="5"/>
  <c r="L1414" i="5"/>
  <c r="R1413" i="5"/>
  <c r="L1413" i="5"/>
  <c r="R1412" i="5"/>
  <c r="L1412" i="5"/>
  <c r="R1411" i="5"/>
  <c r="L1411" i="5"/>
  <c r="R1410" i="5"/>
  <c r="L1410" i="5"/>
  <c r="R1409" i="5"/>
  <c r="L1409" i="5"/>
  <c r="A1409" i="5"/>
  <c r="A1410" i="5" s="1"/>
  <c r="A1411" i="5" s="1"/>
  <c r="A1412" i="5" s="1"/>
  <c r="A1413" i="5" s="1"/>
  <c r="A1414" i="5" s="1"/>
  <c r="A1415" i="5" s="1"/>
  <c r="A1416" i="5" s="1"/>
  <c r="A1417" i="5" s="1"/>
  <c r="A1418" i="5" s="1"/>
  <c r="A1419" i="5" s="1"/>
  <c r="A1420" i="5" s="1"/>
  <c r="A1421" i="5" s="1"/>
  <c r="R1408" i="5"/>
  <c r="Q1406" i="5"/>
  <c r="P1406" i="5"/>
  <c r="O1406" i="5"/>
  <c r="N1406" i="5"/>
  <c r="M1406" i="5"/>
  <c r="J1406" i="5"/>
  <c r="G1406" i="5"/>
  <c r="E1406" i="5"/>
  <c r="D1406" i="5"/>
  <c r="R1405" i="5"/>
  <c r="L1405" i="5"/>
  <c r="R1404" i="5"/>
  <c r="L1404" i="5"/>
  <c r="R1403" i="5"/>
  <c r="L1403" i="5"/>
  <c r="Q1401" i="5"/>
  <c r="P1401" i="5"/>
  <c r="N1401" i="5"/>
  <c r="M1401" i="5"/>
  <c r="J1401" i="5"/>
  <c r="G1401" i="5"/>
  <c r="E1401" i="5"/>
  <c r="D1401" i="5"/>
  <c r="R1398" i="5"/>
  <c r="L1398" i="5"/>
  <c r="R1397" i="5"/>
  <c r="L1397" i="5"/>
  <c r="R1396" i="5"/>
  <c r="L1396" i="5"/>
  <c r="R1395" i="5"/>
  <c r="L1395" i="5"/>
  <c r="S1394" i="5"/>
  <c r="R1394" i="5"/>
  <c r="L1393" i="5"/>
  <c r="L1392" i="5"/>
  <c r="L1391" i="5"/>
  <c r="L1390" i="5"/>
  <c r="L1389" i="5"/>
  <c r="R1388" i="5"/>
  <c r="L1388" i="5"/>
  <c r="L1387" i="5"/>
  <c r="R1386" i="5"/>
  <c r="L1386" i="5"/>
  <c r="R1385" i="5"/>
  <c r="L1385" i="5"/>
  <c r="R1384" i="5"/>
  <c r="L1384" i="5"/>
  <c r="L1383" i="5"/>
  <c r="L1382" i="5"/>
  <c r="R1381" i="5"/>
  <c r="L1381" i="5"/>
  <c r="A1381" i="5"/>
  <c r="A1382" i="5" s="1"/>
  <c r="A1383" i="5" s="1"/>
  <c r="A1384" i="5" s="1"/>
  <c r="A1385" i="5" s="1"/>
  <c r="A1386" i="5" s="1"/>
  <c r="A1387" i="5" s="1"/>
  <c r="A1388" i="5" s="1"/>
  <c r="A1389" i="5" s="1"/>
  <c r="A1390" i="5" s="1"/>
  <c r="A1391" i="5" s="1"/>
  <c r="A1392" i="5" s="1"/>
  <c r="A1393" i="5" s="1"/>
  <c r="A1395" i="5" s="1"/>
  <c r="A1396" i="5" s="1"/>
  <c r="A1397" i="5" s="1"/>
  <c r="R1380" i="5"/>
  <c r="L1380" i="5"/>
  <c r="P1378" i="5"/>
  <c r="O1378" i="5"/>
  <c r="N1378" i="5"/>
  <c r="M1378" i="5"/>
  <c r="J1378" i="5"/>
  <c r="G1378" i="5"/>
  <c r="E1378" i="5"/>
  <c r="D1378" i="5"/>
  <c r="R1377" i="5"/>
  <c r="L1377" i="5"/>
  <c r="A1377" i="5"/>
  <c r="R1376" i="5"/>
  <c r="L1376" i="5"/>
  <c r="R1375" i="5"/>
  <c r="L1375" i="5"/>
  <c r="A1375" i="5"/>
  <c r="A1376" i="5" s="1"/>
  <c r="R1374" i="5"/>
  <c r="P1372" i="5"/>
  <c r="O1372" i="5"/>
  <c r="N1372" i="5"/>
  <c r="M1372" i="5"/>
  <c r="J1372" i="5"/>
  <c r="E1372" i="5"/>
  <c r="L1371" i="5"/>
  <c r="G1371" i="5"/>
  <c r="R1370" i="5"/>
  <c r="L1370" i="5"/>
  <c r="Q1368" i="5"/>
  <c r="P1368" i="5"/>
  <c r="O1368" i="5"/>
  <c r="N1368" i="5"/>
  <c r="M1368" i="5"/>
  <c r="J1368" i="5"/>
  <c r="G1368" i="5"/>
  <c r="E1368" i="5"/>
  <c r="D1368" i="5"/>
  <c r="R1367" i="5"/>
  <c r="L1367" i="5"/>
  <c r="R1365" i="5"/>
  <c r="R1364" i="5"/>
  <c r="L1364" i="5"/>
  <c r="R1363" i="5"/>
  <c r="L1363" i="5"/>
  <c r="P1361" i="5"/>
  <c r="O1361" i="5"/>
  <c r="N1361" i="5"/>
  <c r="M1361" i="5"/>
  <c r="J1361" i="5"/>
  <c r="G1361" i="5"/>
  <c r="E1361" i="5"/>
  <c r="D1361" i="5"/>
  <c r="L1355" i="5"/>
  <c r="L1354" i="5"/>
  <c r="L1353" i="5"/>
  <c r="L1352" i="5"/>
  <c r="L1351" i="5"/>
  <c r="L1350" i="5"/>
  <c r="L1349" i="5"/>
  <c r="L1348" i="5"/>
  <c r="L1347" i="5"/>
  <c r="L1346" i="5"/>
  <c r="L1345" i="5"/>
  <c r="L1344" i="5"/>
  <c r="R1343" i="5"/>
  <c r="L1343" i="5"/>
  <c r="R1342" i="5"/>
  <c r="L1342" i="5"/>
  <c r="R1341" i="5"/>
  <c r="L1341" i="5"/>
  <c r="R1340" i="5"/>
  <c r="L1340" i="5"/>
  <c r="R1339" i="5"/>
  <c r="L1339" i="5"/>
  <c r="R1338" i="5"/>
  <c r="L1338" i="5"/>
  <c r="L1337" i="5"/>
  <c r="L1336" i="5"/>
  <c r="L1335" i="5"/>
  <c r="L1334" i="5"/>
  <c r="R1333" i="5"/>
  <c r="L1333" i="5"/>
  <c r="L1332" i="5"/>
  <c r="R1331" i="5"/>
  <c r="L1331" i="5"/>
  <c r="R1330" i="5"/>
  <c r="L1330" i="5"/>
  <c r="R1329" i="5"/>
  <c r="L1329" i="5"/>
  <c r="R1328" i="5"/>
  <c r="L1328" i="5"/>
  <c r="L1327" i="5"/>
  <c r="L1326" i="5"/>
  <c r="R1325" i="5"/>
  <c r="L1325" i="5"/>
  <c r="R1324" i="5"/>
  <c r="L1324" i="5"/>
  <c r="R1323" i="5"/>
  <c r="L1323" i="5"/>
  <c r="R1322" i="5"/>
  <c r="L1322" i="5"/>
  <c r="A1322" i="5"/>
  <c r="A1323" i="5" s="1"/>
  <c r="A1324" i="5" s="1"/>
  <c r="A1325" i="5" s="1"/>
  <c r="A1326" i="5" s="1"/>
  <c r="A1327" i="5" s="1"/>
  <c r="A1328" i="5" s="1"/>
  <c r="A1329" i="5" s="1"/>
  <c r="A1330" i="5" s="1"/>
  <c r="A1331" i="5" s="1"/>
  <c r="A1332" i="5" s="1"/>
  <c r="A1333" i="5" s="1"/>
  <c r="A1334" i="5" s="1"/>
  <c r="A1335" i="5" s="1"/>
  <c r="A1336" i="5" s="1"/>
  <c r="A1337" i="5" s="1"/>
  <c r="A1338" i="5" s="1"/>
  <c r="A1339" i="5" s="1"/>
  <c r="A1340" i="5" s="1"/>
  <c r="R1321" i="5"/>
  <c r="L1321" i="5"/>
  <c r="Q1319" i="5"/>
  <c r="P1319" i="5"/>
  <c r="O1319" i="5"/>
  <c r="N1319" i="5"/>
  <c r="M1319" i="5"/>
  <c r="J1319" i="5"/>
  <c r="G1319" i="5"/>
  <c r="E1319" i="5"/>
  <c r="D1319" i="5"/>
  <c r="R1318" i="5"/>
  <c r="L1318" i="5"/>
  <c r="P1316" i="5"/>
  <c r="O1316" i="5"/>
  <c r="N1316" i="5"/>
  <c r="M1316" i="5"/>
  <c r="J1316" i="5"/>
  <c r="G1316" i="5"/>
  <c r="E1316" i="5"/>
  <c r="D1316" i="5"/>
  <c r="R1315" i="5"/>
  <c r="L1315" i="5"/>
  <c r="R1314" i="5"/>
  <c r="L1314" i="5"/>
  <c r="P1312" i="5"/>
  <c r="O1312" i="5"/>
  <c r="N1312" i="5"/>
  <c r="M1312" i="5"/>
  <c r="J1312" i="5"/>
  <c r="G1312" i="5"/>
  <c r="E1312" i="5"/>
  <c r="D1312" i="5"/>
  <c r="R1311" i="5"/>
  <c r="R1310" i="5"/>
  <c r="R1309" i="5"/>
  <c r="L1309" i="5"/>
  <c r="P1307" i="5"/>
  <c r="N1307" i="5"/>
  <c r="M1307" i="5"/>
  <c r="J1307" i="5"/>
  <c r="G1307" i="5"/>
  <c r="E1307" i="5"/>
  <c r="D1307" i="5"/>
  <c r="R1306" i="5"/>
  <c r="Q1307" i="5"/>
  <c r="Q1304" i="5"/>
  <c r="P1304" i="5"/>
  <c r="O1304" i="5"/>
  <c r="N1304" i="5"/>
  <c r="M1304" i="5"/>
  <c r="J1304" i="5"/>
  <c r="G1304" i="5"/>
  <c r="E1304" i="5"/>
  <c r="D1304" i="5"/>
  <c r="A1302" i="5"/>
  <c r="A1303" i="5" s="1"/>
  <c r="L1301" i="5"/>
  <c r="L1300" i="5"/>
  <c r="L1299" i="5"/>
  <c r="A1299" i="5"/>
  <c r="A1300" i="5" s="1"/>
  <c r="R1298" i="5"/>
  <c r="L1298" i="5"/>
  <c r="R1297" i="5"/>
  <c r="R1296" i="5"/>
  <c r="L1296" i="5"/>
  <c r="R1295" i="5"/>
  <c r="L1295" i="5"/>
  <c r="R1294" i="5"/>
  <c r="L1294" i="5"/>
  <c r="R1293" i="5"/>
  <c r="L1293" i="5"/>
  <c r="R1292" i="5"/>
  <c r="L1292" i="5"/>
  <c r="R1291" i="5"/>
  <c r="R1290" i="5"/>
  <c r="L1290" i="5"/>
  <c r="R1289" i="5"/>
  <c r="L1289" i="5"/>
  <c r="R1288" i="5"/>
  <c r="L1288" i="5"/>
  <c r="R1287" i="5"/>
  <c r="L1287" i="5"/>
  <c r="A1287" i="5"/>
  <c r="A1288" i="5" s="1"/>
  <c r="A1289" i="5" s="1"/>
  <c r="A1290" i="5" s="1"/>
  <c r="A1292" i="5" s="1"/>
  <c r="A1293" i="5" s="1"/>
  <c r="A1294" i="5" s="1"/>
  <c r="A1295" i="5" s="1"/>
  <c r="A1296" i="5" s="1"/>
  <c r="R1286" i="5"/>
  <c r="L1285" i="5"/>
  <c r="R1284" i="5"/>
  <c r="R1283" i="5"/>
  <c r="L1283" i="5"/>
  <c r="R1282" i="5"/>
  <c r="L1282" i="5"/>
  <c r="R1281" i="5"/>
  <c r="L1281" i="5"/>
  <c r="R1280" i="5"/>
  <c r="L1280" i="5"/>
  <c r="A1280" i="5"/>
  <c r="A1281" i="5" s="1"/>
  <c r="A1282" i="5" s="1"/>
  <c r="R1279" i="5"/>
  <c r="R1278" i="5"/>
  <c r="L1278" i="5"/>
  <c r="R1277" i="5"/>
  <c r="L1277" i="5"/>
  <c r="R1276" i="5"/>
  <c r="L1276" i="5"/>
  <c r="P1274" i="5"/>
  <c r="O1274" i="5"/>
  <c r="N1274" i="5"/>
  <c r="M1274" i="5"/>
  <c r="J1274" i="5"/>
  <c r="G1274" i="5"/>
  <c r="E1274" i="5"/>
  <c r="R1273" i="5"/>
  <c r="L1273" i="5"/>
  <c r="R1272" i="5"/>
  <c r="L1272" i="5"/>
  <c r="R1271" i="5"/>
  <c r="L1271" i="5"/>
  <c r="R1270" i="5"/>
  <c r="L1270" i="5"/>
  <c r="R1269" i="5"/>
  <c r="L1269" i="5"/>
  <c r="R1268" i="5"/>
  <c r="L1268" i="5"/>
  <c r="A1268" i="5"/>
  <c r="A1269" i="5" s="1"/>
  <c r="R1267" i="5"/>
  <c r="L1267" i="5"/>
  <c r="P1265" i="5"/>
  <c r="O1265" i="5"/>
  <c r="N1265" i="5"/>
  <c r="M1265" i="5"/>
  <c r="J1265" i="5"/>
  <c r="G1265" i="5"/>
  <c r="E1265" i="5"/>
  <c r="D1265" i="5"/>
  <c r="R1264" i="5"/>
  <c r="L1264" i="5"/>
  <c r="R1263" i="5"/>
  <c r="L1263" i="5"/>
  <c r="R1262" i="5"/>
  <c r="L1262" i="5"/>
  <c r="A1262" i="5"/>
  <c r="A1263" i="5" s="1"/>
  <c r="A1264" i="5" s="1"/>
  <c r="R1261" i="5"/>
  <c r="L1261" i="5"/>
  <c r="S1260" i="5"/>
  <c r="P1259" i="5"/>
  <c r="O1259" i="5"/>
  <c r="N1259" i="5"/>
  <c r="M1259" i="5"/>
  <c r="J1259" i="5"/>
  <c r="G1259" i="5"/>
  <c r="E1259" i="5"/>
  <c r="R1258" i="5"/>
  <c r="L1258" i="5"/>
  <c r="R1257" i="5"/>
  <c r="R1256" i="5"/>
  <c r="R1255" i="5"/>
  <c r="R1254" i="5"/>
  <c r="S1253" i="5"/>
  <c r="P1252" i="5"/>
  <c r="O1252" i="5"/>
  <c r="N1252" i="5"/>
  <c r="M1252" i="5"/>
  <c r="J1252" i="5"/>
  <c r="G1252" i="5"/>
  <c r="E1252" i="5"/>
  <c r="D1252" i="5"/>
  <c r="R1251" i="5"/>
  <c r="L1251" i="5"/>
  <c r="R1250" i="5"/>
  <c r="L1250" i="5"/>
  <c r="S1249" i="5"/>
  <c r="Q1248" i="5"/>
  <c r="P1248" i="5"/>
  <c r="O1248" i="5"/>
  <c r="N1248" i="5"/>
  <c r="M1248" i="5"/>
  <c r="J1248" i="5"/>
  <c r="G1248" i="5"/>
  <c r="E1248" i="5"/>
  <c r="R1246" i="5"/>
  <c r="L1246" i="5"/>
  <c r="R1245" i="5"/>
  <c r="L1245" i="5"/>
  <c r="R1244" i="5"/>
  <c r="L1244" i="5"/>
  <c r="R1243" i="5"/>
  <c r="L1243" i="5"/>
  <c r="R1242" i="5"/>
  <c r="L1242" i="5"/>
  <c r="R1241" i="5"/>
  <c r="L1241" i="5"/>
  <c r="R1240" i="5"/>
  <c r="L1240" i="5"/>
  <c r="R1239" i="5"/>
  <c r="L1239" i="5"/>
  <c r="A1239" i="5"/>
  <c r="A1240" i="5" s="1"/>
  <c r="A1241" i="5" s="1"/>
  <c r="A1242" i="5" s="1"/>
  <c r="A1243" i="5" s="1"/>
  <c r="A1244" i="5" s="1"/>
  <c r="A1245" i="5" s="1"/>
  <c r="A1246" i="5" s="1"/>
  <c r="A1247" i="5" s="1"/>
  <c r="R1238" i="5"/>
  <c r="L1238" i="5"/>
  <c r="P1236" i="5"/>
  <c r="O1236" i="5"/>
  <c r="N1236" i="5"/>
  <c r="M1236" i="5"/>
  <c r="J1236" i="5"/>
  <c r="G1236" i="5"/>
  <c r="L1232" i="5"/>
  <c r="D1232" i="5"/>
  <c r="L1231" i="5"/>
  <c r="D1231" i="5"/>
  <c r="L1230" i="5"/>
  <c r="D1230" i="5"/>
  <c r="L1229" i="5"/>
  <c r="D1229" i="5"/>
  <c r="L1228" i="5"/>
  <c r="D1228" i="5"/>
  <c r="L1227" i="5"/>
  <c r="D1227" i="5"/>
  <c r="L1226" i="5"/>
  <c r="D1226" i="5"/>
  <c r="L1225" i="5"/>
  <c r="D1225" i="5"/>
  <c r="L1224" i="5"/>
  <c r="D1224" i="5"/>
  <c r="R1223" i="5"/>
  <c r="L1223" i="5"/>
  <c r="R1222" i="5"/>
  <c r="L1222" i="5"/>
  <c r="R1221" i="5"/>
  <c r="L1221" i="5"/>
  <c r="R1220" i="5"/>
  <c r="L1220" i="5"/>
  <c r="R1219" i="5"/>
  <c r="L1219" i="5"/>
  <c r="R1218" i="5"/>
  <c r="L1218" i="5"/>
  <c r="R1217" i="5"/>
  <c r="L1217" i="5"/>
  <c r="R1216" i="5"/>
  <c r="L1216" i="5"/>
  <c r="Q1236" i="5"/>
  <c r="R1215" i="5"/>
  <c r="L1215" i="5"/>
  <c r="D1215" i="5"/>
  <c r="S1214" i="5"/>
  <c r="R1213" i="5"/>
  <c r="L1213" i="5"/>
  <c r="D1213" i="5"/>
  <c r="R1212" i="5"/>
  <c r="L1212" i="5"/>
  <c r="D1212" i="5"/>
  <c r="R1211" i="5"/>
  <c r="L1211" i="5"/>
  <c r="D1211" i="5"/>
  <c r="R1210" i="5"/>
  <c r="L1210" i="5"/>
  <c r="D1210" i="5"/>
  <c r="R1209" i="5"/>
  <c r="L1209" i="5"/>
  <c r="D1209" i="5"/>
  <c r="R1208" i="5"/>
  <c r="L1208" i="5"/>
  <c r="D1208" i="5"/>
  <c r="R1207" i="5"/>
  <c r="L1207" i="5"/>
  <c r="D1207" i="5"/>
  <c r="R1206" i="5"/>
  <c r="L1206" i="5"/>
  <c r="D1206" i="5"/>
  <c r="R1205" i="5"/>
  <c r="L1205" i="5"/>
  <c r="D1205" i="5"/>
  <c r="R1204" i="5"/>
  <c r="L1204" i="5"/>
  <c r="D1204" i="5"/>
  <c r="R1203" i="5"/>
  <c r="L1203" i="5"/>
  <c r="D1203" i="5"/>
  <c r="R1202" i="5"/>
  <c r="L1202" i="5"/>
  <c r="D1202" i="5"/>
  <c r="R1201" i="5"/>
  <c r="L1201" i="5"/>
  <c r="D1201" i="5"/>
  <c r="R1200" i="5"/>
  <c r="L1200" i="5"/>
  <c r="D1200" i="5"/>
  <c r="R1199" i="5"/>
  <c r="L1199" i="5"/>
  <c r="D1199" i="5"/>
  <c r="R1198" i="5"/>
  <c r="L1198" i="5"/>
  <c r="D1198" i="5"/>
  <c r="R1197" i="5"/>
  <c r="L1197" i="5"/>
  <c r="D1197" i="5"/>
  <c r="R1196" i="5"/>
  <c r="L1196" i="5"/>
  <c r="D1196" i="5"/>
  <c r="R1195" i="5"/>
  <c r="L1195" i="5"/>
  <c r="D1195" i="5"/>
  <c r="R1194" i="5"/>
  <c r="L1194" i="5"/>
  <c r="D1194" i="5"/>
  <c r="R1193" i="5"/>
  <c r="L1193" i="5"/>
  <c r="D1193" i="5"/>
  <c r="R1192" i="5"/>
  <c r="L1192" i="5"/>
  <c r="D1192" i="5"/>
  <c r="R1191" i="5"/>
  <c r="L1191" i="5"/>
  <c r="D1191" i="5"/>
  <c r="R1190" i="5"/>
  <c r="L1190" i="5"/>
  <c r="D1190" i="5"/>
  <c r="R1189" i="5"/>
  <c r="L1189" i="5"/>
  <c r="R1188" i="5"/>
  <c r="L1188" i="5"/>
  <c r="D1188" i="5"/>
  <c r="R1187" i="5"/>
  <c r="L1187" i="5"/>
  <c r="D1187" i="5"/>
  <c r="R1186" i="5"/>
  <c r="L1186" i="5"/>
  <c r="D1186" i="5"/>
  <c r="L1185" i="5"/>
  <c r="E1185" i="5"/>
  <c r="R1185" i="5" s="1"/>
  <c r="L1184" i="5"/>
  <c r="E1184" i="5"/>
  <c r="R1184" i="5" s="1"/>
  <c r="R1183" i="5"/>
  <c r="L1183" i="5"/>
  <c r="D1183" i="5"/>
  <c r="R1182" i="5"/>
  <c r="L1182" i="5"/>
  <c r="D1182" i="5"/>
  <c r="R1181" i="5"/>
  <c r="L1181" i="5"/>
  <c r="D1181" i="5"/>
  <c r="R1180" i="5"/>
  <c r="L1180" i="5"/>
  <c r="D1180" i="5"/>
  <c r="R1179" i="5"/>
  <c r="L1179" i="5"/>
  <c r="D1179" i="5"/>
  <c r="R1178" i="5"/>
  <c r="L1178" i="5"/>
  <c r="D1178" i="5"/>
  <c r="R1177" i="5"/>
  <c r="L1177" i="5"/>
  <c r="D1177" i="5"/>
  <c r="R1176" i="5"/>
  <c r="L1176" i="5"/>
  <c r="D1176" i="5"/>
  <c r="R1175" i="5"/>
  <c r="L1175" i="5"/>
  <c r="D1175" i="5"/>
  <c r="R1174" i="5"/>
  <c r="L1174" i="5"/>
  <c r="D1174" i="5"/>
  <c r="R1173" i="5"/>
  <c r="L1173" i="5"/>
  <c r="D1173" i="5"/>
  <c r="R1172" i="5"/>
  <c r="L1172" i="5"/>
  <c r="D1172" i="5"/>
  <c r="R1171" i="5"/>
  <c r="L1171" i="5"/>
  <c r="D1171" i="5"/>
  <c r="R1170" i="5"/>
  <c r="L1170" i="5"/>
  <c r="D1170" i="5"/>
  <c r="R1169" i="5"/>
  <c r="L1169" i="5"/>
  <c r="D1169" i="5"/>
  <c r="R1168" i="5"/>
  <c r="L1168" i="5"/>
  <c r="D1168" i="5"/>
  <c r="R1167" i="5"/>
  <c r="L1167" i="5"/>
  <c r="D1167" i="5"/>
  <c r="R1166" i="5"/>
  <c r="L1166" i="5"/>
  <c r="D1166" i="5"/>
  <c r="R1165" i="5"/>
  <c r="L1165" i="5"/>
  <c r="D1165" i="5"/>
  <c r="R1164" i="5"/>
  <c r="L1164" i="5"/>
  <c r="D1164" i="5"/>
  <c r="R1163" i="5"/>
  <c r="L1163" i="5"/>
  <c r="D1163" i="5"/>
  <c r="R1162" i="5"/>
  <c r="L1162" i="5"/>
  <c r="D1162" i="5"/>
  <c r="R1161" i="5"/>
  <c r="L1161" i="5"/>
  <c r="D1161" i="5"/>
  <c r="R1160" i="5"/>
  <c r="L1160" i="5"/>
  <c r="D1160" i="5"/>
  <c r="R1159" i="5"/>
  <c r="L1159" i="5"/>
  <c r="D1159" i="5"/>
  <c r="R1158" i="5"/>
  <c r="L1158" i="5"/>
  <c r="D1158" i="5"/>
  <c r="R1157" i="5"/>
  <c r="L1157" i="5"/>
  <c r="D1157" i="5"/>
  <c r="R1156" i="5"/>
  <c r="L1156" i="5"/>
  <c r="D1156" i="5"/>
  <c r="R1155" i="5"/>
  <c r="L1155" i="5"/>
  <c r="D1155" i="5"/>
  <c r="R1154" i="5"/>
  <c r="L1154" i="5"/>
  <c r="D1154" i="5"/>
  <c r="R1153" i="5"/>
  <c r="L1153" i="5"/>
  <c r="D1153" i="5"/>
  <c r="R1152" i="5"/>
  <c r="L1152" i="5"/>
  <c r="D1152" i="5"/>
  <c r="A1153" i="5"/>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R1151" i="5"/>
  <c r="L1151" i="5"/>
  <c r="D1151" i="5"/>
  <c r="Q1149" i="5"/>
  <c r="P1149" i="5"/>
  <c r="O1149" i="5"/>
  <c r="N1149" i="5"/>
  <c r="M1149" i="5"/>
  <c r="J1149" i="5"/>
  <c r="G1149" i="5"/>
  <c r="E1149" i="5"/>
  <c r="R1148" i="5"/>
  <c r="L1147" i="5"/>
  <c r="R1146" i="5"/>
  <c r="L1145" i="5"/>
  <c r="R1144" i="5"/>
  <c r="L1144" i="5"/>
  <c r="R1143" i="5"/>
  <c r="L1143" i="5"/>
  <c r="R1142" i="5"/>
  <c r="L1142" i="5"/>
  <c r="R1141" i="5"/>
  <c r="L1141" i="5"/>
  <c r="R1140" i="5"/>
  <c r="L1140" i="5"/>
  <c r="R1139" i="5"/>
  <c r="L1139" i="5"/>
  <c r="A1139" i="5"/>
  <c r="A1140" i="5" s="1"/>
  <c r="A1141" i="5" s="1"/>
  <c r="A1142" i="5" s="1"/>
  <c r="A1143" i="5" s="1"/>
  <c r="A1144" i="5" s="1"/>
  <c r="A1145" i="5" s="1"/>
  <c r="R1138" i="5"/>
  <c r="L1138" i="5"/>
  <c r="R1137" i="5"/>
  <c r="L1137" i="5"/>
  <c r="R1136" i="5"/>
  <c r="L1136" i="5"/>
  <c r="S1135" i="5"/>
  <c r="R1135" i="5"/>
  <c r="R1134" i="5"/>
  <c r="L1134" i="5"/>
  <c r="R1133" i="5"/>
  <c r="L1133" i="5"/>
  <c r="A1133" i="5"/>
  <c r="A1134" i="5" s="1"/>
  <c r="A1136" i="5" s="1"/>
  <c r="S1132" i="5"/>
  <c r="R1132" i="5"/>
  <c r="R1131" i="5"/>
  <c r="L1131" i="5"/>
  <c r="R1130" i="5"/>
  <c r="L1130" i="5"/>
  <c r="R1129" i="5"/>
  <c r="L1129" i="5"/>
  <c r="A1129" i="5"/>
  <c r="R1128" i="5"/>
  <c r="L1128" i="5"/>
  <c r="S1127" i="5"/>
  <c r="Q1126" i="5"/>
  <c r="P1126" i="5"/>
  <c r="O1126" i="5"/>
  <c r="N1126" i="5"/>
  <c r="M1126" i="5"/>
  <c r="J1126" i="5"/>
  <c r="G1126" i="5"/>
  <c r="E1126" i="5"/>
  <c r="D1126" i="5"/>
  <c r="R1125" i="5"/>
  <c r="L1125" i="5"/>
  <c r="L1124" i="5"/>
  <c r="L1123" i="5"/>
  <c r="L1122" i="5"/>
  <c r="L1121" i="5"/>
  <c r="L1120" i="5"/>
  <c r="L1119" i="5"/>
  <c r="L1118" i="5"/>
  <c r="L1117" i="5"/>
  <c r="L1116" i="5"/>
  <c r="L1115" i="5"/>
  <c r="L1114" i="5"/>
  <c r="L1113" i="5"/>
  <c r="L1112" i="5"/>
  <c r="L1111" i="5"/>
  <c r="L1110" i="5"/>
  <c r="L1109" i="5"/>
  <c r="R1108" i="5"/>
  <c r="L1108" i="5"/>
  <c r="R1107" i="5"/>
  <c r="L1107" i="5"/>
  <c r="R1106" i="5"/>
  <c r="L1106" i="5"/>
  <c r="R1105" i="5"/>
  <c r="L1105" i="5"/>
  <c r="R1104" i="5"/>
  <c r="L1104" i="5"/>
  <c r="R1103" i="5"/>
  <c r="L1103" i="5"/>
  <c r="L1102" i="5"/>
  <c r="R1101" i="5"/>
  <c r="L1101" i="5"/>
  <c r="R1100" i="5"/>
  <c r="L1100" i="5"/>
  <c r="R1099" i="5"/>
  <c r="L1099" i="5"/>
  <c r="R1098" i="5"/>
  <c r="L1098" i="5"/>
  <c r="R1097" i="5"/>
  <c r="L1097" i="5"/>
  <c r="R1096" i="5"/>
  <c r="L1096" i="5"/>
  <c r="R1095" i="5"/>
  <c r="L1095" i="5"/>
  <c r="R1094" i="5"/>
  <c r="L1094" i="5"/>
  <c r="R1093" i="5"/>
  <c r="L1093" i="5"/>
  <c r="R1092" i="5"/>
  <c r="L1092" i="5"/>
  <c r="L1091" i="5"/>
  <c r="R1090" i="5"/>
  <c r="L1090" i="5"/>
  <c r="R1089" i="5"/>
  <c r="L1089" i="5"/>
  <c r="R1088" i="5"/>
  <c r="L1088" i="5"/>
  <c r="R1087" i="5"/>
  <c r="L1087" i="5"/>
  <c r="R1086" i="5"/>
  <c r="L1086" i="5"/>
  <c r="R1085" i="5"/>
  <c r="L1085" i="5"/>
  <c r="R1084" i="5"/>
  <c r="L1084" i="5"/>
  <c r="L1083" i="5"/>
  <c r="R1082" i="5"/>
  <c r="L1082" i="5"/>
  <c r="R1081" i="5"/>
  <c r="L1081" i="5"/>
  <c r="R1080" i="5"/>
  <c r="L1080" i="5"/>
  <c r="R1079" i="5"/>
  <c r="L1079" i="5"/>
  <c r="R1078" i="5"/>
  <c r="L1078" i="5"/>
  <c r="R1077" i="5"/>
  <c r="L1077" i="5"/>
  <c r="R1076" i="5"/>
  <c r="L1076" i="5"/>
  <c r="R1075" i="5"/>
  <c r="L1075" i="5"/>
  <c r="L1074" i="5"/>
  <c r="R1073" i="5"/>
  <c r="L1073" i="5"/>
  <c r="R1072" i="5"/>
  <c r="L1072" i="5"/>
  <c r="R1071" i="5"/>
  <c r="L1071" i="5"/>
  <c r="R1070" i="5"/>
  <c r="L1070" i="5"/>
  <c r="L1069" i="5"/>
  <c r="R1068" i="5"/>
  <c r="L1068" i="5"/>
  <c r="R1067" i="5"/>
  <c r="L1067" i="5"/>
  <c r="R1066" i="5"/>
  <c r="L1066" i="5"/>
  <c r="R1065" i="5"/>
  <c r="L1065" i="5"/>
  <c r="R1064" i="5"/>
  <c r="L1064" i="5"/>
  <c r="R1063" i="5"/>
  <c r="L1063" i="5"/>
  <c r="R1062" i="5"/>
  <c r="L1062" i="5"/>
  <c r="L1061" i="5"/>
  <c r="R1060" i="5"/>
  <c r="L1060" i="5"/>
  <c r="R1059" i="5"/>
  <c r="L1059" i="5"/>
  <c r="A1059" i="5"/>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R1058" i="5"/>
  <c r="L1058" i="5"/>
  <c r="S1057" i="5"/>
  <c r="Q1056" i="5"/>
  <c r="P1056" i="5"/>
  <c r="O1056" i="5"/>
  <c r="N1056" i="5"/>
  <c r="M1056" i="5"/>
  <c r="J1056" i="5"/>
  <c r="G1056" i="5"/>
  <c r="E1056" i="5"/>
  <c r="D1056" i="5"/>
  <c r="L1055" i="5"/>
  <c r="L1054" i="5"/>
  <c r="L1053" i="5"/>
  <c r="L1052" i="5"/>
  <c r="R1051" i="5"/>
  <c r="L1051" i="5"/>
  <c r="R1050" i="5"/>
  <c r="L1050" i="5"/>
  <c r="R1049" i="5"/>
  <c r="L1049" i="5"/>
  <c r="R1048" i="5"/>
  <c r="L1048" i="5"/>
  <c r="R1047" i="5"/>
  <c r="L1047" i="5"/>
  <c r="R1046" i="5"/>
  <c r="L1046" i="5"/>
  <c r="R1045" i="5"/>
  <c r="L1045" i="5"/>
  <c r="R1044" i="5"/>
  <c r="L1044" i="5"/>
  <c r="R1043" i="5"/>
  <c r="L1043" i="5"/>
  <c r="R1042" i="5"/>
  <c r="L1042" i="5"/>
  <c r="R1041" i="5"/>
  <c r="L1041" i="5"/>
  <c r="R1040" i="5"/>
  <c r="L1040" i="5"/>
  <c r="R1039" i="5"/>
  <c r="L1039" i="5"/>
  <c r="R1038" i="5"/>
  <c r="L1038" i="5"/>
  <c r="R1037" i="5"/>
  <c r="L1037" i="5"/>
  <c r="R1036" i="5"/>
  <c r="L1036" i="5"/>
  <c r="R1035" i="5"/>
  <c r="L1035" i="5"/>
  <c r="R1034" i="5"/>
  <c r="L1034" i="5"/>
  <c r="R1033" i="5"/>
  <c r="L1033" i="5"/>
  <c r="R1032" i="5"/>
  <c r="L1032" i="5"/>
  <c r="R1031" i="5"/>
  <c r="L1031" i="5"/>
  <c r="R1030" i="5"/>
  <c r="L1030" i="5"/>
  <c r="R1029" i="5"/>
  <c r="L1029" i="5"/>
  <c r="R1028" i="5"/>
  <c r="L1028" i="5"/>
  <c r="R1027" i="5"/>
  <c r="L1027" i="5"/>
  <c r="R1026" i="5"/>
  <c r="L1026" i="5"/>
  <c r="A1026" i="5"/>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R1025" i="5"/>
  <c r="L1025" i="5"/>
  <c r="S1024" i="5"/>
  <c r="S1022" i="5"/>
  <c r="Q1021" i="5"/>
  <c r="O1021" i="5"/>
  <c r="N1021" i="5"/>
  <c r="M1021" i="5"/>
  <c r="J1021" i="5"/>
  <c r="G1021" i="5"/>
  <c r="E1021" i="5"/>
  <c r="D1021" i="5"/>
  <c r="L1020" i="5"/>
  <c r="L1019" i="5"/>
  <c r="L1018" i="5"/>
  <c r="R1017" i="5"/>
  <c r="L1017" i="5"/>
  <c r="R1016" i="5"/>
  <c r="L1016" i="5"/>
  <c r="R1015" i="5"/>
  <c r="L1015" i="5"/>
  <c r="R1014" i="5"/>
  <c r="L1014" i="5"/>
  <c r="R1013" i="5"/>
  <c r="L1013" i="5"/>
  <c r="R1012" i="5"/>
  <c r="L1012" i="5"/>
  <c r="R1011" i="5"/>
  <c r="L1011" i="5"/>
  <c r="R1010" i="5"/>
  <c r="L1010" i="5"/>
  <c r="R1009" i="5"/>
  <c r="L1009" i="5"/>
  <c r="A1009" i="5"/>
  <c r="A1010" i="5" s="1"/>
  <c r="A1011" i="5" s="1"/>
  <c r="A1012" i="5" s="1"/>
  <c r="A1013" i="5" s="1"/>
  <c r="A1014" i="5" s="1"/>
  <c r="A1015" i="5" s="1"/>
  <c r="A1016" i="5" s="1"/>
  <c r="A1017" i="5" s="1"/>
  <c r="A1018" i="5" s="1"/>
  <c r="A1019" i="5" s="1"/>
  <c r="A1020" i="5" s="1"/>
  <c r="R1008" i="5"/>
  <c r="L1008" i="5"/>
  <c r="Q1006" i="5"/>
  <c r="O1006" i="5"/>
  <c r="N1006" i="5"/>
  <c r="M1006" i="5"/>
  <c r="J1006" i="5"/>
  <c r="G1006" i="5"/>
  <c r="E1006" i="5"/>
  <c r="D1006" i="5"/>
  <c r="L1005" i="5"/>
  <c r="L1004" i="5"/>
  <c r="L1003" i="5"/>
  <c r="R1002" i="5"/>
  <c r="L1002" i="5"/>
  <c r="R1001" i="5"/>
  <c r="L1001" i="5"/>
  <c r="A1001" i="5"/>
  <c r="A1002" i="5" s="1"/>
  <c r="A1003" i="5" s="1"/>
  <c r="A1004" i="5" s="1"/>
  <c r="A1005" i="5" s="1"/>
  <c r="R1000" i="5"/>
  <c r="L1000" i="5"/>
  <c r="Q998" i="5"/>
  <c r="O998" i="5"/>
  <c r="N998" i="5"/>
  <c r="M998" i="5"/>
  <c r="J998" i="5"/>
  <c r="G998" i="5"/>
  <c r="E998" i="5"/>
  <c r="D998" i="5"/>
  <c r="L997" i="5"/>
  <c r="L996" i="5"/>
  <c r="L995" i="5"/>
  <c r="R994" i="5"/>
  <c r="L994" i="5"/>
  <c r="R993" i="5"/>
  <c r="L993" i="5"/>
  <c r="R992" i="5"/>
  <c r="L992" i="5"/>
  <c r="R991" i="5"/>
  <c r="L991" i="5"/>
  <c r="R990" i="5"/>
  <c r="L990" i="5"/>
  <c r="R989" i="5"/>
  <c r="L989" i="5"/>
  <c r="R988" i="5"/>
  <c r="L988" i="5"/>
  <c r="A988" i="5"/>
  <c r="A989" i="5" s="1"/>
  <c r="A990" i="5" s="1"/>
  <c r="A991" i="5" s="1"/>
  <c r="A992" i="5" s="1"/>
  <c r="A993" i="5" s="1"/>
  <c r="A994" i="5" s="1"/>
  <c r="A995" i="5" s="1"/>
  <c r="A996" i="5" s="1"/>
  <c r="A997" i="5" s="1"/>
  <c r="R987" i="5"/>
  <c r="L987" i="5"/>
  <c r="Q985" i="5"/>
  <c r="O985" i="5"/>
  <c r="N985" i="5"/>
  <c r="M985" i="5"/>
  <c r="J985" i="5"/>
  <c r="G985" i="5"/>
  <c r="E985" i="5"/>
  <c r="L984" i="5"/>
  <c r="L983" i="5"/>
  <c r="L982" i="5"/>
  <c r="R981" i="5"/>
  <c r="L981" i="5"/>
  <c r="D981" i="5"/>
  <c r="R980" i="5"/>
  <c r="L980" i="5"/>
  <c r="D980" i="5"/>
  <c r="R979" i="5"/>
  <c r="L979" i="5"/>
  <c r="D979" i="5"/>
  <c r="R978" i="5"/>
  <c r="L978" i="5"/>
  <c r="D978" i="5"/>
  <c r="A978" i="5"/>
  <c r="A979" i="5" s="1"/>
  <c r="A980" i="5" s="1"/>
  <c r="A981" i="5" s="1"/>
  <c r="A982" i="5" s="1"/>
  <c r="A983" i="5" s="1"/>
  <c r="A984" i="5" s="1"/>
  <c r="R977" i="5"/>
  <c r="L977" i="5"/>
  <c r="Q975" i="5"/>
  <c r="O975" i="5"/>
  <c r="N975" i="5"/>
  <c r="M975" i="5"/>
  <c r="J975" i="5"/>
  <c r="E975" i="5"/>
  <c r="L974" i="5"/>
  <c r="R973" i="5"/>
  <c r="L973" i="5"/>
  <c r="D973" i="5"/>
  <c r="R972" i="5"/>
  <c r="L972" i="5"/>
  <c r="D972" i="5"/>
  <c r="R971" i="5"/>
  <c r="L971" i="5"/>
  <c r="R970" i="5"/>
  <c r="L970" i="5"/>
  <c r="R969" i="5"/>
  <c r="L969" i="5"/>
  <c r="R968" i="5"/>
  <c r="L968" i="5"/>
  <c r="R967" i="5"/>
  <c r="L967" i="5"/>
  <c r="R966" i="5"/>
  <c r="L966" i="5"/>
  <c r="R965" i="5"/>
  <c r="L965" i="5"/>
  <c r="R964" i="5"/>
  <c r="L964" i="5"/>
  <c r="R963" i="5"/>
  <c r="L963" i="5"/>
  <c r="L962" i="5"/>
  <c r="G962" i="5"/>
  <c r="A963" i="5"/>
  <c r="A964" i="5" s="1"/>
  <c r="A965" i="5" s="1"/>
  <c r="L961" i="5"/>
  <c r="G961" i="5"/>
  <c r="Q959" i="5"/>
  <c r="P959" i="5"/>
  <c r="O959" i="5"/>
  <c r="N959" i="5"/>
  <c r="J959" i="5"/>
  <c r="G959" i="5"/>
  <c r="E959" i="5"/>
  <c r="D959" i="5"/>
  <c r="L958" i="5"/>
  <c r="L957" i="5"/>
  <c r="R956" i="5"/>
  <c r="L956" i="5"/>
  <c r="R955" i="5"/>
  <c r="L955" i="5"/>
  <c r="R954" i="5"/>
  <c r="L954" i="5"/>
  <c r="R953" i="5"/>
  <c r="L953" i="5"/>
  <c r="R952" i="5"/>
  <c r="L952" i="5"/>
  <c r="R951" i="5"/>
  <c r="L951" i="5"/>
  <c r="R950" i="5"/>
  <c r="L950" i="5"/>
  <c r="R949" i="5"/>
  <c r="L949" i="5"/>
  <c r="R948" i="5"/>
  <c r="L948" i="5"/>
  <c r="R947" i="5"/>
  <c r="L947" i="5"/>
  <c r="R946" i="5"/>
  <c r="L946" i="5"/>
  <c r="R945" i="5"/>
  <c r="L945" i="5"/>
  <c r="R944" i="5"/>
  <c r="L944" i="5"/>
  <c r="R942" i="5"/>
  <c r="L942" i="5"/>
  <c r="R941" i="5"/>
  <c r="L941" i="5"/>
  <c r="R940" i="5"/>
  <c r="L940" i="5"/>
  <c r="R939" i="5"/>
  <c r="L939" i="5"/>
  <c r="R938" i="5"/>
  <c r="L938" i="5"/>
  <c r="R937" i="5"/>
  <c r="L937" i="5"/>
  <c r="M936" i="5"/>
  <c r="R935" i="5"/>
  <c r="L935" i="5"/>
  <c r="R934" i="5"/>
  <c r="L934" i="5"/>
  <c r="R933" i="5"/>
  <c r="L933" i="5"/>
  <c r="R932" i="5"/>
  <c r="L932" i="5"/>
  <c r="R931" i="5"/>
  <c r="L931" i="5"/>
  <c r="R930" i="5"/>
  <c r="L930" i="5"/>
  <c r="R929" i="5"/>
  <c r="L929" i="5"/>
  <c r="R928" i="5"/>
  <c r="L928" i="5"/>
  <c r="R927" i="5"/>
  <c r="L927" i="5"/>
  <c r="R926" i="5"/>
  <c r="L926" i="5"/>
  <c r="R925" i="5"/>
  <c r="L925" i="5"/>
  <c r="R924" i="5"/>
  <c r="L924" i="5"/>
  <c r="R923" i="5"/>
  <c r="L923" i="5"/>
  <c r="R922" i="5"/>
  <c r="L922" i="5"/>
  <c r="R921" i="5"/>
  <c r="L921" i="5"/>
  <c r="R920" i="5"/>
  <c r="L920" i="5"/>
  <c r="R919" i="5"/>
  <c r="L919" i="5"/>
  <c r="R918" i="5"/>
  <c r="L918" i="5"/>
  <c r="L917" i="5"/>
  <c r="R916" i="5"/>
  <c r="L916" i="5"/>
  <c r="R915" i="5"/>
  <c r="L915" i="5"/>
  <c r="R914" i="5"/>
  <c r="L914" i="5"/>
  <c r="A914" i="5"/>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4" i="5" s="1"/>
  <c r="R912" i="5"/>
  <c r="Q910" i="5"/>
  <c r="N910" i="5"/>
  <c r="M910" i="5"/>
  <c r="J910" i="5"/>
  <c r="G910" i="5"/>
  <c r="E910" i="5"/>
  <c r="D910" i="5"/>
  <c r="R909" i="5"/>
  <c r="L909" i="5"/>
  <c r="Q907" i="5"/>
  <c r="P907" i="5"/>
  <c r="O907" i="5"/>
  <c r="N907" i="5"/>
  <c r="M907" i="5"/>
  <c r="J907" i="5"/>
  <c r="G907" i="5"/>
  <c r="E907" i="5"/>
  <c r="D907" i="5"/>
  <c r="R906" i="5"/>
  <c r="L906" i="5"/>
  <c r="R905" i="5"/>
  <c r="L905" i="5"/>
  <c r="Q903" i="5"/>
  <c r="N903" i="5"/>
  <c r="M903" i="5"/>
  <c r="J903" i="5"/>
  <c r="G903" i="5"/>
  <c r="E903" i="5"/>
  <c r="D903" i="5"/>
  <c r="R902" i="5"/>
  <c r="L902" i="5"/>
  <c r="R901" i="5"/>
  <c r="L901" i="5"/>
  <c r="Q899" i="5"/>
  <c r="N899" i="5"/>
  <c r="M899" i="5"/>
  <c r="J899" i="5"/>
  <c r="G899" i="5"/>
  <c r="E899" i="5"/>
  <c r="D899" i="5"/>
  <c r="R898" i="5"/>
  <c r="L898" i="5"/>
  <c r="Q896" i="5"/>
  <c r="N896" i="5"/>
  <c r="M896" i="5"/>
  <c r="J896" i="5"/>
  <c r="G896" i="5"/>
  <c r="E896" i="5"/>
  <c r="D896" i="5"/>
  <c r="R895" i="5"/>
  <c r="L895" i="5"/>
  <c r="Q893" i="5"/>
  <c r="N893" i="5"/>
  <c r="M893" i="5"/>
  <c r="J893" i="5"/>
  <c r="E893" i="5"/>
  <c r="D893" i="5"/>
  <c r="L892" i="5"/>
  <c r="G892" i="5"/>
  <c r="R891" i="5"/>
  <c r="L891" i="5"/>
  <c r="L890" i="5"/>
  <c r="G890" i="5"/>
  <c r="Q888" i="5"/>
  <c r="N888" i="5"/>
  <c r="M888" i="5"/>
  <c r="J888" i="5"/>
  <c r="G888" i="5"/>
  <c r="E888" i="5"/>
  <c r="D888" i="5"/>
  <c r="R887" i="5"/>
  <c r="L887" i="5"/>
  <c r="Q885" i="5"/>
  <c r="O885" i="5"/>
  <c r="N885" i="5"/>
  <c r="M885" i="5"/>
  <c r="J885" i="5"/>
  <c r="G885" i="5"/>
  <c r="E885" i="5"/>
  <c r="R884" i="5"/>
  <c r="L884" i="5"/>
  <c r="D884" i="5"/>
  <c r="D885" i="5" s="1"/>
  <c r="R883" i="5"/>
  <c r="L883" i="5"/>
  <c r="R882" i="5"/>
  <c r="L882" i="5"/>
  <c r="R881" i="5"/>
  <c r="L881" i="5"/>
  <c r="A881" i="5"/>
  <c r="A882" i="5" s="1"/>
  <c r="A883" i="5" s="1"/>
  <c r="A884" i="5" s="1"/>
  <c r="R880" i="5"/>
  <c r="L880" i="5"/>
  <c r="Q878" i="5"/>
  <c r="N878" i="5"/>
  <c r="M878" i="5"/>
  <c r="J878" i="5"/>
  <c r="G878" i="5"/>
  <c r="E878" i="5"/>
  <c r="D878" i="5"/>
  <c r="R877" i="5"/>
  <c r="L877" i="5"/>
  <c r="Q875" i="5"/>
  <c r="N875" i="5"/>
  <c r="M875" i="5"/>
  <c r="J875" i="5"/>
  <c r="G875" i="5"/>
  <c r="E875" i="5"/>
  <c r="D875" i="5"/>
  <c r="R874" i="5"/>
  <c r="L874" i="5"/>
  <c r="Q872" i="5"/>
  <c r="O872" i="5"/>
  <c r="N872" i="5"/>
  <c r="M872" i="5"/>
  <c r="J872" i="5"/>
  <c r="G872" i="5"/>
  <c r="E872" i="5"/>
  <c r="R871" i="5"/>
  <c r="L871" i="5"/>
  <c r="D871" i="5"/>
  <c r="D872" i="5" s="1"/>
  <c r="R870" i="5"/>
  <c r="L870" i="5"/>
  <c r="R869" i="5"/>
  <c r="L869" i="5"/>
  <c r="R868" i="5"/>
  <c r="L868" i="5"/>
  <c r="R867" i="5"/>
  <c r="L867" i="5"/>
  <c r="R866" i="5"/>
  <c r="L866" i="5"/>
  <c r="R865" i="5"/>
  <c r="L865" i="5"/>
  <c r="R864" i="5"/>
  <c r="L864" i="5"/>
  <c r="R863" i="5"/>
  <c r="L863" i="5"/>
  <c r="R862" i="5"/>
  <c r="L862" i="5"/>
  <c r="R861" i="5"/>
  <c r="L861" i="5"/>
  <c r="R860" i="5"/>
  <c r="L860" i="5"/>
  <c r="R859" i="5"/>
  <c r="L859" i="5"/>
  <c r="R858" i="5"/>
  <c r="L858" i="5"/>
  <c r="A858" i="5"/>
  <c r="A859" i="5" s="1"/>
  <c r="A860" i="5" s="1"/>
  <c r="A861" i="5" s="1"/>
  <c r="A862" i="5" s="1"/>
  <c r="A863" i="5" s="1"/>
  <c r="A864" i="5" s="1"/>
  <c r="A865" i="5" s="1"/>
  <c r="A866" i="5" s="1"/>
  <c r="A867" i="5" s="1"/>
  <c r="A868" i="5" s="1"/>
  <c r="A869" i="5" s="1"/>
  <c r="A870" i="5" s="1"/>
  <c r="A871" i="5" s="1"/>
  <c r="R857" i="5"/>
  <c r="L857" i="5"/>
  <c r="Q855" i="5"/>
  <c r="P855" i="5"/>
  <c r="O855" i="5"/>
  <c r="N855" i="5"/>
  <c r="M855" i="5"/>
  <c r="J855" i="5"/>
  <c r="G855" i="5"/>
  <c r="E855" i="5"/>
  <c r="D855" i="5"/>
  <c r="L854" i="5"/>
  <c r="L853" i="5"/>
  <c r="L852" i="5"/>
  <c r="A852" i="5"/>
  <c r="A853" i="5" s="1"/>
  <c r="A854" i="5" s="1"/>
  <c r="R851" i="5"/>
  <c r="L851" i="5"/>
  <c r="Q849" i="5"/>
  <c r="N849" i="5"/>
  <c r="M849" i="5"/>
  <c r="J849" i="5"/>
  <c r="G849" i="5"/>
  <c r="E849" i="5"/>
  <c r="D849" i="5"/>
  <c r="L848" i="5"/>
  <c r="R847" i="5"/>
  <c r="L847" i="5"/>
  <c r="R846" i="5"/>
  <c r="L846" i="5"/>
  <c r="Q844" i="5"/>
  <c r="N844" i="5"/>
  <c r="M844" i="5"/>
  <c r="J844" i="5"/>
  <c r="D844" i="5"/>
  <c r="L843" i="5"/>
  <c r="E843" i="5"/>
  <c r="E844" i="5" s="1"/>
  <c r="Q841" i="5"/>
  <c r="O841" i="5"/>
  <c r="N841" i="5"/>
  <c r="M841" i="5"/>
  <c r="J841" i="5"/>
  <c r="G841" i="5"/>
  <c r="E841" i="5"/>
  <c r="D841" i="5"/>
  <c r="L840" i="5"/>
  <c r="L839" i="5"/>
  <c r="L838" i="5"/>
  <c r="R837" i="5"/>
  <c r="L837" i="5"/>
  <c r="R836" i="5"/>
  <c r="L836" i="5"/>
  <c r="R835" i="5"/>
  <c r="L835" i="5"/>
  <c r="R834" i="5"/>
  <c r="L834" i="5"/>
  <c r="R833" i="5"/>
  <c r="L833" i="5"/>
  <c r="R832" i="5"/>
  <c r="L832" i="5"/>
  <c r="R831" i="5"/>
  <c r="L831" i="5"/>
  <c r="R830" i="5"/>
  <c r="L830" i="5"/>
  <c r="R828" i="5"/>
  <c r="R827" i="5"/>
  <c r="L827" i="5"/>
  <c r="R826" i="5"/>
  <c r="L826" i="5"/>
  <c r="R825" i="5"/>
  <c r="L825" i="5"/>
  <c r="R824" i="5"/>
  <c r="L824" i="5"/>
  <c r="R823" i="5"/>
  <c r="L823" i="5"/>
  <c r="R822" i="5"/>
  <c r="L822" i="5"/>
  <c r="R821" i="5"/>
  <c r="L821" i="5"/>
  <c r="R820" i="5"/>
  <c r="L820" i="5"/>
  <c r="R819" i="5"/>
  <c r="L819" i="5"/>
  <c r="R818" i="5"/>
  <c r="L818" i="5"/>
  <c r="R817" i="5"/>
  <c r="L817" i="5"/>
  <c r="R816" i="5"/>
  <c r="L816" i="5"/>
  <c r="A816" i="5"/>
  <c r="A817" i="5" s="1"/>
  <c r="A818" i="5" s="1"/>
  <c r="A819" i="5" s="1"/>
  <c r="A820" i="5" s="1"/>
  <c r="A821" i="5" s="1"/>
  <c r="A822" i="5" s="1"/>
  <c r="A823" i="5" s="1"/>
  <c r="A824" i="5" s="1"/>
  <c r="A825" i="5" s="1"/>
  <c r="A826" i="5" s="1"/>
  <c r="A827" i="5" s="1"/>
  <c r="A828" i="5" s="1"/>
  <c r="A830" i="5" s="1"/>
  <c r="A831" i="5" s="1"/>
  <c r="A832" i="5" s="1"/>
  <c r="A833" i="5" s="1"/>
  <c r="A834" i="5" s="1"/>
  <c r="A835" i="5" s="1"/>
  <c r="A836" i="5" s="1"/>
  <c r="A837" i="5" s="1"/>
  <c r="A838" i="5" s="1"/>
  <c r="A839" i="5" s="1"/>
  <c r="A840" i="5" s="1"/>
  <c r="R815" i="5"/>
  <c r="L815" i="5"/>
  <c r="Q813" i="5"/>
  <c r="P813" i="5"/>
  <c r="O813" i="5"/>
  <c r="N813" i="5"/>
  <c r="M813" i="5"/>
  <c r="J813" i="5"/>
  <c r="E813" i="5"/>
  <c r="L812" i="5"/>
  <c r="L811" i="5"/>
  <c r="G811" i="5"/>
  <c r="D811" i="5"/>
  <c r="D813" i="5" s="1"/>
  <c r="Q809" i="5"/>
  <c r="N809" i="5"/>
  <c r="M809" i="5"/>
  <c r="J809" i="5"/>
  <c r="E809" i="5"/>
  <c r="L808" i="5"/>
  <c r="G808" i="5"/>
  <c r="L807" i="5"/>
  <c r="G807" i="5"/>
  <c r="L806" i="5"/>
  <c r="G806" i="5"/>
  <c r="R805" i="5"/>
  <c r="L805" i="5"/>
  <c r="L804" i="5"/>
  <c r="G804" i="5"/>
  <c r="L803" i="5"/>
  <c r="G803" i="5"/>
  <c r="D803" i="5"/>
  <c r="D809" i="5" s="1"/>
  <c r="Q801" i="5"/>
  <c r="N801" i="5"/>
  <c r="M801" i="5"/>
  <c r="J801" i="5"/>
  <c r="G801" i="5"/>
  <c r="R800" i="5"/>
  <c r="L800" i="5"/>
  <c r="E800" i="5"/>
  <c r="E801" i="5" s="1"/>
  <c r="Q798" i="5"/>
  <c r="N798" i="5"/>
  <c r="M798" i="5"/>
  <c r="J798" i="5"/>
  <c r="G798" i="5"/>
  <c r="E798" i="5"/>
  <c r="D798" i="5"/>
  <c r="R797" i="5"/>
  <c r="L797" i="5"/>
  <c r="R796" i="5"/>
  <c r="L796" i="5"/>
  <c r="R795" i="5"/>
  <c r="L795" i="5"/>
  <c r="Q793" i="5"/>
  <c r="O793" i="5"/>
  <c r="N793" i="5"/>
  <c r="M793" i="5"/>
  <c r="J793" i="5"/>
  <c r="G793" i="5"/>
  <c r="L792" i="5"/>
  <c r="R791" i="5"/>
  <c r="L791" i="5"/>
  <c r="E791" i="5"/>
  <c r="R790" i="5"/>
  <c r="L790" i="5"/>
  <c r="D790" i="5"/>
  <c r="R789" i="5"/>
  <c r="L789" i="5"/>
  <c r="D789" i="5"/>
  <c r="R788" i="5"/>
  <c r="L788" i="5"/>
  <c r="D788" i="5"/>
  <c r="R787" i="5"/>
  <c r="L787" i="5"/>
  <c r="D787" i="5"/>
  <c r="R786" i="5"/>
  <c r="L786" i="5"/>
  <c r="D786" i="5"/>
  <c r="R785" i="5"/>
  <c r="L785" i="5"/>
  <c r="D785" i="5"/>
  <c r="R784" i="5"/>
  <c r="L784" i="5"/>
  <c r="D784" i="5"/>
  <c r="R783" i="5"/>
  <c r="L783" i="5"/>
  <c r="D783" i="5"/>
  <c r="R782" i="5"/>
  <c r="L782" i="5"/>
  <c r="D782" i="5"/>
  <c r="L781" i="5"/>
  <c r="E781" i="5"/>
  <c r="D781" i="5" s="1"/>
  <c r="R780" i="5"/>
  <c r="L780" i="5"/>
  <c r="D780" i="5"/>
  <c r="R779" i="5"/>
  <c r="L779" i="5"/>
  <c r="E779" i="5"/>
  <c r="D779" i="5" s="1"/>
  <c r="R778" i="5"/>
  <c r="L778" i="5"/>
  <c r="D778" i="5"/>
  <c r="A778" i="5"/>
  <c r="A779" i="5" s="1"/>
  <c r="A780" i="5" s="1"/>
  <c r="A781" i="5" s="1"/>
  <c r="A782" i="5" s="1"/>
  <c r="A783" i="5" s="1"/>
  <c r="A784" i="5" s="1"/>
  <c r="A785" i="5" s="1"/>
  <c r="A786" i="5" s="1"/>
  <c r="A787" i="5" s="1"/>
  <c r="A788" i="5" s="1"/>
  <c r="A789" i="5" s="1"/>
  <c r="A790" i="5" s="1"/>
  <c r="A791" i="5" s="1"/>
  <c r="A792" i="5" s="1"/>
  <c r="R777" i="5"/>
  <c r="L777" i="5"/>
  <c r="D777" i="5"/>
  <c r="Q775" i="5"/>
  <c r="N775" i="5"/>
  <c r="M775" i="5"/>
  <c r="J775" i="5"/>
  <c r="G775" i="5"/>
  <c r="E775" i="5"/>
  <c r="D775" i="5"/>
  <c r="R774" i="5"/>
  <c r="L774" i="5"/>
  <c r="R773" i="5"/>
  <c r="L773" i="5"/>
  <c r="Q771" i="5"/>
  <c r="O771" i="5"/>
  <c r="N771" i="5"/>
  <c r="M771" i="5"/>
  <c r="J771" i="5"/>
  <c r="G771" i="5"/>
  <c r="D771" i="5"/>
  <c r="L770" i="5"/>
  <c r="L769" i="5"/>
  <c r="R768" i="5"/>
  <c r="L768" i="5"/>
  <c r="R767" i="5"/>
  <c r="L767" i="5"/>
  <c r="R766" i="5"/>
  <c r="L766" i="5"/>
  <c r="R765" i="5"/>
  <c r="L765" i="5"/>
  <c r="L764" i="5"/>
  <c r="E764" i="5"/>
  <c r="R763" i="5"/>
  <c r="L763" i="5"/>
  <c r="R762" i="5"/>
  <c r="L762" i="5"/>
  <c r="R761" i="5"/>
  <c r="L761" i="5"/>
  <c r="R760" i="5"/>
  <c r="L760" i="5"/>
  <c r="R759" i="5"/>
  <c r="L759" i="5"/>
  <c r="R758" i="5"/>
  <c r="L758" i="5"/>
  <c r="R757" i="5"/>
  <c r="L757" i="5"/>
  <c r="R756" i="5"/>
  <c r="L756" i="5"/>
  <c r="R755" i="5"/>
  <c r="L755" i="5"/>
  <c r="R754" i="5"/>
  <c r="L754" i="5"/>
  <c r="R753" i="5"/>
  <c r="L753" i="5"/>
  <c r="R752" i="5"/>
  <c r="L752" i="5"/>
  <c r="R751" i="5"/>
  <c r="L751" i="5"/>
  <c r="A751" i="5"/>
  <c r="A752" i="5" s="1"/>
  <c r="A753" i="5" s="1"/>
  <c r="A754" i="5" s="1"/>
  <c r="A755" i="5" s="1"/>
  <c r="A756" i="5" s="1"/>
  <c r="A757" i="5" s="1"/>
  <c r="A758" i="5" s="1"/>
  <c r="A759" i="5" s="1"/>
  <c r="A760" i="5" s="1"/>
  <c r="R750" i="5"/>
  <c r="L750" i="5"/>
  <c r="Q748" i="5"/>
  <c r="N748" i="5"/>
  <c r="M748" i="5"/>
  <c r="J748" i="5"/>
  <c r="G748" i="5"/>
  <c r="E748" i="5"/>
  <c r="D748" i="5"/>
  <c r="R747" i="5"/>
  <c r="L747" i="5"/>
  <c r="R746" i="5"/>
  <c r="L746" i="5"/>
  <c r="Q744" i="5"/>
  <c r="N744" i="5"/>
  <c r="M744" i="5"/>
  <c r="J744" i="5"/>
  <c r="G744" i="5"/>
  <c r="E744" i="5"/>
  <c r="D744" i="5"/>
  <c r="R743" i="5"/>
  <c r="L743" i="5"/>
  <c r="Q741" i="5"/>
  <c r="O741" i="5"/>
  <c r="N741" i="5"/>
  <c r="M741" i="5"/>
  <c r="J741" i="5"/>
  <c r="G741" i="5"/>
  <c r="E741" i="5"/>
  <c r="D741" i="5"/>
  <c r="L740" i="5"/>
  <c r="L739" i="5"/>
  <c r="L738" i="5"/>
  <c r="R737" i="5"/>
  <c r="L737" i="5"/>
  <c r="R736" i="5"/>
  <c r="L736" i="5"/>
  <c r="R735" i="5"/>
  <c r="L735" i="5"/>
  <c r="R734" i="5"/>
  <c r="L734" i="5"/>
  <c r="R733" i="5"/>
  <c r="L733" i="5"/>
  <c r="R732" i="5"/>
  <c r="L732" i="5"/>
  <c r="R731" i="5"/>
  <c r="L731" i="5"/>
  <c r="R730" i="5"/>
  <c r="L730" i="5"/>
  <c r="R729" i="5"/>
  <c r="L729" i="5"/>
  <c r="R728" i="5"/>
  <c r="L728" i="5"/>
  <c r="R727" i="5"/>
  <c r="L727" i="5"/>
  <c r="R726" i="5"/>
  <c r="L726" i="5"/>
  <c r="R725" i="5"/>
  <c r="L725" i="5"/>
  <c r="R724" i="5"/>
  <c r="L724" i="5"/>
  <c r="R723" i="5"/>
  <c r="L723" i="5"/>
  <c r="R722" i="5"/>
  <c r="L722" i="5"/>
  <c r="R721" i="5"/>
  <c r="L721" i="5"/>
  <c r="R720" i="5"/>
  <c r="L720" i="5"/>
  <c r="R719" i="5"/>
  <c r="L719" i="5"/>
  <c r="R718" i="5"/>
  <c r="L718" i="5"/>
  <c r="R717" i="5"/>
  <c r="L717" i="5"/>
  <c r="R716" i="5"/>
  <c r="L716" i="5"/>
  <c r="R715" i="5"/>
  <c r="L715" i="5"/>
  <c r="R714" i="5"/>
  <c r="L714" i="5"/>
  <c r="R713" i="5"/>
  <c r="L713" i="5"/>
  <c r="R712" i="5"/>
  <c r="L712" i="5"/>
  <c r="R711" i="5"/>
  <c r="L711" i="5"/>
  <c r="R710" i="5"/>
  <c r="L710" i="5"/>
  <c r="R709" i="5"/>
  <c r="L709" i="5"/>
  <c r="R708" i="5"/>
  <c r="L708" i="5"/>
  <c r="R707" i="5"/>
  <c r="L707" i="5"/>
  <c r="R706" i="5"/>
  <c r="L706" i="5"/>
  <c r="R705" i="5"/>
  <c r="L705" i="5"/>
  <c r="R704" i="5"/>
  <c r="L704" i="5"/>
  <c r="R703" i="5"/>
  <c r="L703" i="5"/>
  <c r="R702" i="5"/>
  <c r="L702" i="5"/>
  <c r="A702" i="5"/>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R701" i="5"/>
  <c r="L701" i="5"/>
  <c r="Q699" i="5"/>
  <c r="O699" i="5"/>
  <c r="N699" i="5"/>
  <c r="J699" i="5"/>
  <c r="G699" i="5"/>
  <c r="E699" i="5"/>
  <c r="D699" i="5"/>
  <c r="R698" i="5"/>
  <c r="R697" i="5"/>
  <c r="L697" i="5"/>
  <c r="A697" i="5"/>
  <c r="A698" i="5" s="1"/>
  <c r="R696" i="5"/>
  <c r="L696" i="5"/>
  <c r="Q694" i="5"/>
  <c r="O694" i="5"/>
  <c r="N694" i="5"/>
  <c r="M694" i="5"/>
  <c r="J694" i="5"/>
  <c r="G694" i="5"/>
  <c r="E694" i="5"/>
  <c r="R693" i="5"/>
  <c r="L693" i="5"/>
  <c r="D693" i="5"/>
  <c r="R692" i="5"/>
  <c r="L692" i="5"/>
  <c r="D692" i="5"/>
  <c r="R691" i="5"/>
  <c r="L691" i="5"/>
  <c r="D691" i="5"/>
  <c r="Q689" i="5"/>
  <c r="N689" i="5"/>
  <c r="M689" i="5"/>
  <c r="J689" i="5"/>
  <c r="G689" i="5"/>
  <c r="E689" i="5"/>
  <c r="D689" i="5"/>
  <c r="R688" i="5"/>
  <c r="L688" i="5"/>
  <c r="Q686" i="5"/>
  <c r="O686" i="5"/>
  <c r="N686" i="5"/>
  <c r="M686" i="5"/>
  <c r="J686" i="5"/>
  <c r="G686" i="5"/>
  <c r="R685" i="5"/>
  <c r="L685" i="5"/>
  <c r="D685" i="5"/>
  <c r="R684" i="5"/>
  <c r="L684" i="5"/>
  <c r="R683" i="5"/>
  <c r="L683" i="5"/>
  <c r="R682" i="5"/>
  <c r="L682" i="5"/>
  <c r="R681" i="5"/>
  <c r="L681" i="5"/>
  <c r="E681" i="5"/>
  <c r="D681" i="5" s="1"/>
  <c r="R680" i="5"/>
  <c r="L680" i="5"/>
  <c r="E680" i="5"/>
  <c r="Q678" i="5"/>
  <c r="P678" i="5"/>
  <c r="O678" i="5"/>
  <c r="N678" i="5"/>
  <c r="M678" i="5"/>
  <c r="J678" i="5"/>
  <c r="L677" i="5"/>
  <c r="L676" i="5"/>
  <c r="L675" i="5"/>
  <c r="L674" i="5"/>
  <c r="L673" i="5"/>
  <c r="L672" i="5"/>
  <c r="R671" i="5"/>
  <c r="L671" i="5"/>
  <c r="R670" i="5"/>
  <c r="L670" i="5"/>
  <c r="L669" i="5"/>
  <c r="R668" i="5"/>
  <c r="L668" i="5"/>
  <c r="R667" i="5"/>
  <c r="L667" i="5"/>
  <c r="R666" i="5"/>
  <c r="L666" i="5"/>
  <c r="R665" i="5"/>
  <c r="L665" i="5"/>
  <c r="R664" i="5"/>
  <c r="L664" i="5"/>
  <c r="R663" i="5"/>
  <c r="L663" i="5"/>
  <c r="G663" i="5"/>
  <c r="G678" i="5" s="1"/>
  <c r="E663" i="5"/>
  <c r="E678" i="5" s="1"/>
  <c r="R662" i="5"/>
  <c r="L662" i="5"/>
  <c r="R661" i="5"/>
  <c r="L661" i="5"/>
  <c r="R660" i="5"/>
  <c r="L660" i="5"/>
  <c r="R659" i="5"/>
  <c r="L659" i="5"/>
  <c r="R658" i="5"/>
  <c r="L658" i="5"/>
  <c r="R657" i="5"/>
  <c r="L657" i="5"/>
  <c r="R656" i="5"/>
  <c r="L656" i="5"/>
  <c r="R655" i="5"/>
  <c r="L655" i="5"/>
  <c r="R652" i="5"/>
  <c r="L652" i="5"/>
  <c r="R650" i="5"/>
  <c r="R649" i="5"/>
  <c r="L649" i="5"/>
  <c r="R647" i="5"/>
  <c r="L647" i="5"/>
  <c r="R645" i="5"/>
  <c r="R644" i="5"/>
  <c r="L644" i="5"/>
  <c r="R643" i="5"/>
  <c r="L643" i="5"/>
  <c r="R641" i="5"/>
  <c r="R639" i="5"/>
  <c r="R637" i="5"/>
  <c r="R636" i="5"/>
  <c r="L636" i="5"/>
  <c r="R635" i="5"/>
  <c r="L635" i="5"/>
  <c r="R633" i="5"/>
  <c r="R632" i="5"/>
  <c r="L632" i="5"/>
  <c r="L631" i="5"/>
  <c r="L630" i="5"/>
  <c r="L629" i="5"/>
  <c r="R628" i="5"/>
  <c r="L628" i="5"/>
  <c r="R627" i="5"/>
  <c r="L627" i="5"/>
  <c r="R626" i="5"/>
  <c r="L626" i="5"/>
  <c r="R625" i="5"/>
  <c r="L625" i="5"/>
  <c r="R624" i="5"/>
  <c r="L624" i="5"/>
  <c r="R623" i="5"/>
  <c r="L623" i="5"/>
  <c r="R622" i="5"/>
  <c r="L622" i="5"/>
  <c r="R621" i="5"/>
  <c r="L621" i="5"/>
  <c r="R620" i="5"/>
  <c r="L620" i="5"/>
  <c r="R618" i="5"/>
  <c r="R617" i="5"/>
  <c r="L617" i="5"/>
  <c r="R615" i="5"/>
  <c r="R614" i="5"/>
  <c r="L614" i="5"/>
  <c r="R613" i="5"/>
  <c r="L613" i="5"/>
  <c r="L612" i="5"/>
  <c r="L611" i="5"/>
  <c r="R610" i="5"/>
  <c r="L610" i="5"/>
  <c r="R609" i="5"/>
  <c r="L609" i="5"/>
  <c r="R608" i="5"/>
  <c r="L608" i="5"/>
  <c r="R607" i="5"/>
  <c r="L607" i="5"/>
  <c r="L606" i="5"/>
  <c r="A606" i="5"/>
  <c r="A607" i="5" s="1"/>
  <c r="A608" i="5" s="1"/>
  <c r="A609" i="5" s="1"/>
  <c r="A610" i="5" s="1"/>
  <c r="A611" i="5" s="1"/>
  <c r="A612" i="5" s="1"/>
  <c r="A613" i="5" s="1"/>
  <c r="A614" i="5" s="1"/>
  <c r="A615" i="5" s="1"/>
  <c r="A617" i="5" s="1"/>
  <c r="R605" i="5"/>
  <c r="L605" i="5"/>
  <c r="Q603" i="5"/>
  <c r="O603" i="5"/>
  <c r="N603" i="5"/>
  <c r="M603" i="5"/>
  <c r="J603" i="5"/>
  <c r="E603" i="5"/>
  <c r="L593" i="5"/>
  <c r="L592" i="5"/>
  <c r="L591" i="5"/>
  <c r="L590" i="5"/>
  <c r="L589" i="5"/>
  <c r="L588" i="5"/>
  <c r="L587" i="5"/>
  <c r="L586" i="5"/>
  <c r="R585" i="5"/>
  <c r="L585" i="5"/>
  <c r="G585" i="5"/>
  <c r="R584" i="5"/>
  <c r="L584" i="5"/>
  <c r="G584" i="5"/>
  <c r="R583" i="5"/>
  <c r="L583" i="5"/>
  <c r="R582" i="5"/>
  <c r="L582" i="5"/>
  <c r="R581" i="5"/>
  <c r="L581" i="5"/>
  <c r="R580" i="5"/>
  <c r="L580" i="5"/>
  <c r="R579" i="5"/>
  <c r="L579" i="5"/>
  <c r="R578" i="5"/>
  <c r="L578" i="5"/>
  <c r="G578" i="5"/>
  <c r="L577" i="5"/>
  <c r="G577" i="5"/>
  <c r="L576" i="5"/>
  <c r="G576" i="5"/>
  <c r="R575" i="5"/>
  <c r="L575" i="5"/>
  <c r="G575" i="5"/>
  <c r="L574" i="5"/>
  <c r="G574" i="5"/>
  <c r="R573" i="5"/>
  <c r="L573" i="5"/>
  <c r="G573" i="5"/>
  <c r="R572" i="5"/>
  <c r="L572" i="5"/>
  <c r="R571" i="5"/>
  <c r="L571" i="5"/>
  <c r="R570" i="5"/>
  <c r="L570" i="5"/>
  <c r="G570" i="5"/>
  <c r="R569" i="5"/>
  <c r="L569" i="5"/>
  <c r="R568" i="5"/>
  <c r="L568" i="5"/>
  <c r="L567" i="5"/>
  <c r="G567" i="5"/>
  <c r="R566" i="5"/>
  <c r="L566" i="5"/>
  <c r="G566" i="5"/>
  <c r="L565" i="5"/>
  <c r="G565" i="5"/>
  <c r="R564" i="5"/>
  <c r="L564" i="5"/>
  <c r="R563" i="5"/>
  <c r="L563" i="5"/>
  <c r="L562" i="5"/>
  <c r="G562" i="5"/>
  <c r="R561" i="5"/>
  <c r="L561" i="5"/>
  <c r="G561" i="5"/>
  <c r="R560" i="5"/>
  <c r="L560" i="5"/>
  <c r="R559" i="5"/>
  <c r="L559" i="5"/>
  <c r="L558" i="5"/>
  <c r="G558" i="5"/>
  <c r="R557" i="5"/>
  <c r="L557" i="5"/>
  <c r="R556" i="5"/>
  <c r="L556" i="5"/>
  <c r="R555" i="5"/>
  <c r="L555" i="5"/>
  <c r="R553" i="5"/>
  <c r="D553" i="5"/>
  <c r="R552" i="5"/>
  <c r="L552" i="5"/>
  <c r="G552" i="5"/>
  <c r="R551" i="5"/>
  <c r="L551" i="5"/>
  <c r="G551" i="5"/>
  <c r="R550" i="5"/>
  <c r="L550" i="5"/>
  <c r="L549" i="5"/>
  <c r="G549" i="5"/>
  <c r="R548" i="5"/>
  <c r="L548" i="5"/>
  <c r="G548" i="5"/>
  <c r="L547" i="5"/>
  <c r="G547" i="5"/>
  <c r="R545" i="5"/>
  <c r="L545" i="5"/>
  <c r="L544" i="5"/>
  <c r="G544" i="5"/>
  <c r="R543" i="5"/>
  <c r="L543" i="5"/>
  <c r="G543" i="5"/>
  <c r="L542" i="5"/>
  <c r="G542" i="5"/>
  <c r="R541" i="5"/>
  <c r="L541" i="5"/>
  <c r="L540" i="5"/>
  <c r="G540" i="5"/>
  <c r="R539" i="5"/>
  <c r="R538" i="5"/>
  <c r="L538" i="5"/>
  <c r="G538" i="5"/>
  <c r="L537" i="5"/>
  <c r="G537" i="5"/>
  <c r="R536" i="5"/>
  <c r="L536" i="5"/>
  <c r="R534" i="5"/>
  <c r="G534" i="5"/>
  <c r="A534" i="5"/>
  <c r="A536" i="5" s="1"/>
  <c r="A537" i="5" s="1"/>
  <c r="A538" i="5" s="1"/>
  <c r="A540" i="5" s="1"/>
  <c r="A541" i="5" s="1"/>
  <c r="A542" i="5" s="1"/>
  <c r="A543" i="5" s="1"/>
  <c r="A544" i="5" s="1"/>
  <c r="A545" i="5" s="1"/>
  <c r="A547" i="5" s="1"/>
  <c r="A548" i="5" s="1"/>
  <c r="A549" i="5" s="1"/>
  <c r="A550" i="5" s="1"/>
  <c r="A551" i="5" s="1"/>
  <c r="A552" i="5" s="1"/>
  <c r="A553" i="5" s="1"/>
  <c r="A555" i="5" s="1"/>
  <c r="A556" i="5" s="1"/>
  <c r="A557" i="5" s="1"/>
  <c r="A558" i="5" s="1"/>
  <c r="A559" i="5" s="1"/>
  <c r="A560" i="5" s="1"/>
  <c r="A561" i="5" s="1"/>
  <c r="A562" i="5" s="1"/>
  <c r="A563" i="5" s="1"/>
  <c r="A564" i="5" s="1"/>
  <c r="A565" i="5" s="1"/>
  <c r="A566" i="5" s="1"/>
  <c r="A567" i="5" s="1"/>
  <c r="A568" i="5" s="1"/>
  <c r="A569" i="5" s="1"/>
  <c r="A570" i="5" s="1"/>
  <c r="A571" i="5" s="1"/>
  <c r="A572" i="5" s="1"/>
  <c r="R533" i="5"/>
  <c r="L533" i="5"/>
  <c r="Q531" i="5"/>
  <c r="O531" i="5"/>
  <c r="N531" i="5"/>
  <c r="J531" i="5"/>
  <c r="G531" i="5"/>
  <c r="E531" i="5"/>
  <c r="D531" i="5"/>
  <c r="L530" i="5"/>
  <c r="R529" i="5"/>
  <c r="L529" i="5"/>
  <c r="R528" i="5"/>
  <c r="L528" i="5"/>
  <c r="R527" i="5"/>
  <c r="L527" i="5"/>
  <c r="R526" i="5"/>
  <c r="L526" i="5"/>
  <c r="R525" i="5"/>
  <c r="L525" i="5"/>
  <c r="A525" i="5"/>
  <c r="A526" i="5" s="1"/>
  <c r="A527" i="5" s="1"/>
  <c r="A528" i="5" s="1"/>
  <c r="A529" i="5" s="1"/>
  <c r="A530" i="5" s="1"/>
  <c r="R524" i="5"/>
  <c r="L524" i="5"/>
  <c r="Q520" i="5"/>
  <c r="Q12" i="5" s="1"/>
  <c r="P520" i="5"/>
  <c r="P12" i="5" s="1"/>
  <c r="O520" i="5"/>
  <c r="O12" i="5" s="1"/>
  <c r="N520" i="5"/>
  <c r="N12" i="5" s="1"/>
  <c r="E520" i="5"/>
  <c r="E12" i="5" s="1"/>
  <c r="D520" i="5"/>
  <c r="D12" i="5" s="1"/>
  <c r="L489" i="5"/>
  <c r="L488" i="5"/>
  <c r="L487" i="5"/>
  <c r="L485" i="5"/>
  <c r="L484" i="5"/>
  <c r="L483" i="5"/>
  <c r="L482" i="5"/>
  <c r="L481" i="5"/>
  <c r="L480" i="5"/>
  <c r="L478" i="5"/>
  <c r="L477" i="5"/>
  <c r="L476" i="5"/>
  <c r="L475" i="5"/>
  <c r="L474" i="5"/>
  <c r="L473" i="5"/>
  <c r="L472" i="5"/>
  <c r="L471" i="5"/>
  <c r="L470" i="5"/>
  <c r="L468" i="5"/>
  <c r="L467" i="5"/>
  <c r="L465" i="5"/>
  <c r="L462" i="5"/>
  <c r="L461" i="5"/>
  <c r="L460" i="5"/>
  <c r="L459" i="5"/>
  <c r="L458" i="5"/>
  <c r="L455" i="5"/>
  <c r="L454" i="5"/>
  <c r="L452" i="5"/>
  <c r="L451" i="5"/>
  <c r="L448" i="5"/>
  <c r="L447" i="5"/>
  <c r="L446" i="5"/>
  <c r="L445" i="5"/>
  <c r="L444" i="5"/>
  <c r="L443" i="5"/>
  <c r="L442" i="5"/>
  <c r="L441" i="5"/>
  <c r="L440" i="5"/>
  <c r="L437" i="5"/>
  <c r="L436" i="5"/>
  <c r="L435" i="5"/>
  <c r="L434" i="5"/>
  <c r="L433" i="5"/>
  <c r="L432" i="5"/>
  <c r="R431" i="5"/>
  <c r="L431" i="5"/>
  <c r="R430" i="5"/>
  <c r="R429" i="5"/>
  <c r="L429" i="5"/>
  <c r="R428" i="5"/>
  <c r="L428" i="5"/>
  <c r="L427" i="5"/>
  <c r="R425" i="5"/>
  <c r="L425" i="5"/>
  <c r="R423" i="5"/>
  <c r="R422" i="5"/>
  <c r="R421" i="5"/>
  <c r="L421" i="5"/>
  <c r="R420" i="5"/>
  <c r="L420" i="5"/>
  <c r="R419" i="5"/>
  <c r="L419" i="5"/>
  <c r="R418" i="5"/>
  <c r="L418" i="5"/>
  <c r="R417" i="5"/>
  <c r="L417" i="5"/>
  <c r="G417" i="5"/>
  <c r="R416" i="5"/>
  <c r="L416" i="5"/>
  <c r="R415" i="5"/>
  <c r="L415" i="5"/>
  <c r="R414" i="5"/>
  <c r="L414" i="5"/>
  <c r="R412" i="5"/>
  <c r="L412" i="5"/>
  <c r="R411" i="5"/>
  <c r="L411" i="5"/>
  <c r="R410" i="5"/>
  <c r="L410" i="5"/>
  <c r="L409" i="5"/>
  <c r="L408" i="5"/>
  <c r="L407" i="5"/>
  <c r="R406" i="5"/>
  <c r="L406" i="5"/>
  <c r="R405" i="5"/>
  <c r="L405" i="5"/>
  <c r="R404" i="5"/>
  <c r="R403" i="5"/>
  <c r="L403" i="5"/>
  <c r="R402" i="5"/>
  <c r="L402" i="5"/>
  <c r="R401" i="5"/>
  <c r="L401" i="5"/>
  <c r="R400" i="5"/>
  <c r="L400" i="5"/>
  <c r="R399" i="5"/>
  <c r="R398" i="5"/>
  <c r="L398" i="5"/>
  <c r="R397" i="5"/>
  <c r="L397" i="5"/>
  <c r="R396" i="5"/>
  <c r="L396" i="5"/>
  <c r="L395" i="5"/>
  <c r="R394" i="5"/>
  <c r="L394" i="5"/>
  <c r="R393" i="5"/>
  <c r="L393" i="5"/>
  <c r="R392" i="5"/>
  <c r="L392" i="5"/>
  <c r="L391" i="5"/>
  <c r="J391" i="5"/>
  <c r="R391" i="5" s="1"/>
  <c r="R390" i="5"/>
  <c r="L390" i="5"/>
  <c r="R389" i="5"/>
  <c r="L389" i="5"/>
  <c r="R388" i="5"/>
  <c r="L388" i="5"/>
  <c r="R387" i="5"/>
  <c r="L387" i="5"/>
  <c r="R386" i="5"/>
  <c r="L386" i="5"/>
  <c r="L384" i="5"/>
  <c r="L383" i="5"/>
  <c r="R381" i="5"/>
  <c r="L381" i="5"/>
  <c r="L380" i="5"/>
  <c r="L379" i="5"/>
  <c r="L378" i="5"/>
  <c r="R377" i="5"/>
  <c r="L377" i="5"/>
  <c r="R376" i="5"/>
  <c r="L376" i="5"/>
  <c r="R375" i="5"/>
  <c r="L375" i="5"/>
  <c r="R374" i="5"/>
  <c r="L374" i="5"/>
  <c r="R372" i="5"/>
  <c r="L372" i="5"/>
  <c r="R371" i="5"/>
  <c r="L371" i="5"/>
  <c r="R369" i="5"/>
  <c r="R368" i="5"/>
  <c r="R367" i="5"/>
  <c r="R365" i="5"/>
  <c r="R364" i="5"/>
  <c r="R363" i="5"/>
  <c r="R361" i="5"/>
  <c r="L361" i="5"/>
  <c r="R360" i="5"/>
  <c r="L360" i="5"/>
  <c r="R358" i="5"/>
  <c r="R357" i="5"/>
  <c r="L357" i="5"/>
  <c r="R356" i="5"/>
  <c r="L356" i="5"/>
  <c r="R355" i="5"/>
  <c r="L355" i="5"/>
  <c r="R354" i="5"/>
  <c r="L354" i="5"/>
  <c r="R353" i="5"/>
  <c r="R352" i="5"/>
  <c r="L352" i="5"/>
  <c r="R351" i="5"/>
  <c r="L351" i="5"/>
  <c r="R350" i="5"/>
  <c r="L350" i="5"/>
  <c r="R349" i="5"/>
  <c r="L349" i="5"/>
  <c r="R348" i="5"/>
  <c r="L348" i="5"/>
  <c r="R347" i="5"/>
  <c r="L347" i="5"/>
  <c r="R346" i="5"/>
  <c r="L346" i="5"/>
  <c r="R345" i="5"/>
  <c r="L345" i="5"/>
  <c r="R343" i="5"/>
  <c r="L343" i="5"/>
  <c r="R342" i="5"/>
  <c r="R341" i="5"/>
  <c r="L341" i="5"/>
  <c r="R340" i="5"/>
  <c r="L340" i="5"/>
  <c r="R339" i="5"/>
  <c r="L339" i="5"/>
  <c r="R338" i="5"/>
  <c r="L338" i="5"/>
  <c r="L337" i="5"/>
  <c r="R336" i="5"/>
  <c r="R335" i="5"/>
  <c r="L335" i="5"/>
  <c r="L334" i="5"/>
  <c r="L333" i="5"/>
  <c r="R332" i="5"/>
  <c r="L332" i="5"/>
  <c r="R331" i="5"/>
  <c r="R330" i="5"/>
  <c r="L330" i="5"/>
  <c r="R329" i="5"/>
  <c r="R328" i="5"/>
  <c r="L328" i="5"/>
  <c r="L327" i="5"/>
  <c r="L326" i="5"/>
  <c r="L325" i="5"/>
  <c r="L324" i="5"/>
  <c r="L323" i="5"/>
  <c r="L322" i="5"/>
  <c r="R320" i="5"/>
  <c r="R318" i="5"/>
  <c r="L317" i="5"/>
  <c r="L316" i="5"/>
  <c r="R315" i="5"/>
  <c r="L315" i="5"/>
  <c r="R312" i="5"/>
  <c r="R311" i="5"/>
  <c r="L311" i="5"/>
  <c r="R310" i="5"/>
  <c r="L310" i="5"/>
  <c r="R308" i="5"/>
  <c r="R307" i="5"/>
  <c r="L307" i="5"/>
  <c r="R306" i="5"/>
  <c r="L306" i="5"/>
  <c r="R305" i="5"/>
  <c r="L305" i="5"/>
  <c r="R304" i="5"/>
  <c r="L304" i="5"/>
  <c r="L303" i="5"/>
  <c r="L302" i="5"/>
  <c r="R301" i="5"/>
  <c r="L301" i="5"/>
  <c r="R300" i="5"/>
  <c r="L300" i="5"/>
  <c r="R298" i="5"/>
  <c r="R297" i="5"/>
  <c r="L297" i="5"/>
  <c r="R296" i="5"/>
  <c r="L296" i="5"/>
  <c r="R295" i="5"/>
  <c r="L295" i="5"/>
  <c r="R294" i="5"/>
  <c r="L294" i="5"/>
  <c r="R292" i="5"/>
  <c r="L292" i="5"/>
  <c r="R291" i="5"/>
  <c r="L291" i="5"/>
  <c r="R290" i="5"/>
  <c r="L290" i="5"/>
  <c r="L289" i="5"/>
  <c r="R288" i="5"/>
  <c r="L288" i="5"/>
  <c r="R287" i="5"/>
  <c r="R286" i="5"/>
  <c r="L286" i="5"/>
  <c r="R285" i="5"/>
  <c r="L285" i="5"/>
  <c r="R283" i="5"/>
  <c r="L283" i="5"/>
  <c r="R282" i="5"/>
  <c r="L282" i="5"/>
  <c r="R281" i="5"/>
  <c r="L281" i="5"/>
  <c r="R280" i="5"/>
  <c r="L280" i="5"/>
  <c r="R278" i="5"/>
  <c r="L278" i="5"/>
  <c r="R277" i="5"/>
  <c r="R276" i="5"/>
  <c r="L276" i="5"/>
  <c r="R275" i="5"/>
  <c r="L275" i="5"/>
  <c r="R274" i="5"/>
  <c r="L274" i="5"/>
  <c r="L273" i="5"/>
  <c r="R272" i="5"/>
  <c r="L272" i="5"/>
  <c r="R271" i="5"/>
  <c r="L271" i="5"/>
  <c r="R270" i="5"/>
  <c r="L270" i="5"/>
  <c r="R268" i="5"/>
  <c r="L268" i="5"/>
  <c r="R267" i="5"/>
  <c r="L267" i="5"/>
  <c r="R265" i="5"/>
  <c r="L265" i="5"/>
  <c r="R264" i="5"/>
  <c r="L264" i="5"/>
  <c r="R263" i="5"/>
  <c r="L263" i="5"/>
  <c r="R262" i="5"/>
  <c r="L262" i="5"/>
  <c r="R261" i="5"/>
  <c r="L261" i="5"/>
  <c r="R260" i="5"/>
  <c r="L260" i="5"/>
  <c r="R259" i="5"/>
  <c r="L259" i="5"/>
  <c r="R258" i="5"/>
  <c r="L258" i="5"/>
  <c r="R257" i="5"/>
  <c r="L257" i="5"/>
  <c r="R256" i="5"/>
  <c r="L256" i="5"/>
  <c r="R255" i="5"/>
  <c r="L255" i="5"/>
  <c r="R254" i="5"/>
  <c r="L254" i="5"/>
  <c r="R253" i="5"/>
  <c r="L253" i="5"/>
  <c r="L252" i="5"/>
  <c r="L251" i="5"/>
  <c r="R250" i="5"/>
  <c r="L250" i="5"/>
  <c r="R249" i="5"/>
  <c r="R248" i="5"/>
  <c r="L248" i="5"/>
  <c r="R247" i="5"/>
  <c r="L247" i="5"/>
  <c r="A247" i="5"/>
  <c r="A248" i="5" s="1"/>
  <c r="A249" i="5" s="1"/>
  <c r="A250" i="5" s="1"/>
  <c r="A251" i="5" s="1"/>
  <c r="A252" i="5" s="1"/>
  <c r="A253" i="5" s="1"/>
  <c r="A254" i="5" s="1"/>
  <c r="A255" i="5" s="1"/>
  <c r="A256" i="5" s="1"/>
  <c r="A257" i="5" s="1"/>
  <c r="A258" i="5" s="1"/>
  <c r="A259" i="5" s="1"/>
  <c r="A260" i="5" s="1"/>
  <c r="A261" i="5" s="1"/>
  <c r="A262" i="5" s="1"/>
  <c r="A263" i="5" s="1"/>
  <c r="A264" i="5" s="1"/>
  <c r="A265" i="5" s="1"/>
  <c r="A267" i="5" s="1"/>
  <c r="A268" i="5" s="1"/>
  <c r="A270" i="5" s="1"/>
  <c r="A271" i="5" s="1"/>
  <c r="A272" i="5" s="1"/>
  <c r="L246" i="5"/>
  <c r="R245" i="5"/>
  <c r="R244" i="5"/>
  <c r="L244" i="5"/>
  <c r="R243" i="5"/>
  <c r="L243" i="5"/>
  <c r="R242" i="5"/>
  <c r="L242" i="5"/>
  <c r="R241" i="5"/>
  <c r="L241" i="5"/>
  <c r="R239" i="5"/>
  <c r="L239" i="5"/>
  <c r="R238" i="5"/>
  <c r="L238" i="5"/>
  <c r="A238" i="5"/>
  <c r="A239" i="5" s="1"/>
  <c r="A241" i="5" s="1"/>
  <c r="A242" i="5" s="1"/>
  <c r="A243" i="5" s="1"/>
  <c r="R237" i="5"/>
  <c r="L237" i="5"/>
  <c r="R236" i="5"/>
  <c r="R235" i="5"/>
  <c r="L235" i="5"/>
  <c r="R234" i="5"/>
  <c r="L234" i="5"/>
  <c r="R233" i="5"/>
  <c r="L233" i="5"/>
  <c r="R232" i="5"/>
  <c r="L232" i="5"/>
  <c r="R231" i="5"/>
  <c r="L231" i="5"/>
  <c r="R229" i="5"/>
  <c r="L229" i="5"/>
  <c r="R228" i="5"/>
  <c r="L228" i="5"/>
  <c r="R227" i="5"/>
  <c r="L227" i="5"/>
  <c r="R226" i="5"/>
  <c r="L226" i="5"/>
  <c r="R225" i="5"/>
  <c r="L225" i="5"/>
  <c r="A225" i="5"/>
  <c r="A226" i="5" s="1"/>
  <c r="A227" i="5" s="1"/>
  <c r="A228" i="5" s="1"/>
  <c r="A229" i="5" s="1"/>
  <c r="A231" i="5" s="1"/>
  <c r="A232" i="5" s="1"/>
  <c r="A233" i="5" s="1"/>
  <c r="A234" i="5" s="1"/>
  <c r="L224" i="5"/>
  <c r="R223" i="5"/>
  <c r="R222" i="5"/>
  <c r="L222" i="5"/>
  <c r="R221" i="5"/>
  <c r="L221" i="5"/>
  <c r="R220" i="5"/>
  <c r="L220" i="5"/>
  <c r="A220" i="5"/>
  <c r="A221" i="5" s="1"/>
  <c r="R219" i="5"/>
  <c r="L219" i="5"/>
  <c r="R218" i="5"/>
  <c r="R217" i="5"/>
  <c r="L217" i="5"/>
  <c r="R216" i="5"/>
  <c r="L216" i="5"/>
  <c r="L215" i="5"/>
  <c r="R214" i="5"/>
  <c r="L214" i="5"/>
  <c r="R213" i="5"/>
  <c r="L213" i="5"/>
  <c r="R212" i="5"/>
  <c r="L212" i="5"/>
  <c r="R211" i="5"/>
  <c r="L211" i="5"/>
  <c r="R210" i="5"/>
  <c r="L210" i="5"/>
  <c r="R209" i="5"/>
  <c r="L209" i="5"/>
  <c r="L208" i="5"/>
  <c r="R207" i="5"/>
  <c r="L207" i="5"/>
  <c r="L206" i="5"/>
  <c r="J206" i="5"/>
  <c r="R206" i="5" s="1"/>
  <c r="L205" i="5"/>
  <c r="L204" i="5"/>
  <c r="L203" i="5"/>
  <c r="R202" i="5"/>
  <c r="L202" i="5"/>
  <c r="R201" i="5"/>
  <c r="L201" i="5"/>
  <c r="R200" i="5"/>
  <c r="L200" i="5"/>
  <c r="A200" i="5"/>
  <c r="A201" i="5" s="1"/>
  <c r="A202" i="5" s="1"/>
  <c r="A203" i="5" s="1"/>
  <c r="A204" i="5" s="1"/>
  <c r="A205" i="5" s="1"/>
  <c r="A206" i="5" s="1"/>
  <c r="A207" i="5" s="1"/>
  <c r="A208" i="5" s="1"/>
  <c r="A209" i="5" s="1"/>
  <c r="A210" i="5" s="1"/>
  <c r="A211" i="5" s="1"/>
  <c r="A212" i="5" s="1"/>
  <c r="A213" i="5" s="1"/>
  <c r="A214" i="5" s="1"/>
  <c r="A215" i="5" s="1"/>
  <c r="A216" i="5" s="1"/>
  <c r="R199" i="5"/>
  <c r="R198" i="5"/>
  <c r="L198" i="5"/>
  <c r="R197" i="5"/>
  <c r="R196" i="5"/>
  <c r="L196" i="5"/>
  <c r="R195" i="5"/>
  <c r="L195" i="5"/>
  <c r="R194" i="5"/>
  <c r="R193" i="5"/>
  <c r="L193" i="5"/>
  <c r="R192" i="5"/>
  <c r="L192" i="5"/>
  <c r="R190" i="5"/>
  <c r="L190" i="5"/>
  <c r="R189" i="5"/>
  <c r="L189" i="5"/>
  <c r="R188" i="5"/>
  <c r="L188" i="5"/>
  <c r="R187" i="5"/>
  <c r="L187" i="5"/>
  <c r="R186" i="5"/>
  <c r="L186" i="5"/>
  <c r="A186" i="5"/>
  <c r="A187" i="5" s="1"/>
  <c r="A188" i="5" s="1"/>
  <c r="A189" i="5" s="1"/>
  <c r="A190" i="5" s="1"/>
  <c r="A191" i="5" s="1"/>
  <c r="A192" i="5" s="1"/>
  <c r="M185" i="5"/>
  <c r="R184" i="5"/>
  <c r="R183" i="5"/>
  <c r="L183" i="5"/>
  <c r="R182" i="5"/>
  <c r="R181" i="5"/>
  <c r="L181" i="5"/>
  <c r="R179" i="5"/>
  <c r="L179" i="5"/>
  <c r="G179" i="5"/>
  <c r="R178" i="5"/>
  <c r="L178" i="5"/>
  <c r="R177" i="5"/>
  <c r="L177" i="5"/>
  <c r="R176" i="5"/>
  <c r="L176" i="5"/>
  <c r="R175" i="5"/>
  <c r="L175" i="5"/>
  <c r="R174" i="5"/>
  <c r="L174" i="5"/>
  <c r="R173" i="5"/>
  <c r="L173" i="5"/>
  <c r="R172" i="5"/>
  <c r="L172" i="5"/>
  <c r="R171" i="5"/>
  <c r="L171" i="5"/>
  <c r="L170" i="5"/>
  <c r="L169" i="5"/>
  <c r="R168" i="5"/>
  <c r="L168" i="5"/>
  <c r="R167" i="5"/>
  <c r="L167" i="5"/>
  <c r="R166" i="5"/>
  <c r="L166" i="5"/>
  <c r="R165" i="5"/>
  <c r="L165" i="5"/>
  <c r="R164" i="5"/>
  <c r="L164" i="5"/>
  <c r="R163" i="5"/>
  <c r="L163" i="5"/>
  <c r="R162" i="5"/>
  <c r="L162" i="5"/>
  <c r="A162" i="5"/>
  <c r="A163" i="5" s="1"/>
  <c r="A164" i="5" s="1"/>
  <c r="R161" i="5"/>
  <c r="L161" i="5"/>
  <c r="R160" i="5"/>
  <c r="L160" i="5"/>
  <c r="R159" i="5"/>
  <c r="R158" i="5"/>
  <c r="L158" i="5"/>
  <c r="R157" i="5"/>
  <c r="L157" i="5"/>
  <c r="R156" i="5"/>
  <c r="L156" i="5"/>
  <c r="R155" i="5"/>
  <c r="L155" i="5"/>
  <c r="R154" i="5"/>
  <c r="L154" i="5"/>
  <c r="R153" i="5"/>
  <c r="L153" i="5"/>
  <c r="R152" i="5"/>
  <c r="L152" i="5"/>
  <c r="R151" i="5"/>
  <c r="L151" i="5"/>
  <c r="R150" i="5"/>
  <c r="L150" i="5"/>
  <c r="R149" i="5"/>
  <c r="L149" i="5"/>
  <c r="R147" i="5"/>
  <c r="L147" i="5"/>
  <c r="R146" i="5"/>
  <c r="L146" i="5"/>
  <c r="R145" i="5"/>
  <c r="L145" i="5"/>
  <c r="L144" i="5"/>
  <c r="A144" i="5"/>
  <c r="A145" i="5" s="1"/>
  <c r="A146" i="5" s="1"/>
  <c r="A147" i="5" s="1"/>
  <c r="A149" i="5" s="1"/>
  <c r="A150" i="5" s="1"/>
  <c r="A151" i="5" s="1"/>
  <c r="A152" i="5" s="1"/>
  <c r="A153" i="5" s="1"/>
  <c r="A154" i="5" s="1"/>
  <c r="A155" i="5" s="1"/>
  <c r="A156" i="5" s="1"/>
  <c r="A157" i="5" s="1"/>
  <c r="R143" i="5"/>
  <c r="L143" i="5"/>
  <c r="R142" i="5"/>
  <c r="R140" i="5"/>
  <c r="S140" i="5"/>
  <c r="R139" i="5"/>
  <c r="L139" i="5"/>
  <c r="R138" i="5"/>
  <c r="L138" i="5"/>
  <c r="A138" i="5"/>
  <c r="R137" i="5"/>
  <c r="L137" i="5"/>
  <c r="R136" i="5"/>
  <c r="R135" i="5"/>
  <c r="L135" i="5"/>
  <c r="R134" i="5"/>
  <c r="R133" i="5"/>
  <c r="L133" i="5"/>
  <c r="R132" i="5"/>
  <c r="L132" i="5"/>
  <c r="R131" i="5"/>
  <c r="L131" i="5"/>
  <c r="R130" i="5"/>
  <c r="L130" i="5"/>
  <c r="R128" i="5"/>
  <c r="L128" i="5"/>
  <c r="G128" i="5"/>
  <c r="R127" i="5"/>
  <c r="L127" i="5"/>
  <c r="R126" i="5"/>
  <c r="L126" i="5"/>
  <c r="R125" i="5"/>
  <c r="L125" i="5"/>
  <c r="L124" i="5"/>
  <c r="R123" i="5"/>
  <c r="L123" i="5"/>
  <c r="R122" i="5"/>
  <c r="L122" i="5"/>
  <c r="R119" i="5"/>
  <c r="R118" i="5"/>
  <c r="L118" i="5"/>
  <c r="R117" i="5"/>
  <c r="L117" i="5"/>
  <c r="R116" i="5"/>
  <c r="L115" i="5"/>
  <c r="L114" i="5"/>
  <c r="L113" i="5"/>
  <c r="A114" i="5"/>
  <c r="R112" i="5"/>
  <c r="L111" i="5"/>
  <c r="L110" i="5"/>
  <c r="R109" i="5"/>
  <c r="L108" i="5"/>
  <c r="L107" i="5"/>
  <c r="R105" i="5"/>
  <c r="A105" i="5"/>
  <c r="A107" i="5" s="1"/>
  <c r="R104" i="5"/>
  <c r="L104" i="5"/>
  <c r="R102" i="5"/>
  <c r="L96" i="5"/>
  <c r="L95" i="5"/>
  <c r="A95" i="5"/>
  <c r="A96" i="5" s="1"/>
  <c r="A97" i="5" s="1"/>
  <c r="L94" i="5"/>
  <c r="R93" i="5"/>
  <c r="L92" i="5"/>
  <c r="L91" i="5"/>
  <c r="L89" i="5"/>
  <c r="L86" i="5"/>
  <c r="R85" i="5"/>
  <c r="L85" i="5"/>
  <c r="L84" i="5"/>
  <c r="L83" i="5"/>
  <c r="R82" i="5"/>
  <c r="L81" i="5"/>
  <c r="A83" i="5"/>
  <c r="A84" i="5" s="1"/>
  <c r="R77" i="5"/>
  <c r="L77" i="5"/>
  <c r="R75" i="5"/>
  <c r="L75" i="5"/>
  <c r="R74" i="5"/>
  <c r="L74" i="5"/>
  <c r="R72" i="5"/>
  <c r="R71" i="5"/>
  <c r="L70" i="5"/>
  <c r="R69" i="5"/>
  <c r="L69" i="5"/>
  <c r="R68" i="5"/>
  <c r="L68" i="5"/>
  <c r="R67" i="5"/>
  <c r="L67" i="5"/>
  <c r="S65" i="5"/>
  <c r="R64" i="5"/>
  <c r="L64" i="5"/>
  <c r="L63" i="5"/>
  <c r="R60" i="5"/>
  <c r="L60" i="5"/>
  <c r="L59" i="5"/>
  <c r="R58" i="5"/>
  <c r="L58" i="5"/>
  <c r="R57" i="5"/>
  <c r="L57" i="5"/>
  <c r="L56" i="5"/>
  <c r="R55" i="5"/>
  <c r="L55" i="5"/>
  <c r="A55" i="5"/>
  <c r="A56" i="5" s="1"/>
  <c r="A57" i="5" s="1"/>
  <c r="A58" i="5" s="1"/>
  <c r="A59" i="5" s="1"/>
  <c r="A60" i="5" s="1"/>
  <c r="A61" i="5" s="1"/>
  <c r="A63" i="5" s="1"/>
  <c r="A64" i="5" s="1"/>
  <c r="A65" i="5" s="1"/>
  <c r="A67" i="5" s="1"/>
  <c r="A68" i="5" s="1"/>
  <c r="L54" i="5"/>
  <c r="R53" i="5"/>
  <c r="R52" i="5"/>
  <c r="L52" i="5"/>
  <c r="R50" i="5"/>
  <c r="L50" i="5"/>
  <c r="M49" i="5"/>
  <c r="R48" i="5"/>
  <c r="L48" i="5"/>
  <c r="R47" i="5"/>
  <c r="L47" i="5"/>
  <c r="R46" i="5"/>
  <c r="L46" i="5"/>
  <c r="A46" i="5"/>
  <c r="A47" i="5" s="1"/>
  <c r="A48" i="5" s="1"/>
  <c r="A49" i="5" s="1"/>
  <c r="L45" i="5"/>
  <c r="R44" i="5"/>
  <c r="L43" i="5"/>
  <c r="L42" i="5"/>
  <c r="L39" i="5"/>
  <c r="R38" i="5"/>
  <c r="L38" i="5"/>
  <c r="R37" i="5"/>
  <c r="L37" i="5"/>
  <c r="L36" i="5"/>
  <c r="L35" i="5"/>
  <c r="R34" i="5"/>
  <c r="L34" i="5"/>
  <c r="L33" i="5"/>
  <c r="L32" i="5"/>
  <c r="R31" i="5"/>
  <c r="L31" i="5"/>
  <c r="A31" i="5"/>
  <c r="A32" i="5" s="1"/>
  <c r="A33" i="5" s="1"/>
  <c r="A34" i="5" s="1"/>
  <c r="A35" i="5" s="1"/>
  <c r="A36" i="5" s="1"/>
  <c r="A37" i="5" s="1"/>
  <c r="A38" i="5" s="1"/>
  <c r="A39" i="5" s="1"/>
  <c r="A41" i="5" s="1"/>
  <c r="A42" i="5" s="1"/>
  <c r="L30" i="5"/>
  <c r="R28" i="5"/>
  <c r="L28" i="5"/>
  <c r="L27" i="5"/>
  <c r="R26" i="5"/>
  <c r="L26" i="5"/>
  <c r="L25" i="5"/>
  <c r="R24" i="5"/>
  <c r="L24" i="5"/>
  <c r="L22" i="5"/>
  <c r="A22" i="5"/>
  <c r="A23" i="5" s="1"/>
  <c r="A24" i="5" s="1"/>
  <c r="A25" i="5" s="1"/>
  <c r="A26" i="5" s="1"/>
  <c r="A27" i="5" s="1"/>
  <c r="R21" i="5"/>
  <c r="L21" i="5"/>
  <c r="R20" i="5"/>
  <c r="R19" i="5"/>
  <c r="L19" i="5"/>
  <c r="R18" i="5"/>
  <c r="L18" i="5"/>
  <c r="A18" i="5"/>
  <c r="L17" i="5"/>
  <c r="L15" i="5"/>
  <c r="R14" i="5"/>
  <c r="L14" i="5"/>
  <c r="O348" i="2"/>
  <c r="L348" i="2"/>
  <c r="K348" i="2"/>
  <c r="G348" i="2"/>
  <c r="F348" i="2"/>
  <c r="L332" i="1"/>
  <c r="L331" i="1"/>
  <c r="L330" i="1"/>
  <c r="L329" i="1"/>
  <c r="L328" i="1"/>
  <c r="A203" i="2"/>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G190" i="2"/>
  <c r="L204" i="1" s="1"/>
  <c r="G189" i="2"/>
  <c r="L203" i="1" s="1"/>
  <c r="G188" i="2"/>
  <c r="L202" i="1" s="1"/>
  <c r="G187" i="2"/>
  <c r="L201" i="1" s="1"/>
  <c r="G185" i="2"/>
  <c r="L199" i="1" s="1"/>
  <c r="G183" i="2"/>
  <c r="L197" i="1" s="1"/>
  <c r="G182" i="2"/>
  <c r="L196" i="1" s="1"/>
  <c r="G179" i="2"/>
  <c r="L193" i="1" s="1"/>
  <c r="G177" i="2"/>
  <c r="L191" i="1" s="1"/>
  <c r="G176" i="2"/>
  <c r="L190" i="1" s="1"/>
  <c r="G175" i="2"/>
  <c r="L189" i="1" s="1"/>
  <c r="G174" i="2"/>
  <c r="L188" i="1" s="1"/>
  <c r="G171" i="2"/>
  <c r="L185" i="1" s="1"/>
  <c r="K170" i="2"/>
  <c r="G169" i="2"/>
  <c r="L183" i="1" s="1"/>
  <c r="G168" i="2"/>
  <c r="L182" i="1" s="1"/>
  <c r="G167" i="2"/>
  <c r="L181" i="1" s="1"/>
  <c r="G166" i="2"/>
  <c r="L180" i="1" s="1"/>
  <c r="G165" i="2"/>
  <c r="L179" i="1" s="1"/>
  <c r="G164" i="2"/>
  <c r="L178" i="1" s="1"/>
  <c r="G163" i="2"/>
  <c r="L177" i="1" s="1"/>
  <c r="G161" i="2"/>
  <c r="L175" i="1" s="1"/>
  <c r="G160" i="2"/>
  <c r="L174" i="1" s="1"/>
  <c r="G159" i="2"/>
  <c r="L173" i="1" s="1"/>
  <c r="G158" i="2"/>
  <c r="L172" i="1" s="1"/>
  <c r="G157" i="2"/>
  <c r="L171" i="1" s="1"/>
  <c r="G156" i="2"/>
  <c r="L170" i="1" s="1"/>
  <c r="G155" i="2"/>
  <c r="L169" i="1" s="1"/>
  <c r="G154" i="2"/>
  <c r="L168" i="1" s="1"/>
  <c r="G153" i="2"/>
  <c r="L167" i="1" s="1"/>
  <c r="G152" i="2"/>
  <c r="L166" i="1" s="1"/>
  <c r="O151" i="2"/>
  <c r="L165" i="1" s="1"/>
  <c r="G150" i="2"/>
  <c r="L164" i="1" s="1"/>
  <c r="G148" i="2"/>
  <c r="L162" i="1" s="1"/>
  <c r="G147" i="2"/>
  <c r="L161" i="1" s="1"/>
  <c r="G146" i="2"/>
  <c r="L160" i="1" s="1"/>
  <c r="G145" i="2"/>
  <c r="L159" i="1" s="1"/>
  <c r="G144" i="2"/>
  <c r="L158" i="1" s="1"/>
  <c r="G143" i="2"/>
  <c r="L157" i="1" s="1"/>
  <c r="G142" i="2"/>
  <c r="L156" i="1" s="1"/>
  <c r="G141" i="2"/>
  <c r="L155" i="1" s="1"/>
  <c r="G140" i="2"/>
  <c r="L154" i="1" s="1"/>
  <c r="G139" i="2"/>
  <c r="L153" i="1" s="1"/>
  <c r="G138" i="2"/>
  <c r="L152" i="1" s="1"/>
  <c r="G137" i="2"/>
  <c r="L151" i="1" s="1"/>
  <c r="G136" i="2"/>
  <c r="L150" i="1" s="1"/>
  <c r="G135" i="2"/>
  <c r="L149" i="1" s="1"/>
  <c r="G134" i="2"/>
  <c r="L148" i="1" s="1"/>
  <c r="G133" i="2"/>
  <c r="L147" i="1" s="1"/>
  <c r="G132" i="2"/>
  <c r="L146" i="1" s="1"/>
  <c r="G131" i="2"/>
  <c r="L145" i="1" s="1"/>
  <c r="G130" i="2"/>
  <c r="L144" i="1" s="1"/>
  <c r="G129" i="2"/>
  <c r="L143" i="1" s="1"/>
  <c r="G128" i="2"/>
  <c r="L142" i="1" s="1"/>
  <c r="G127" i="2"/>
  <c r="L141" i="1" s="1"/>
  <c r="G126" i="2"/>
  <c r="L140" i="1" s="1"/>
  <c r="G125" i="2"/>
  <c r="L139" i="1" s="1"/>
  <c r="G124" i="2"/>
  <c r="L138" i="1" s="1"/>
  <c r="G123" i="2"/>
  <c r="L137" i="1" s="1"/>
  <c r="O122" i="2"/>
  <c r="L136" i="1" s="1"/>
  <c r="G121" i="2"/>
  <c r="L135" i="1" s="1"/>
  <c r="G120" i="2"/>
  <c r="L134" i="1" s="1"/>
  <c r="G119" i="2"/>
  <c r="L133" i="1" s="1"/>
  <c r="G118" i="2"/>
  <c r="L132" i="1" s="1"/>
  <c r="G117" i="2"/>
  <c r="L131" i="1" s="1"/>
  <c r="G116" i="2"/>
  <c r="L130" i="1" s="1"/>
  <c r="O115" i="2"/>
  <c r="L129" i="1" s="1"/>
  <c r="S93" i="2"/>
  <c r="N93" i="2"/>
  <c r="M93" i="2"/>
  <c r="K93" i="2"/>
  <c r="J93" i="2"/>
  <c r="I93" i="2"/>
  <c r="E93" i="2"/>
  <c r="G79" i="2"/>
  <c r="G78" i="2"/>
  <c r="G77" i="2"/>
  <c r="O76" i="2"/>
  <c r="O75" i="2"/>
  <c r="O74" i="2"/>
  <c r="O73" i="2"/>
  <c r="G72" i="2"/>
  <c r="L71" i="2"/>
  <c r="L93" i="2" s="1"/>
  <c r="F71" i="2"/>
  <c r="G70" i="2"/>
  <c r="G69" i="2"/>
  <c r="G67" i="2"/>
  <c r="G66" i="2"/>
  <c r="G65" i="2"/>
  <c r="G64" i="2"/>
  <c r="G62" i="2"/>
  <c r="G61" i="2"/>
  <c r="G60" i="2"/>
  <c r="G59" i="2"/>
  <c r="G58" i="2"/>
  <c r="G57" i="2"/>
  <c r="G56" i="2"/>
  <c r="G55" i="2"/>
  <c r="G54" i="2"/>
  <c r="G53" i="2"/>
  <c r="G52" i="2"/>
  <c r="G51" i="2"/>
  <c r="G50" i="2"/>
  <c r="G49" i="2"/>
  <c r="G48" i="2"/>
  <c r="G47" i="2"/>
  <c r="G46" i="2"/>
  <c r="G41" i="2"/>
  <c r="G39" i="2"/>
  <c r="G38" i="2"/>
  <c r="G37" i="2"/>
  <c r="G36" i="2"/>
  <c r="G35" i="2"/>
  <c r="G34" i="2"/>
  <c r="G31" i="2"/>
  <c r="G29" i="2"/>
  <c r="G27" i="2"/>
  <c r="G26" i="2"/>
  <c r="G25" i="2"/>
  <c r="G24" i="2"/>
  <c r="G19" i="2"/>
  <c r="G17" i="2"/>
  <c r="G15" i="2"/>
  <c r="G13" i="2"/>
  <c r="G12" i="2"/>
  <c r="G11" i="2"/>
  <c r="A11" i="2"/>
  <c r="A12" i="2" s="1"/>
  <c r="A13" i="2" s="1"/>
  <c r="A14" i="2" s="1"/>
  <c r="A15" i="2" s="1"/>
  <c r="A16" i="2" s="1"/>
  <c r="A17" i="2" s="1"/>
  <c r="A18" i="2" s="1"/>
  <c r="A19" i="2" s="1"/>
  <c r="A20" i="2" s="1"/>
  <c r="A21" i="2" s="1"/>
  <c r="A22" i="2" s="1"/>
  <c r="A23" i="2" s="1"/>
  <c r="A24" i="2" s="1"/>
  <c r="A25" i="2" s="1"/>
  <c r="A26" i="2" s="1"/>
  <c r="A27" i="2" s="1"/>
  <c r="A28" i="2" s="1"/>
  <c r="A29" i="2" s="1"/>
  <c r="A30" i="2" s="1"/>
  <c r="G9" i="2"/>
  <c r="Q375" i="1"/>
  <c r="P375" i="1"/>
  <c r="O375" i="1"/>
  <c r="K375" i="1"/>
  <c r="J375" i="1"/>
  <c r="I375" i="1"/>
  <c r="H375" i="1"/>
  <c r="A359" i="1"/>
  <c r="A360" i="1" s="1"/>
  <c r="A351" i="1"/>
  <c r="A352" i="1" s="1"/>
  <c r="A353" i="1" s="1"/>
  <c r="A349" i="1"/>
  <c r="A344" i="1"/>
  <c r="A345" i="1" s="1"/>
  <c r="A346" i="1" s="1"/>
  <c r="A254" i="1"/>
  <c r="A129" i="1"/>
  <c r="A130" i="1" s="1"/>
  <c r="A131" i="1" s="1"/>
  <c r="A132" i="1" s="1"/>
  <c r="A133" i="1" s="1"/>
  <c r="Q104" i="1"/>
  <c r="P104" i="1"/>
  <c r="O104" i="1"/>
  <c r="K104" i="1"/>
  <c r="J104" i="1"/>
  <c r="H104" i="1"/>
  <c r="I92" i="1"/>
  <c r="A22" i="1"/>
  <c r="A23" i="1" s="1"/>
  <c r="A24" i="1" s="1"/>
  <c r="A25" i="1" s="1"/>
  <c r="A26" i="1" s="1"/>
  <c r="A27" i="1" s="1"/>
  <c r="A28" i="1" s="1"/>
  <c r="A29" i="1" s="1"/>
  <c r="A30" i="1" s="1"/>
  <c r="A31" i="1" s="1"/>
  <c r="A32" i="1" s="1"/>
  <c r="A33" i="1" s="1"/>
  <c r="A34" i="1" s="1"/>
  <c r="A35" i="1" s="1"/>
  <c r="A36" i="1" s="1"/>
  <c r="A37" i="1" s="1"/>
  <c r="A38" i="1" s="1"/>
  <c r="A39" i="1" s="1"/>
  <c r="A40" i="1" s="1"/>
  <c r="A41" i="1" s="1"/>
  <c r="G4676" i="5" l="1"/>
  <c r="S3552" i="5"/>
  <c r="J4676" i="5"/>
  <c r="P348" i="2"/>
  <c r="L2182" i="5"/>
  <c r="N4676" i="5"/>
  <c r="E4676" i="5"/>
  <c r="S4477" i="5"/>
  <c r="P4676" i="5"/>
  <c r="S4299" i="5"/>
  <c r="S1663" i="5"/>
  <c r="A226" i="2"/>
  <c r="A227" i="2" s="1"/>
  <c r="A228" i="2" s="1"/>
  <c r="A229" i="2" s="1"/>
  <c r="A230" i="2" s="1"/>
  <c r="A231" i="2" s="1"/>
  <c r="A232" i="2" s="1"/>
  <c r="A233" i="2" s="1"/>
  <c r="A234" i="2" s="1"/>
  <c r="A235" i="2" s="1"/>
  <c r="A236" i="2" s="1"/>
  <c r="A237" i="2" s="1"/>
  <c r="A238" i="2" s="1"/>
  <c r="A239" i="2" s="1"/>
  <c r="A240" i="2" s="1"/>
  <c r="A241" i="2" s="1"/>
  <c r="C247" i="2"/>
  <c r="H247" i="2"/>
  <c r="C263" i="2"/>
  <c r="D263" i="2"/>
  <c r="C298" i="2"/>
  <c r="H298" i="2"/>
  <c r="C328" i="2"/>
  <c r="H328" i="2"/>
  <c r="H348" i="2" s="1"/>
  <c r="R3121" i="5"/>
  <c r="T3121" i="5"/>
  <c r="R3389" i="5"/>
  <c r="T3389" i="5"/>
  <c r="O3152" i="5"/>
  <c r="T3152" i="5" s="1"/>
  <c r="O3162" i="5"/>
  <c r="T3162" i="5" s="1"/>
  <c r="O3212" i="5"/>
  <c r="T3212" i="5" s="1"/>
  <c r="O3230" i="5"/>
  <c r="T3230" i="5" s="1"/>
  <c r="R3341" i="5"/>
  <c r="O3117" i="5"/>
  <c r="T3117" i="5" s="1"/>
  <c r="R3136" i="5"/>
  <c r="O3163" i="5"/>
  <c r="T3163" i="5" s="1"/>
  <c r="O3305" i="5"/>
  <c r="T3305" i="5" s="1"/>
  <c r="O3114" i="5"/>
  <c r="T3114" i="5" s="1"/>
  <c r="O3137" i="5"/>
  <c r="T3137" i="5" s="1"/>
  <c r="O3150" i="5"/>
  <c r="T3150" i="5" s="1"/>
  <c r="R3283" i="5"/>
  <c r="O3339" i="5"/>
  <c r="T3339" i="5" s="1"/>
  <c r="O3352" i="5"/>
  <c r="T3352" i="5" s="1"/>
  <c r="O3151" i="5"/>
  <c r="T3151" i="5" s="1"/>
  <c r="O3204" i="5"/>
  <c r="T3204" i="5" s="1"/>
  <c r="R3229" i="5"/>
  <c r="O3271" i="5"/>
  <c r="T3271" i="5" s="1"/>
  <c r="R3340" i="5"/>
  <c r="L3383" i="5"/>
  <c r="T3383" i="5"/>
  <c r="O3401" i="5"/>
  <c r="T3401" i="5" s="1"/>
  <c r="A4314" i="5"/>
  <c r="A4315" i="5" s="1"/>
  <c r="A4316" i="5" s="1"/>
  <c r="A4317" i="5" s="1"/>
  <c r="A4318" i="5" s="1"/>
  <c r="A4319" i="5" s="1"/>
  <c r="A4320" i="5" s="1"/>
  <c r="A4321" i="5" s="1"/>
  <c r="A4322" i="5" s="1"/>
  <c r="A4323" i="5" s="1"/>
  <c r="A4324" i="5" s="1"/>
  <c r="A4325" i="5" s="1"/>
  <c r="A4326" i="5" s="1"/>
  <c r="A4327" i="5" s="1"/>
  <c r="A4328" i="5" s="1"/>
  <c r="A4329" i="5" s="1"/>
  <c r="A4330" i="5" s="1"/>
  <c r="A4331" i="5" s="1"/>
  <c r="A4332" i="5" s="1"/>
  <c r="O3111" i="5"/>
  <c r="L3111" i="5" s="1"/>
  <c r="S1577" i="5"/>
  <c r="S1756" i="5"/>
  <c r="A3796" i="5"/>
  <c r="A3797" i="5" s="1"/>
  <c r="A3798" i="5" s="1"/>
  <c r="A3799" i="5" s="1"/>
  <c r="A3800" i="5" s="1"/>
  <c r="A3801" i="5" s="1"/>
  <c r="A3802" i="5" s="1"/>
  <c r="A3803" i="5" s="1"/>
  <c r="A3804" i="5" s="1"/>
  <c r="A3805" i="5" s="1"/>
  <c r="A3806" i="5" s="1"/>
  <c r="A3807" i="5" s="1"/>
  <c r="A3808" i="5" s="1"/>
  <c r="A3809" i="5" s="1"/>
  <c r="A3810" i="5" s="1"/>
  <c r="A3813" i="5" s="1"/>
  <c r="A3814" i="5" s="1"/>
  <c r="A3815" i="5" s="1"/>
  <c r="A3816" i="5" s="1"/>
  <c r="A3817" i="5" s="1"/>
  <c r="A3818" i="5" s="1"/>
  <c r="A3819" i="5" s="1"/>
  <c r="A3820" i="5" s="1"/>
  <c r="A3821" i="5" s="1"/>
  <c r="A4636" i="5"/>
  <c r="A4637" i="5" s="1"/>
  <c r="A4638" i="5" s="1"/>
  <c r="N4179" i="5"/>
  <c r="R4760" i="5"/>
  <c r="S4309" i="5"/>
  <c r="R4761" i="5"/>
  <c r="S4333" i="5"/>
  <c r="S4335" i="5"/>
  <c r="R4239" i="5"/>
  <c r="R4262" i="5"/>
  <c r="K200" i="2"/>
  <c r="L184" i="1"/>
  <c r="C202" i="2"/>
  <c r="D4080" i="5"/>
  <c r="D3872" i="5" s="1"/>
  <c r="A225" i="1"/>
  <c r="A226" i="1" s="1"/>
  <c r="A227" i="1" s="1"/>
  <c r="A228" i="1" s="1"/>
  <c r="A229" i="1" s="1"/>
  <c r="A255" i="1"/>
  <c r="A256" i="1" s="1"/>
  <c r="A257" i="1" s="1"/>
  <c r="A258" i="1" s="1"/>
  <c r="A259" i="1" s="1"/>
  <c r="A260" i="1" s="1"/>
  <c r="A261" i="1" s="1"/>
  <c r="A262" i="1" s="1"/>
  <c r="A263" i="1" s="1"/>
  <c r="A264" i="1" s="1"/>
  <c r="A265" i="1" s="1"/>
  <c r="A266" i="1" s="1"/>
  <c r="G313" i="2"/>
  <c r="S3930" i="5"/>
  <c r="S3902" i="5"/>
  <c r="S3915" i="5"/>
  <c r="S3903" i="5"/>
  <c r="G3525" i="5"/>
  <c r="L3876" i="5"/>
  <c r="D3684" i="5"/>
  <c r="D3686" i="5" s="1"/>
  <c r="E3686" i="5"/>
  <c r="R3673" i="5"/>
  <c r="M3686" i="5"/>
  <c r="L3595" i="5"/>
  <c r="S3527" i="5"/>
  <c r="S4460" i="5"/>
  <c r="S3476" i="5"/>
  <c r="S3478" i="5"/>
  <c r="S4454" i="5"/>
  <c r="S3481" i="5"/>
  <c r="S3483" i="5"/>
  <c r="S4456" i="5"/>
  <c r="S4458" i="5"/>
  <c r="S3484" i="5"/>
  <c r="S3486" i="5"/>
  <c r="S3488" i="5"/>
  <c r="S3490" i="5"/>
  <c r="S3492" i="5"/>
  <c r="S3494" i="5"/>
  <c r="S3495" i="5"/>
  <c r="S3498" i="5"/>
  <c r="S4461" i="5"/>
  <c r="S3497" i="5"/>
  <c r="S3500" i="5"/>
  <c r="S3477" i="5"/>
  <c r="S3479" i="5"/>
  <c r="S3480" i="5"/>
  <c r="S3482" i="5"/>
  <c r="S4455" i="5"/>
  <c r="S4457" i="5"/>
  <c r="S4459" i="5"/>
  <c r="S3485" i="5"/>
  <c r="S3487" i="5"/>
  <c r="S3489" i="5"/>
  <c r="S3491" i="5"/>
  <c r="S3493" i="5"/>
  <c r="S3496" i="5"/>
  <c r="S3499" i="5"/>
  <c r="S3501" i="5"/>
  <c r="Q3463" i="5"/>
  <c r="J3463" i="5"/>
  <c r="J2966" i="5" s="1"/>
  <c r="M3463" i="5"/>
  <c r="E3463" i="5"/>
  <c r="E2966" i="5" s="1"/>
  <c r="G3463" i="5"/>
  <c r="G2966" i="5" s="1"/>
  <c r="J2111" i="5"/>
  <c r="J1465" i="5" s="1"/>
  <c r="AA1602" i="5"/>
  <c r="Y798" i="5"/>
  <c r="Y841" i="5"/>
  <c r="Y875" i="5"/>
  <c r="Y910" i="5"/>
  <c r="L936" i="5"/>
  <c r="Y936" i="5"/>
  <c r="Y975" i="5"/>
  <c r="G1372" i="5"/>
  <c r="G1023" i="5" s="1"/>
  <c r="Y744" i="5"/>
  <c r="Y878" i="5"/>
  <c r="Y888" i="5"/>
  <c r="Y1319" i="5"/>
  <c r="Y893" i="5"/>
  <c r="Y603" i="5"/>
  <c r="Y686" i="5"/>
  <c r="Y1149" i="5"/>
  <c r="Y907" i="5"/>
  <c r="Y1304" i="5"/>
  <c r="Y801" i="5"/>
  <c r="Y1056" i="5"/>
  <c r="Y1236" i="5"/>
  <c r="Y531" i="5"/>
  <c r="L689" i="5"/>
  <c r="Y741" i="5"/>
  <c r="Y793" i="5"/>
  <c r="Y809" i="5"/>
  <c r="L844" i="5"/>
  <c r="Y855" i="5"/>
  <c r="Y872" i="5"/>
  <c r="L875" i="5"/>
  <c r="Y896" i="5"/>
  <c r="Y903" i="5"/>
  <c r="L910" i="5"/>
  <c r="D21" i="2"/>
  <c r="C33" i="2"/>
  <c r="N44" i="1" s="1"/>
  <c r="R44" i="1" s="1"/>
  <c r="H41" i="2"/>
  <c r="C62" i="2"/>
  <c r="H70" i="2"/>
  <c r="C74" i="2"/>
  <c r="P76" i="2"/>
  <c r="Y1307" i="5"/>
  <c r="Y1406" i="5"/>
  <c r="S3430" i="5"/>
  <c r="S3422" i="5"/>
  <c r="S2115" i="5"/>
  <c r="S2249" i="5"/>
  <c r="L2253" i="5"/>
  <c r="S2296" i="5"/>
  <c r="S2346" i="5"/>
  <c r="S2376" i="5"/>
  <c r="S2381" i="5"/>
  <c r="S2423" i="5"/>
  <c r="C184" i="2"/>
  <c r="N198" i="1" s="1"/>
  <c r="F206" i="2"/>
  <c r="S4318" i="5"/>
  <c r="S4320" i="5"/>
  <c r="S4322" i="5"/>
  <c r="S4324" i="5"/>
  <c r="S4338" i="5"/>
  <c r="Y694" i="5"/>
  <c r="Y748" i="5"/>
  <c r="Y771" i="5"/>
  <c r="Y775" i="5"/>
  <c r="Y813" i="5"/>
  <c r="L878" i="5"/>
  <c r="Y885" i="5"/>
  <c r="L888" i="5"/>
  <c r="Y899" i="5"/>
  <c r="Y1006" i="5"/>
  <c r="Y1021" i="5"/>
  <c r="S1107" i="5"/>
  <c r="H12" i="2"/>
  <c r="C40" i="2"/>
  <c r="N51" i="1" s="1"/>
  <c r="H46" i="2"/>
  <c r="S1211" i="5"/>
  <c r="Y1248" i="5"/>
  <c r="S1388" i="5"/>
  <c r="Y1456" i="5"/>
  <c r="S2299" i="5"/>
  <c r="U2311" i="5"/>
  <c r="S2313" i="5"/>
  <c r="S2315" i="5"/>
  <c r="S2325" i="5"/>
  <c r="L2408" i="5"/>
  <c r="H121" i="2"/>
  <c r="C126" i="2"/>
  <c r="S2696" i="5"/>
  <c r="S2763" i="5"/>
  <c r="F203" i="2"/>
  <c r="F211" i="2"/>
  <c r="S4314" i="5"/>
  <c r="Y678" i="5"/>
  <c r="Y689" i="5"/>
  <c r="L896" i="5"/>
  <c r="S1099" i="5"/>
  <c r="C11" i="2"/>
  <c r="N22" i="1" s="1"/>
  <c r="H15" i="2"/>
  <c r="H19" i="2"/>
  <c r="C23" i="2"/>
  <c r="N34" i="1" s="1"/>
  <c r="H27" i="2"/>
  <c r="H31" i="2"/>
  <c r="H35" i="2"/>
  <c r="C39" i="2"/>
  <c r="N50" i="1" s="1"/>
  <c r="C45" i="2"/>
  <c r="N56" i="1" s="1"/>
  <c r="C48" i="2"/>
  <c r="N59" i="1" s="1"/>
  <c r="H52" i="2"/>
  <c r="C56" i="2"/>
  <c r="N67" i="1" s="1"/>
  <c r="H60" i="2"/>
  <c r="C73" i="2"/>
  <c r="C75" i="2"/>
  <c r="C77" i="2"/>
  <c r="N88" i="1" s="1"/>
  <c r="H79" i="2"/>
  <c r="S3423" i="5"/>
  <c r="S3424" i="5"/>
  <c r="S2339" i="5"/>
  <c r="L2350" i="5"/>
  <c r="S2500" i="5"/>
  <c r="S2504" i="5"/>
  <c r="S2764" i="5"/>
  <c r="F210" i="2"/>
  <c r="S4316" i="5"/>
  <c r="T4594" i="5"/>
  <c r="Y844" i="5"/>
  <c r="Y849" i="5"/>
  <c r="Y985" i="5"/>
  <c r="Y998" i="5"/>
  <c r="S1059" i="5"/>
  <c r="S1061" i="5"/>
  <c r="S1070" i="5"/>
  <c r="S1072" i="5"/>
  <c r="S1074" i="5"/>
  <c r="S1085" i="5"/>
  <c r="S1087" i="5"/>
  <c r="S1089" i="5"/>
  <c r="S1091" i="5"/>
  <c r="S1104" i="5"/>
  <c r="S1106" i="5"/>
  <c r="S1108" i="5"/>
  <c r="S1111" i="5"/>
  <c r="S1115" i="5"/>
  <c r="S1119" i="5"/>
  <c r="S1123" i="5"/>
  <c r="Y1126" i="5"/>
  <c r="S1136" i="5"/>
  <c r="P10" i="2"/>
  <c r="S1160" i="5"/>
  <c r="H63" i="2"/>
  <c r="C72" i="2"/>
  <c r="N83" i="1" s="1"/>
  <c r="F81" i="2"/>
  <c r="F85" i="2"/>
  <c r="Y1368" i="5"/>
  <c r="S1380" i="5"/>
  <c r="Y1453" i="5"/>
  <c r="S3439" i="5"/>
  <c r="S2246" i="5"/>
  <c r="S2404" i="5"/>
  <c r="L2420" i="5"/>
  <c r="S2441" i="5"/>
  <c r="S2493" i="5"/>
  <c r="S2517" i="5"/>
  <c r="S2519" i="5"/>
  <c r="H116" i="2"/>
  <c r="H132" i="2"/>
  <c r="H142" i="2"/>
  <c r="C151" i="2"/>
  <c r="S2708" i="5"/>
  <c r="H175" i="2"/>
  <c r="C177" i="2"/>
  <c r="N191" i="1" s="1"/>
  <c r="F207" i="2"/>
  <c r="F213" i="2"/>
  <c r="L4135" i="5"/>
  <c r="S4290" i="5"/>
  <c r="S4351" i="5"/>
  <c r="T4585" i="5"/>
  <c r="S14" i="5"/>
  <c r="S27" i="5"/>
  <c r="S33" i="5"/>
  <c r="S36" i="5"/>
  <c r="S54" i="5"/>
  <c r="S63" i="5"/>
  <c r="S67" i="5"/>
  <c r="S69" i="5"/>
  <c r="S85" i="5"/>
  <c r="S125" i="5"/>
  <c r="S127" i="5"/>
  <c r="S161" i="5"/>
  <c r="S179" i="5"/>
  <c r="S192" i="5"/>
  <c r="S203" i="5"/>
  <c r="S209" i="5"/>
  <c r="S211" i="5"/>
  <c r="S213" i="5"/>
  <c r="S233" i="5"/>
  <c r="S235" i="5"/>
  <c r="S251" i="5"/>
  <c r="S254" i="5"/>
  <c r="S256" i="5"/>
  <c r="S260" i="5"/>
  <c r="S264" i="5"/>
  <c r="S272" i="5"/>
  <c r="S273" i="5"/>
  <c r="S291" i="5"/>
  <c r="S294" i="5"/>
  <c r="S296" i="5"/>
  <c r="S304" i="5"/>
  <c r="S325" i="5"/>
  <c r="S345" i="5"/>
  <c r="S347" i="5"/>
  <c r="S349" i="5"/>
  <c r="S351" i="5"/>
  <c r="S372" i="5"/>
  <c r="S380" i="5"/>
  <c r="S396" i="5"/>
  <c r="S398" i="5"/>
  <c r="S405" i="5"/>
  <c r="S407" i="5"/>
  <c r="S417" i="5"/>
  <c r="S428" i="5"/>
  <c r="S433" i="5"/>
  <c r="S443" i="5"/>
  <c r="S475" i="5"/>
  <c r="S480" i="5"/>
  <c r="S484" i="5"/>
  <c r="S18" i="5"/>
  <c r="S25" i="5"/>
  <c r="S34" i="5"/>
  <c r="S64" i="5"/>
  <c r="S70" i="5"/>
  <c r="S146" i="5"/>
  <c r="S151" i="5"/>
  <c r="S163" i="5"/>
  <c r="S167" i="5"/>
  <c r="S169" i="5"/>
  <c r="S207" i="5"/>
  <c r="S222" i="5"/>
  <c r="S247" i="5"/>
  <c r="S274" i="5"/>
  <c r="S276" i="5"/>
  <c r="S310" i="5"/>
  <c r="S316" i="5"/>
  <c r="S322" i="5"/>
  <c r="S326" i="5"/>
  <c r="S332" i="5"/>
  <c r="S335" i="5"/>
  <c r="S354" i="5"/>
  <c r="S392" i="5"/>
  <c r="S394" i="5"/>
  <c r="S408" i="5"/>
  <c r="S431" i="5"/>
  <c r="S434" i="5"/>
  <c r="S440" i="5"/>
  <c r="S448" i="5"/>
  <c r="S455" i="5"/>
  <c r="S460" i="5"/>
  <c r="S481" i="5"/>
  <c r="S485" i="5"/>
  <c r="S21" i="5"/>
  <c r="S23" i="5"/>
  <c r="S45" i="5"/>
  <c r="S47" i="5"/>
  <c r="S60" i="5"/>
  <c r="S68" i="5"/>
  <c r="S86" i="5"/>
  <c r="S113" i="5"/>
  <c r="S117" i="5"/>
  <c r="S139" i="5"/>
  <c r="S144" i="5"/>
  <c r="S170" i="5"/>
  <c r="S186" i="5"/>
  <c r="S188" i="5"/>
  <c r="S190" i="5"/>
  <c r="S205" i="5"/>
  <c r="S210" i="5"/>
  <c r="S212" i="5"/>
  <c r="S214" i="5"/>
  <c r="S232" i="5"/>
  <c r="S234" i="5"/>
  <c r="S241" i="5"/>
  <c r="S243" i="5"/>
  <c r="S250" i="5"/>
  <c r="S259" i="5"/>
  <c r="S263" i="5"/>
  <c r="S271" i="5"/>
  <c r="S280" i="5"/>
  <c r="S282" i="5"/>
  <c r="S290" i="5"/>
  <c r="S292" i="5"/>
  <c r="S297" i="5"/>
  <c r="S305" i="5"/>
  <c r="S307" i="5"/>
  <c r="S343" i="5"/>
  <c r="S346" i="5"/>
  <c r="S348" i="5"/>
  <c r="S350" i="5"/>
  <c r="S360" i="5"/>
  <c r="S371" i="5"/>
  <c r="S374" i="5"/>
  <c r="S376" i="5"/>
  <c r="S378" i="5"/>
  <c r="S418" i="5"/>
  <c r="S420" i="5"/>
  <c r="S429" i="5"/>
  <c r="S435" i="5"/>
  <c r="S451" i="5"/>
  <c r="S461" i="5"/>
  <c r="S477" i="5"/>
  <c r="S482" i="5"/>
  <c r="S17" i="5"/>
  <c r="S24" i="5"/>
  <c r="S35" i="5"/>
  <c r="S38" i="5"/>
  <c r="S50" i="5"/>
  <c r="S58" i="5"/>
  <c r="S84" i="5"/>
  <c r="S114" i="5"/>
  <c r="S122" i="5"/>
  <c r="S131" i="5"/>
  <c r="S133" i="5"/>
  <c r="S143" i="5"/>
  <c r="S145" i="5"/>
  <c r="S147" i="5"/>
  <c r="S154" i="5"/>
  <c r="S158" i="5"/>
  <c r="S166" i="5"/>
  <c r="S175" i="5"/>
  <c r="S177" i="5"/>
  <c r="S196" i="5"/>
  <c r="S237" i="5"/>
  <c r="S246" i="5"/>
  <c r="S248" i="5"/>
  <c r="S333" i="5"/>
  <c r="S339" i="5"/>
  <c r="S355" i="5"/>
  <c r="S357" i="5"/>
  <c r="S379" i="5"/>
  <c r="S393" i="5"/>
  <c r="S395" i="5"/>
  <c r="S402" i="5"/>
  <c r="S415" i="5"/>
  <c r="S427" i="5"/>
  <c r="S436" i="5"/>
  <c r="S442" i="5"/>
  <c r="S446" i="5"/>
  <c r="S462" i="5"/>
  <c r="S470" i="5"/>
  <c r="S474" i="5"/>
  <c r="S478" i="5"/>
  <c r="S483" i="5"/>
  <c r="S488" i="5"/>
  <c r="C146" i="2"/>
  <c r="N160" i="1" s="1"/>
  <c r="S2699" i="5"/>
  <c r="A2641" i="5"/>
  <c r="A2642" i="5" s="1"/>
  <c r="A2643" i="5" s="1"/>
  <c r="A2579" i="5"/>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5" i="5" s="1"/>
  <c r="A2617" i="5" s="1"/>
  <c r="A2619" i="5" s="1"/>
  <c r="A2621" i="5" s="1"/>
  <c r="A2623" i="5" s="1"/>
  <c r="A2625" i="5" s="1"/>
  <c r="A69" i="5"/>
  <c r="A70" i="5" s="1"/>
  <c r="P4409" i="5"/>
  <c r="J4409" i="5"/>
  <c r="A165" i="5"/>
  <c r="A166" i="5" s="1"/>
  <c r="A167" i="5" s="1"/>
  <c r="A168" i="5" s="1"/>
  <c r="A169" i="5" s="1"/>
  <c r="A170" i="5" s="1"/>
  <c r="A171" i="5" s="1"/>
  <c r="A172" i="5" s="1"/>
  <c r="A173" i="5" s="1"/>
  <c r="A174" i="5" s="1"/>
  <c r="A175" i="5" s="1"/>
  <c r="A176" i="5" s="1"/>
  <c r="A177" i="5" s="1"/>
  <c r="A178" i="5" s="1"/>
  <c r="A179" i="5" s="1"/>
  <c r="A180" i="5" s="1"/>
  <c r="A966" i="5"/>
  <c r="A967" i="5" s="1"/>
  <c r="A968" i="5" s="1"/>
  <c r="A969" i="5" s="1"/>
  <c r="A970" i="5" s="1"/>
  <c r="S43" i="5"/>
  <c r="S46" i="5"/>
  <c r="S48" i="5"/>
  <c r="S56" i="5"/>
  <c r="S83" i="5"/>
  <c r="S96" i="5"/>
  <c r="S108" i="5"/>
  <c r="S115" i="5"/>
  <c r="S118" i="5"/>
  <c r="S124" i="5"/>
  <c r="S128" i="5"/>
  <c r="S150" i="5"/>
  <c r="S152" i="5"/>
  <c r="S156" i="5"/>
  <c r="S162" i="5"/>
  <c r="S164" i="5"/>
  <c r="S165" i="5"/>
  <c r="S172" i="5"/>
  <c r="S174" i="5"/>
  <c r="S176" i="5"/>
  <c r="S178" i="5"/>
  <c r="S187" i="5"/>
  <c r="S189" i="5"/>
  <c r="S208" i="5"/>
  <c r="S217" i="5"/>
  <c r="S221" i="5"/>
  <c r="S275" i="5"/>
  <c r="S288" i="5"/>
  <c r="S295" i="5"/>
  <c r="S300" i="5"/>
  <c r="S302" i="5"/>
  <c r="S324" i="5"/>
  <c r="S328" i="5"/>
  <c r="S341" i="5"/>
  <c r="S381" i="5"/>
  <c r="S386" i="5"/>
  <c r="S388" i="5"/>
  <c r="S390" i="5"/>
  <c r="S401" i="5"/>
  <c r="S403" i="5"/>
  <c r="S411" i="5"/>
  <c r="S425" i="5"/>
  <c r="S437" i="5"/>
  <c r="S465" i="5"/>
  <c r="S471" i="5"/>
  <c r="S22" i="5"/>
  <c r="S28" i="5"/>
  <c r="S31" i="5"/>
  <c r="S37" i="5"/>
  <c r="S39" i="5"/>
  <c r="S52" i="5"/>
  <c r="S57" i="5"/>
  <c r="S59" i="5"/>
  <c r="S75" i="5"/>
  <c r="S89" i="5"/>
  <c r="S94" i="5"/>
  <c r="S138" i="5"/>
  <c r="S183" i="5"/>
  <c r="S201" i="5"/>
  <c r="S206" i="5"/>
  <c r="S215" i="5"/>
  <c r="S224" i="5"/>
  <c r="S226" i="5"/>
  <c r="S228" i="5"/>
  <c r="S231" i="5"/>
  <c r="S239" i="5"/>
  <c r="S242" i="5"/>
  <c r="S244" i="5"/>
  <c r="S258" i="5"/>
  <c r="S262" i="5"/>
  <c r="S267" i="5"/>
  <c r="S270" i="5"/>
  <c r="S278" i="5"/>
  <c r="S281" i="5"/>
  <c r="S283" i="5"/>
  <c r="S286" i="5"/>
  <c r="S303" i="5"/>
  <c r="S334" i="5"/>
  <c r="S337" i="5"/>
  <c r="S361" i="5"/>
  <c r="S397" i="5"/>
  <c r="S406" i="5"/>
  <c r="S409" i="5"/>
  <c r="S419" i="5"/>
  <c r="S421" i="5"/>
  <c r="S447" i="5"/>
  <c r="S452" i="5"/>
  <c r="S467" i="5"/>
  <c r="S472" i="5"/>
  <c r="S476" i="5"/>
  <c r="S489" i="5"/>
  <c r="S15" i="5"/>
  <c r="S26" i="5"/>
  <c r="S55" i="5"/>
  <c r="S81" i="5"/>
  <c r="S91" i="5"/>
  <c r="S104" i="5"/>
  <c r="S110" i="5"/>
  <c r="S119" i="5"/>
  <c r="S123" i="5"/>
  <c r="S130" i="5"/>
  <c r="S132" i="5"/>
  <c r="S137" i="5"/>
  <c r="S149" i="5"/>
  <c r="S153" i="5"/>
  <c r="S155" i="5"/>
  <c r="S157" i="5"/>
  <c r="S168" i="5"/>
  <c r="S171" i="5"/>
  <c r="S173" i="5"/>
  <c r="S181" i="5"/>
  <c r="S195" i="5"/>
  <c r="S204" i="5"/>
  <c r="S216" i="5"/>
  <c r="S220" i="5"/>
  <c r="S252" i="5"/>
  <c r="S289" i="5"/>
  <c r="S301" i="5"/>
  <c r="S306" i="5"/>
  <c r="S317" i="5"/>
  <c r="S338" i="5"/>
  <c r="S340" i="5"/>
  <c r="S356" i="5"/>
  <c r="S383" i="5"/>
  <c r="S387" i="5"/>
  <c r="S389" i="5"/>
  <c r="S400" i="5"/>
  <c r="S410" i="5"/>
  <c r="S412" i="5"/>
  <c r="S414" i="5"/>
  <c r="S416" i="5"/>
  <c r="S444" i="5"/>
  <c r="S458" i="5"/>
  <c r="S468" i="5"/>
  <c r="S473" i="5"/>
  <c r="S19" i="5"/>
  <c r="S30" i="5"/>
  <c r="S32" i="5"/>
  <c r="S42" i="5"/>
  <c r="S74" i="5"/>
  <c r="S77" i="5"/>
  <c r="S92" i="5"/>
  <c r="S95" i="5"/>
  <c r="S107" i="5"/>
  <c r="S111" i="5"/>
  <c r="S126" i="5"/>
  <c r="S135" i="5"/>
  <c r="S160" i="5"/>
  <c r="S193" i="5"/>
  <c r="S198" i="5"/>
  <c r="S200" i="5"/>
  <c r="S202" i="5"/>
  <c r="S219" i="5"/>
  <c r="S225" i="5"/>
  <c r="S227" i="5"/>
  <c r="S229" i="5"/>
  <c r="S238" i="5"/>
  <c r="S253" i="5"/>
  <c r="S255" i="5"/>
  <c r="S257" i="5"/>
  <c r="S261" i="5"/>
  <c r="S265" i="5"/>
  <c r="S268" i="5"/>
  <c r="S285" i="5"/>
  <c r="S311" i="5"/>
  <c r="S315" i="5"/>
  <c r="S318" i="5"/>
  <c r="S323" i="5"/>
  <c r="S327" i="5"/>
  <c r="S330" i="5"/>
  <c r="S352" i="5"/>
  <c r="S375" i="5"/>
  <c r="S377" i="5"/>
  <c r="S384" i="5"/>
  <c r="S391" i="5"/>
  <c r="S432" i="5"/>
  <c r="S441" i="5"/>
  <c r="S445" i="5"/>
  <c r="S449" i="5"/>
  <c r="S454" i="5"/>
  <c r="S459" i="5"/>
  <c r="S463" i="5"/>
  <c r="S487" i="5"/>
  <c r="L2529" i="5"/>
  <c r="R2573" i="5"/>
  <c r="R2577" i="5"/>
  <c r="L2581" i="5"/>
  <c r="R2583" i="5"/>
  <c r="L2587" i="5"/>
  <c r="R2591" i="5"/>
  <c r="R2595" i="5"/>
  <c r="L2537" i="5"/>
  <c r="S2537" i="5" s="1"/>
  <c r="R2569" i="5"/>
  <c r="R2574" i="5"/>
  <c r="L2578" i="5"/>
  <c r="L2584" i="5"/>
  <c r="R2588" i="5"/>
  <c r="R2592" i="5"/>
  <c r="R2596" i="5"/>
  <c r="R2600" i="5"/>
  <c r="L2535" i="5"/>
  <c r="S2535" i="5" s="1"/>
  <c r="R2538" i="5"/>
  <c r="R2575" i="5"/>
  <c r="R2579" i="5"/>
  <c r="R2589" i="5"/>
  <c r="R2593" i="5"/>
  <c r="L2597" i="5"/>
  <c r="R2576" i="5"/>
  <c r="L2580" i="5"/>
  <c r="R2590" i="5"/>
  <c r="R2594" i="5"/>
  <c r="R479" i="5"/>
  <c r="R49" i="5"/>
  <c r="L4553" i="5"/>
  <c r="R4553" i="5"/>
  <c r="L2849" i="5"/>
  <c r="R2849" i="5"/>
  <c r="O4259" i="5"/>
  <c r="R4259" i="5"/>
  <c r="C319" i="2"/>
  <c r="C327" i="2"/>
  <c r="A2923" i="5"/>
  <c r="A2925" i="5" s="1"/>
  <c r="A2927" i="5" s="1"/>
  <c r="A2929" i="5" s="1"/>
  <c r="A2926" i="5"/>
  <c r="A2928" i="5" s="1"/>
  <c r="A2943" i="5"/>
  <c r="A2944" i="5" s="1"/>
  <c r="A2945" i="5" s="1"/>
  <c r="R180" i="5"/>
  <c r="L479" i="5"/>
  <c r="L185" i="5"/>
  <c r="R191" i="5"/>
  <c r="L284" i="5"/>
  <c r="L293" i="5"/>
  <c r="L309" i="5"/>
  <c r="L49" i="5"/>
  <c r="R362" i="5"/>
  <c r="C334" i="2"/>
  <c r="A573" i="5"/>
  <c r="A574" i="5" s="1"/>
  <c r="A361" i="1"/>
  <c r="A362" i="1" s="1"/>
  <c r="A363" i="1" s="1"/>
  <c r="A364" i="1" s="1"/>
  <c r="A365" i="1" s="1"/>
  <c r="A366" i="1" s="1"/>
  <c r="R2345" i="5"/>
  <c r="L2345" i="5"/>
  <c r="H184" i="2"/>
  <c r="C320" i="2"/>
  <c r="C333" i="2"/>
  <c r="C324" i="2"/>
  <c r="H72" i="2"/>
  <c r="S2846" i="5"/>
  <c r="S2850" i="5"/>
  <c r="S2845" i="5"/>
  <c r="S2847" i="5"/>
  <c r="A3627" i="5"/>
  <c r="A3628" i="5" s="1"/>
  <c r="A3629" i="5" s="1"/>
  <c r="A3630" i="5" s="1"/>
  <c r="A3631" i="5" s="1"/>
  <c r="A3632" i="5" s="1"/>
  <c r="A3633" i="5" s="1"/>
  <c r="A3634" i="5" s="1"/>
  <c r="A3635" i="5" s="1"/>
  <c r="A3636" i="5" s="1"/>
  <c r="A3637" i="5" s="1"/>
  <c r="A2291" i="5"/>
  <c r="A2292" i="5" s="1"/>
  <c r="A2293" i="5" s="1"/>
  <c r="S2494" i="5"/>
  <c r="J2113" i="5"/>
  <c r="P2113" i="5"/>
  <c r="A2849" i="5"/>
  <c r="A2850" i="5" s="1"/>
  <c r="A2851" i="5" s="1"/>
  <c r="A2852" i="5" s="1"/>
  <c r="A2854" i="5" s="1"/>
  <c r="A2855" i="5" s="1"/>
  <c r="A2856" i="5" s="1"/>
  <c r="A2857" i="5" s="1"/>
  <c r="S2725" i="5"/>
  <c r="H172" i="2"/>
  <c r="H143" i="2"/>
  <c r="A2397" i="5"/>
  <c r="A2398" i="5" s="1"/>
  <c r="L603" i="5"/>
  <c r="F214" i="2"/>
  <c r="C143" i="2"/>
  <c r="R2905" i="5"/>
  <c r="L2905" i="5"/>
  <c r="F208" i="2"/>
  <c r="L2900" i="5"/>
  <c r="L2903" i="5"/>
  <c r="R2899" i="5"/>
  <c r="L2899" i="5"/>
  <c r="C132" i="2"/>
  <c r="H126" i="2"/>
  <c r="I104" i="1"/>
  <c r="L3396" i="5"/>
  <c r="L3030" i="5"/>
  <c r="L2996" i="5"/>
  <c r="R3979" i="5"/>
  <c r="C121" i="2"/>
  <c r="H155" i="2"/>
  <c r="C323" i="2"/>
  <c r="C330" i="2"/>
  <c r="C142" i="2"/>
  <c r="C332" i="2"/>
  <c r="A273" i="5"/>
  <c r="A274" i="5" s="1"/>
  <c r="A275" i="5" s="1"/>
  <c r="A276" i="5" s="1"/>
  <c r="A278" i="5" s="1"/>
  <c r="A280" i="5" s="1"/>
  <c r="A281" i="5" s="1"/>
  <c r="A282" i="5" s="1"/>
  <c r="A283" i="5" s="1"/>
  <c r="A284" i="5" s="1"/>
  <c r="A285" i="5" s="1"/>
  <c r="A286" i="5" s="1"/>
  <c r="A288" i="5" s="1"/>
  <c r="A289" i="5" s="1"/>
  <c r="A290" i="5" s="1"/>
  <c r="A291" i="5" s="1"/>
  <c r="A292" i="5" s="1"/>
  <c r="R3014" i="5"/>
  <c r="R3005" i="5"/>
  <c r="L3005" i="5"/>
  <c r="O3279" i="5"/>
  <c r="T3279" i="5" s="1"/>
  <c r="H77" i="2"/>
  <c r="P75" i="2"/>
  <c r="P73" i="2"/>
  <c r="C175" i="2"/>
  <c r="C155" i="2"/>
  <c r="S3435" i="5"/>
  <c r="S3432" i="5"/>
  <c r="S3431" i="5"/>
  <c r="S3433" i="5"/>
  <c r="F212" i="2"/>
  <c r="H146" i="2"/>
  <c r="C172" i="2"/>
  <c r="O4204" i="5"/>
  <c r="H69" i="2"/>
  <c r="S2541" i="5"/>
  <c r="S2715" i="5"/>
  <c r="D162" i="2"/>
  <c r="C162" i="2"/>
  <c r="L3641" i="5"/>
  <c r="S1063" i="5"/>
  <c r="S1065" i="5"/>
  <c r="S1067" i="5"/>
  <c r="S1069" i="5"/>
  <c r="S1093" i="5"/>
  <c r="S1095" i="5"/>
  <c r="S1097" i="5"/>
  <c r="S1101" i="5"/>
  <c r="S1130" i="5"/>
  <c r="S1153" i="5"/>
  <c r="H11" i="2"/>
  <c r="S1157" i="5"/>
  <c r="C15" i="2"/>
  <c r="S1161" i="5"/>
  <c r="C19" i="2"/>
  <c r="S1165" i="5"/>
  <c r="D23" i="2"/>
  <c r="S1169" i="5"/>
  <c r="C27" i="2"/>
  <c r="S1173" i="5"/>
  <c r="C31" i="2"/>
  <c r="S1177" i="5"/>
  <c r="C35" i="2"/>
  <c r="S1181" i="5"/>
  <c r="H39" i="2"/>
  <c r="S1187" i="5"/>
  <c r="D45" i="2"/>
  <c r="S1190" i="5"/>
  <c r="H48" i="2"/>
  <c r="S1194" i="5"/>
  <c r="C52" i="2"/>
  <c r="S1198" i="5"/>
  <c r="H56" i="2"/>
  <c r="C79" i="2"/>
  <c r="S1398" i="5"/>
  <c r="S1452" i="5"/>
  <c r="M2911" i="5"/>
  <c r="O200" i="2"/>
  <c r="A2813" i="5"/>
  <c r="A2814" i="5" s="1"/>
  <c r="A2815" i="5" s="1"/>
  <c r="A2816" i="5" s="1"/>
  <c r="A2817" i="5" s="1"/>
  <c r="A2818" i="5" s="1"/>
  <c r="A2819" i="5" s="1"/>
  <c r="A2820" i="5" s="1"/>
  <c r="G200" i="2"/>
  <c r="D114" i="2"/>
  <c r="R2676" i="5"/>
  <c r="M2759" i="5"/>
  <c r="D2759" i="5"/>
  <c r="D2522" i="5" s="1"/>
  <c r="A134" i="1"/>
  <c r="A135" i="1" s="1"/>
  <c r="A136" i="1" s="1"/>
  <c r="A2673" i="5"/>
  <c r="A2674" i="5" s="1"/>
  <c r="A2675" i="5" s="1"/>
  <c r="A2676" i="5" s="1"/>
  <c r="A2677" i="5" s="1"/>
  <c r="A2678" i="5" s="1"/>
  <c r="A2679" i="5" s="1"/>
  <c r="A2680" i="5" s="1"/>
  <c r="A2681" i="5" s="1"/>
  <c r="A2682" i="5" s="1"/>
  <c r="A2683" i="5" s="1"/>
  <c r="M2644" i="5"/>
  <c r="R2587" i="5"/>
  <c r="M2627" i="5"/>
  <c r="L2528" i="5"/>
  <c r="M2550" i="5"/>
  <c r="S2447" i="5"/>
  <c r="L2486" i="5"/>
  <c r="L2244" i="5"/>
  <c r="A2207" i="5"/>
  <c r="A2208" i="5" s="1"/>
  <c r="A2209" i="5" s="1"/>
  <c r="A2210" i="5" s="1"/>
  <c r="A2211" i="5" s="1"/>
  <c r="A2212" i="5" s="1"/>
  <c r="A2213"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T4537" i="5"/>
  <c r="L2772" i="5"/>
  <c r="S4292" i="5"/>
  <c r="S2767" i="5"/>
  <c r="A2903" i="5"/>
  <c r="A2904" i="5" s="1"/>
  <c r="A2905" i="5" s="1"/>
  <c r="A2906" i="5" s="1"/>
  <c r="A1398" i="5"/>
  <c r="A1399" i="5" s="1"/>
  <c r="A1400" i="5" s="1"/>
  <c r="F89" i="2"/>
  <c r="C89" i="2"/>
  <c r="A1048" i="5"/>
  <c r="A1049" i="5" s="1"/>
  <c r="A1050" i="5" s="1"/>
  <c r="A1051" i="5" s="1"/>
  <c r="A1052" i="5" s="1"/>
  <c r="A1053" i="5" s="1"/>
  <c r="A1054" i="5" s="1"/>
  <c r="A1055" i="5" s="1"/>
  <c r="S4342" i="5"/>
  <c r="S3420" i="5"/>
  <c r="S2117" i="5"/>
  <c r="S2131" i="5"/>
  <c r="S2217" i="5"/>
  <c r="S2221" i="5"/>
  <c r="S2248" i="5"/>
  <c r="S2271" i="5"/>
  <c r="S2273" i="5"/>
  <c r="S2277" i="5"/>
  <c r="S2287" i="5"/>
  <c r="S2289" i="5"/>
  <c r="S2310" i="5"/>
  <c r="U2312" i="5"/>
  <c r="S2314" i="5"/>
  <c r="S2316" i="5"/>
  <c r="S2333" i="5"/>
  <c r="S2337" i="5"/>
  <c r="S2355" i="5"/>
  <c r="L2359" i="5"/>
  <c r="S2382" i="5"/>
  <c r="S2411" i="5"/>
  <c r="C18" i="2"/>
  <c r="C63" i="2"/>
  <c r="C71" i="2"/>
  <c r="S1168" i="5"/>
  <c r="C26" i="2"/>
  <c r="H26" i="2"/>
  <c r="S1172" i="5"/>
  <c r="C30" i="2"/>
  <c r="S1186" i="5"/>
  <c r="D44" i="2"/>
  <c r="H55" i="2"/>
  <c r="C55" i="2"/>
  <c r="F83" i="2"/>
  <c r="C83" i="2"/>
  <c r="S2128" i="5"/>
  <c r="S2334" i="5"/>
  <c r="D18" i="2"/>
  <c r="C44" i="2"/>
  <c r="C81" i="2"/>
  <c r="S1151" i="5"/>
  <c r="C9" i="2"/>
  <c r="S1156" i="5"/>
  <c r="P14" i="2"/>
  <c r="C14" i="2"/>
  <c r="S1180" i="5"/>
  <c r="C38" i="2"/>
  <c r="H38" i="2"/>
  <c r="S1184" i="5"/>
  <c r="P42" i="2"/>
  <c r="C42" i="2"/>
  <c r="H67" i="2"/>
  <c r="C67" i="2"/>
  <c r="F87" i="2"/>
  <c r="C87" i="2"/>
  <c r="S2130" i="5"/>
  <c r="S2338" i="5"/>
  <c r="S2395" i="5"/>
  <c r="S2455" i="5"/>
  <c r="S2459" i="5"/>
  <c r="T2463" i="5"/>
  <c r="S2467" i="5"/>
  <c r="S2471" i="5"/>
  <c r="S2475" i="5"/>
  <c r="S2479" i="5"/>
  <c r="S2536" i="5"/>
  <c r="C85" i="2"/>
  <c r="S1152" i="5"/>
  <c r="C10" i="2"/>
  <c r="S1164" i="5"/>
  <c r="D22" i="2"/>
  <c r="C22" i="2"/>
  <c r="S1176" i="5"/>
  <c r="C34" i="2"/>
  <c r="H34" i="2"/>
  <c r="H47" i="2"/>
  <c r="C47" i="2"/>
  <c r="H51" i="2"/>
  <c r="C51" i="2"/>
  <c r="H59" i="2"/>
  <c r="C59" i="2"/>
  <c r="S1381" i="5"/>
  <c r="S3421" i="5"/>
  <c r="T2399" i="5"/>
  <c r="S2457" i="5"/>
  <c r="T2461" i="5"/>
  <c r="S2465" i="5"/>
  <c r="S2469" i="5"/>
  <c r="S2473" i="5"/>
  <c r="S2669" i="5"/>
  <c r="C116" i="2"/>
  <c r="C161" i="2"/>
  <c r="H161" i="2"/>
  <c r="H9" i="2"/>
  <c r="C21" i="2"/>
  <c r="P74" i="2"/>
  <c r="C76" i="2"/>
  <c r="A115" i="5"/>
  <c r="A117" i="5" s="1"/>
  <c r="A118" i="5" s="1"/>
  <c r="A119" i="5" s="1"/>
  <c r="A122" i="5" s="1"/>
  <c r="A123" i="5" s="1"/>
  <c r="A124" i="5" s="1"/>
  <c r="A125" i="5" s="1"/>
  <c r="A126" i="5" s="1"/>
  <c r="A127" i="5" s="1"/>
  <c r="A128" i="5" s="1"/>
  <c r="A130" i="5" s="1"/>
  <c r="A131" i="5" s="1"/>
  <c r="A132" i="5" s="1"/>
  <c r="A85" i="5"/>
  <c r="A86" i="5" s="1"/>
  <c r="A87" i="5" s="1"/>
  <c r="A89" i="5" s="1"/>
  <c r="A90" i="5" s="1"/>
  <c r="A91" i="5" s="1"/>
  <c r="L744" i="5"/>
  <c r="L899" i="5"/>
  <c r="H13" i="2"/>
  <c r="C13" i="2"/>
  <c r="H17" i="2"/>
  <c r="C17" i="2"/>
  <c r="H29" i="2"/>
  <c r="C29" i="2"/>
  <c r="S1212" i="5"/>
  <c r="C70" i="2"/>
  <c r="F202" i="2"/>
  <c r="F204" i="2"/>
  <c r="S1058" i="5"/>
  <c r="S1062" i="5"/>
  <c r="S1064" i="5"/>
  <c r="S1066" i="5"/>
  <c r="S1068" i="5"/>
  <c r="S1092" i="5"/>
  <c r="S1094" i="5"/>
  <c r="S1096" i="5"/>
  <c r="S1098" i="5"/>
  <c r="S1100" i="5"/>
  <c r="S1102" i="5"/>
  <c r="S1112" i="5"/>
  <c r="S1116" i="5"/>
  <c r="S1120" i="5"/>
  <c r="S1124" i="5"/>
  <c r="H25" i="2"/>
  <c r="C25" i="2"/>
  <c r="S1175" i="5"/>
  <c r="D33" i="2"/>
  <c r="S1179" i="5"/>
  <c r="C37" i="2"/>
  <c r="H37" i="2"/>
  <c r="S1183" i="5"/>
  <c r="C41" i="2"/>
  <c r="S1192" i="5"/>
  <c r="H50" i="2"/>
  <c r="C50" i="2"/>
  <c r="S1196" i="5"/>
  <c r="C54" i="2"/>
  <c r="H54" i="2"/>
  <c r="S1200" i="5"/>
  <c r="H58" i="2"/>
  <c r="C58" i="2"/>
  <c r="S1204" i="5"/>
  <c r="H62" i="2"/>
  <c r="S1208" i="5"/>
  <c r="H66" i="2"/>
  <c r="C66" i="2"/>
  <c r="C78" i="2"/>
  <c r="H78" i="2"/>
  <c r="C80" i="2"/>
  <c r="A4537" i="5"/>
  <c r="A4538" i="5" s="1"/>
  <c r="A4539" i="5" s="1"/>
  <c r="A4540" i="5" s="1"/>
  <c r="A4541" i="5" s="1"/>
  <c r="A4542" i="5" s="1"/>
  <c r="A4543" i="5" s="1"/>
  <c r="A4544" i="5" s="1"/>
  <c r="A4545" i="5" s="1"/>
  <c r="A4546" i="5" s="1"/>
  <c r="A739" i="5"/>
  <c r="A740" i="5" s="1"/>
  <c r="N226" i="1"/>
  <c r="C69" i="2"/>
  <c r="C46" i="2"/>
  <c r="L4208" i="5"/>
  <c r="T3792" i="5"/>
  <c r="S3874" i="5"/>
  <c r="C318" i="2"/>
  <c r="L4149" i="5"/>
  <c r="S4343" i="5"/>
  <c r="L4602" i="5"/>
  <c r="S2582" i="5"/>
  <c r="S2668" i="5"/>
  <c r="P115" i="2"/>
  <c r="C115" i="2"/>
  <c r="H139" i="2"/>
  <c r="C139" i="2"/>
  <c r="S2702" i="5"/>
  <c r="D149" i="2"/>
  <c r="C149" i="2"/>
  <c r="S2704" i="5"/>
  <c r="P151" i="2"/>
  <c r="S2761" i="5"/>
  <c r="S2765" i="5"/>
  <c r="F205" i="2"/>
  <c r="S4321" i="5"/>
  <c r="S4330" i="5"/>
  <c r="C322" i="2"/>
  <c r="C326" i="2"/>
  <c r="M4098" i="5"/>
  <c r="L4101" i="5"/>
  <c r="S1060" i="5"/>
  <c r="S1073" i="5"/>
  <c r="S1088" i="5"/>
  <c r="S1103" i="5"/>
  <c r="S1162" i="5"/>
  <c r="C20" i="2"/>
  <c r="S1170" i="5"/>
  <c r="C28" i="2"/>
  <c r="S1199" i="5"/>
  <c r="H57" i="2"/>
  <c r="C57" i="2"/>
  <c r="S1203" i="5"/>
  <c r="H61" i="2"/>
  <c r="F84" i="2"/>
  <c r="C84" i="2"/>
  <c r="S1432" i="5"/>
  <c r="S1440" i="5"/>
  <c r="S1446" i="5"/>
  <c r="C61" i="2"/>
  <c r="S1071" i="5"/>
  <c r="S1086" i="5"/>
  <c r="S1166" i="5"/>
  <c r="C24" i="2"/>
  <c r="H24" i="2"/>
  <c r="D32" i="2"/>
  <c r="C32" i="2"/>
  <c r="C36" i="2"/>
  <c r="H36" i="2"/>
  <c r="S1195" i="5"/>
  <c r="H53" i="2"/>
  <c r="C53" i="2"/>
  <c r="S1207" i="5"/>
  <c r="H65" i="2"/>
  <c r="C65" i="2"/>
  <c r="C82" i="2"/>
  <c r="F82" i="2"/>
  <c r="F88" i="2"/>
  <c r="C88" i="2"/>
  <c r="S1434" i="5"/>
  <c r="S1438" i="5"/>
  <c r="S1444" i="5"/>
  <c r="S2332" i="5"/>
  <c r="S2448" i="5"/>
  <c r="P20" i="2"/>
  <c r="H40" i="2"/>
  <c r="S1084" i="5"/>
  <c r="S1090" i="5"/>
  <c r="S1105" i="5"/>
  <c r="S1125" i="5"/>
  <c r="S1137" i="5"/>
  <c r="S1154" i="5"/>
  <c r="C12" i="2"/>
  <c r="S1158" i="5"/>
  <c r="P16" i="2"/>
  <c r="C16" i="2"/>
  <c r="S1185" i="5"/>
  <c r="P43" i="2"/>
  <c r="C43" i="2"/>
  <c r="S1191" i="5"/>
  <c r="H49" i="2"/>
  <c r="C49" i="2"/>
  <c r="F86" i="2"/>
  <c r="C86" i="2"/>
  <c r="S1436" i="5"/>
  <c r="S1442" i="5"/>
  <c r="S3438" i="5"/>
  <c r="S2124" i="5"/>
  <c r="S2336" i="5"/>
  <c r="D28" i="2"/>
  <c r="T3479" i="5"/>
  <c r="S4311" i="5"/>
  <c r="S4315" i="5"/>
  <c r="S4323" i="5"/>
  <c r="S4328" i="5"/>
  <c r="S4337" i="5"/>
  <c r="S4348" i="5"/>
  <c r="S4354" i="5"/>
  <c r="T4568" i="5"/>
  <c r="C316" i="2"/>
  <c r="C317" i="2"/>
  <c r="C321" i="2"/>
  <c r="C325" i="2"/>
  <c r="C329" i="2"/>
  <c r="C331" i="2"/>
  <c r="S2456" i="5"/>
  <c r="S2458" i="5"/>
  <c r="S2460" i="5"/>
  <c r="T2462" i="5"/>
  <c r="S2464" i="5"/>
  <c r="S2466" i="5"/>
  <c r="S2468" i="5"/>
  <c r="S2470" i="5"/>
  <c r="S2472" i="5"/>
  <c r="S2474" i="5"/>
  <c r="S2476" i="5"/>
  <c r="S2501" i="5"/>
  <c r="S2518" i="5"/>
  <c r="S2667" i="5"/>
  <c r="C114" i="2"/>
  <c r="H129" i="2"/>
  <c r="C129" i="2"/>
  <c r="S2688" i="5"/>
  <c r="H135" i="2"/>
  <c r="C135" i="2"/>
  <c r="C156" i="2"/>
  <c r="H156" i="2"/>
  <c r="S2711" i="5"/>
  <c r="C158" i="2"/>
  <c r="H158" i="2"/>
  <c r="S2720" i="5"/>
  <c r="H167" i="2"/>
  <c r="C167" i="2"/>
  <c r="S2730" i="5"/>
  <c r="H177" i="2"/>
  <c r="S2740" i="5"/>
  <c r="H187" i="2"/>
  <c r="C187" i="2"/>
  <c r="S2762" i="5"/>
  <c r="S2766" i="5"/>
  <c r="G2884" i="5"/>
  <c r="N230" i="1"/>
  <c r="N355" i="1"/>
  <c r="A1341" i="5"/>
  <c r="A1342" i="5" s="1"/>
  <c r="A1343" i="5" s="1"/>
  <c r="A1344" i="5" s="1"/>
  <c r="A1345" i="5" s="1"/>
  <c r="A1346" i="5" s="1"/>
  <c r="A1347" i="5" s="1"/>
  <c r="A1348" i="5" s="1"/>
  <c r="A1349" i="5" s="1"/>
  <c r="A1350" i="5" s="1"/>
  <c r="A1351" i="5" s="1"/>
  <c r="A1352" i="5" s="1"/>
  <c r="A1353" i="5" s="1"/>
  <c r="A1354" i="5" s="1"/>
  <c r="A1355" i="5" s="1"/>
  <c r="A1356" i="5" s="1"/>
  <c r="A1357" i="5" s="1"/>
  <c r="A42" i="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31" i="2"/>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1173" i="5"/>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5" i="5" s="1"/>
  <c r="A4659" i="5"/>
  <c r="A4660" i="5" s="1"/>
  <c r="A4661" i="5" s="1"/>
  <c r="A4477" i="5"/>
  <c r="A4478" i="5" s="1"/>
  <c r="A4479" i="5" s="1"/>
  <c r="O3684" i="5"/>
  <c r="O3686" i="5" s="1"/>
  <c r="A2449" i="5"/>
  <c r="A2450" i="5" s="1"/>
  <c r="A2451" i="5" s="1"/>
  <c r="A2452" i="5" s="1"/>
  <c r="A2365" i="5"/>
  <c r="A2366" i="5" s="1"/>
  <c r="A2367" i="5" s="1"/>
  <c r="A2368" i="5" s="1"/>
  <c r="A2369" i="5" s="1"/>
  <c r="A2370" i="5" s="1"/>
  <c r="A2371" i="5" s="1"/>
  <c r="A2372" i="5" s="1"/>
  <c r="A2373" i="5" s="1"/>
  <c r="A3660" i="5"/>
  <c r="A3661" i="5" s="1"/>
  <c r="A3662" i="5" s="1"/>
  <c r="R289" i="5"/>
  <c r="A2340" i="5"/>
  <c r="A2341" i="5" s="1"/>
  <c r="A4517" i="5"/>
  <c r="A4518" i="5" s="1"/>
  <c r="A4519" i="5" s="1"/>
  <c r="A4520" i="5" s="1"/>
  <c r="A4521" i="5" s="1"/>
  <c r="A2310" i="5"/>
  <c r="A2311" i="5" s="1"/>
  <c r="A2312" i="5" s="1"/>
  <c r="A2313" i="5" s="1"/>
  <c r="A2314" i="5" s="1"/>
  <c r="A2315" i="5" s="1"/>
  <c r="A2316" i="5" s="1"/>
  <c r="A2317" i="5" s="1"/>
  <c r="A2318" i="5" s="1"/>
  <c r="S1202" i="5"/>
  <c r="C60" i="2"/>
  <c r="S1206" i="5"/>
  <c r="H64" i="2"/>
  <c r="C64" i="2"/>
  <c r="S1210" i="5"/>
  <c r="D68" i="2"/>
  <c r="C68" i="2"/>
  <c r="S1431" i="5"/>
  <c r="S1433" i="5"/>
  <c r="S1435" i="5"/>
  <c r="S1437" i="5"/>
  <c r="S1439" i="5"/>
  <c r="S1441" i="5"/>
  <c r="S1443" i="5"/>
  <c r="S1445" i="5"/>
  <c r="S1447" i="5"/>
  <c r="S3434" i="5"/>
  <c r="S3436" i="5"/>
  <c r="S3419" i="5"/>
  <c r="S2206" i="5"/>
  <c r="S2207" i="5"/>
  <c r="S2209" i="5"/>
  <c r="S2236" i="5"/>
  <c r="S2272" i="5"/>
  <c r="S2274" i="5"/>
  <c r="S2278" i="5"/>
  <c r="S2284" i="5"/>
  <c r="S2286" i="5"/>
  <c r="S2288" i="5"/>
  <c r="R1371" i="5"/>
  <c r="P3465" i="5"/>
  <c r="P2964" i="5" s="1"/>
  <c r="A945" i="5"/>
  <c r="A946" i="5" s="1"/>
  <c r="A947" i="5" s="1"/>
  <c r="J3872" i="5"/>
  <c r="G520" i="5"/>
  <c r="G12" i="5" s="1"/>
  <c r="L249" i="5"/>
  <c r="A2436" i="5"/>
  <c r="A2437" i="5"/>
  <c r="S4152" i="5"/>
  <c r="A761" i="5"/>
  <c r="A762" i="5" s="1"/>
  <c r="A763" i="5" s="1"/>
  <c r="A764" i="5" s="1"/>
  <c r="A765" i="5" s="1"/>
  <c r="A766" i="5" s="1"/>
  <c r="A767" i="5" s="1"/>
  <c r="A768" i="5" s="1"/>
  <c r="A769" i="5" s="1"/>
  <c r="A770" i="5" s="1"/>
  <c r="D1185" i="5"/>
  <c r="L399" i="5"/>
  <c r="R2816" i="5"/>
  <c r="N2522" i="5"/>
  <c r="M2884" i="5"/>
  <c r="L180" i="5"/>
  <c r="R764" i="5"/>
  <c r="E771" i="5"/>
  <c r="O4035" i="5"/>
  <c r="L4035" i="5" s="1"/>
  <c r="L3895" i="5"/>
  <c r="R4035" i="5"/>
  <c r="A618" i="5"/>
  <c r="A620" i="5" s="1"/>
  <c r="A621" i="5" s="1"/>
  <c r="A622" i="5" s="1"/>
  <c r="A623" i="5" s="1"/>
  <c r="A624" i="5" s="1"/>
  <c r="A625" i="5" s="1"/>
  <c r="A626" i="5" s="1"/>
  <c r="A627" i="5" s="1"/>
  <c r="A628" i="5" s="1"/>
  <c r="A629" i="5" s="1"/>
  <c r="A630" i="5" s="1"/>
  <c r="A631" i="5" s="1"/>
  <c r="A632" i="5" s="1"/>
  <c r="A633" i="5" s="1"/>
  <c r="A635" i="5" s="1"/>
  <c r="A636" i="5" s="1"/>
  <c r="A637" i="5" s="1"/>
  <c r="A639" i="5" s="1"/>
  <c r="A641" i="5" s="1"/>
  <c r="A643" i="5" s="1"/>
  <c r="A644" i="5" s="1"/>
  <c r="A645" i="5" s="1"/>
  <c r="A647" i="5" s="1"/>
  <c r="A649" i="5" s="1"/>
  <c r="A650" i="5" s="1"/>
  <c r="A652" i="5" s="1"/>
  <c r="R4711" i="5"/>
  <c r="R309" i="5"/>
  <c r="R2817" i="5"/>
  <c r="E4550" i="5"/>
  <c r="R843" i="5"/>
  <c r="R2955" i="5"/>
  <c r="E793" i="5"/>
  <c r="D1184" i="5"/>
  <c r="L2328" i="5"/>
  <c r="S2328" i="5" s="1"/>
  <c r="N236" i="1"/>
  <c r="O93" i="2"/>
  <c r="R185" i="5"/>
  <c r="L191" i="5"/>
  <c r="R284" i="5"/>
  <c r="R293" i="5"/>
  <c r="L362" i="5"/>
  <c r="J520" i="5"/>
  <c r="J12" i="5" s="1"/>
  <c r="R936" i="5"/>
  <c r="D2407" i="5"/>
  <c r="D2408" i="5" s="1"/>
  <c r="O3950" i="5"/>
  <c r="M520" i="5"/>
  <c r="D663" i="5"/>
  <c r="D678" i="5" s="1"/>
  <c r="G844" i="5"/>
  <c r="M959" i="5"/>
  <c r="D2328" i="5"/>
  <c r="D2342" i="5" s="1"/>
  <c r="R2811" i="5"/>
  <c r="G4132" i="5"/>
  <c r="D791" i="5"/>
  <c r="D793" i="5" s="1"/>
  <c r="E1236" i="5"/>
  <c r="E1023" i="5" s="1"/>
  <c r="R1602" i="5"/>
  <c r="D4544" i="5"/>
  <c r="D4550" i="5" s="1"/>
  <c r="G2825" i="5"/>
  <c r="S4153" i="5"/>
  <c r="G4187" i="5"/>
  <c r="L3888" i="5"/>
  <c r="L4762" i="5"/>
  <c r="H30" i="2"/>
  <c r="S4329" i="5"/>
  <c r="L3366" i="5"/>
  <c r="L3365" i="5"/>
  <c r="R3359" i="5"/>
  <c r="N522" i="5"/>
  <c r="O3605" i="5"/>
  <c r="O3606" i="5" s="1"/>
  <c r="L3410" i="5"/>
  <c r="J3465" i="5"/>
  <c r="J1023" i="5"/>
  <c r="P1023" i="5"/>
  <c r="L3603" i="5"/>
  <c r="L4332" i="5"/>
  <c r="L4334" i="5"/>
  <c r="L2637" i="5"/>
  <c r="D603" i="5"/>
  <c r="E686" i="5"/>
  <c r="D680" i="5"/>
  <c r="D686" i="5" s="1"/>
  <c r="L698" i="5"/>
  <c r="O3134" i="5"/>
  <c r="O3014" i="5"/>
  <c r="R3187" i="5"/>
  <c r="O3404" i="5"/>
  <c r="O3406" i="5"/>
  <c r="R3132" i="5"/>
  <c r="L3389" i="5"/>
  <c r="O522" i="5"/>
  <c r="P522" i="5"/>
  <c r="L4206" i="5"/>
  <c r="Q522" i="5"/>
  <c r="J522" i="5"/>
  <c r="R2638" i="5"/>
  <c r="L2721" i="5"/>
  <c r="O2342" i="5"/>
  <c r="L3889" i="5"/>
  <c r="O2294" i="5"/>
  <c r="L2430" i="5"/>
  <c r="O3242" i="5"/>
  <c r="R4597" i="5"/>
  <c r="F216" i="2"/>
  <c r="S2477" i="5"/>
  <c r="R3879" i="5"/>
  <c r="L3922" i="5"/>
  <c r="L2775" i="5"/>
  <c r="L3344" i="5"/>
  <c r="D3611" i="5"/>
  <c r="L3675" i="5"/>
  <c r="R3681" i="5"/>
  <c r="R4504" i="5"/>
  <c r="L4517" i="5"/>
  <c r="S4517" i="5" s="1"/>
  <c r="L4597" i="5"/>
  <c r="N1023" i="5"/>
  <c r="S2127" i="5"/>
  <c r="L3226" i="5"/>
  <c r="L2025" i="5"/>
  <c r="S2025" i="5" s="1"/>
  <c r="D3736" i="5"/>
  <c r="L3741" i="5"/>
  <c r="R4482" i="5"/>
  <c r="L4495" i="5"/>
  <c r="S4495" i="5" s="1"/>
  <c r="L4515" i="5"/>
  <c r="S4515" i="5" s="1"/>
  <c r="L4518" i="5"/>
  <c r="S4518" i="5" s="1"/>
  <c r="L4598" i="5"/>
  <c r="S2208" i="5"/>
  <c r="L1430" i="5"/>
  <c r="R2529" i="5"/>
  <c r="L2639" i="5"/>
  <c r="R2828" i="5"/>
  <c r="R2928" i="5"/>
  <c r="R3930" i="5"/>
  <c r="L4298" i="5"/>
  <c r="L4310" i="5"/>
  <c r="L4634" i="5"/>
  <c r="S2496" i="5"/>
  <c r="L2569" i="5"/>
  <c r="L2731" i="5"/>
  <c r="L2878" i="5"/>
  <c r="R3212" i="5"/>
  <c r="O3281" i="5"/>
  <c r="L3281" i="5" s="1"/>
  <c r="O3287" i="5"/>
  <c r="O3309" i="5"/>
  <c r="L3309" i="5" s="1"/>
  <c r="O3342" i="5"/>
  <c r="R3357" i="5"/>
  <c r="R3688" i="5"/>
  <c r="O4042" i="5"/>
  <c r="L4042" i="5" s="1"/>
  <c r="L4229" i="5"/>
  <c r="M4632" i="5"/>
  <c r="D2383" i="5"/>
  <c r="M2830" i="5"/>
  <c r="R3124" i="5"/>
  <c r="R3162" i="5"/>
  <c r="O3166" i="5"/>
  <c r="L3166" i="5" s="1"/>
  <c r="O3229" i="5"/>
  <c r="T3229" i="5" s="1"/>
  <c r="R4042" i="5"/>
  <c r="R4204" i="5"/>
  <c r="R4241" i="5"/>
  <c r="R4630" i="5"/>
  <c r="R4668" i="5"/>
  <c r="L849" i="5"/>
  <c r="R890" i="5"/>
  <c r="M1023" i="5"/>
  <c r="O2297" i="5"/>
  <c r="R2535" i="5"/>
  <c r="L2573" i="5"/>
  <c r="E2522" i="5"/>
  <c r="R2714" i="5"/>
  <c r="L2719" i="5"/>
  <c r="L3189" i="5"/>
  <c r="R3313" i="5"/>
  <c r="R3689" i="5"/>
  <c r="R4063" i="5"/>
  <c r="Q4262" i="5"/>
  <c r="R540" i="5"/>
  <c r="R537" i="5"/>
  <c r="R558" i="5"/>
  <c r="R565" i="5"/>
  <c r="D2250" i="5"/>
  <c r="L2331" i="5"/>
  <c r="J2522" i="5"/>
  <c r="L2575" i="5"/>
  <c r="L2596" i="5"/>
  <c r="L2707" i="5"/>
  <c r="O3153" i="5"/>
  <c r="T3153" i="5" s="1"/>
  <c r="L3180" i="5"/>
  <c r="L3183" i="5"/>
  <c r="L3217" i="5"/>
  <c r="R3219" i="5"/>
  <c r="R3300" i="5"/>
  <c r="L3330" i="5"/>
  <c r="R3383" i="5"/>
  <c r="M4563" i="5"/>
  <c r="O3109" i="5"/>
  <c r="T3109" i="5" s="1"/>
  <c r="R3118" i="5"/>
  <c r="O3128" i="5"/>
  <c r="L3128" i="5" s="1"/>
  <c r="R3151" i="5"/>
  <c r="O3311" i="5"/>
  <c r="T3311" i="5" s="1"/>
  <c r="L3315" i="5"/>
  <c r="O3318" i="5"/>
  <c r="L3326" i="5"/>
  <c r="O3328" i="5"/>
  <c r="O3359" i="5"/>
  <c r="L3359" i="5" s="1"/>
  <c r="R3683" i="5"/>
  <c r="Q3695" i="5"/>
  <c r="Q3767" i="5"/>
  <c r="L3776" i="5"/>
  <c r="O3931" i="5"/>
  <c r="L3931" i="5" s="1"/>
  <c r="O3979" i="5"/>
  <c r="O4057" i="5"/>
  <c r="L4057" i="5" s="1"/>
  <c r="M4141" i="5"/>
  <c r="R4233" i="5"/>
  <c r="Q4239" i="5"/>
  <c r="L4239" i="5" s="1"/>
  <c r="L4261" i="5"/>
  <c r="O4262" i="5"/>
  <c r="L4500" i="5"/>
  <c r="S4500" i="5" s="1"/>
  <c r="M4628" i="5"/>
  <c r="G4662" i="5"/>
  <c r="O4665" i="5"/>
  <c r="Q1422" i="5"/>
  <c r="Y1422" i="5" s="1"/>
  <c r="L1455" i="5"/>
  <c r="M2347" i="5"/>
  <c r="O2356" i="5"/>
  <c r="L2594" i="5"/>
  <c r="L2631" i="5"/>
  <c r="R2900" i="5"/>
  <c r="R3107" i="5"/>
  <c r="O3246" i="5"/>
  <c r="L3254" i="5"/>
  <c r="O3278" i="5"/>
  <c r="L3278" i="5" s="1"/>
  <c r="L3294" i="5"/>
  <c r="R3764" i="5"/>
  <c r="R3765" i="5"/>
  <c r="L793" i="5"/>
  <c r="L798" i="5"/>
  <c r="Q1252" i="5"/>
  <c r="Y1252" i="5" s="1"/>
  <c r="M2297" i="5"/>
  <c r="L2405" i="5"/>
  <c r="L2955" i="5"/>
  <c r="L3258" i="5"/>
  <c r="O3261" i="5"/>
  <c r="R3298" i="5"/>
  <c r="O3300" i="5"/>
  <c r="L3300" i="5" s="1"/>
  <c r="R3307" i="5"/>
  <c r="L3364" i="5"/>
  <c r="R3378" i="5"/>
  <c r="L3761" i="5"/>
  <c r="E3764" i="5"/>
  <c r="E3765" i="5"/>
  <c r="R3928" i="5"/>
  <c r="R3995" i="5"/>
  <c r="O4014" i="5"/>
  <c r="L4014" i="5" s="1"/>
  <c r="O4038" i="5"/>
  <c r="L4038" i="5" s="1"/>
  <c r="R4072" i="5"/>
  <c r="S4167" i="5"/>
  <c r="S4168" i="5"/>
  <c r="R4254" i="5"/>
  <c r="O4257" i="5"/>
  <c r="Q4259" i="5"/>
  <c r="L4308" i="5"/>
  <c r="L4690" i="5"/>
  <c r="G93" i="2"/>
  <c r="G893" i="5"/>
  <c r="S2233" i="5"/>
  <c r="D694" i="5"/>
  <c r="G813" i="5"/>
  <c r="L907" i="5"/>
  <c r="D975" i="5"/>
  <c r="D985" i="5"/>
  <c r="S2234" i="5"/>
  <c r="R576" i="5"/>
  <c r="R811" i="5"/>
  <c r="S2220" i="5"/>
  <c r="S2129" i="5"/>
  <c r="L2356" i="5"/>
  <c r="L2577" i="5"/>
  <c r="L2579" i="5"/>
  <c r="L2678" i="5"/>
  <c r="R2679" i="5"/>
  <c r="R2682" i="5"/>
  <c r="R2695" i="5"/>
  <c r="L2717" i="5"/>
  <c r="R2737" i="5"/>
  <c r="L2925" i="5"/>
  <c r="R2960" i="5"/>
  <c r="R3115" i="5"/>
  <c r="R2993" i="5"/>
  <c r="L3124" i="5"/>
  <c r="O3126" i="5"/>
  <c r="T3126" i="5" s="1"/>
  <c r="L3132" i="5"/>
  <c r="R3143" i="5"/>
  <c r="L3148" i="5"/>
  <c r="R3157" i="5"/>
  <c r="L3160" i="5"/>
  <c r="R3172" i="5"/>
  <c r="O3175" i="5"/>
  <c r="T3175" i="5" s="1"/>
  <c r="O3296" i="5"/>
  <c r="R3296" i="5"/>
  <c r="L1408" i="5"/>
  <c r="D2257" i="5"/>
  <c r="D2350" i="5"/>
  <c r="S2349" i="5"/>
  <c r="R2364" i="5"/>
  <c r="R2382" i="5"/>
  <c r="S2386" i="5"/>
  <c r="L2538" i="5"/>
  <c r="L2593" i="5"/>
  <c r="L2600" i="5"/>
  <c r="L2724" i="5"/>
  <c r="L2877" i="5"/>
  <c r="R3160" i="5"/>
  <c r="R3165" i="5"/>
  <c r="R3179" i="5"/>
  <c r="O3191" i="5"/>
  <c r="T3191" i="5" s="1"/>
  <c r="R3194" i="5"/>
  <c r="R3207" i="5"/>
  <c r="R3213" i="5"/>
  <c r="R3224" i="5"/>
  <c r="R3226" i="5"/>
  <c r="L3236" i="5"/>
  <c r="R3238" i="5"/>
  <c r="R3247" i="5"/>
  <c r="R3254" i="5"/>
  <c r="O3257" i="5"/>
  <c r="L3257" i="5" s="1"/>
  <c r="L3268" i="5"/>
  <c r="L3275" i="5"/>
  <c r="R3282" i="5"/>
  <c r="R3287" i="5"/>
  <c r="L1406" i="5"/>
  <c r="L1462" i="5"/>
  <c r="T2377" i="5"/>
  <c r="R2380" i="5"/>
  <c r="R2572" i="5"/>
  <c r="O3136" i="5"/>
  <c r="T3136" i="5" s="1"/>
  <c r="R2020" i="5"/>
  <c r="L3184" i="5"/>
  <c r="O3187" i="5"/>
  <c r="L3187" i="5" s="1"/>
  <c r="L3193" i="5"/>
  <c r="L3243" i="5"/>
  <c r="R3260" i="5"/>
  <c r="L3262" i="5"/>
  <c r="R3268" i="5"/>
  <c r="O3283" i="5"/>
  <c r="T3283" i="5" s="1"/>
  <c r="L1310" i="5"/>
  <c r="S2222" i="5"/>
  <c r="R2255" i="5"/>
  <c r="L2365" i="5"/>
  <c r="L2633" i="5"/>
  <c r="L2927" i="5"/>
  <c r="L2929" i="5"/>
  <c r="R2962" i="5"/>
  <c r="R3102" i="5"/>
  <c r="R3120" i="5"/>
  <c r="R3138" i="5"/>
  <c r="L3188" i="5"/>
  <c r="L3195" i="5"/>
  <c r="O3197" i="5"/>
  <c r="L3197" i="5" s="1"/>
  <c r="R3217" i="5"/>
  <c r="L3219" i="5"/>
  <c r="O3221" i="5"/>
  <c r="T3221" i="5" s="1"/>
  <c r="R3243" i="5"/>
  <c r="R3262" i="5"/>
  <c r="L3264" i="5"/>
  <c r="O3267" i="5"/>
  <c r="L3267" i="5" s="1"/>
  <c r="R3319" i="5"/>
  <c r="O3689" i="5"/>
  <c r="L3689" i="5" s="1"/>
  <c r="Q3707" i="5"/>
  <c r="O3728" i="5"/>
  <c r="L3730" i="5"/>
  <c r="R3842" i="5"/>
  <c r="M3861" i="5"/>
  <c r="O3860" i="5"/>
  <c r="L3860" i="5" s="1"/>
  <c r="L3919" i="5"/>
  <c r="O3928" i="5"/>
  <c r="L3928" i="5" s="1"/>
  <c r="R3950" i="5"/>
  <c r="R4008" i="5"/>
  <c r="O4019" i="5"/>
  <c r="L4019" i="5" s="1"/>
  <c r="C262" i="2"/>
  <c r="R4033" i="5"/>
  <c r="R4039" i="5"/>
  <c r="O4045" i="5"/>
  <c r="L4045" i="5" s="1"/>
  <c r="O4062" i="5"/>
  <c r="L4062" i="5" s="1"/>
  <c r="L4097" i="5"/>
  <c r="S4169" i="5"/>
  <c r="O4205" i="5"/>
  <c r="M4275" i="5"/>
  <c r="L4291" i="5"/>
  <c r="L4301" i="5"/>
  <c r="L4473" i="5"/>
  <c r="L4497" i="5"/>
  <c r="S4497" i="5" s="1"/>
  <c r="L4546" i="5"/>
  <c r="L4547" i="5"/>
  <c r="L4555" i="5"/>
  <c r="M4752" i="5"/>
  <c r="L3688" i="5"/>
  <c r="M3845" i="5"/>
  <c r="R3860" i="5"/>
  <c r="O3879" i="5"/>
  <c r="L3879" i="5" s="1"/>
  <c r="L3886" i="5"/>
  <c r="Q4244" i="5"/>
  <c r="L4244" i="5" s="1"/>
  <c r="Q4246" i="5"/>
  <c r="L4246" i="5" s="1"/>
  <c r="R4248" i="5"/>
  <c r="Q4250" i="5"/>
  <c r="L4250" i="5" s="1"/>
  <c r="Q4252" i="5"/>
  <c r="L4252" i="5" s="1"/>
  <c r="R4546" i="5"/>
  <c r="R4547" i="5"/>
  <c r="D4643" i="5"/>
  <c r="D4662" i="5" s="1"/>
  <c r="L4678" i="5"/>
  <c r="L4692" i="5"/>
  <c r="D4728" i="5"/>
  <c r="D4676" i="5" s="1"/>
  <c r="R4730" i="5"/>
  <c r="R3310" i="5"/>
  <c r="O3323" i="5"/>
  <c r="L3363" i="5"/>
  <c r="L3378" i="5"/>
  <c r="L3679" i="5"/>
  <c r="R3997" i="5"/>
  <c r="O4005" i="5"/>
  <c r="L4005" i="5" s="1"/>
  <c r="R4047" i="5"/>
  <c r="N4050" i="5"/>
  <c r="R4068" i="5"/>
  <c r="O4070" i="5"/>
  <c r="L4070" i="5" s="1"/>
  <c r="R4160" i="5"/>
  <c r="R4162" i="5"/>
  <c r="R4244" i="5"/>
  <c r="R4246" i="5"/>
  <c r="R4250" i="5"/>
  <c r="S4294" i="5"/>
  <c r="L4474" i="5"/>
  <c r="Q4484" i="5"/>
  <c r="L4486" i="5"/>
  <c r="S4486" i="5" s="1"/>
  <c r="R4500" i="5"/>
  <c r="L4521" i="5"/>
  <c r="S4521" i="5" s="1"/>
  <c r="L4522" i="5"/>
  <c r="S4522" i="5" s="1"/>
  <c r="R4537" i="5"/>
  <c r="R4565" i="5"/>
  <c r="L4669" i="5"/>
  <c r="R4678" i="5"/>
  <c r="O3314" i="5"/>
  <c r="L3319" i="5"/>
  <c r="R3323" i="5"/>
  <c r="R3674" i="5"/>
  <c r="L3677" i="5"/>
  <c r="L3746" i="5"/>
  <c r="N3842" i="5"/>
  <c r="N3845" i="5" s="1"/>
  <c r="R3931" i="5"/>
  <c r="R4050" i="5"/>
  <c r="R4191" i="5"/>
  <c r="M4607" i="5"/>
  <c r="R4609" i="5"/>
  <c r="L4668" i="5"/>
  <c r="R4669" i="5"/>
  <c r="Q4758" i="5"/>
  <c r="S4758" i="5" s="1"/>
  <c r="M699" i="5"/>
  <c r="Q1462" i="5"/>
  <c r="S2132" i="5"/>
  <c r="S2435" i="5"/>
  <c r="R962" i="5"/>
  <c r="S1131" i="5"/>
  <c r="S2237" i="5"/>
  <c r="S2283" i="5"/>
  <c r="L893" i="5"/>
  <c r="R892" i="5"/>
  <c r="L1236" i="5"/>
  <c r="Q1265" i="5"/>
  <c r="Y1265" i="5" s="1"/>
  <c r="Q1312" i="5"/>
  <c r="Y1312" i="5" s="1"/>
  <c r="Q1316" i="5"/>
  <c r="Y1316" i="5" s="1"/>
  <c r="Q1361" i="5"/>
  <c r="Y1361" i="5" s="1"/>
  <c r="S3437" i="5"/>
  <c r="S3425" i="5"/>
  <c r="R808" i="5"/>
  <c r="L813" i="5"/>
  <c r="L1306" i="5"/>
  <c r="Q1378" i="5"/>
  <c r="Y1378" i="5" s="1"/>
  <c r="S2238" i="5"/>
  <c r="S2229" i="5"/>
  <c r="S2230" i="5"/>
  <c r="O2301" i="5"/>
  <c r="L2741" i="5"/>
  <c r="R2741" i="5"/>
  <c r="L2259" i="5"/>
  <c r="R2300" i="5"/>
  <c r="S2311" i="5"/>
  <c r="S2312" i="5"/>
  <c r="D2356" i="5"/>
  <c r="M2374" i="5"/>
  <c r="L2361" i="5"/>
  <c r="D2399" i="5"/>
  <c r="D2402" i="5" s="1"/>
  <c r="S2399" i="5"/>
  <c r="E2505" i="5"/>
  <c r="E2113" i="5" s="1"/>
  <c r="M2510" i="5"/>
  <c r="L2509" i="5"/>
  <c r="R2578" i="5"/>
  <c r="R2580" i="5"/>
  <c r="L2586" i="5"/>
  <c r="L2588" i="5"/>
  <c r="L2591" i="5"/>
  <c r="R2597" i="5"/>
  <c r="R2598" i="5"/>
  <c r="L2673" i="5"/>
  <c r="R2674" i="5"/>
  <c r="L2691" i="5"/>
  <c r="R2692" i="5"/>
  <c r="L2698" i="5"/>
  <c r="R2699" i="5"/>
  <c r="R2702" i="5"/>
  <c r="L2723" i="5"/>
  <c r="R2728" i="5"/>
  <c r="Q2113" i="5"/>
  <c r="S2211" i="5"/>
  <c r="S2212" i="5"/>
  <c r="R2361" i="5"/>
  <c r="R2381" i="5"/>
  <c r="L2393" i="5"/>
  <c r="S2396" i="5"/>
  <c r="L2412" i="5"/>
  <c r="S2419" i="5"/>
  <c r="S2461" i="5"/>
  <c r="L2507" i="5"/>
  <c r="R2509" i="5"/>
  <c r="L2574" i="5"/>
  <c r="L2576" i="5"/>
  <c r="R2584" i="5"/>
  <c r="L2595" i="5"/>
  <c r="L2634" i="5"/>
  <c r="R2635" i="5"/>
  <c r="L2672" i="5"/>
  <c r="L2684" i="5"/>
  <c r="R2685" i="5"/>
  <c r="L2690" i="5"/>
  <c r="R2709" i="5"/>
  <c r="L2716" i="5"/>
  <c r="L2736" i="5"/>
  <c r="S2210" i="5"/>
  <c r="M2257" i="5"/>
  <c r="L2270" i="5"/>
  <c r="S2515" i="5"/>
  <c r="L2583" i="5"/>
  <c r="L2592" i="5"/>
  <c r="L2675" i="5"/>
  <c r="L2726" i="5"/>
  <c r="R2738" i="5"/>
  <c r="L2738" i="5"/>
  <c r="O2794" i="5"/>
  <c r="M2794" i="5"/>
  <c r="R2879" i="5"/>
  <c r="M2919" i="5"/>
  <c r="R3130" i="5"/>
  <c r="L3138" i="5"/>
  <c r="R3140" i="5"/>
  <c r="L3157" i="5"/>
  <c r="L3162" i="5"/>
  <c r="R3170" i="5"/>
  <c r="R3177" i="5"/>
  <c r="O3181" i="5"/>
  <c r="L3185" i="5"/>
  <c r="O3196" i="5"/>
  <c r="R3201" i="5"/>
  <c r="R3202" i="5"/>
  <c r="O3205" i="5"/>
  <c r="L3205" i="5" s="1"/>
  <c r="R3210" i="5"/>
  <c r="R3214" i="5"/>
  <c r="L3224" i="5"/>
  <c r="R3231" i="5"/>
  <c r="R3232" i="5"/>
  <c r="O3237" i="5"/>
  <c r="L3237" i="5" s="1"/>
  <c r="L3239" i="5"/>
  <c r="O3248" i="5"/>
  <c r="L3256" i="5"/>
  <c r="O3259" i="5"/>
  <c r="L3259" i="5" s="1"/>
  <c r="O3265" i="5"/>
  <c r="L3288" i="5"/>
  <c r="O3292" i="5"/>
  <c r="T3292" i="5" s="1"/>
  <c r="L3293" i="5"/>
  <c r="O3302" i="5"/>
  <c r="L3304" i="5"/>
  <c r="R3315" i="5"/>
  <c r="L3317" i="5"/>
  <c r="O3320" i="5"/>
  <c r="L3331" i="5"/>
  <c r="R3342" i="5"/>
  <c r="R3346" i="5"/>
  <c r="L3346" i="5"/>
  <c r="L3348" i="5"/>
  <c r="R3362" i="5"/>
  <c r="O3362" i="5"/>
  <c r="M2776" i="5"/>
  <c r="R2904" i="5"/>
  <c r="M2930" i="5"/>
  <c r="R2922" i="5"/>
  <c r="O3105" i="5"/>
  <c r="L3113" i="5"/>
  <c r="O3244" i="5"/>
  <c r="R3250" i="5"/>
  <c r="O3252" i="5"/>
  <c r="T3252" i="5" s="1"/>
  <c r="R3256" i="5"/>
  <c r="L3272" i="5"/>
  <c r="R3279" i="5"/>
  <c r="L3297" i="5"/>
  <c r="L3299" i="5"/>
  <c r="L3045" i="5"/>
  <c r="R3317" i="5"/>
  <c r="R3343" i="5"/>
  <c r="R3348" i="5"/>
  <c r="O3350" i="5"/>
  <c r="T3350" i="5" s="1"/>
  <c r="M2780" i="5"/>
  <c r="Q2825" i="5"/>
  <c r="M2836" i="5"/>
  <c r="M2880" i="5"/>
  <c r="R2901" i="5"/>
  <c r="R2921" i="5"/>
  <c r="R2959" i="5"/>
  <c r="R2961" i="5"/>
  <c r="O3107" i="5"/>
  <c r="L3107" i="5" s="1"/>
  <c r="O3118" i="5"/>
  <c r="L3118" i="5" s="1"/>
  <c r="L2993" i="5"/>
  <c r="L3123" i="5"/>
  <c r="O3130" i="5"/>
  <c r="L3130" i="5" s="1"/>
  <c r="O3140" i="5"/>
  <c r="L3140" i="5" s="1"/>
  <c r="L3159" i="5"/>
  <c r="O3170" i="5"/>
  <c r="L3170" i="5" s="1"/>
  <c r="O3171" i="5"/>
  <c r="O3177" i="5"/>
  <c r="L3182" i="5"/>
  <c r="R3184" i="5"/>
  <c r="O3202" i="5"/>
  <c r="T3202" i="5" s="1"/>
  <c r="R3206" i="5"/>
  <c r="L3209" i="5"/>
  <c r="O3211" i="5"/>
  <c r="L3211" i="5" s="1"/>
  <c r="L3215" i="5"/>
  <c r="R3218" i="5"/>
  <c r="O3231" i="5"/>
  <c r="O3255" i="5"/>
  <c r="L3255" i="5" s="1"/>
  <c r="R3258" i="5"/>
  <c r="L3260" i="5"/>
  <c r="L3263" i="5"/>
  <c r="R3264" i="5"/>
  <c r="L3266" i="5"/>
  <c r="L3269" i="5"/>
  <c r="L3276" i="5"/>
  <c r="O3306" i="5"/>
  <c r="O3316" i="5"/>
  <c r="R3321" i="5"/>
  <c r="L3324" i="5"/>
  <c r="O3327" i="5"/>
  <c r="L3327" i="5" s="1"/>
  <c r="O3343" i="5"/>
  <c r="T3343" i="5" s="1"/>
  <c r="O3349" i="5"/>
  <c r="T3349" i="5" s="1"/>
  <c r="R3350" i="5"/>
  <c r="R3360" i="5"/>
  <c r="O3360" i="5"/>
  <c r="L2926" i="5"/>
  <c r="L2939" i="5"/>
  <c r="R3111" i="5"/>
  <c r="L3116" i="5"/>
  <c r="L3120" i="5"/>
  <c r="R3142" i="5"/>
  <c r="L3143" i="5"/>
  <c r="R3147" i="5"/>
  <c r="O3161" i="5"/>
  <c r="R3182" i="5"/>
  <c r="L3208" i="5"/>
  <c r="L3210" i="5"/>
  <c r="L3232" i="5"/>
  <c r="L3240" i="5"/>
  <c r="R3266" i="5"/>
  <c r="R3361" i="5"/>
  <c r="O3361" i="5"/>
  <c r="O3100" i="5"/>
  <c r="L3099" i="5" s="1"/>
  <c r="L3376" i="5"/>
  <c r="L2026" i="5"/>
  <c r="S2026" i="5" s="1"/>
  <c r="O3395" i="5"/>
  <c r="L3395" i="5" s="1"/>
  <c r="R3598" i="5"/>
  <c r="L3654" i="5"/>
  <c r="O3666" i="5"/>
  <c r="R3691" i="5"/>
  <c r="R3698" i="5"/>
  <c r="L3705" i="5"/>
  <c r="Q3728" i="5"/>
  <c r="L3718" i="5"/>
  <c r="L3719" i="5"/>
  <c r="R3741" i="5"/>
  <c r="E3822" i="5"/>
  <c r="R3840" i="5"/>
  <c r="R3946" i="5"/>
  <c r="O3995" i="5"/>
  <c r="L3995" i="5" s="1"/>
  <c r="O4001" i="5"/>
  <c r="L4001" i="5" s="1"/>
  <c r="R4005" i="5"/>
  <c r="R4010" i="5"/>
  <c r="R4013" i="5"/>
  <c r="O4017" i="5"/>
  <c r="L4017" i="5" s="1"/>
  <c r="R4023" i="5"/>
  <c r="R4058" i="5"/>
  <c r="O4066" i="5"/>
  <c r="L4066" i="5" s="1"/>
  <c r="O4067" i="5"/>
  <c r="L4067" i="5" s="1"/>
  <c r="O3367" i="5"/>
  <c r="T3367" i="5" s="1"/>
  <c r="O3368" i="5"/>
  <c r="O3369" i="5"/>
  <c r="T3369" i="5" s="1"/>
  <c r="Q3644" i="5"/>
  <c r="M4102" i="5"/>
  <c r="R4100" i="5"/>
  <c r="L4100" i="5"/>
  <c r="S4293" i="5"/>
  <c r="R3368" i="5"/>
  <c r="O3385" i="5"/>
  <c r="O3390" i="5"/>
  <c r="L3390" i="5" s="1"/>
  <c r="O3399" i="5"/>
  <c r="O3411" i="5"/>
  <c r="N3598" i="5"/>
  <c r="L3598" i="5" s="1"/>
  <c r="R3676" i="5"/>
  <c r="L3682" i="5"/>
  <c r="O3691" i="5"/>
  <c r="L3691" i="5" s="1"/>
  <c r="L3698" i="5"/>
  <c r="R3716" i="5"/>
  <c r="M3742" i="5"/>
  <c r="L3744" i="5"/>
  <c r="L3760" i="5"/>
  <c r="D3845" i="5"/>
  <c r="L3887" i="5"/>
  <c r="L3917" i="5"/>
  <c r="L3929" i="5"/>
  <c r="L3944" i="5"/>
  <c r="O3946" i="5"/>
  <c r="L3947" i="5"/>
  <c r="R4003" i="5"/>
  <c r="O4021" i="5"/>
  <c r="L4021" i="5" s="1"/>
  <c r="R4026" i="5"/>
  <c r="O4041" i="5"/>
  <c r="L4041" i="5" s="1"/>
  <c r="R4043" i="5"/>
  <c r="O4052" i="5"/>
  <c r="L4052" i="5" s="1"/>
  <c r="R4060" i="5"/>
  <c r="R4101" i="5"/>
  <c r="Q4108" i="5"/>
  <c r="O3356" i="5"/>
  <c r="L3371" i="5"/>
  <c r="L3615" i="5"/>
  <c r="Q3666" i="5"/>
  <c r="Q3670" i="5"/>
  <c r="M3703" i="5"/>
  <c r="L3710" i="5"/>
  <c r="L3712" i="5"/>
  <c r="R3713" i="5"/>
  <c r="R3715" i="5"/>
  <c r="D3838" i="5"/>
  <c r="R4159" i="5"/>
  <c r="S4166" i="5"/>
  <c r="L4183" i="5"/>
  <c r="R4228" i="5"/>
  <c r="Q4242" i="5"/>
  <c r="L4242" i="5" s="1"/>
  <c r="R4252" i="5"/>
  <c r="Q4257" i="5"/>
  <c r="S4286" i="5"/>
  <c r="S4297" i="5"/>
  <c r="E4468" i="5"/>
  <c r="M4480" i="5"/>
  <c r="R4473" i="5"/>
  <c r="L4504" i="5"/>
  <c r="S4504" i="5" s="1"/>
  <c r="E4563" i="5"/>
  <c r="M4583" i="5"/>
  <c r="R4611" i="5"/>
  <c r="M4665" i="5"/>
  <c r="O4671" i="5"/>
  <c r="M4674" i="5"/>
  <c r="M4732" i="5"/>
  <c r="M4237" i="5"/>
  <c r="Q4254" i="5"/>
  <c r="L4254" i="5" s="1"/>
  <c r="R4272" i="5"/>
  <c r="L4285" i="5"/>
  <c r="L4287" i="5"/>
  <c r="L4289" i="5"/>
  <c r="S4295" i="5"/>
  <c r="L4516" i="5"/>
  <c r="S4516" i="5" s="1"/>
  <c r="L4519" i="5"/>
  <c r="S4519" i="5" s="1"/>
  <c r="D4557" i="5"/>
  <c r="R4555" i="5"/>
  <c r="N4569" i="5"/>
  <c r="M4612" i="5"/>
  <c r="M4184" i="5"/>
  <c r="M4266" i="5"/>
  <c r="N4501" i="5"/>
  <c r="R4495" i="5"/>
  <c r="M4501" i="5"/>
  <c r="G4550" i="5"/>
  <c r="O4579" i="5"/>
  <c r="T4601" i="5"/>
  <c r="L4611" i="5"/>
  <c r="R4622" i="5"/>
  <c r="N4639" i="5"/>
  <c r="Q4665" i="5"/>
  <c r="Q4674" i="5"/>
  <c r="O4766" i="5"/>
  <c r="M4095" i="5"/>
  <c r="M4108" i="5"/>
  <c r="L4116" i="5"/>
  <c r="R4165" i="5"/>
  <c r="L4181" i="5"/>
  <c r="L4182" i="5"/>
  <c r="G4468" i="5"/>
  <c r="R4474" i="5"/>
  <c r="L4520" i="5"/>
  <c r="S4520" i="5" s="1"/>
  <c r="L4543" i="5"/>
  <c r="R4673" i="5"/>
  <c r="S4728" i="5"/>
  <c r="Q4766" i="5"/>
  <c r="S2275" i="5"/>
  <c r="T2436" i="5"/>
  <c r="S2436" i="5"/>
  <c r="S2513" i="5"/>
  <c r="S2542" i="5"/>
  <c r="Q93" i="2"/>
  <c r="L1252" i="5"/>
  <c r="S2218" i="5"/>
  <c r="S2223" i="5"/>
  <c r="S2235" i="5"/>
  <c r="S2280" i="5"/>
  <c r="S2363" i="5"/>
  <c r="L2520" i="5"/>
  <c r="S2512" i="5"/>
  <c r="S2516" i="5"/>
  <c r="S2598" i="5"/>
  <c r="L1265" i="5"/>
  <c r="L1316" i="5"/>
  <c r="S2123" i="5"/>
  <c r="S2125" i="5"/>
  <c r="S2247" i="5"/>
  <c r="S2276" i="5"/>
  <c r="S2340" i="5"/>
  <c r="T2478" i="5"/>
  <c r="S2478" i="5"/>
  <c r="S2279" i="5"/>
  <c r="S2285" i="5"/>
  <c r="S2364" i="5"/>
  <c r="S2632" i="5"/>
  <c r="L748" i="5"/>
  <c r="L855" i="5"/>
  <c r="L885" i="5"/>
  <c r="G975" i="5"/>
  <c r="S1393" i="5"/>
  <c r="O1401" i="5"/>
  <c r="O1023" i="5" s="1"/>
  <c r="T2355" i="5"/>
  <c r="R2363" i="5"/>
  <c r="L2378" i="5"/>
  <c r="G2383" i="5"/>
  <c r="L2428" i="5"/>
  <c r="T2435" i="5"/>
  <c r="O2439" i="5"/>
  <c r="L2497" i="5"/>
  <c r="O2520" i="5"/>
  <c r="O2550" i="5"/>
  <c r="R2537" i="5"/>
  <c r="L2570" i="5"/>
  <c r="R2581" i="5"/>
  <c r="L2585" i="5"/>
  <c r="L2599" i="5"/>
  <c r="R2632" i="5"/>
  <c r="R2636" i="5"/>
  <c r="L2636" i="5"/>
  <c r="S2638" i="5"/>
  <c r="L2671" i="5"/>
  <c r="R2671" i="5"/>
  <c r="R2689" i="5"/>
  <c r="L2689" i="5"/>
  <c r="L2697" i="5"/>
  <c r="R2697" i="5"/>
  <c r="L2706" i="5"/>
  <c r="R2706" i="5"/>
  <c r="L2713" i="5"/>
  <c r="R2713" i="5"/>
  <c r="S2714" i="5"/>
  <c r="R562" i="5"/>
  <c r="R577" i="5"/>
  <c r="R804" i="5"/>
  <c r="R807" i="5"/>
  <c r="R961" i="5"/>
  <c r="S1213" i="5"/>
  <c r="L1254" i="5"/>
  <c r="L1374" i="5"/>
  <c r="S1390" i="5"/>
  <c r="R1601" i="5"/>
  <c r="S2224" i="5"/>
  <c r="S2225" i="5"/>
  <c r="S2226" i="5"/>
  <c r="S2227" i="5"/>
  <c r="S2231" i="5"/>
  <c r="O2250" i="5"/>
  <c r="S2317" i="5"/>
  <c r="S2352" i="5"/>
  <c r="R2353" i="5"/>
  <c r="R2358" i="5"/>
  <c r="G2359" i="5"/>
  <c r="R2362" i="5"/>
  <c r="L2380" i="5"/>
  <c r="S2385" i="5"/>
  <c r="S2397" i="5"/>
  <c r="S2398" i="5"/>
  <c r="O2402" i="5"/>
  <c r="S2407" i="5"/>
  <c r="S2410" i="5"/>
  <c r="M2417" i="5"/>
  <c r="S2426" i="5"/>
  <c r="S2431" i="5"/>
  <c r="L2439" i="5"/>
  <c r="S2462" i="5"/>
  <c r="T2472" i="5"/>
  <c r="S2495" i="5"/>
  <c r="L2499" i="5"/>
  <c r="R2508" i="5"/>
  <c r="R2528" i="5"/>
  <c r="R2530" i="5"/>
  <c r="R2570" i="5"/>
  <c r="R2585" i="5"/>
  <c r="L2589" i="5"/>
  <c r="L2590" i="5"/>
  <c r="R2599" i="5"/>
  <c r="O2644" i="5"/>
  <c r="L2681" i="5"/>
  <c r="R2681" i="5"/>
  <c r="S2682" i="5"/>
  <c r="L2687" i="5"/>
  <c r="R2687" i="5"/>
  <c r="L2694" i="5"/>
  <c r="R2694" i="5"/>
  <c r="S2695" i="5"/>
  <c r="S2709" i="5"/>
  <c r="S2737" i="5"/>
  <c r="L3644" i="5"/>
  <c r="R567" i="5"/>
  <c r="R574" i="5"/>
  <c r="L678" i="5"/>
  <c r="L741" i="5"/>
  <c r="L775" i="5"/>
  <c r="D800" i="5"/>
  <c r="D801" i="5" s="1"/>
  <c r="L801" i="5"/>
  <c r="R803" i="5"/>
  <c r="R806" i="5"/>
  <c r="S1128" i="5"/>
  <c r="S1129" i="5"/>
  <c r="S1133" i="5"/>
  <c r="S1134" i="5"/>
  <c r="S1215" i="5"/>
  <c r="L1256" i="5"/>
  <c r="Q1259" i="5"/>
  <c r="Y1259" i="5" s="1"/>
  <c r="L1319" i="5"/>
  <c r="L1368" i="5"/>
  <c r="S1383" i="5"/>
  <c r="S1384" i="5"/>
  <c r="S1385" i="5"/>
  <c r="S1386" i="5"/>
  <c r="S1395" i="5"/>
  <c r="S1396" i="5"/>
  <c r="S1397" i="5"/>
  <c r="S1424" i="5"/>
  <c r="S1425" i="5"/>
  <c r="S1426" i="5"/>
  <c r="S1427" i="5"/>
  <c r="S1428" i="5"/>
  <c r="S1429" i="5"/>
  <c r="S1448" i="5"/>
  <c r="S1449" i="5"/>
  <c r="S1450" i="5"/>
  <c r="S1451" i="5"/>
  <c r="S3429" i="5"/>
  <c r="S3418" i="5"/>
  <c r="S3426" i="5"/>
  <c r="S3427" i="5"/>
  <c r="S3428" i="5"/>
  <c r="S2126" i="5"/>
  <c r="S2133" i="5"/>
  <c r="S2134" i="5"/>
  <c r="S2135" i="5"/>
  <c r="S2136" i="5"/>
  <c r="S2219" i="5"/>
  <c r="S2228" i="5"/>
  <c r="S2232" i="5"/>
  <c r="L2250" i="5"/>
  <c r="S2252" i="5"/>
  <c r="L2257" i="5"/>
  <c r="S2262" i="5"/>
  <c r="S2263" i="5"/>
  <c r="S2264" i="5"/>
  <c r="S2265" i="5"/>
  <c r="S2266" i="5"/>
  <c r="S2267" i="5"/>
  <c r="S2268" i="5"/>
  <c r="S2269" i="5"/>
  <c r="S2281" i="5"/>
  <c r="S2282" i="5"/>
  <c r="S2303" i="5"/>
  <c r="S2304" i="5"/>
  <c r="S2305" i="5"/>
  <c r="S2306" i="5"/>
  <c r="S2307" i="5"/>
  <c r="S2308" i="5"/>
  <c r="S2309" i="5"/>
  <c r="S2324" i="5"/>
  <c r="L2326" i="5"/>
  <c r="S2335" i="5"/>
  <c r="R2344" i="5"/>
  <c r="S2353" i="5"/>
  <c r="S2354" i="5"/>
  <c r="S2358" i="5"/>
  <c r="S2377" i="5"/>
  <c r="L2402" i="5"/>
  <c r="R2422" i="5"/>
  <c r="S2434" i="5"/>
  <c r="L2442" i="5"/>
  <c r="S2463" i="5"/>
  <c r="S2480" i="5"/>
  <c r="S2502" i="5"/>
  <c r="S2503" i="5"/>
  <c r="S2514" i="5"/>
  <c r="L2527" i="5"/>
  <c r="S2531" i="5"/>
  <c r="S2532" i="5"/>
  <c r="S2533" i="5"/>
  <c r="S2534" i="5"/>
  <c r="S2539" i="5"/>
  <c r="S2540" i="5"/>
  <c r="S2543" i="5"/>
  <c r="R2568" i="5"/>
  <c r="S2635" i="5"/>
  <c r="S2679" i="5"/>
  <c r="S2685" i="5"/>
  <c r="S2692" i="5"/>
  <c r="L2701" i="5"/>
  <c r="R2701" i="5"/>
  <c r="S2728" i="5"/>
  <c r="L694" i="5"/>
  <c r="G809" i="5"/>
  <c r="S896" i="5"/>
  <c r="L903" i="5"/>
  <c r="L2119" i="5"/>
  <c r="G2356" i="5"/>
  <c r="T2473" i="5"/>
  <c r="S2674" i="5"/>
  <c r="L2677" i="5"/>
  <c r="R2677" i="5"/>
  <c r="L2683" i="5"/>
  <c r="R2683" i="5"/>
  <c r="L2718" i="5"/>
  <c r="R2718" i="5"/>
  <c r="N3692" i="5"/>
  <c r="L2680" i="5"/>
  <c r="L2686" i="5"/>
  <c r="L2693" i="5"/>
  <c r="L2700" i="5"/>
  <c r="L2703" i="5"/>
  <c r="L2705" i="5"/>
  <c r="L2710" i="5"/>
  <c r="L2712" i="5"/>
  <c r="R2722" i="5"/>
  <c r="R2727" i="5"/>
  <c r="R2732" i="5"/>
  <c r="L2734" i="5"/>
  <c r="R2735" i="5"/>
  <c r="L2742" i="5"/>
  <c r="R2743" i="5"/>
  <c r="L2774" i="5"/>
  <c r="R2778" i="5"/>
  <c r="L2820" i="5"/>
  <c r="L2848" i="5"/>
  <c r="L2851" i="5"/>
  <c r="R2882" i="5"/>
  <c r="L2921" i="5"/>
  <c r="R2924" i="5"/>
  <c r="O2953" i="5"/>
  <c r="L3103" i="5"/>
  <c r="L3104" i="5"/>
  <c r="L3106" i="5"/>
  <c r="L3108" i="5"/>
  <c r="L3110" i="5"/>
  <c r="L3114" i="5"/>
  <c r="R3119" i="5"/>
  <c r="L3121" i="5"/>
  <c r="R3122" i="5"/>
  <c r="L3125" i="5"/>
  <c r="L3127" i="5"/>
  <c r="L3129" i="5"/>
  <c r="L3131" i="5"/>
  <c r="L3133" i="5"/>
  <c r="L3135" i="5"/>
  <c r="L3139" i="5"/>
  <c r="R3141" i="5"/>
  <c r="L3145" i="5"/>
  <c r="R3146" i="5"/>
  <c r="L3149" i="5"/>
  <c r="L3152" i="5"/>
  <c r="L3154" i="5"/>
  <c r="L2018" i="5"/>
  <c r="S2018" i="5" s="1"/>
  <c r="R2019" i="5"/>
  <c r="R3161" i="5"/>
  <c r="L3164" i="5"/>
  <c r="R3166" i="5"/>
  <c r="L3169" i="5"/>
  <c r="R3171" i="5"/>
  <c r="L3174" i="5"/>
  <c r="L3176" i="5"/>
  <c r="R3178" i="5"/>
  <c r="R3181" i="5"/>
  <c r="L3186" i="5"/>
  <c r="L3190" i="5"/>
  <c r="R3192" i="5"/>
  <c r="R3196" i="5"/>
  <c r="R3197" i="5"/>
  <c r="L3204" i="5"/>
  <c r="R3205" i="5"/>
  <c r="R3211" i="5"/>
  <c r="R3216" i="5"/>
  <c r="L3220" i="5"/>
  <c r="L3222" i="5"/>
  <c r="L3223" i="5"/>
  <c r="L3225" i="5"/>
  <c r="R2023" i="5"/>
  <c r="L3234" i="5"/>
  <c r="L3235" i="5"/>
  <c r="R3237" i="5"/>
  <c r="R3242" i="5"/>
  <c r="R3244" i="5"/>
  <c r="R3246" i="5"/>
  <c r="R3249" i="5"/>
  <c r="L3251" i="5"/>
  <c r="R3253" i="5"/>
  <c r="R3255" i="5"/>
  <c r="R3257" i="5"/>
  <c r="R3259" i="5"/>
  <c r="R3261" i="5"/>
  <c r="R2024" i="5"/>
  <c r="R3265" i="5"/>
  <c r="R3267" i="5"/>
  <c r="L3273" i="5"/>
  <c r="L3274" i="5"/>
  <c r="R3278" i="5"/>
  <c r="R3281" i="5"/>
  <c r="L3284" i="5"/>
  <c r="L3286" i="5"/>
  <c r="L3291" i="5"/>
  <c r="R3295" i="5"/>
  <c r="R3297" i="5"/>
  <c r="L3301" i="5"/>
  <c r="L3303" i="5"/>
  <c r="L3305" i="5"/>
  <c r="R3306" i="5"/>
  <c r="R3047" i="5"/>
  <c r="R3308" i="5"/>
  <c r="R3309" i="5"/>
  <c r="L3312" i="5"/>
  <c r="R3314" i="5"/>
  <c r="R3316" i="5"/>
  <c r="R3318" i="5"/>
  <c r="R3320" i="5"/>
  <c r="L3325" i="5"/>
  <c r="R3327" i="5"/>
  <c r="L3329" i="5"/>
  <c r="L3332" i="5"/>
  <c r="L3334" i="5"/>
  <c r="L3337" i="5"/>
  <c r="L3338" i="5"/>
  <c r="L3339" i="5"/>
  <c r="R3347" i="5"/>
  <c r="L3352" i="5"/>
  <c r="R3354" i="5"/>
  <c r="R3372" i="5"/>
  <c r="R3374" i="5"/>
  <c r="R3377" i="5"/>
  <c r="L3379" i="5"/>
  <c r="R3398" i="5"/>
  <c r="R3401" i="5"/>
  <c r="R3405" i="5"/>
  <c r="R3407" i="5"/>
  <c r="L3658" i="5"/>
  <c r="R3678" i="5"/>
  <c r="D3703" i="5"/>
  <c r="L3699" i="5"/>
  <c r="L3701" i="5"/>
  <c r="O4132" i="5"/>
  <c r="S4340" i="5"/>
  <c r="R2667" i="5"/>
  <c r="L2722" i="5"/>
  <c r="L2727" i="5"/>
  <c r="L2729" i="5"/>
  <c r="L2732" i="5"/>
  <c r="L2735" i="5"/>
  <c r="L2739" i="5"/>
  <c r="L2743" i="5"/>
  <c r="M2786" i="5"/>
  <c r="L2832" i="5"/>
  <c r="M2833" i="5"/>
  <c r="L2886" i="5"/>
  <c r="M2887" i="5"/>
  <c r="L2924" i="5"/>
  <c r="L2956" i="5"/>
  <c r="M2957" i="5"/>
  <c r="R3103" i="5"/>
  <c r="R3104" i="5"/>
  <c r="R3106" i="5"/>
  <c r="R3108" i="5"/>
  <c r="R3110" i="5"/>
  <c r="R3114" i="5"/>
  <c r="R3117" i="5"/>
  <c r="L3119" i="5"/>
  <c r="L3122" i="5"/>
  <c r="R3125" i="5"/>
  <c r="R3127" i="5"/>
  <c r="R3129" i="5"/>
  <c r="R3131" i="5"/>
  <c r="R3133" i="5"/>
  <c r="R3135" i="5"/>
  <c r="R3137" i="5"/>
  <c r="R3139" i="5"/>
  <c r="L3141" i="5"/>
  <c r="L3146" i="5"/>
  <c r="R3150" i="5"/>
  <c r="R3152" i="5"/>
  <c r="R3154" i="5"/>
  <c r="L2019" i="5"/>
  <c r="S2019" i="5" s="1"/>
  <c r="R3163" i="5"/>
  <c r="R3164" i="5"/>
  <c r="R3169" i="5"/>
  <c r="R3174" i="5"/>
  <c r="R3176" i="5"/>
  <c r="L3178" i="5"/>
  <c r="R3186" i="5"/>
  <c r="R3190" i="5"/>
  <c r="L3192" i="5"/>
  <c r="R3204" i="5"/>
  <c r="L3216" i="5"/>
  <c r="R3220" i="5"/>
  <c r="R3222" i="5"/>
  <c r="R3223" i="5"/>
  <c r="R3225" i="5"/>
  <c r="R3227" i="5"/>
  <c r="R3230" i="5"/>
  <c r="L2023" i="5"/>
  <c r="S2023" i="5" s="1"/>
  <c r="R3235" i="5"/>
  <c r="L3249" i="5"/>
  <c r="R3251" i="5"/>
  <c r="L3253" i="5"/>
  <c r="L2024" i="5"/>
  <c r="S2024" i="5" s="1"/>
  <c r="R3271" i="5"/>
  <c r="R3274" i="5"/>
  <c r="R3284" i="5"/>
  <c r="R3286" i="5"/>
  <c r="R3291" i="5"/>
  <c r="L3295" i="5"/>
  <c r="R3301" i="5"/>
  <c r="R3303" i="5"/>
  <c r="R3305" i="5"/>
  <c r="L3047" i="5"/>
  <c r="L3308" i="5"/>
  <c r="R3312" i="5"/>
  <c r="R3325" i="5"/>
  <c r="R3329" i="5"/>
  <c r="R3332" i="5"/>
  <c r="L3333" i="5"/>
  <c r="R3334" i="5"/>
  <c r="O3335" i="5"/>
  <c r="O3336" i="5"/>
  <c r="T3336" i="5" s="1"/>
  <c r="R3337" i="5"/>
  <c r="R3338" i="5"/>
  <c r="R3339" i="5"/>
  <c r="O3340" i="5"/>
  <c r="L3340" i="5" s="1"/>
  <c r="O3341" i="5"/>
  <c r="T3341" i="5" s="1"/>
  <c r="L3345" i="5"/>
  <c r="L3347" i="5"/>
  <c r="R3352" i="5"/>
  <c r="O3353" i="5"/>
  <c r="T3353" i="5" s="1"/>
  <c r="L3354" i="5"/>
  <c r="O3370" i="5"/>
  <c r="L3372" i="5"/>
  <c r="L3374" i="5"/>
  <c r="L3377" i="5"/>
  <c r="R3379" i="5"/>
  <c r="O3380" i="5"/>
  <c r="O3384" i="5"/>
  <c r="L3384" i="5" s="1"/>
  <c r="O3388" i="5"/>
  <c r="L3388" i="5" s="1"/>
  <c r="L3398" i="5"/>
  <c r="L3405" i="5"/>
  <c r="L3407" i="5"/>
  <c r="R3599" i="5"/>
  <c r="M3601" i="5"/>
  <c r="R3604" i="5"/>
  <c r="M3606" i="5"/>
  <c r="L3638" i="5"/>
  <c r="L3668" i="5"/>
  <c r="L3678" i="5"/>
  <c r="R3684" i="5"/>
  <c r="R3690" i="5"/>
  <c r="M3692" i="5"/>
  <c r="D3695" i="5"/>
  <c r="R3697" i="5"/>
  <c r="R3699" i="5"/>
  <c r="R3701" i="5"/>
  <c r="S3894" i="5"/>
  <c r="L3472" i="5"/>
  <c r="R3706" i="5"/>
  <c r="O3742" i="5"/>
  <c r="L3770" i="5"/>
  <c r="S4282" i="5"/>
  <c r="O2780" i="5"/>
  <c r="R2827" i="5"/>
  <c r="O3289" i="5"/>
  <c r="T3289" i="5" s="1"/>
  <c r="R3370" i="5"/>
  <c r="L3611" i="5"/>
  <c r="G3707" i="5"/>
  <c r="R3705" i="5"/>
  <c r="S3893" i="5"/>
  <c r="S4326" i="5"/>
  <c r="T4609" i="5"/>
  <c r="R3709" i="5"/>
  <c r="N3739" i="5"/>
  <c r="G3767" i="5"/>
  <c r="Q3770" i="5"/>
  <c r="D3822" i="5"/>
  <c r="R3877" i="5"/>
  <c r="R3880" i="5"/>
  <c r="R3882" i="5"/>
  <c r="R3884" i="5"/>
  <c r="O3890" i="5"/>
  <c r="L3891" i="5"/>
  <c r="R3892" i="5"/>
  <c r="R3918" i="5"/>
  <c r="R3920" i="5"/>
  <c r="R3921" i="5"/>
  <c r="L3923" i="5"/>
  <c r="R3927" i="5"/>
  <c r="R3945" i="5"/>
  <c r="R3949" i="5"/>
  <c r="O3997" i="5"/>
  <c r="L3997" i="5" s="1"/>
  <c r="R4001" i="5"/>
  <c r="O4003" i="5"/>
  <c r="L4003" i="5" s="1"/>
  <c r="O4008" i="5"/>
  <c r="L4008" i="5" s="1"/>
  <c r="R4014" i="5"/>
  <c r="R4017" i="5"/>
  <c r="R4021" i="5"/>
  <c r="O4023" i="5"/>
  <c r="L4023" i="5" s="1"/>
  <c r="O4026" i="5"/>
  <c r="L4026" i="5" s="1"/>
  <c r="R4030" i="5"/>
  <c r="O4056" i="5"/>
  <c r="L4056" i="5" s="1"/>
  <c r="O4061" i="5"/>
  <c r="L4061" i="5" s="1"/>
  <c r="O4074" i="5"/>
  <c r="L4074" i="5" s="1"/>
  <c r="L4093" i="5"/>
  <c r="L4094" i="5"/>
  <c r="R4097" i="5"/>
  <c r="R4116" i="5"/>
  <c r="S4160" i="5"/>
  <c r="R4166" i="5"/>
  <c r="R4181" i="5"/>
  <c r="R4182" i="5"/>
  <c r="R4183" i="5"/>
  <c r="R4230" i="5"/>
  <c r="L4230" i="5"/>
  <c r="R4253" i="5"/>
  <c r="Q4253" i="5"/>
  <c r="L4253" i="5" s="1"/>
  <c r="R4260" i="5"/>
  <c r="Q4260" i="5"/>
  <c r="L4260" i="5" s="1"/>
  <c r="L4268" i="5"/>
  <c r="O4270" i="5"/>
  <c r="Q4270" i="5"/>
  <c r="L4283" i="5"/>
  <c r="S4296" i="5"/>
  <c r="S4306" i="5"/>
  <c r="S4312" i="5"/>
  <c r="S4317" i="5"/>
  <c r="S4327" i="5"/>
  <c r="S4331" i="5"/>
  <c r="S4339" i="5"/>
  <c r="S4352" i="5"/>
  <c r="R3502" i="5"/>
  <c r="R4496" i="5"/>
  <c r="R4505" i="5"/>
  <c r="L4509" i="5"/>
  <c r="S4509" i="5" s="1"/>
  <c r="L4513" i="5"/>
  <c r="S4513" i="5" s="1"/>
  <c r="N4528" i="5"/>
  <c r="R4541" i="5"/>
  <c r="R4545" i="5"/>
  <c r="T4554" i="5"/>
  <c r="D4563" i="5"/>
  <c r="M4574" i="5"/>
  <c r="R4571" i="5"/>
  <c r="R4604" i="5"/>
  <c r="O4607" i="5"/>
  <c r="R4618" i="5"/>
  <c r="R4631" i="5"/>
  <c r="M4671" i="5"/>
  <c r="L4758" i="5"/>
  <c r="R3720" i="5"/>
  <c r="G3728" i="5"/>
  <c r="R3738" i="5"/>
  <c r="N3740" i="5"/>
  <c r="R3744" i="5"/>
  <c r="L3745" i="5"/>
  <c r="M3747" i="5"/>
  <c r="L3749" i="5"/>
  <c r="L3758" i="5"/>
  <c r="O3762" i="5"/>
  <c r="L3764" i="5"/>
  <c r="O3777" i="5"/>
  <c r="N3779" i="5"/>
  <c r="N3780" i="5" s="1"/>
  <c r="M3780" i="5"/>
  <c r="O3841" i="5"/>
  <c r="L3856" i="5"/>
  <c r="L3858" i="5"/>
  <c r="O3859" i="5"/>
  <c r="L3870" i="5"/>
  <c r="L3877" i="5"/>
  <c r="O3878" i="5"/>
  <c r="L3880" i="5"/>
  <c r="L3881" i="5"/>
  <c r="L3882" i="5"/>
  <c r="L3883" i="5"/>
  <c r="L3884" i="5"/>
  <c r="O3885" i="5"/>
  <c r="R3891" i="5"/>
  <c r="L3896" i="5"/>
  <c r="L3916" i="5"/>
  <c r="L3918" i="5"/>
  <c r="L3920" i="5"/>
  <c r="L3921" i="5"/>
  <c r="R3923" i="5"/>
  <c r="O3924" i="5"/>
  <c r="O3925" i="5"/>
  <c r="O3926" i="5"/>
  <c r="L3927" i="5"/>
  <c r="L3942" i="5"/>
  <c r="L3943" i="5"/>
  <c r="L3945" i="5"/>
  <c r="L3948" i="5"/>
  <c r="R3994" i="5"/>
  <c r="O3996" i="5"/>
  <c r="L3996" i="5" s="1"/>
  <c r="R3998" i="5"/>
  <c r="R4000" i="5"/>
  <c r="O4002" i="5"/>
  <c r="L4002" i="5" s="1"/>
  <c r="R4004" i="5"/>
  <c r="O4006" i="5"/>
  <c r="L4006" i="5" s="1"/>
  <c r="R4009" i="5"/>
  <c r="R4011" i="5"/>
  <c r="R4016" i="5"/>
  <c r="O4018" i="5"/>
  <c r="L4018" i="5" s="1"/>
  <c r="R4020" i="5"/>
  <c r="O4022" i="5"/>
  <c r="L4022" i="5" s="1"/>
  <c r="R4024" i="5"/>
  <c r="R4032" i="5"/>
  <c r="O4034" i="5"/>
  <c r="L4034" i="5" s="1"/>
  <c r="O4040" i="5"/>
  <c r="L4040" i="5" s="1"/>
  <c r="O4044" i="5"/>
  <c r="L4044" i="5" s="1"/>
  <c r="R4046" i="5"/>
  <c r="O4048" i="5"/>
  <c r="L4048" i="5" s="1"/>
  <c r="R4049" i="5"/>
  <c r="R4054" i="5"/>
  <c r="O4060" i="5"/>
  <c r="L4060" i="5" s="1"/>
  <c r="O4065" i="5"/>
  <c r="L4065" i="5" s="1"/>
  <c r="O3982" i="5"/>
  <c r="O4069" i="5"/>
  <c r="L4069" i="5" s="1"/>
  <c r="R4071" i="5"/>
  <c r="O4073" i="5"/>
  <c r="L4073" i="5" s="1"/>
  <c r="R4093" i="5"/>
  <c r="R4094" i="5"/>
  <c r="R4137" i="5"/>
  <c r="L4163" i="5"/>
  <c r="L4164" i="5"/>
  <c r="S4165" i="5"/>
  <c r="R4251" i="5"/>
  <c r="Q4251" i="5"/>
  <c r="L4251" i="5" s="1"/>
  <c r="R4274" i="5"/>
  <c r="L4274" i="5"/>
  <c r="S4288" i="5"/>
  <c r="S4300" i="5"/>
  <c r="S4305" i="5"/>
  <c r="S4307" i="5"/>
  <c r="S4319" i="5"/>
  <c r="S4344" i="5"/>
  <c r="S4346" i="5"/>
  <c r="S4350" i="5"/>
  <c r="R4475" i="5"/>
  <c r="R4498" i="5"/>
  <c r="Q4528" i="5"/>
  <c r="R4540" i="5"/>
  <c r="M4557" i="5"/>
  <c r="R4559" i="5"/>
  <c r="Q4563" i="5"/>
  <c r="T4565" i="5"/>
  <c r="T4567" i="5"/>
  <c r="G4579" i="5"/>
  <c r="T4586" i="5"/>
  <c r="R4644" i="5"/>
  <c r="O4662" i="5"/>
  <c r="R4680" i="5"/>
  <c r="L4680" i="5"/>
  <c r="M4684" i="5"/>
  <c r="M4694" i="5"/>
  <c r="R4686" i="5"/>
  <c r="L4686" i="5"/>
  <c r="S4693" i="5"/>
  <c r="R4737" i="5"/>
  <c r="M4738" i="5"/>
  <c r="Q4738" i="5"/>
  <c r="L3709" i="5"/>
  <c r="R3710" i="5"/>
  <c r="M3733" i="5"/>
  <c r="R3734" i="5"/>
  <c r="G3736" i="5"/>
  <c r="R3745" i="5"/>
  <c r="Q3777" i="5"/>
  <c r="Q3780" i="5"/>
  <c r="L3783" i="5"/>
  <c r="T3787" i="5"/>
  <c r="T3788" i="5"/>
  <c r="R3858" i="5"/>
  <c r="O3892" i="5"/>
  <c r="L3892" i="5" s="1"/>
  <c r="R3896" i="5"/>
  <c r="O4033" i="5"/>
  <c r="L4033" i="5" s="1"/>
  <c r="O4043" i="5"/>
  <c r="L4043" i="5" s="1"/>
  <c r="R4051" i="5"/>
  <c r="O4068" i="5"/>
  <c r="L4068" i="5" s="1"/>
  <c r="O4072" i="5"/>
  <c r="L4072" i="5" s="1"/>
  <c r="R4163" i="5"/>
  <c r="R4226" i="5"/>
  <c r="L4226" i="5"/>
  <c r="O4232" i="5"/>
  <c r="R4243" i="5"/>
  <c r="Q4243" i="5"/>
  <c r="L4243" i="5" s="1"/>
  <c r="Q4256" i="5"/>
  <c r="O4256" i="5"/>
  <c r="Q4258" i="5"/>
  <c r="O4258" i="5"/>
  <c r="R4265" i="5"/>
  <c r="Q4265" i="5"/>
  <c r="L4265" i="5" s="1"/>
  <c r="L4273" i="5"/>
  <c r="R4273" i="5"/>
  <c r="S4304" i="5"/>
  <c r="S4325" i="5"/>
  <c r="S4353" i="5"/>
  <c r="M4468" i="5"/>
  <c r="R4510" i="5"/>
  <c r="Q4511" i="5"/>
  <c r="R4534" i="5"/>
  <c r="R4539" i="5"/>
  <c r="R4556" i="5"/>
  <c r="O4557" i="5"/>
  <c r="T4593" i="5"/>
  <c r="R4635" i="5"/>
  <c r="M4639" i="5"/>
  <c r="O4639" i="5"/>
  <c r="R4641" i="5"/>
  <c r="Q4735" i="5"/>
  <c r="S4735" i="5" s="1"/>
  <c r="L4734" i="5"/>
  <c r="R3735" i="5"/>
  <c r="L3773" i="5"/>
  <c r="L3822" i="5"/>
  <c r="L3838" i="5"/>
  <c r="R3982" i="5"/>
  <c r="L4091" i="5"/>
  <c r="R4207" i="5"/>
  <c r="L4207" i="5"/>
  <c r="R4247" i="5"/>
  <c r="Q4247" i="5"/>
  <c r="L4247" i="5" s="1"/>
  <c r="L4255" i="5"/>
  <c r="R4255" i="5"/>
  <c r="R4269" i="5"/>
  <c r="L4281" i="5"/>
  <c r="S4303" i="5"/>
  <c r="S4336" i="5"/>
  <c r="S4345" i="5"/>
  <c r="S4347" i="5"/>
  <c r="S4349" i="5"/>
  <c r="S4356" i="5"/>
  <c r="L4355" i="5"/>
  <c r="R4471" i="5"/>
  <c r="R4538" i="5"/>
  <c r="R4591" i="5"/>
  <c r="M4595" i="5"/>
  <c r="Q4595" i="5"/>
  <c r="N4595" i="5"/>
  <c r="R4670" i="5"/>
  <c r="N4671" i="5"/>
  <c r="R4741" i="5"/>
  <c r="M4742" i="5"/>
  <c r="M4484" i="5"/>
  <c r="M4507" i="5"/>
  <c r="R4509" i="5"/>
  <c r="M4511" i="5"/>
  <c r="L4514" i="5"/>
  <c r="S4514" i="5" s="1"/>
  <c r="R4543" i="5"/>
  <c r="L4552" i="5"/>
  <c r="Q4569" i="5"/>
  <c r="M4569" i="5"/>
  <c r="L4605" i="5"/>
  <c r="Q4612" i="5"/>
  <c r="G4616" i="5"/>
  <c r="M4662" i="5"/>
  <c r="L4689" i="5"/>
  <c r="L4728" i="5"/>
  <c r="Q4755" i="5"/>
  <c r="S4755" i="5" s="1"/>
  <c r="L4754" i="5"/>
  <c r="S4284" i="5"/>
  <c r="R4552" i="5"/>
  <c r="T4592" i="5"/>
  <c r="R4667" i="5"/>
  <c r="R4688" i="5"/>
  <c r="L4688" i="5"/>
  <c r="R4689" i="5"/>
  <c r="R4750" i="5"/>
  <c r="G4599" i="5"/>
  <c r="L4691" i="5"/>
  <c r="R4751" i="5"/>
  <c r="L4751" i="5"/>
  <c r="Q4732" i="5"/>
  <c r="O4763" i="5"/>
  <c r="R4765" i="5"/>
  <c r="M4763" i="5"/>
  <c r="R4740" i="5"/>
  <c r="S1391" i="5"/>
  <c r="S1392" i="5"/>
  <c r="S1389" i="5"/>
  <c r="S1387" i="5"/>
  <c r="L1401" i="5"/>
  <c r="S1382" i="5"/>
  <c r="L1372" i="5"/>
  <c r="Q1372" i="5"/>
  <c r="Y1372" i="5" s="1"/>
  <c r="S1268" i="5"/>
  <c r="L1274" i="5"/>
  <c r="S1267" i="5"/>
  <c r="S1270" i="5"/>
  <c r="S1272" i="5"/>
  <c r="S1269" i="5"/>
  <c r="S1271" i="5"/>
  <c r="S1273" i="5"/>
  <c r="L1126" i="5"/>
  <c r="Q1274" i="5"/>
  <c r="Y1274" i="5" s="1"/>
  <c r="L531" i="5"/>
  <c r="G603" i="5"/>
  <c r="L809" i="5"/>
  <c r="L841" i="5"/>
  <c r="L975" i="5"/>
  <c r="S1083" i="5"/>
  <c r="S1110" i="5"/>
  <c r="S1114" i="5"/>
  <c r="S1118" i="5"/>
  <c r="S1122" i="5"/>
  <c r="S1223" i="5"/>
  <c r="S1224" i="5"/>
  <c r="S1225" i="5"/>
  <c r="S1226" i="5"/>
  <c r="S1227" i="5"/>
  <c r="S1228" i="5"/>
  <c r="S1229" i="5"/>
  <c r="S1230" i="5"/>
  <c r="S1231" i="5"/>
  <c r="S1232" i="5"/>
  <c r="R547" i="5"/>
  <c r="R549" i="5"/>
  <c r="L686" i="5"/>
  <c r="L872" i="5"/>
  <c r="L998" i="5"/>
  <c r="L1006" i="5"/>
  <c r="S1025" i="5"/>
  <c r="S1026" i="5"/>
  <c r="S1027" i="5"/>
  <c r="S1028" i="5"/>
  <c r="S1029" i="5"/>
  <c r="S1030" i="5"/>
  <c r="S1031" i="5"/>
  <c r="S1032" i="5"/>
  <c r="S1033" i="5"/>
  <c r="S1034" i="5"/>
  <c r="S1035" i="5"/>
  <c r="S1036" i="5"/>
  <c r="S1037" i="5"/>
  <c r="S1038" i="5"/>
  <c r="S1039" i="5"/>
  <c r="S1040" i="5"/>
  <c r="S1041" i="5"/>
  <c r="S1042" i="5"/>
  <c r="S1043" i="5"/>
  <c r="S1044" i="5"/>
  <c r="S1045" i="5"/>
  <c r="S1046" i="5"/>
  <c r="S1047" i="5"/>
  <c r="S1048" i="5"/>
  <c r="S1049" i="5"/>
  <c r="S1050" i="5"/>
  <c r="S1051" i="5"/>
  <c r="S1075" i="5"/>
  <c r="S1076" i="5"/>
  <c r="S1077" i="5"/>
  <c r="S1078" i="5"/>
  <c r="S1079" i="5"/>
  <c r="S1080" i="5"/>
  <c r="S1081" i="5"/>
  <c r="S1082" i="5"/>
  <c r="S1109" i="5"/>
  <c r="S1113" i="5"/>
  <c r="S1117" i="5"/>
  <c r="S1121" i="5"/>
  <c r="S1138" i="5"/>
  <c r="S1139" i="5"/>
  <c r="S1140" i="5"/>
  <c r="S1141" i="5"/>
  <c r="S1142" i="5"/>
  <c r="S1143" i="5"/>
  <c r="S1144" i="5"/>
  <c r="S1155" i="5"/>
  <c r="S1159" i="5"/>
  <c r="S1163" i="5"/>
  <c r="S1167" i="5"/>
  <c r="S1171" i="5"/>
  <c r="S1174" i="5"/>
  <c r="S1178" i="5"/>
  <c r="S1182" i="5"/>
  <c r="S1188" i="5"/>
  <c r="S1189" i="5"/>
  <c r="S1193" i="5"/>
  <c r="S1197" i="5"/>
  <c r="S1201" i="5"/>
  <c r="S1205" i="5"/>
  <c r="S1209" i="5"/>
  <c r="S1216" i="5"/>
  <c r="S1217" i="5"/>
  <c r="S1218" i="5"/>
  <c r="S1219" i="5"/>
  <c r="S1220" i="5"/>
  <c r="S1221" i="5"/>
  <c r="L771" i="5"/>
  <c r="L985" i="5"/>
  <c r="L1021" i="5"/>
  <c r="L1056" i="5"/>
  <c r="L1149" i="5"/>
  <c r="L1248" i="5"/>
  <c r="L1361" i="5"/>
  <c r="S1222" i="5"/>
  <c r="L1304" i="5"/>
  <c r="L2875" i="5" l="1"/>
  <c r="L3401" i="5"/>
  <c r="L3271" i="5"/>
  <c r="L3230" i="5"/>
  <c r="L3150" i="5"/>
  <c r="L3151" i="5"/>
  <c r="L3163" i="5"/>
  <c r="K4772" i="5"/>
  <c r="M4676" i="5"/>
  <c r="S4474" i="5"/>
  <c r="S4473" i="5"/>
  <c r="N4080" i="5"/>
  <c r="L4050" i="5"/>
  <c r="D217" i="2"/>
  <c r="N241" i="1" s="1"/>
  <c r="L3982" i="5"/>
  <c r="A267" i="1"/>
  <c r="A268" i="1" s="1"/>
  <c r="A269" i="1" s="1"/>
  <c r="A270" i="1" s="1"/>
  <c r="A271" i="1" s="1"/>
  <c r="A272" i="1" s="1"/>
  <c r="A273" i="1" s="1"/>
  <c r="A274" i="1" s="1"/>
  <c r="A275" i="1" s="1"/>
  <c r="A276" i="1" s="1"/>
  <c r="A277" i="1" s="1"/>
  <c r="A278" i="1" s="1"/>
  <c r="A279" i="1" s="1"/>
  <c r="A280" i="1" s="1"/>
  <c r="A281" i="1" s="1"/>
  <c r="A282" i="1" s="1"/>
  <c r="A283" i="1" s="1"/>
  <c r="A242" i="2"/>
  <c r="A243" i="2" s="1"/>
  <c r="A244" i="2" s="1"/>
  <c r="A245" i="2" s="1"/>
  <c r="A246" i="2" s="1"/>
  <c r="A247" i="2" s="1"/>
  <c r="A248" i="2" s="1"/>
  <c r="A249" i="2" s="1"/>
  <c r="A250" i="2" s="1"/>
  <c r="A251" i="2" s="1"/>
  <c r="A252" i="2" s="1"/>
  <c r="A253" i="2" s="1"/>
  <c r="A254" i="2" s="1"/>
  <c r="A255" i="2" s="1"/>
  <c r="A256" i="2" s="1"/>
  <c r="A257" i="2" s="1"/>
  <c r="A258" i="2" s="1"/>
  <c r="C306" i="2"/>
  <c r="H306" i="2"/>
  <c r="C267" i="2"/>
  <c r="H267" i="2"/>
  <c r="C266" i="2"/>
  <c r="H266" i="2"/>
  <c r="C258" i="2"/>
  <c r="H258" i="2"/>
  <c r="C242" i="2"/>
  <c r="H242" i="2"/>
  <c r="C234" i="2"/>
  <c r="H234" i="2"/>
  <c r="C287" i="2"/>
  <c r="H287" i="2"/>
  <c r="C255" i="2"/>
  <c r="H255" i="2"/>
  <c r="C229" i="2"/>
  <c r="H229" i="2"/>
  <c r="C270" i="2"/>
  <c r="H270" i="2"/>
  <c r="C281" i="2"/>
  <c r="H281" i="2"/>
  <c r="C271" i="2"/>
  <c r="D271" i="2"/>
  <c r="C269" i="2"/>
  <c r="H269" i="2"/>
  <c r="C302" i="2"/>
  <c r="H302" i="2"/>
  <c r="C285" i="2"/>
  <c r="D285" i="2"/>
  <c r="C265" i="2"/>
  <c r="D265" i="2"/>
  <c r="C257" i="2"/>
  <c r="H257" i="2"/>
  <c r="C250" i="2"/>
  <c r="H250" i="2"/>
  <c r="C238" i="2"/>
  <c r="H238" i="2"/>
  <c r="C232" i="2"/>
  <c r="H232" i="2"/>
  <c r="C249" i="2"/>
  <c r="H249" i="2"/>
  <c r="C251" i="2"/>
  <c r="D251" i="2"/>
  <c r="C228" i="2"/>
  <c r="H228" i="2"/>
  <c r="C292" i="2"/>
  <c r="H292" i="2"/>
  <c r="C246" i="2"/>
  <c r="H246" i="2"/>
  <c r="C276" i="2"/>
  <c r="D276" i="2"/>
  <c r="C264" i="2"/>
  <c r="H264" i="2"/>
  <c r="C260" i="2"/>
  <c r="H260" i="2"/>
  <c r="C237" i="2"/>
  <c r="H237" i="2"/>
  <c r="C231" i="2"/>
  <c r="H231" i="2"/>
  <c r="C273" i="2"/>
  <c r="H273" i="2"/>
  <c r="C283" i="2"/>
  <c r="D283" i="2"/>
  <c r="C241" i="2"/>
  <c r="H241" i="2"/>
  <c r="C297" i="2"/>
  <c r="H297" i="2"/>
  <c r="C235" i="2"/>
  <c r="H235" i="2"/>
  <c r="C239" i="2"/>
  <c r="H239" i="2"/>
  <c r="C248" i="2"/>
  <c r="H248" i="2"/>
  <c r="C244" i="2"/>
  <c r="H244" i="2"/>
  <c r="C277" i="2"/>
  <c r="H277" i="2"/>
  <c r="C294" i="2"/>
  <c r="H294" i="2"/>
  <c r="C288" i="2"/>
  <c r="D288" i="2"/>
  <c r="C254" i="2"/>
  <c r="H254" i="2"/>
  <c r="C245" i="2"/>
  <c r="H245" i="2"/>
  <c r="C280" i="2"/>
  <c r="D280" i="2"/>
  <c r="C259" i="2"/>
  <c r="H259" i="2"/>
  <c r="C305" i="2"/>
  <c r="H305" i="2"/>
  <c r="C233" i="2"/>
  <c r="D233" i="2"/>
  <c r="C289" i="2"/>
  <c r="H289" i="2"/>
  <c r="L3117" i="5"/>
  <c r="L3212" i="5"/>
  <c r="L3137" i="5"/>
  <c r="L3335" i="5"/>
  <c r="T3335" i="5"/>
  <c r="L3385" i="5"/>
  <c r="T3385" i="5"/>
  <c r="L3368" i="5"/>
  <c r="T3368" i="5"/>
  <c r="L3316" i="5"/>
  <c r="T3316" i="5"/>
  <c r="L3171" i="5"/>
  <c r="T3171" i="5"/>
  <c r="L3181" i="5"/>
  <c r="T3181" i="5"/>
  <c r="L3323" i="5"/>
  <c r="T3323" i="5"/>
  <c r="L3246" i="5"/>
  <c r="T3246" i="5"/>
  <c r="L3318" i="5"/>
  <c r="T3318" i="5"/>
  <c r="L3404" i="5"/>
  <c r="T3404" i="5"/>
  <c r="T3118" i="5"/>
  <c r="L3411" i="5"/>
  <c r="T3411" i="5"/>
  <c r="L3306" i="5"/>
  <c r="T3306" i="5"/>
  <c r="L3287" i="5"/>
  <c r="T3287" i="5"/>
  <c r="T3340" i="5"/>
  <c r="T3237" i="5"/>
  <c r="L3356" i="5"/>
  <c r="T3356" i="5"/>
  <c r="L3399" i="5"/>
  <c r="T3399" i="5"/>
  <c r="T3100" i="5"/>
  <c r="L3231" i="5"/>
  <c r="T3231" i="5"/>
  <c r="L3320" i="5"/>
  <c r="T3320" i="5"/>
  <c r="L3196" i="5"/>
  <c r="T3196" i="5"/>
  <c r="L3261" i="5"/>
  <c r="T3261" i="5"/>
  <c r="T3014" i="5"/>
  <c r="T3259" i="5"/>
  <c r="T3281" i="5"/>
  <c r="L3161" i="5"/>
  <c r="T3161" i="5"/>
  <c r="L3177" i="5"/>
  <c r="T3177" i="5"/>
  <c r="L3244" i="5"/>
  <c r="T3244" i="5"/>
  <c r="L3265" i="5"/>
  <c r="T3265" i="5"/>
  <c r="L3314" i="5"/>
  <c r="T3314" i="5"/>
  <c r="L3342" i="5"/>
  <c r="T3342" i="5"/>
  <c r="L3242" i="5"/>
  <c r="T3242" i="5"/>
  <c r="L3406" i="5"/>
  <c r="T3406" i="5"/>
  <c r="T3211" i="5"/>
  <c r="T3166" i="5"/>
  <c r="T3197" i="5"/>
  <c r="S3876" i="5"/>
  <c r="S2578" i="5"/>
  <c r="S689" i="5"/>
  <c r="L959" i="5"/>
  <c r="S959" i="5" s="1"/>
  <c r="S2350" i="5"/>
  <c r="S844" i="5"/>
  <c r="O3964" i="5"/>
  <c r="S2253" i="5"/>
  <c r="S2408" i="5"/>
  <c r="S2580" i="5"/>
  <c r="S2529" i="5"/>
  <c r="S2420" i="5"/>
  <c r="S2584" i="5"/>
  <c r="S875" i="5"/>
  <c r="L4559" i="5"/>
  <c r="L4563" i="5" s="1"/>
  <c r="S4135" i="5"/>
  <c r="S878" i="5"/>
  <c r="S2581" i="5"/>
  <c r="L4259" i="5"/>
  <c r="O4179" i="5"/>
  <c r="O3938" i="5"/>
  <c r="S198" i="1"/>
  <c r="S226" i="1"/>
  <c r="S160" i="1"/>
  <c r="S236" i="1"/>
  <c r="S230" i="1"/>
  <c r="S191" i="1"/>
  <c r="A230" i="1"/>
  <c r="A233" i="1" s="1"/>
  <c r="A234" i="1" s="1"/>
  <c r="A235" i="1" s="1"/>
  <c r="S355" i="1"/>
  <c r="O4217" i="5"/>
  <c r="Q4217" i="5"/>
  <c r="Q4179" i="5"/>
  <c r="S4151" i="5"/>
  <c r="O4080" i="5"/>
  <c r="H215" i="2"/>
  <c r="N238" i="1" s="1"/>
  <c r="Q4080" i="5"/>
  <c r="R236" i="1"/>
  <c r="R230" i="1"/>
  <c r="F313" i="2"/>
  <c r="N224" i="1"/>
  <c r="S3927" i="5"/>
  <c r="Q3938" i="5"/>
  <c r="S3922" i="5"/>
  <c r="S3918" i="5"/>
  <c r="S3923" i="5"/>
  <c r="S3929" i="5"/>
  <c r="S3928" i="5"/>
  <c r="S3931" i="5"/>
  <c r="S3921" i="5"/>
  <c r="S3916" i="5"/>
  <c r="S3917" i="5"/>
  <c r="S3919" i="5"/>
  <c r="S3920" i="5"/>
  <c r="Q3900" i="5"/>
  <c r="O3900" i="5"/>
  <c r="L3673" i="5"/>
  <c r="Q3686" i="5"/>
  <c r="O3463" i="5"/>
  <c r="O2966" i="5" s="1"/>
  <c r="A2238" i="5"/>
  <c r="A2239" i="5" s="1"/>
  <c r="A2240" i="5" s="1"/>
  <c r="A2241" i="5" s="1"/>
  <c r="A2242" i="5" s="1"/>
  <c r="A2243" i="5" s="1"/>
  <c r="Y699" i="5"/>
  <c r="Y959" i="5"/>
  <c r="N140" i="1"/>
  <c r="N73" i="1"/>
  <c r="N165" i="1"/>
  <c r="N234" i="1"/>
  <c r="Y520" i="5"/>
  <c r="L2443" i="5"/>
  <c r="S2507" i="5"/>
  <c r="S2673" i="5"/>
  <c r="S893" i="5"/>
  <c r="L3777" i="5"/>
  <c r="S2707" i="5"/>
  <c r="S4310" i="5"/>
  <c r="S3889" i="5"/>
  <c r="N52" i="1"/>
  <c r="N175" i="1"/>
  <c r="N55" i="1"/>
  <c r="S55" i="1" s="1"/>
  <c r="N228" i="1"/>
  <c r="N85" i="1"/>
  <c r="S741" i="5"/>
  <c r="S2697" i="5"/>
  <c r="S2684" i="5"/>
  <c r="L1312" i="5"/>
  <c r="S798" i="5"/>
  <c r="S849" i="5"/>
  <c r="S4332" i="5"/>
  <c r="N95" i="1"/>
  <c r="R95" i="1" s="1"/>
  <c r="N130" i="1"/>
  <c r="N100" i="1"/>
  <c r="N90" i="1"/>
  <c r="R90" i="1" s="1"/>
  <c r="Y1401" i="5"/>
  <c r="S2405" i="5"/>
  <c r="S793" i="5"/>
  <c r="N352" i="1"/>
  <c r="N97" i="1"/>
  <c r="R97" i="1" s="1"/>
  <c r="N93" i="1"/>
  <c r="R93" i="1" s="1"/>
  <c r="N47" i="1"/>
  <c r="R47" i="1" s="1"/>
  <c r="N96" i="1"/>
  <c r="S96" i="1" s="1"/>
  <c r="N98" i="1"/>
  <c r="S98" i="1" s="1"/>
  <c r="N37" i="1"/>
  <c r="N351" i="1"/>
  <c r="N360" i="1"/>
  <c r="N354" i="1"/>
  <c r="S354" i="1" s="1"/>
  <c r="N84" i="1"/>
  <c r="S2527" i="5"/>
  <c r="S4289" i="5"/>
  <c r="S2591" i="5"/>
  <c r="S4301" i="5"/>
  <c r="L699" i="5"/>
  <c r="S2637" i="5"/>
  <c r="N99" i="1"/>
  <c r="N62" i="1"/>
  <c r="N41" i="1"/>
  <c r="R41" i="1" s="1"/>
  <c r="N318" i="1"/>
  <c r="N350" i="1"/>
  <c r="S350" i="1" s="1"/>
  <c r="S2345" i="5"/>
  <c r="N346" i="1"/>
  <c r="N86" i="1"/>
  <c r="S309" i="5"/>
  <c r="S284" i="5"/>
  <c r="S49" i="5"/>
  <c r="A4195" i="5"/>
  <c r="A4196" i="5" s="1"/>
  <c r="A4197" i="5" s="1"/>
  <c r="A4198" i="5" s="1"/>
  <c r="A4199" i="5" s="1"/>
  <c r="A4200" i="5" s="1"/>
  <c r="A4201" i="5" s="1"/>
  <c r="A4203" i="5" s="1"/>
  <c r="A4204" i="5" s="1"/>
  <c r="A4205" i="5" s="1"/>
  <c r="S2597" i="5"/>
  <c r="S2698" i="5"/>
  <c r="A1358" i="5"/>
  <c r="A1359" i="5" s="1"/>
  <c r="A1360" i="5" s="1"/>
  <c r="M12" i="5"/>
  <c r="D4409" i="5"/>
  <c r="G4409" i="5"/>
  <c r="G4277" i="5" s="1"/>
  <c r="E4409" i="5"/>
  <c r="E4277" i="5" s="1"/>
  <c r="A971" i="5"/>
  <c r="A972" i="5" s="1"/>
  <c r="A973" i="5" s="1"/>
  <c r="A974" i="5" s="1"/>
  <c r="S362" i="5"/>
  <c r="S61" i="5"/>
  <c r="S180" i="5"/>
  <c r="S185" i="5"/>
  <c r="S399" i="5"/>
  <c r="S249" i="5"/>
  <c r="S293" i="5"/>
  <c r="S479" i="5"/>
  <c r="S191" i="5"/>
  <c r="S2849" i="5"/>
  <c r="N361" i="1"/>
  <c r="A3663" i="5"/>
  <c r="A3664" i="5" s="1"/>
  <c r="A3665" i="5" s="1"/>
  <c r="S2528" i="5"/>
  <c r="O2911" i="5"/>
  <c r="S2911" i="5" s="1"/>
  <c r="S2572" i="5"/>
  <c r="A575" i="5"/>
  <c r="A576" i="5" s="1"/>
  <c r="A577" i="5" s="1"/>
  <c r="A578" i="5" s="1"/>
  <c r="A367" i="1"/>
  <c r="A368" i="1" s="1"/>
  <c r="L4137" i="5"/>
  <c r="H240" i="2"/>
  <c r="N157" i="1"/>
  <c r="N347" i="1"/>
  <c r="S2851" i="5"/>
  <c r="S2848" i="5"/>
  <c r="G2113" i="5"/>
  <c r="A3487" i="5"/>
  <c r="A3488" i="5" s="1"/>
  <c r="A3489" i="5" s="1"/>
  <c r="A3490" i="5" s="1"/>
  <c r="A3491" i="5" s="1"/>
  <c r="A3492" i="5" s="1"/>
  <c r="A3493" i="5" s="1"/>
  <c r="A3494" i="5" s="1"/>
  <c r="A3495" i="5" s="1"/>
  <c r="A3496" i="5" s="1"/>
  <c r="A3497" i="5" s="1"/>
  <c r="A3498" i="5" s="1"/>
  <c r="A3499" i="5" s="1"/>
  <c r="M2113" i="5"/>
  <c r="D2113" i="5"/>
  <c r="D1463" i="5" s="1"/>
  <c r="R226" i="1"/>
  <c r="A2399" i="5"/>
  <c r="A2400" i="5" s="1"/>
  <c r="A2401" i="5" s="1"/>
  <c r="L4642" i="5"/>
  <c r="N235" i="1"/>
  <c r="N233" i="1"/>
  <c r="N146" i="1"/>
  <c r="L2904" i="5"/>
  <c r="N286" i="1"/>
  <c r="N135" i="1"/>
  <c r="N359" i="1"/>
  <c r="S359" i="1" s="1"/>
  <c r="A2907" i="5"/>
  <c r="A2908" i="5" s="1"/>
  <c r="L3202" i="5"/>
  <c r="N156" i="1"/>
  <c r="L3979" i="5"/>
  <c r="C215" i="2" s="1"/>
  <c r="A293" i="5"/>
  <c r="A294" i="5" s="1"/>
  <c r="A295" i="5" s="1"/>
  <c r="A296" i="5" s="1"/>
  <c r="A297" i="5" s="1"/>
  <c r="A298" i="5" s="1"/>
  <c r="A300" i="5" s="1"/>
  <c r="A301" i="5" s="1"/>
  <c r="A302" i="5" s="1"/>
  <c r="A303" i="5" s="1"/>
  <c r="A304" i="5" s="1"/>
  <c r="A305" i="5" s="1"/>
  <c r="A306" i="5" s="1"/>
  <c r="A307" i="5" s="1"/>
  <c r="A308" i="5" s="1"/>
  <c r="A309" i="5" s="1"/>
  <c r="L3279" i="5"/>
  <c r="N169" i="1"/>
  <c r="N272" i="1"/>
  <c r="N357" i="1"/>
  <c r="S3895" i="5"/>
  <c r="L3014" i="5"/>
  <c r="L3370" i="5"/>
  <c r="A2684" i="5"/>
  <c r="A2685" i="5" s="1"/>
  <c r="A2686" i="5" s="1"/>
  <c r="A2687" i="5" s="1"/>
  <c r="N229" i="1"/>
  <c r="N189" i="1"/>
  <c r="L4494" i="5"/>
  <c r="S4494" i="5" s="1"/>
  <c r="N186" i="1"/>
  <c r="S4159" i="5"/>
  <c r="N49" i="1"/>
  <c r="S49" i="1" s="1"/>
  <c r="L4204" i="5"/>
  <c r="N232" i="1"/>
  <c r="A2858" i="5"/>
  <c r="A2859" i="5" s="1"/>
  <c r="A2860" i="5" s="1"/>
  <c r="A2861" i="5" s="1"/>
  <c r="L4476" i="5"/>
  <c r="S4476" i="5" s="1"/>
  <c r="Q3601" i="5"/>
  <c r="S2678" i="5"/>
  <c r="S2359" i="5"/>
  <c r="M4132" i="5"/>
  <c r="S2430" i="5"/>
  <c r="N38" i="1"/>
  <c r="R38" i="1" s="1"/>
  <c r="N30" i="1"/>
  <c r="N46" i="1"/>
  <c r="R46" i="1" s="1"/>
  <c r="N63" i="1"/>
  <c r="M4187" i="5"/>
  <c r="R4186" i="5"/>
  <c r="N33" i="1"/>
  <c r="S88" i="1"/>
  <c r="R4614" i="5"/>
  <c r="T4602" i="5"/>
  <c r="N176" i="1"/>
  <c r="C348" i="2"/>
  <c r="N42" i="1"/>
  <c r="R42" i="1" s="1"/>
  <c r="G2522" i="5"/>
  <c r="S899" i="5"/>
  <c r="S744" i="5"/>
  <c r="L3684" i="5"/>
  <c r="L520" i="5"/>
  <c r="J2964" i="5"/>
  <c r="N53" i="1"/>
  <c r="L3885" i="5"/>
  <c r="L4503" i="5"/>
  <c r="S4503" i="5" s="1"/>
  <c r="S4285" i="5"/>
  <c r="N26" i="1"/>
  <c r="J4277" i="5"/>
  <c r="L2676" i="5"/>
  <c r="O2759" i="5"/>
  <c r="A137" i="1"/>
  <c r="A138" i="1" s="1"/>
  <c r="A139" i="1" s="1"/>
  <c r="A140" i="1" s="1"/>
  <c r="A141" i="1" s="1"/>
  <c r="A142" i="1" s="1"/>
  <c r="A143" i="1" s="1"/>
  <c r="L4645" i="5"/>
  <c r="T4645" i="5" s="1"/>
  <c r="Q3606" i="5"/>
  <c r="O2627" i="5"/>
  <c r="L3842" i="5"/>
  <c r="N66" i="1"/>
  <c r="R66" i="1" s="1"/>
  <c r="T4543" i="5"/>
  <c r="T4547" i="5"/>
  <c r="T4546" i="5"/>
  <c r="N87" i="1"/>
  <c r="N74" i="1"/>
  <c r="R74" i="1" s="1"/>
  <c r="N29" i="1"/>
  <c r="R29" i="1" s="1"/>
  <c r="N89" i="1"/>
  <c r="R88" i="1"/>
  <c r="R83" i="1"/>
  <c r="N40" i="1"/>
  <c r="N24" i="1"/>
  <c r="N58" i="1"/>
  <c r="N82" i="1"/>
  <c r="N94" i="1"/>
  <c r="N70" i="1"/>
  <c r="R70" i="1" s="1"/>
  <c r="N21" i="1"/>
  <c r="S21" i="1" s="1"/>
  <c r="N78" i="1"/>
  <c r="S78" i="1" s="1"/>
  <c r="N25" i="1"/>
  <c r="R25" i="1" s="1"/>
  <c r="N48" i="1"/>
  <c r="R67" i="1"/>
  <c r="S67" i="1"/>
  <c r="R34" i="1"/>
  <c r="S34" i="1"/>
  <c r="L4472" i="5"/>
  <c r="S4472" i="5" s="1"/>
  <c r="N20" i="1"/>
  <c r="R20" i="1" s="1"/>
  <c r="N92" i="1"/>
  <c r="N358" i="1"/>
  <c r="S358" i="1" s="1"/>
  <c r="N345" i="1"/>
  <c r="S345" i="1" s="1"/>
  <c r="N225" i="1"/>
  <c r="N45" i="1"/>
  <c r="N61" i="1"/>
  <c r="S2736" i="5"/>
  <c r="N28" i="1"/>
  <c r="S28" i="1" s="1"/>
  <c r="S678" i="5"/>
  <c r="L1422" i="5"/>
  <c r="N81" i="1"/>
  <c r="R81" i="1" s="1"/>
  <c r="N153" i="1"/>
  <c r="N36" i="1"/>
  <c r="N27" i="1"/>
  <c r="R27" i="1" s="1"/>
  <c r="R50" i="1"/>
  <c r="S50" i="1"/>
  <c r="N91" i="1"/>
  <c r="D80" i="2"/>
  <c r="N32" i="1"/>
  <c r="S32" i="1" s="1"/>
  <c r="N64" i="1"/>
  <c r="S64" i="1" s="1"/>
  <c r="P10" i="5"/>
  <c r="L3380" i="5"/>
  <c r="N68" i="1"/>
  <c r="N65" i="1"/>
  <c r="N227" i="1"/>
  <c r="D1236" i="5"/>
  <c r="D1023" i="5" s="1"/>
  <c r="N35" i="1"/>
  <c r="R35" i="1" s="1"/>
  <c r="N69" i="1"/>
  <c r="N349" i="1"/>
  <c r="N77" i="1"/>
  <c r="N54" i="1"/>
  <c r="N170" i="1"/>
  <c r="N76" i="1"/>
  <c r="N163" i="1"/>
  <c r="S83" i="1"/>
  <c r="S44" i="1"/>
  <c r="R93" i="2"/>
  <c r="R355" i="1"/>
  <c r="N181" i="1"/>
  <c r="N23" i="1"/>
  <c r="R23" i="1" s="1"/>
  <c r="N344" i="1"/>
  <c r="N128" i="1"/>
  <c r="N149" i="1"/>
  <c r="N172" i="1"/>
  <c r="A4547" i="5"/>
  <c r="A4548" i="5" s="1"/>
  <c r="A4549" i="5" s="1"/>
  <c r="N288" i="1"/>
  <c r="N129" i="1"/>
  <c r="P93" i="2"/>
  <c r="R198" i="1"/>
  <c r="S4149" i="5"/>
  <c r="S1368" i="5"/>
  <c r="S3888" i="5"/>
  <c r="N356" i="1"/>
  <c r="L4581" i="5"/>
  <c r="N43" i="1"/>
  <c r="R43" i="1" s="1"/>
  <c r="N31" i="1"/>
  <c r="N57" i="1"/>
  <c r="L4630" i="5"/>
  <c r="N80" i="1"/>
  <c r="F93" i="2"/>
  <c r="N39" i="1"/>
  <c r="S39" i="1" s="1"/>
  <c r="S4308" i="5"/>
  <c r="S2719" i="5"/>
  <c r="T4634" i="5"/>
  <c r="O4632" i="5"/>
  <c r="N201" i="1"/>
  <c r="N143" i="1"/>
  <c r="N60" i="1"/>
  <c r="R60" i="1" s="1"/>
  <c r="R191" i="1"/>
  <c r="R51" i="1"/>
  <c r="N353" i="1"/>
  <c r="S353" i="1" s="1"/>
  <c r="L4102" i="5"/>
  <c r="N72" i="1"/>
  <c r="N348" i="1"/>
  <c r="N343" i="1"/>
  <c r="N323" i="1"/>
  <c r="N3695" i="5"/>
  <c r="R2883" i="5"/>
  <c r="Q4628" i="5"/>
  <c r="L3925" i="5"/>
  <c r="L4544" i="5"/>
  <c r="M522" i="5"/>
  <c r="R160" i="1"/>
  <c r="R59" i="1"/>
  <c r="S59" i="1"/>
  <c r="R56" i="1"/>
  <c r="S56" i="1"/>
  <c r="R22" i="1"/>
  <c r="S22" i="1"/>
  <c r="S51" i="1"/>
  <c r="A84" i="1"/>
  <c r="A85" i="1" s="1"/>
  <c r="A86" i="1" s="1"/>
  <c r="A87" i="1" s="1"/>
  <c r="A88" i="1" s="1"/>
  <c r="A89" i="1" s="1"/>
  <c r="A90" i="1" s="1"/>
  <c r="A91" i="1" s="1"/>
  <c r="A92" i="1" s="1"/>
  <c r="A93" i="1" s="1"/>
  <c r="A94" i="1" s="1"/>
  <c r="A95" i="1" s="1"/>
  <c r="A96" i="1" s="1"/>
  <c r="A97" i="1" s="1"/>
  <c r="A98" i="1" s="1"/>
  <c r="A99" i="1" s="1"/>
  <c r="A73" i="2"/>
  <c r="A74" i="2" s="1"/>
  <c r="A75" i="2" s="1"/>
  <c r="A76" i="2" s="1"/>
  <c r="A77" i="2" s="1"/>
  <c r="A78" i="2" s="1"/>
  <c r="A79" i="2" s="1"/>
  <c r="A80" i="2" s="1"/>
  <c r="A81" i="2" s="1"/>
  <c r="A82" i="2" s="1"/>
  <c r="A83" i="2" s="1"/>
  <c r="A84" i="2" s="1"/>
  <c r="A85" i="2" s="1"/>
  <c r="A86" i="2" s="1"/>
  <c r="A87" i="2" s="1"/>
  <c r="A88" i="2" s="1"/>
  <c r="A1216" i="5"/>
  <c r="A1217" i="5" s="1"/>
  <c r="A1218" i="5" s="1"/>
  <c r="A1219" i="5" s="1"/>
  <c r="A1220" i="5" s="1"/>
  <c r="A1221" i="5" s="1"/>
  <c r="A1222" i="5" s="1"/>
  <c r="A1223" i="5" s="1"/>
  <c r="A1224" i="5" s="1"/>
  <c r="A1225" i="5" s="1"/>
  <c r="A1226" i="5" s="1"/>
  <c r="A1227" i="5" s="1"/>
  <c r="A1228" i="5" s="1"/>
  <c r="A1229" i="5" s="1"/>
  <c r="A1230" i="5" s="1"/>
  <c r="A1231" i="5" s="1"/>
  <c r="A4522" i="5"/>
  <c r="L3109" i="5"/>
  <c r="A3718" i="5"/>
  <c r="A3719" i="5" s="1"/>
  <c r="A3720" i="5" s="1"/>
  <c r="A3721" i="5" s="1"/>
  <c r="A3722" i="5" s="1"/>
  <c r="A3723" i="5" s="1"/>
  <c r="A3724" i="5" s="1"/>
  <c r="A3725" i="5" s="1"/>
  <c r="A3726" i="5" s="1"/>
  <c r="M4550" i="5"/>
  <c r="A2453" i="5"/>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L3779" i="5"/>
  <c r="N4607" i="5"/>
  <c r="Q4684" i="5"/>
  <c r="L4606" i="5"/>
  <c r="J1463" i="5"/>
  <c r="N79" i="1"/>
  <c r="H93" i="2"/>
  <c r="A2319" i="5"/>
  <c r="A2320" i="5" s="1"/>
  <c r="A2321" i="5" s="1"/>
  <c r="N75" i="1"/>
  <c r="N71" i="1"/>
  <c r="S4766" i="5"/>
  <c r="L3229" i="5"/>
  <c r="A948" i="5"/>
  <c r="A949" i="5" s="1"/>
  <c r="A950" i="5" s="1"/>
  <c r="A951" i="5" s="1"/>
  <c r="A952" i="5" s="1"/>
  <c r="A953" i="5" s="1"/>
  <c r="A954" i="5" s="1"/>
  <c r="A955" i="5" s="1"/>
  <c r="A956" i="5" s="1"/>
  <c r="A957" i="5" s="1"/>
  <c r="A958" i="5" s="1"/>
  <c r="L3859" i="5"/>
  <c r="A653" i="5"/>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L4482" i="5"/>
  <c r="S4482" i="5" s="1"/>
  <c r="S2356" i="5"/>
  <c r="L3311" i="5"/>
  <c r="E522" i="5"/>
  <c r="E10" i="5" s="1"/>
  <c r="S2738" i="5"/>
  <c r="S2690" i="5"/>
  <c r="S2723" i="5"/>
  <c r="S2741" i="5"/>
  <c r="O2930" i="5"/>
  <c r="L2923" i="5"/>
  <c r="T4728" i="5"/>
  <c r="L4272" i="5"/>
  <c r="L4275" i="5" s="1"/>
  <c r="Q4275" i="5"/>
  <c r="S4334" i="5"/>
  <c r="S4287" i="5"/>
  <c r="S3879" i="5"/>
  <c r="Q4098" i="5"/>
  <c r="S2639" i="5"/>
  <c r="T4598" i="5"/>
  <c r="Q4574" i="5"/>
  <c r="L3341" i="5"/>
  <c r="L3328" i="5"/>
  <c r="P4277" i="5"/>
  <c r="O3845" i="5"/>
  <c r="L2880" i="5"/>
  <c r="L3126" i="5"/>
  <c r="L4262" i="5"/>
  <c r="J10" i="5"/>
  <c r="L3343" i="5"/>
  <c r="L3191" i="5"/>
  <c r="G3872" i="5"/>
  <c r="S4164" i="5"/>
  <c r="L4257" i="5"/>
  <c r="G522" i="5"/>
  <c r="G10" i="5" s="1"/>
  <c r="M4616" i="5"/>
  <c r="S603" i="5"/>
  <c r="L3252" i="5"/>
  <c r="L3336" i="5"/>
  <c r="Q4632" i="5"/>
  <c r="L4487" i="5"/>
  <c r="S4487" i="5" s="1"/>
  <c r="Q4192" i="5"/>
  <c r="L4191" i="5"/>
  <c r="L3731" i="5"/>
  <c r="L2342" i="5"/>
  <c r="S2721" i="5"/>
  <c r="S4298" i="5"/>
  <c r="L1453" i="5"/>
  <c r="L3134" i="5"/>
  <c r="L4542" i="5"/>
  <c r="L3605" i="5"/>
  <c r="T4758" i="5"/>
  <c r="L4205" i="5"/>
  <c r="N4563" i="5"/>
  <c r="O10" i="5"/>
  <c r="Q1023" i="5"/>
  <c r="Q10" i="5" s="1"/>
  <c r="L2953" i="5"/>
  <c r="S2675" i="5"/>
  <c r="S2672" i="5"/>
  <c r="S2586" i="5"/>
  <c r="S2259" i="5"/>
  <c r="L2260" i="5"/>
  <c r="S813" i="5"/>
  <c r="S3887" i="5"/>
  <c r="Q4102" i="5"/>
  <c r="S2594" i="5"/>
  <c r="L4679" i="5"/>
  <c r="O4684" i="5"/>
  <c r="S4684" i="5" s="1"/>
  <c r="T4669" i="5"/>
  <c r="S3886" i="5"/>
  <c r="S4291" i="5"/>
  <c r="L4499" i="5"/>
  <c r="S4499" i="5" s="1"/>
  <c r="L3924" i="5"/>
  <c r="L3353" i="5"/>
  <c r="L3136" i="5"/>
  <c r="Q4671" i="5"/>
  <c r="O4501" i="5"/>
  <c r="O3861" i="5"/>
  <c r="O4507" i="5"/>
  <c r="L3666" i="5"/>
  <c r="O2510" i="5"/>
  <c r="L3296" i="5"/>
  <c r="S1462" i="5"/>
  <c r="O4628" i="5"/>
  <c r="O3703" i="5"/>
  <c r="Q3692" i="5"/>
  <c r="L3361" i="5"/>
  <c r="N10" i="5"/>
  <c r="T4555" i="5"/>
  <c r="L3283" i="5"/>
  <c r="L3367" i="5"/>
  <c r="O4266" i="5"/>
  <c r="L3926" i="5"/>
  <c r="L3739" i="5"/>
  <c r="L3292" i="5"/>
  <c r="Q4583" i="5"/>
  <c r="L4506" i="5"/>
  <c r="S4506" i="5" s="1"/>
  <c r="L4493" i="5"/>
  <c r="S4493" i="5" s="1"/>
  <c r="T4611" i="5"/>
  <c r="S2691" i="5"/>
  <c r="L2322" i="5"/>
  <c r="L3153" i="5"/>
  <c r="L3175" i="5"/>
  <c r="Q4763" i="5"/>
  <c r="S4763" i="5" s="1"/>
  <c r="L4765" i="5"/>
  <c r="L3762" i="5"/>
  <c r="L2300" i="5"/>
  <c r="S1406" i="5"/>
  <c r="N4583" i="5"/>
  <c r="L4664" i="5"/>
  <c r="Q3845" i="5"/>
  <c r="S4163" i="5"/>
  <c r="L2294" i="5"/>
  <c r="N2374" i="5"/>
  <c r="N2113" i="5" s="1"/>
  <c r="O4612" i="5"/>
  <c r="L3221" i="5"/>
  <c r="L3841" i="5"/>
  <c r="L4731" i="5"/>
  <c r="E1463" i="5"/>
  <c r="L3604" i="5"/>
  <c r="L3700" i="5"/>
  <c r="L3369" i="5"/>
  <c r="C168" i="2"/>
  <c r="H168" i="2"/>
  <c r="L3360" i="5"/>
  <c r="L2432" i="5"/>
  <c r="D522" i="5"/>
  <c r="N239" i="1"/>
  <c r="S2569" i="5"/>
  <c r="S2573" i="5"/>
  <c r="C166" i="2"/>
  <c r="H166" i="2"/>
  <c r="S2731" i="5"/>
  <c r="D178" i="2"/>
  <c r="C178" i="2"/>
  <c r="S1430" i="5"/>
  <c r="L4258" i="5"/>
  <c r="S2596" i="5"/>
  <c r="L3840" i="5"/>
  <c r="L3349" i="5"/>
  <c r="S2331" i="5"/>
  <c r="L3690" i="5"/>
  <c r="L1456" i="5"/>
  <c r="L3357" i="5"/>
  <c r="S2575" i="5"/>
  <c r="L3105" i="5"/>
  <c r="L4622" i="5"/>
  <c r="E3767" i="5"/>
  <c r="E3465" i="5" s="1"/>
  <c r="S2631" i="5"/>
  <c r="H154" i="2"/>
  <c r="C154" i="2"/>
  <c r="G3465" i="5"/>
  <c r="Q4557" i="5"/>
  <c r="L4540" i="5"/>
  <c r="L4541" i="5"/>
  <c r="L4610" i="5"/>
  <c r="L4641" i="5"/>
  <c r="L4539" i="5"/>
  <c r="Q4095" i="5"/>
  <c r="L3878" i="5"/>
  <c r="L4534" i="5"/>
  <c r="L4496" i="5"/>
  <c r="S4496" i="5" s="1"/>
  <c r="L3599" i="5"/>
  <c r="S2588" i="5"/>
  <c r="Q4184" i="5"/>
  <c r="S2600" i="5"/>
  <c r="S2577" i="5"/>
  <c r="S2716" i="5"/>
  <c r="S2412" i="5"/>
  <c r="L3362" i="5"/>
  <c r="S2593" i="5"/>
  <c r="S2717" i="5"/>
  <c r="H164" i="2"/>
  <c r="C164" i="2"/>
  <c r="C125" i="2"/>
  <c r="H125" i="2"/>
  <c r="S2538" i="5"/>
  <c r="S907" i="5"/>
  <c r="S2633" i="5"/>
  <c r="S2365" i="5"/>
  <c r="S2724" i="5"/>
  <c r="C171" i="2"/>
  <c r="H171" i="2"/>
  <c r="S2579" i="5"/>
  <c r="S2361" i="5"/>
  <c r="Q4480" i="5"/>
  <c r="N4468" i="5"/>
  <c r="Q4752" i="5"/>
  <c r="S4752" i="5" s="1"/>
  <c r="L4667" i="5"/>
  <c r="S2509" i="5"/>
  <c r="L4556" i="5"/>
  <c r="S4738" i="5"/>
  <c r="L4571" i="5"/>
  <c r="L4545" i="5"/>
  <c r="D3465" i="5"/>
  <c r="D2964" i="5" s="1"/>
  <c r="L4582" i="5"/>
  <c r="L4673" i="5"/>
  <c r="L4108" i="5"/>
  <c r="N3601" i="5"/>
  <c r="L3946" i="5"/>
  <c r="L3707" i="5"/>
  <c r="L3248" i="5"/>
  <c r="S2583" i="5"/>
  <c r="C119" i="2"/>
  <c r="H119" i="2"/>
  <c r="L4471" i="5"/>
  <c r="L4618" i="5"/>
  <c r="L4620" i="5" s="1"/>
  <c r="L4604" i="5"/>
  <c r="L2825" i="5"/>
  <c r="M2522" i="5"/>
  <c r="O3692" i="5"/>
  <c r="L3302" i="5"/>
  <c r="L3285" i="5"/>
  <c r="C185" i="2"/>
  <c r="H185" i="2"/>
  <c r="C122" i="2"/>
  <c r="P122" i="2"/>
  <c r="P200" i="2" s="1"/>
  <c r="H137" i="2"/>
  <c r="C137" i="2"/>
  <c r="S2393" i="5"/>
  <c r="C145" i="2"/>
  <c r="H145" i="2"/>
  <c r="H120" i="2"/>
  <c r="C120" i="2"/>
  <c r="L4635" i="5"/>
  <c r="L4256" i="5"/>
  <c r="L4475" i="5"/>
  <c r="S4475" i="5" s="1"/>
  <c r="L4505" i="5"/>
  <c r="S4505" i="5" s="1"/>
  <c r="N3742" i="5"/>
  <c r="O2374" i="5"/>
  <c r="L2530" i="5"/>
  <c r="L3350" i="5"/>
  <c r="S2592" i="5"/>
  <c r="S2634" i="5"/>
  <c r="S2576" i="5"/>
  <c r="L170" i="2"/>
  <c r="L200" i="2" s="1"/>
  <c r="C170" i="2"/>
  <c r="L4538" i="5"/>
  <c r="O4468" i="5"/>
  <c r="Q3742" i="5"/>
  <c r="R4615" i="5"/>
  <c r="L2919" i="5"/>
  <c r="S2726" i="5"/>
  <c r="C173" i="2"/>
  <c r="D173" i="2"/>
  <c r="S2270" i="5"/>
  <c r="H183" i="2"/>
  <c r="C183" i="2"/>
  <c r="H163" i="2"/>
  <c r="C163" i="2"/>
  <c r="C131" i="2"/>
  <c r="H131" i="2"/>
  <c r="S2595" i="5"/>
  <c r="S2574" i="5"/>
  <c r="C138" i="2"/>
  <c r="H138" i="2"/>
  <c r="H188" i="2"/>
  <c r="C188" i="2"/>
  <c r="L1307" i="5"/>
  <c r="S3892" i="5"/>
  <c r="L3747" i="5"/>
  <c r="S3891" i="5"/>
  <c r="S2683" i="5"/>
  <c r="H130" i="2"/>
  <c r="C130" i="2"/>
  <c r="S2713" i="5"/>
  <c r="H160" i="2"/>
  <c r="C160" i="2"/>
  <c r="S2599" i="5"/>
  <c r="S3881" i="5"/>
  <c r="S2677" i="5"/>
  <c r="H124" i="2"/>
  <c r="C124" i="2"/>
  <c r="S2701" i="5"/>
  <c r="C148" i="2"/>
  <c r="H148" i="2"/>
  <c r="S2694" i="5"/>
  <c r="C141" i="2"/>
  <c r="H141" i="2"/>
  <c r="S2706" i="5"/>
  <c r="C153" i="2"/>
  <c r="H153" i="2"/>
  <c r="S2718" i="5"/>
  <c r="C165" i="2"/>
  <c r="H165" i="2"/>
  <c r="C144" i="2"/>
  <c r="H144" i="2"/>
  <c r="S2585" i="5"/>
  <c r="S2570" i="5"/>
  <c r="S3896" i="5"/>
  <c r="S3883" i="5"/>
  <c r="S2687" i="5"/>
  <c r="H134" i="2"/>
  <c r="C134" i="2"/>
  <c r="L4750" i="5"/>
  <c r="L4231" i="5"/>
  <c r="Q4599" i="5"/>
  <c r="N4599" i="5"/>
  <c r="R4535" i="5"/>
  <c r="Q4507" i="5"/>
  <c r="Q4468" i="5"/>
  <c r="L4670" i="5"/>
  <c r="L4591" i="5"/>
  <c r="S4355" i="5"/>
  <c r="S4281" i="5"/>
  <c r="S4091" i="5"/>
  <c r="C217" i="2"/>
  <c r="O4550" i="5"/>
  <c r="R4536" i="5"/>
  <c r="L4737" i="5"/>
  <c r="L4738" i="5" s="1"/>
  <c r="Q3861" i="5"/>
  <c r="L3750" i="5"/>
  <c r="L3740" i="5"/>
  <c r="T4668" i="5"/>
  <c r="L4631" i="5"/>
  <c r="L3502" i="5"/>
  <c r="S4283" i="5"/>
  <c r="L3949" i="5"/>
  <c r="L3670" i="5"/>
  <c r="L2887" i="5"/>
  <c r="L2830" i="5"/>
  <c r="L2778" i="5"/>
  <c r="S2735" i="5"/>
  <c r="H182" i="2"/>
  <c r="C182" i="2"/>
  <c r="S2729" i="5"/>
  <c r="H176" i="2"/>
  <c r="C176" i="2"/>
  <c r="S2722" i="5"/>
  <c r="H169" i="2"/>
  <c r="C169" i="2"/>
  <c r="S2710" i="5"/>
  <c r="C157" i="2"/>
  <c r="H157" i="2"/>
  <c r="S2703" i="5"/>
  <c r="H150" i="2"/>
  <c r="C150" i="2"/>
  <c r="S2119" i="5"/>
  <c r="S694" i="5"/>
  <c r="T2442" i="5"/>
  <c r="S2442" i="5"/>
  <c r="S2256" i="5"/>
  <c r="S1319" i="5"/>
  <c r="S2589" i="5"/>
  <c r="L2344" i="5"/>
  <c r="O2347" i="5"/>
  <c r="S2428" i="5"/>
  <c r="S2378" i="5"/>
  <c r="O2417" i="5"/>
  <c r="L4740" i="5"/>
  <c r="Q4742" i="5"/>
  <c r="S4742" i="5" s="1"/>
  <c r="O4732" i="5"/>
  <c r="S4732" i="5" s="1"/>
  <c r="L4730" i="5"/>
  <c r="L4760" i="5"/>
  <c r="O4694" i="5"/>
  <c r="L4687" i="5"/>
  <c r="L4755" i="5"/>
  <c r="Q4662" i="5"/>
  <c r="R4643" i="5"/>
  <c r="T4597" i="5"/>
  <c r="L4269" i="5"/>
  <c r="O4237" i="5"/>
  <c r="S3822" i="5"/>
  <c r="Q4639" i="5"/>
  <c r="Q4266" i="5"/>
  <c r="L4644" i="5"/>
  <c r="Q4579" i="5"/>
  <c r="M4579" i="5"/>
  <c r="R4576" i="5"/>
  <c r="L4498" i="5"/>
  <c r="S4498" i="5" s="1"/>
  <c r="S4162" i="5"/>
  <c r="S3882" i="5"/>
  <c r="S3877" i="5"/>
  <c r="Q4607" i="5"/>
  <c r="N4132" i="5"/>
  <c r="N3872" i="5" s="1"/>
  <c r="L3289" i="5"/>
  <c r="S2772" i="5"/>
  <c r="S2727" i="5"/>
  <c r="C174" i="2"/>
  <c r="H174" i="2"/>
  <c r="L2835" i="5"/>
  <c r="Q2836" i="5"/>
  <c r="S2742" i="5"/>
  <c r="C189" i="2"/>
  <c r="H189" i="2"/>
  <c r="S2705" i="5"/>
  <c r="H152" i="2"/>
  <c r="C152" i="2"/>
  <c r="S2686" i="5"/>
  <c r="H133" i="2"/>
  <c r="C133" i="2"/>
  <c r="L2794" i="5"/>
  <c r="S2244" i="5"/>
  <c r="S2587" i="5"/>
  <c r="L2297" i="5"/>
  <c r="L1378" i="5"/>
  <c r="S2636" i="5"/>
  <c r="S855" i="5"/>
  <c r="S748" i="5"/>
  <c r="L2508" i="5"/>
  <c r="S1316" i="5"/>
  <c r="S1252" i="5"/>
  <c r="L2362" i="5"/>
  <c r="T4552" i="5"/>
  <c r="L4735" i="5"/>
  <c r="L4095" i="5"/>
  <c r="L3728" i="5"/>
  <c r="T4553" i="5"/>
  <c r="Q3747" i="5"/>
  <c r="L2786" i="5"/>
  <c r="S2743" i="5"/>
  <c r="C190" i="2"/>
  <c r="H190" i="2"/>
  <c r="L2963" i="5"/>
  <c r="S2693" i="5"/>
  <c r="H140" i="2"/>
  <c r="C140" i="2"/>
  <c r="S2443" i="5"/>
  <c r="S2326" i="5"/>
  <c r="S2250" i="5"/>
  <c r="S801" i="5"/>
  <c r="S2681" i="5"/>
  <c r="H128" i="2"/>
  <c r="C128" i="2"/>
  <c r="L2644" i="5"/>
  <c r="L2505" i="5"/>
  <c r="S2499" i="5"/>
  <c r="L2422" i="5"/>
  <c r="O2424" i="5"/>
  <c r="L2383" i="5"/>
  <c r="S2380" i="5"/>
  <c r="L1259" i="5"/>
  <c r="L2957" i="5"/>
  <c r="S885" i="5"/>
  <c r="S1265" i="5"/>
  <c r="T4605" i="5"/>
  <c r="Q4589" i="5"/>
  <c r="L4566" i="5"/>
  <c r="L4470" i="5"/>
  <c r="O4480" i="5"/>
  <c r="Q4501" i="5"/>
  <c r="L4510" i="5"/>
  <c r="S4510" i="5" s="1"/>
  <c r="Q4237" i="5"/>
  <c r="O3733" i="5"/>
  <c r="O3736" i="5" s="1"/>
  <c r="M3736" i="5"/>
  <c r="M3465" i="5" s="1"/>
  <c r="R3733" i="5"/>
  <c r="Q3736" i="5"/>
  <c r="Q4694" i="5"/>
  <c r="L4489" i="5"/>
  <c r="S4489" i="5" s="1"/>
  <c r="L4184" i="5"/>
  <c r="L4098" i="5"/>
  <c r="S3884" i="5"/>
  <c r="S3880" i="5"/>
  <c r="L3767" i="5"/>
  <c r="L3738" i="5"/>
  <c r="M4599" i="5"/>
  <c r="L4528" i="5"/>
  <c r="S4528" i="5" s="1"/>
  <c r="Q4141" i="5"/>
  <c r="L3890" i="5"/>
  <c r="Q2966" i="5"/>
  <c r="L3697" i="5"/>
  <c r="L2833" i="5"/>
  <c r="S2739" i="5"/>
  <c r="C186" i="2"/>
  <c r="D186" i="2"/>
  <c r="S2732" i="5"/>
  <c r="H179" i="2"/>
  <c r="C179" i="2"/>
  <c r="Q3703" i="5"/>
  <c r="L2776" i="5"/>
  <c r="S2734" i="5"/>
  <c r="D181" i="2"/>
  <c r="C181" i="2"/>
  <c r="S2712" i="5"/>
  <c r="H159" i="2"/>
  <c r="C159" i="2"/>
  <c r="S2700" i="5"/>
  <c r="C147" i="2"/>
  <c r="H147" i="2"/>
  <c r="S2680" i="5"/>
  <c r="C127" i="2"/>
  <c r="H127" i="2"/>
  <c r="L2670" i="5"/>
  <c r="S903" i="5"/>
  <c r="S2402" i="5"/>
  <c r="S2257" i="5"/>
  <c r="S2590" i="5"/>
  <c r="S2439" i="5"/>
  <c r="S2689" i="5"/>
  <c r="C136" i="2"/>
  <c r="H136" i="2"/>
  <c r="S2671" i="5"/>
  <c r="C118" i="2"/>
  <c r="H118" i="2"/>
  <c r="L2417" i="5"/>
  <c r="S1401" i="5"/>
  <c r="S1372" i="5"/>
  <c r="S1149" i="5"/>
  <c r="S771" i="5"/>
  <c r="S1056" i="5"/>
  <c r="S985" i="5"/>
  <c r="S686" i="5"/>
  <c r="S975" i="5"/>
  <c r="S809" i="5"/>
  <c r="S531" i="5"/>
  <c r="S1126" i="5"/>
  <c r="S1021" i="5"/>
  <c r="S998" i="5"/>
  <c r="S841" i="5"/>
  <c r="S1274" i="5"/>
  <c r="S1248" i="5"/>
  <c r="S1006" i="5"/>
  <c r="S872" i="5"/>
  <c r="S1361" i="5"/>
  <c r="S1236" i="5"/>
  <c r="S1304" i="5"/>
  <c r="L3938" i="5" l="1"/>
  <c r="S4470" i="5"/>
  <c r="S4471" i="5"/>
  <c r="S4694" i="5"/>
  <c r="Q4676" i="5"/>
  <c r="O4676" i="5"/>
  <c r="A4206" i="5"/>
  <c r="A4207" i="5" s="1"/>
  <c r="A4208" i="5" s="1"/>
  <c r="A4209" i="5" s="1"/>
  <c r="A4210" i="5" s="1"/>
  <c r="L4080" i="5"/>
  <c r="A259" i="2"/>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284" i="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C299" i="2"/>
  <c r="N324" i="1" s="1"/>
  <c r="H299" i="2"/>
  <c r="C290" i="2"/>
  <c r="N315" i="1" s="1"/>
  <c r="D290" i="2"/>
  <c r="C278" i="2"/>
  <c r="H278" i="2"/>
  <c r="C303" i="2"/>
  <c r="H303" i="2"/>
  <c r="C304" i="2"/>
  <c r="H304" i="2"/>
  <c r="C291" i="2"/>
  <c r="H291" i="2"/>
  <c r="C252" i="2"/>
  <c r="N277" i="1" s="1"/>
  <c r="D252" i="2"/>
  <c r="C253" i="2"/>
  <c r="D253" i="2"/>
  <c r="C243" i="2"/>
  <c r="D243" i="2"/>
  <c r="C308" i="2"/>
  <c r="H308" i="2"/>
  <c r="C284" i="2"/>
  <c r="N309" i="1" s="1"/>
  <c r="D284" i="2"/>
  <c r="C268" i="2"/>
  <c r="H268" i="2"/>
  <c r="C272" i="2"/>
  <c r="N297" i="1" s="1"/>
  <c r="D272" i="2"/>
  <c r="C256" i="2"/>
  <c r="H256" i="2"/>
  <c r="C301" i="2"/>
  <c r="D301" i="2"/>
  <c r="C279" i="2"/>
  <c r="H279" i="2"/>
  <c r="C286" i="2"/>
  <c r="H286" i="2"/>
  <c r="C295" i="2"/>
  <c r="H295" i="2"/>
  <c r="C236" i="2"/>
  <c r="H236" i="2"/>
  <c r="C274" i="2"/>
  <c r="H274" i="2"/>
  <c r="C300" i="2"/>
  <c r="N325" i="1" s="1"/>
  <c r="D300" i="2"/>
  <c r="C307" i="2"/>
  <c r="H307" i="2"/>
  <c r="C275" i="2"/>
  <c r="D275" i="2"/>
  <c r="C282" i="2"/>
  <c r="D282" i="2"/>
  <c r="C296" i="2"/>
  <c r="H296" i="2"/>
  <c r="C230" i="2"/>
  <c r="N255" i="1" s="1"/>
  <c r="H230" i="2"/>
  <c r="A369" i="1"/>
  <c r="A370" i="1" s="1"/>
  <c r="A371" i="1" s="1"/>
  <c r="A372" i="1" s="1"/>
  <c r="A373" i="1" s="1"/>
  <c r="A374" i="1" s="1"/>
  <c r="S224" i="1"/>
  <c r="R350" i="1"/>
  <c r="R100" i="1"/>
  <c r="S201" i="1"/>
  <c r="S149" i="1"/>
  <c r="S225" i="1"/>
  <c r="S176" i="1"/>
  <c r="S135" i="1"/>
  <c r="S233" i="1"/>
  <c r="S318" i="1"/>
  <c r="S172" i="1"/>
  <c r="S128" i="1"/>
  <c r="S163" i="1"/>
  <c r="S227" i="1"/>
  <c r="S153" i="1"/>
  <c r="S232" i="1"/>
  <c r="S186" i="1"/>
  <c r="S189" i="1"/>
  <c r="S272" i="1"/>
  <c r="S169" i="1"/>
  <c r="S228" i="1"/>
  <c r="S241" i="1"/>
  <c r="S239" i="1"/>
  <c r="S323" i="1"/>
  <c r="S288" i="1"/>
  <c r="S344" i="1"/>
  <c r="S156" i="1"/>
  <c r="S235" i="1"/>
  <c r="S130" i="1"/>
  <c r="S234" i="1"/>
  <c r="S143" i="1"/>
  <c r="S181" i="1"/>
  <c r="S170" i="1"/>
  <c r="S229" i="1"/>
  <c r="S286" i="1"/>
  <c r="S146" i="1"/>
  <c r="S157" i="1"/>
  <c r="S175" i="1"/>
  <c r="S140" i="1"/>
  <c r="S238" i="1"/>
  <c r="R140" i="1"/>
  <c r="R55" i="1"/>
  <c r="A236" i="1"/>
  <c r="A243" i="1"/>
  <c r="A244" i="1" s="1"/>
  <c r="A245" i="1" s="1"/>
  <c r="A246" i="1" s="1"/>
  <c r="A247" i="1" s="1"/>
  <c r="A248" i="1" s="1"/>
  <c r="A249" i="1" s="1"/>
  <c r="A250" i="1" s="1"/>
  <c r="A251" i="1" s="1"/>
  <c r="S93" i="1"/>
  <c r="R129" i="1"/>
  <c r="S129" i="1"/>
  <c r="R351" i="1"/>
  <c r="S351" i="1"/>
  <c r="S347" i="1"/>
  <c r="S352" i="1"/>
  <c r="S356" i="1"/>
  <c r="S349" i="1"/>
  <c r="S361" i="1"/>
  <c r="R346" i="1"/>
  <c r="S346" i="1"/>
  <c r="S360" i="1"/>
  <c r="S165" i="1"/>
  <c r="R201" i="1"/>
  <c r="S343" i="1"/>
  <c r="S348" i="1"/>
  <c r="S357" i="1"/>
  <c r="R156" i="1"/>
  <c r="L4217" i="5"/>
  <c r="L4179" i="5"/>
  <c r="C240" i="2"/>
  <c r="R272" i="1"/>
  <c r="R224" i="1"/>
  <c r="R239" i="1"/>
  <c r="R228" i="1"/>
  <c r="L3964" i="5"/>
  <c r="S3924" i="5"/>
  <c r="S3926" i="5"/>
  <c r="S3925" i="5"/>
  <c r="L3900" i="5"/>
  <c r="L3686" i="5"/>
  <c r="S3502" i="5"/>
  <c r="L3525" i="5"/>
  <c r="A2993" i="5"/>
  <c r="S90" i="1"/>
  <c r="R98" i="1"/>
  <c r="R234" i="1"/>
  <c r="S699" i="5"/>
  <c r="S52" i="1"/>
  <c r="S47" i="1"/>
  <c r="R73" i="1"/>
  <c r="S37" i="1"/>
  <c r="R354" i="1"/>
  <c r="S73" i="1"/>
  <c r="R318" i="1"/>
  <c r="R37" i="1"/>
  <c r="R360" i="1"/>
  <c r="R52" i="1"/>
  <c r="S95" i="1"/>
  <c r="S62" i="1"/>
  <c r="R352" i="1"/>
  <c r="R62" i="1"/>
  <c r="S41" i="1"/>
  <c r="R96" i="1"/>
  <c r="Y522" i="5"/>
  <c r="R175" i="1"/>
  <c r="R165" i="1"/>
  <c r="S99" i="1"/>
  <c r="R99" i="1"/>
  <c r="N193" i="1"/>
  <c r="S4275" i="5"/>
  <c r="Y1023" i="5"/>
  <c r="R84" i="1"/>
  <c r="S84" i="1"/>
  <c r="L4639" i="5"/>
  <c r="T4639" i="5" s="1"/>
  <c r="N195" i="1"/>
  <c r="L4237" i="5"/>
  <c r="L2550" i="5"/>
  <c r="T4735" i="5"/>
  <c r="N196" i="1"/>
  <c r="S2825" i="5"/>
  <c r="T4610" i="5"/>
  <c r="L522" i="5"/>
  <c r="S522" i="5" s="1"/>
  <c r="S1312" i="5"/>
  <c r="L4141" i="5"/>
  <c r="S2260" i="5"/>
  <c r="S2342" i="5"/>
  <c r="R130" i="1"/>
  <c r="S97" i="1"/>
  <c r="S100" i="1"/>
  <c r="T4642" i="5"/>
  <c r="R86" i="1"/>
  <c r="S86" i="1"/>
  <c r="R85" i="1"/>
  <c r="S85" i="1"/>
  <c r="N192" i="1"/>
  <c r="S1453" i="5"/>
  <c r="L4192" i="5"/>
  <c r="M10" i="5"/>
  <c r="L10" i="5" s="1"/>
  <c r="A2909" i="5"/>
  <c r="A2910" i="5" s="1"/>
  <c r="M4409" i="5"/>
  <c r="O4409" i="5"/>
  <c r="A310" i="5"/>
  <c r="A311" i="5" s="1"/>
  <c r="A312" i="5" s="1"/>
  <c r="A315" i="5" s="1"/>
  <c r="A316" i="5" s="1"/>
  <c r="A317" i="5" s="1"/>
  <c r="A318" i="5" s="1"/>
  <c r="A320" i="5" s="1"/>
  <c r="A322" i="5" s="1"/>
  <c r="A323" i="5" s="1"/>
  <c r="A324" i="5" s="1"/>
  <c r="A325" i="5" s="1"/>
  <c r="A326" i="5" s="1"/>
  <c r="A327" i="5" s="1"/>
  <c r="A328" i="5" s="1"/>
  <c r="A330" i="5" s="1"/>
  <c r="A332" i="5" s="1"/>
  <c r="A333" i="5" s="1"/>
  <c r="A334" i="5" s="1"/>
  <c r="A335" i="5" s="1"/>
  <c r="A337" i="5" s="1"/>
  <c r="A338" i="5" s="1"/>
  <c r="A339" i="5" s="1"/>
  <c r="A340" i="5" s="1"/>
  <c r="A341" i="5" s="1"/>
  <c r="A343" i="5" s="1"/>
  <c r="A345" i="5" s="1"/>
  <c r="A346" i="5" s="1"/>
  <c r="A347" i="5" s="1"/>
  <c r="A348" i="5" s="1"/>
  <c r="A349" i="5" s="1"/>
  <c r="A350" i="5" s="1"/>
  <c r="A351" i="5" s="1"/>
  <c r="A352" i="5" s="1"/>
  <c r="A354" i="5" s="1"/>
  <c r="A355" i="5" s="1"/>
  <c r="A356" i="5" s="1"/>
  <c r="A357" i="5" s="1"/>
  <c r="A358" i="5" s="1"/>
  <c r="A360" i="5" s="1"/>
  <c r="A361" i="5" s="1"/>
  <c r="A362" i="5" s="1"/>
  <c r="A363" i="5" s="1"/>
  <c r="A367" i="5" s="1"/>
  <c r="A372" i="5" s="1"/>
  <c r="A374" i="5" s="1"/>
  <c r="A375" i="5" s="1"/>
  <c r="A376" i="5" s="1"/>
  <c r="A377" i="5" s="1"/>
  <c r="A378" i="5" s="1"/>
  <c r="A379" i="5" s="1"/>
  <c r="A380" i="5" s="1"/>
  <c r="A381" i="5" s="1"/>
  <c r="A383" i="5" s="1"/>
  <c r="A384" i="5" s="1"/>
  <c r="A386" i="5" s="1"/>
  <c r="A387" i="5" s="1"/>
  <c r="A388" i="5" s="1"/>
  <c r="A389" i="5" s="1"/>
  <c r="A390" i="5" s="1"/>
  <c r="A391" i="5" s="1"/>
  <c r="A392" i="5" s="1"/>
  <c r="A393" i="5" s="1"/>
  <c r="A394" i="5" s="1"/>
  <c r="A395" i="5" s="1"/>
  <c r="A396" i="5" s="1"/>
  <c r="A397" i="5" s="1"/>
  <c r="A398" i="5" s="1"/>
  <c r="A399" i="5" s="1"/>
  <c r="A400" i="5" s="1"/>
  <c r="A401" i="5" s="1"/>
  <c r="A402" i="5" s="1"/>
  <c r="A403" i="5" s="1"/>
  <c r="A405" i="5" s="1"/>
  <c r="A406" i="5" s="1"/>
  <c r="A407" i="5" s="1"/>
  <c r="A408" i="5" s="1"/>
  <c r="A409" i="5" s="1"/>
  <c r="A410" i="5" s="1"/>
  <c r="A411" i="5" s="1"/>
  <c r="A412" i="5" s="1"/>
  <c r="L4468" i="5"/>
  <c r="S4468" i="5" s="1"/>
  <c r="R361" i="1"/>
  <c r="A2688" i="5"/>
  <c r="A2689" i="5" s="1"/>
  <c r="R157" i="1"/>
  <c r="S2568" i="5"/>
  <c r="A579" i="5"/>
  <c r="A580" i="5" s="1"/>
  <c r="A581" i="5" s="1"/>
  <c r="A144" i="1"/>
  <c r="A145" i="1" s="1"/>
  <c r="L4491" i="5"/>
  <c r="S4491" i="5" s="1"/>
  <c r="A4523" i="5"/>
  <c r="R347" i="1"/>
  <c r="L2911" i="5"/>
  <c r="A3500" i="5"/>
  <c r="A3501" i="5" s="1"/>
  <c r="O2113" i="5"/>
  <c r="A2862" i="5"/>
  <c r="A2863" i="5" s="1"/>
  <c r="A2864" i="5" s="1"/>
  <c r="A2865" i="5" s="1"/>
  <c r="A2866" i="5" s="1"/>
  <c r="R235" i="1"/>
  <c r="R227" i="1"/>
  <c r="R232" i="1"/>
  <c r="R229" i="1"/>
  <c r="R225" i="1"/>
  <c r="R233" i="1"/>
  <c r="R146" i="1"/>
  <c r="S2880" i="5"/>
  <c r="R286" i="1"/>
  <c r="R359" i="1"/>
  <c r="Q4132" i="5"/>
  <c r="R135" i="1"/>
  <c r="R169" i="1"/>
  <c r="R357" i="1"/>
  <c r="R189" i="1"/>
  <c r="L4632" i="5"/>
  <c r="L4614" i="5"/>
  <c r="T4581" i="5"/>
  <c r="R186" i="1"/>
  <c r="R49" i="1"/>
  <c r="T4641" i="5"/>
  <c r="L12" i="5"/>
  <c r="Q4616" i="5"/>
  <c r="S520" i="5"/>
  <c r="L4583" i="5"/>
  <c r="T4630" i="5"/>
  <c r="S53" i="1"/>
  <c r="S42" i="1"/>
  <c r="S33" i="1"/>
  <c r="S46" i="1"/>
  <c r="R33" i="1"/>
  <c r="L4484" i="5"/>
  <c r="S4484" i="5" s="1"/>
  <c r="R176" i="1"/>
  <c r="Q4187" i="5"/>
  <c r="R63" i="1"/>
  <c r="S63" i="1"/>
  <c r="R30" i="1"/>
  <c r="S30" i="1"/>
  <c r="S38" i="1"/>
  <c r="L2930" i="5"/>
  <c r="S3885" i="5"/>
  <c r="G1463" i="5"/>
  <c r="R53" i="1"/>
  <c r="S74" i="1"/>
  <c r="R26" i="1"/>
  <c r="S26" i="1"/>
  <c r="S48" i="1"/>
  <c r="S2676" i="5"/>
  <c r="C123" i="2"/>
  <c r="H123" i="2"/>
  <c r="L2759" i="5"/>
  <c r="S89" i="1"/>
  <c r="R128" i="1"/>
  <c r="S66" i="1"/>
  <c r="R87" i="1"/>
  <c r="L2627" i="5"/>
  <c r="S24" i="1"/>
  <c r="R89" i="1"/>
  <c r="S87" i="1"/>
  <c r="T4539" i="5"/>
  <c r="T4545" i="5"/>
  <c r="T4540" i="5"/>
  <c r="T4544" i="5"/>
  <c r="T4542" i="5"/>
  <c r="T4538" i="5"/>
  <c r="T4541" i="5"/>
  <c r="S29" i="1"/>
  <c r="R78" i="1"/>
  <c r="S40" i="1"/>
  <c r="R40" i="1"/>
  <c r="R48" i="1"/>
  <c r="R82" i="1"/>
  <c r="R24" i="1"/>
  <c r="R21" i="1"/>
  <c r="S25" i="1"/>
  <c r="R170" i="1"/>
  <c r="S82" i="1"/>
  <c r="R32" i="1"/>
  <c r="A100" i="1"/>
  <c r="A101" i="1" s="1"/>
  <c r="A102" i="1" s="1"/>
  <c r="A103" i="1" s="1"/>
  <c r="A89" i="2"/>
  <c r="A90" i="2" s="1"/>
  <c r="A91" i="2" s="1"/>
  <c r="A92" i="2" s="1"/>
  <c r="A1232" i="5"/>
  <c r="A1233" i="5" s="1"/>
  <c r="A1234" i="5" s="1"/>
  <c r="A1235" i="5" s="1"/>
  <c r="R358" i="1"/>
  <c r="S70" i="1"/>
  <c r="R58" i="1"/>
  <c r="S58" i="1"/>
  <c r="S94" i="1"/>
  <c r="R94" i="1"/>
  <c r="A4341" i="5"/>
  <c r="A4342" i="5" s="1"/>
  <c r="A4343" i="5" s="1"/>
  <c r="A4344" i="5" s="1"/>
  <c r="A4345" i="5" s="1"/>
  <c r="A4346" i="5" s="1"/>
  <c r="A4347" i="5" s="1"/>
  <c r="A4348" i="5" s="1"/>
  <c r="A4349" i="5" s="1"/>
  <c r="A4350" i="5" s="1"/>
  <c r="A4351" i="5" s="1"/>
  <c r="A4352" i="5" s="1"/>
  <c r="A4353" i="5" s="1"/>
  <c r="A4354" i="5" s="1"/>
  <c r="A4355" i="5" s="1"/>
  <c r="S81" i="1"/>
  <c r="L3692" i="5"/>
  <c r="L3861" i="5"/>
  <c r="D10" i="5"/>
  <c r="D9" i="5" s="1"/>
  <c r="S27" i="1"/>
  <c r="R153" i="1"/>
  <c r="S1422" i="5"/>
  <c r="R28" i="1"/>
  <c r="R61" i="1"/>
  <c r="S61" i="1"/>
  <c r="R45" i="1"/>
  <c r="S45" i="1"/>
  <c r="S20" i="1"/>
  <c r="R345" i="1"/>
  <c r="R92" i="1"/>
  <c r="S92" i="1"/>
  <c r="R54" i="1"/>
  <c r="S54" i="1"/>
  <c r="D93" i="2"/>
  <c r="S2417" i="5"/>
  <c r="L4574" i="5"/>
  <c r="R36" i="1"/>
  <c r="S36" i="1"/>
  <c r="S91" i="1"/>
  <c r="R91" i="1"/>
  <c r="R64" i="1"/>
  <c r="R181" i="1"/>
  <c r="S35" i="1"/>
  <c r="T4667" i="5"/>
  <c r="R68" i="1"/>
  <c r="S68" i="1"/>
  <c r="R65" i="1"/>
  <c r="S65" i="1"/>
  <c r="R69" i="1"/>
  <c r="S69" i="1"/>
  <c r="R77" i="1"/>
  <c r="S77" i="1"/>
  <c r="R349" i="1"/>
  <c r="R149" i="1"/>
  <c r="R172" i="1"/>
  <c r="S76" i="1"/>
  <c r="R76" i="1"/>
  <c r="R163" i="1"/>
  <c r="R344" i="1"/>
  <c r="S23" i="1"/>
  <c r="S31" i="1"/>
  <c r="R31" i="1"/>
  <c r="R288" i="1"/>
  <c r="R143" i="1"/>
  <c r="S60" i="1"/>
  <c r="S43" i="1"/>
  <c r="R57" i="1"/>
  <c r="S57" i="1"/>
  <c r="R356" i="1"/>
  <c r="R80" i="1"/>
  <c r="S80" i="1"/>
  <c r="R39" i="1"/>
  <c r="L4684" i="5"/>
  <c r="R343" i="1"/>
  <c r="R353" i="1"/>
  <c r="L4615" i="5"/>
  <c r="R348" i="1"/>
  <c r="R72" i="1"/>
  <c r="S72" i="1"/>
  <c r="L4607" i="5"/>
  <c r="L4665" i="5"/>
  <c r="T4664" i="5"/>
  <c r="L3780" i="5"/>
  <c r="Q2884" i="5"/>
  <c r="Q2522" i="5" s="1"/>
  <c r="L2883" i="5"/>
  <c r="L3695" i="5"/>
  <c r="R323" i="1"/>
  <c r="T4618" i="5"/>
  <c r="G2964" i="5"/>
  <c r="S2294" i="5"/>
  <c r="L3606" i="5"/>
  <c r="T4635" i="5"/>
  <c r="S2953" i="5"/>
  <c r="S2530" i="5"/>
  <c r="J9" i="5"/>
  <c r="A2483" i="5"/>
  <c r="A2484" i="5" s="1"/>
  <c r="A2485" i="5" s="1"/>
  <c r="L4536" i="5"/>
  <c r="U4606" i="5"/>
  <c r="S2322" i="5"/>
  <c r="R75" i="1"/>
  <c r="S75" i="1"/>
  <c r="T1319" i="5"/>
  <c r="U1319" i="5" s="1"/>
  <c r="R71" i="1"/>
  <c r="S71" i="1"/>
  <c r="S79" i="1"/>
  <c r="R79" i="1"/>
  <c r="N3465" i="5"/>
  <c r="N2964" i="5" s="1"/>
  <c r="T4738" i="5"/>
  <c r="L4612" i="5"/>
  <c r="L2301" i="5"/>
  <c r="S2300" i="5"/>
  <c r="L4766" i="5"/>
  <c r="L4557" i="5"/>
  <c r="T4556" i="5"/>
  <c r="O3465" i="5"/>
  <c r="Q4550" i="5"/>
  <c r="L1023" i="5"/>
  <c r="U4604" i="5"/>
  <c r="T4534" i="5"/>
  <c r="L3845" i="5"/>
  <c r="Q3465" i="5"/>
  <c r="T4571" i="5"/>
  <c r="S3878" i="5"/>
  <c r="L4507" i="5"/>
  <c r="S4507" i="5" s="1"/>
  <c r="L3601" i="5"/>
  <c r="N182" i="1"/>
  <c r="S2432" i="5"/>
  <c r="N314" i="1"/>
  <c r="N296" i="1"/>
  <c r="N180" i="1"/>
  <c r="L4535" i="5"/>
  <c r="N301" i="1"/>
  <c r="T4622" i="5"/>
  <c r="S1456" i="5"/>
  <c r="N168" i="1"/>
  <c r="L4643" i="5"/>
  <c r="N295" i="1"/>
  <c r="N287" i="1"/>
  <c r="N294" i="1"/>
  <c r="N264" i="1"/>
  <c r="N139" i="1"/>
  <c r="N185" i="1"/>
  <c r="N178" i="1"/>
  <c r="N202" i="1"/>
  <c r="N177" i="1"/>
  <c r="N317" i="1"/>
  <c r="N298" i="1"/>
  <c r="N199" i="1"/>
  <c r="N269" i="1"/>
  <c r="N274" i="1"/>
  <c r="N4550" i="5"/>
  <c r="N4662" i="5"/>
  <c r="N152" i="1"/>
  <c r="N187" i="1"/>
  <c r="S2919" i="5"/>
  <c r="N159" i="1"/>
  <c r="N133" i="1"/>
  <c r="N266" i="1"/>
  <c r="L4266" i="5"/>
  <c r="S1307" i="5"/>
  <c r="N197" i="1"/>
  <c r="N184" i="1"/>
  <c r="N284" i="1"/>
  <c r="N134" i="1"/>
  <c r="N151" i="1"/>
  <c r="N136" i="1"/>
  <c r="N258" i="1"/>
  <c r="N308" i="1"/>
  <c r="T4582" i="5"/>
  <c r="O2522" i="5"/>
  <c r="L4576" i="5"/>
  <c r="S2182" i="5"/>
  <c r="N145" i="1"/>
  <c r="C93" i="2"/>
  <c r="D200" i="2"/>
  <c r="N306" i="1"/>
  <c r="N322" i="1"/>
  <c r="T4673" i="5"/>
  <c r="L4674" i="5"/>
  <c r="N305" i="1"/>
  <c r="N253" i="1"/>
  <c r="N4616" i="5"/>
  <c r="N312" i="1"/>
  <c r="N150" i="1"/>
  <c r="S2670" i="5"/>
  <c r="H117" i="2"/>
  <c r="C117" i="2"/>
  <c r="N161" i="1"/>
  <c r="N173" i="1"/>
  <c r="S2833" i="5"/>
  <c r="N267" i="1"/>
  <c r="N282" i="1"/>
  <c r="N263" i="1"/>
  <c r="L4480" i="5"/>
  <c r="S4480" i="5" s="1"/>
  <c r="T4566" i="5"/>
  <c r="L4569" i="5"/>
  <c r="S1259" i="5"/>
  <c r="N154" i="1"/>
  <c r="S2963" i="5"/>
  <c r="S2786" i="5"/>
  <c r="N331" i="1"/>
  <c r="S2362" i="5"/>
  <c r="N166" i="1"/>
  <c r="L2836" i="5"/>
  <c r="T4644" i="5"/>
  <c r="L4763" i="5"/>
  <c r="N276" i="1"/>
  <c r="T3502" i="5"/>
  <c r="T4631" i="5"/>
  <c r="N302" i="1"/>
  <c r="L4595" i="5"/>
  <c r="T4591" i="5"/>
  <c r="N179" i="1"/>
  <c r="S4098" i="5"/>
  <c r="L4589" i="5"/>
  <c r="S2383" i="5"/>
  <c r="N259" i="1"/>
  <c r="N283" i="1"/>
  <c r="N262" i="1"/>
  <c r="N171" i="1"/>
  <c r="S2830" i="5"/>
  <c r="L4270" i="5"/>
  <c r="O3872" i="5"/>
  <c r="N275" i="1"/>
  <c r="N158" i="1"/>
  <c r="N155" i="1"/>
  <c r="N313" i="1"/>
  <c r="N144" i="1"/>
  <c r="L2374" i="5"/>
  <c r="S2776" i="5"/>
  <c r="N200" i="1"/>
  <c r="L3703" i="5"/>
  <c r="N273" i="1"/>
  <c r="N285" i="1"/>
  <c r="L3742" i="5"/>
  <c r="N330" i="1"/>
  <c r="S4184" i="5"/>
  <c r="L3733" i="5"/>
  <c r="N292" i="1"/>
  <c r="L4628" i="5"/>
  <c r="S2957" i="5"/>
  <c r="S2422" i="5"/>
  <c r="L2424" i="5"/>
  <c r="T2422" i="5"/>
  <c r="N142" i="1"/>
  <c r="N204" i="1"/>
  <c r="N290" i="1"/>
  <c r="N310" i="1"/>
  <c r="N327" i="1"/>
  <c r="S4095" i="5"/>
  <c r="S1378" i="5"/>
  <c r="S2794" i="5"/>
  <c r="N147" i="1"/>
  <c r="N188" i="1"/>
  <c r="S4146" i="5"/>
  <c r="N319" i="1"/>
  <c r="S4108" i="5"/>
  <c r="N260" i="1"/>
  <c r="N183" i="1"/>
  <c r="L2780" i="5"/>
  <c r="S2887" i="5"/>
  <c r="N271" i="1"/>
  <c r="N257" i="1"/>
  <c r="U4559" i="5"/>
  <c r="T4559" i="5"/>
  <c r="T4670" i="5"/>
  <c r="L4694" i="5"/>
  <c r="N162" i="1"/>
  <c r="N138" i="1"/>
  <c r="T4755" i="5"/>
  <c r="N132" i="1"/>
  <c r="S2486" i="5"/>
  <c r="N141" i="1"/>
  <c r="S3890" i="5"/>
  <c r="L4132" i="5"/>
  <c r="N254" i="1"/>
  <c r="N270" i="1"/>
  <c r="N291" i="1"/>
  <c r="S2508" i="5"/>
  <c r="L2510" i="5"/>
  <c r="S2297" i="5"/>
  <c r="N203" i="1"/>
  <c r="N256" i="1"/>
  <c r="N280" i="1"/>
  <c r="L4501" i="5"/>
  <c r="S4501" i="5" s="1"/>
  <c r="L4732" i="5"/>
  <c r="L4742" i="5"/>
  <c r="S2344" i="5"/>
  <c r="L2347" i="5"/>
  <c r="T2344" i="5"/>
  <c r="N164" i="1"/>
  <c r="N190" i="1"/>
  <c r="L4511" i="5"/>
  <c r="S4511" i="5" s="1"/>
  <c r="N289" i="1"/>
  <c r="L4671" i="5"/>
  <c r="L4752" i="5"/>
  <c r="N148" i="1"/>
  <c r="N167" i="1"/>
  <c r="N279" i="1"/>
  <c r="N174" i="1"/>
  <c r="N299" i="1" l="1"/>
  <c r="S299" i="1" s="1"/>
  <c r="D313" i="2"/>
  <c r="L4676" i="5"/>
  <c r="A4211" i="5"/>
  <c r="A4212" i="5" s="1"/>
  <c r="A4213" i="5" s="1"/>
  <c r="A4214" i="5" s="1"/>
  <c r="A4215" i="5" s="1"/>
  <c r="A4216" i="5" s="1"/>
  <c r="A2690" i="5"/>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N265" i="1"/>
  <c r="S265" i="1" s="1"/>
  <c r="Q4409" i="5"/>
  <c r="S4192" i="5"/>
  <c r="A4524" i="5"/>
  <c r="A4525" i="5" s="1"/>
  <c r="A4526" i="5" s="1"/>
  <c r="A4527" i="5" s="1"/>
  <c r="S174" i="1"/>
  <c r="S279" i="1"/>
  <c r="S289" i="1"/>
  <c r="S256" i="1"/>
  <c r="S291" i="1"/>
  <c r="S254" i="1"/>
  <c r="S162" i="1"/>
  <c r="S260" i="1"/>
  <c r="S319" i="1"/>
  <c r="S188" i="1"/>
  <c r="S144" i="1"/>
  <c r="S155" i="1"/>
  <c r="S158" i="1"/>
  <c r="S262" i="1"/>
  <c r="S179" i="1"/>
  <c r="S276" i="1"/>
  <c r="S282" i="1"/>
  <c r="S253" i="1"/>
  <c r="S308" i="1"/>
  <c r="S151" i="1"/>
  <c r="S184" i="1"/>
  <c r="S266" i="1"/>
  <c r="S152" i="1"/>
  <c r="S269" i="1"/>
  <c r="S298" i="1"/>
  <c r="S178" i="1"/>
  <c r="S185" i="1"/>
  <c r="S294" i="1"/>
  <c r="S309" i="1"/>
  <c r="S295" i="1"/>
  <c r="S301" i="1"/>
  <c r="R192" i="1"/>
  <c r="S192" i="1"/>
  <c r="S277" i="1"/>
  <c r="S193" i="1"/>
  <c r="S148" i="1"/>
  <c r="S280" i="1"/>
  <c r="S257" i="1"/>
  <c r="S183" i="1"/>
  <c r="S290" i="1"/>
  <c r="S204" i="1"/>
  <c r="S315" i="1"/>
  <c r="S330" i="1"/>
  <c r="S313" i="1"/>
  <c r="S171" i="1"/>
  <c r="S324" i="1"/>
  <c r="S263" i="1"/>
  <c r="S161" i="1"/>
  <c r="S312" i="1"/>
  <c r="S322" i="1"/>
  <c r="S306" i="1"/>
  <c r="S258" i="1"/>
  <c r="S284" i="1"/>
  <c r="S274" i="1"/>
  <c r="S177" i="1"/>
  <c r="S139" i="1"/>
  <c r="S287" i="1"/>
  <c r="S296" i="1"/>
  <c r="S196" i="1"/>
  <c r="S167" i="1"/>
  <c r="S190" i="1"/>
  <c r="S203" i="1"/>
  <c r="S147" i="1"/>
  <c r="S142" i="1"/>
  <c r="S285" i="1"/>
  <c r="S275" i="1"/>
  <c r="S283" i="1"/>
  <c r="S302" i="1"/>
  <c r="S166" i="1"/>
  <c r="S267" i="1"/>
  <c r="S150" i="1"/>
  <c r="S305" i="1"/>
  <c r="S145" i="1"/>
  <c r="S136" i="1"/>
  <c r="S159" i="1"/>
  <c r="S199" i="1"/>
  <c r="S264" i="1"/>
  <c r="S168" i="1"/>
  <c r="S182" i="1"/>
  <c r="S195" i="1"/>
  <c r="S164" i="1"/>
  <c r="S270" i="1"/>
  <c r="S141" i="1"/>
  <c r="S132" i="1"/>
  <c r="S138" i="1"/>
  <c r="S271" i="1"/>
  <c r="S327" i="1"/>
  <c r="S310" i="1"/>
  <c r="S292" i="1"/>
  <c r="S273" i="1"/>
  <c r="S200" i="1"/>
  <c r="S259" i="1"/>
  <c r="S331" i="1"/>
  <c r="S154" i="1"/>
  <c r="S297" i="1"/>
  <c r="S173" i="1"/>
  <c r="S134" i="1"/>
  <c r="S325" i="1"/>
  <c r="S197" i="1"/>
  <c r="S133" i="1"/>
  <c r="S187" i="1"/>
  <c r="S317" i="1"/>
  <c r="S202" i="1"/>
  <c r="S180" i="1"/>
  <c r="S314" i="1"/>
  <c r="S255" i="1"/>
  <c r="T1316" i="5"/>
  <c r="U1316" i="5" s="1"/>
  <c r="R196" i="1"/>
  <c r="H313" i="2"/>
  <c r="C313" i="2"/>
  <c r="S4141" i="5"/>
  <c r="R195" i="1"/>
  <c r="S4237" i="5"/>
  <c r="T1368" i="5"/>
  <c r="U1368" i="5" s="1"/>
  <c r="R193" i="1"/>
  <c r="T1252" i="5"/>
  <c r="U1252" i="5" s="1"/>
  <c r="N293" i="1"/>
  <c r="N311" i="1"/>
  <c r="N333" i="1"/>
  <c r="S2550" i="5"/>
  <c r="T4612" i="5"/>
  <c r="S3964" i="5"/>
  <c r="N261" i="1"/>
  <c r="L4579" i="5"/>
  <c r="T4665" i="5"/>
  <c r="S12" i="5"/>
  <c r="A413" i="5"/>
  <c r="A414" i="5" s="1"/>
  <c r="A415" i="5" s="1"/>
  <c r="A416" i="5" s="1"/>
  <c r="A417" i="5" s="1"/>
  <c r="A418" i="5" s="1"/>
  <c r="A419" i="5" s="1"/>
  <c r="A420" i="5" s="1"/>
  <c r="A421" i="5" s="1"/>
  <c r="N4409" i="5"/>
  <c r="N4277" i="5" s="1"/>
  <c r="A582" i="5"/>
  <c r="A583" i="5" s="1"/>
  <c r="A584" i="5" s="1"/>
  <c r="A585" i="5" s="1"/>
  <c r="A2137" i="5"/>
  <c r="A2138" i="5" s="1"/>
  <c r="A2139" i="5" s="1"/>
  <c r="A2140" i="5" s="1"/>
  <c r="A2141" i="5" s="1"/>
  <c r="A2142" i="5" s="1"/>
  <c r="A2143" i="5" s="1"/>
  <c r="A2144" i="5" s="1"/>
  <c r="A2145" i="5" s="1"/>
  <c r="A2146" i="5" s="1"/>
  <c r="A146" i="1"/>
  <c r="A147" i="1" s="1"/>
  <c r="A148" i="1" s="1"/>
  <c r="A149" i="1" s="1"/>
  <c r="A150" i="1" s="1"/>
  <c r="N278" i="1"/>
  <c r="A3502" i="5"/>
  <c r="A3503" i="5" s="1"/>
  <c r="A3504" i="5" s="1"/>
  <c r="L2113" i="5"/>
  <c r="N328" i="1"/>
  <c r="T1406" i="5"/>
  <c r="U1406" i="5" s="1"/>
  <c r="N281" i="1"/>
  <c r="T4632" i="5"/>
  <c r="T4614" i="5"/>
  <c r="G9" i="5"/>
  <c r="S2930" i="5"/>
  <c r="T4574" i="5"/>
  <c r="T4583" i="5"/>
  <c r="T4557" i="5"/>
  <c r="N307" i="1"/>
  <c r="H200" i="2"/>
  <c r="S4607" i="5"/>
  <c r="L4187" i="5"/>
  <c r="T4607" i="5"/>
  <c r="N320" i="1"/>
  <c r="T2911" i="5"/>
  <c r="N137" i="1"/>
  <c r="T4684" i="5"/>
  <c r="N332" i="1"/>
  <c r="C200" i="2"/>
  <c r="T4535" i="5"/>
  <c r="T4536" i="5"/>
  <c r="T1401" i="5"/>
  <c r="U1401" i="5" s="1"/>
  <c r="T4135" i="5"/>
  <c r="U4135" i="5" s="1"/>
  <c r="T1274" i="5"/>
  <c r="U1274" i="5" s="1"/>
  <c r="N321" i="1"/>
  <c r="N326" i="1"/>
  <c r="N316" i="1"/>
  <c r="T1248" i="5"/>
  <c r="U1248" i="5" s="1"/>
  <c r="T4091" i="5"/>
  <c r="U4091" i="5" s="1"/>
  <c r="N304" i="1"/>
  <c r="L4616" i="5"/>
  <c r="T1265" i="5"/>
  <c r="U1265" i="5" s="1"/>
  <c r="T4149" i="5"/>
  <c r="U4149" i="5" s="1"/>
  <c r="S4217" i="5"/>
  <c r="S4266" i="5"/>
  <c r="O2964" i="5"/>
  <c r="T2772" i="5"/>
  <c r="U2772" i="5" s="1"/>
  <c r="L2884" i="5"/>
  <c r="S3938" i="5"/>
  <c r="S4080" i="5"/>
  <c r="S3900" i="5"/>
  <c r="N329" i="1"/>
  <c r="N300" i="1"/>
  <c r="T4576" i="5"/>
  <c r="T4643" i="5"/>
  <c r="T4766" i="5"/>
  <c r="T1304" i="5"/>
  <c r="U1304" i="5" s="1"/>
  <c r="L4550" i="5"/>
  <c r="N303" i="1"/>
  <c r="T1361" i="5"/>
  <c r="U1361" i="5" s="1"/>
  <c r="S4102" i="5"/>
  <c r="S2301" i="5"/>
  <c r="S1023" i="5"/>
  <c r="S10" i="5"/>
  <c r="T4620" i="5"/>
  <c r="L4662" i="5"/>
  <c r="R182" i="1"/>
  <c r="T1462" i="5"/>
  <c r="U1462" i="5" s="1"/>
  <c r="R296" i="1"/>
  <c r="R314" i="1"/>
  <c r="R180" i="1"/>
  <c r="R168" i="1"/>
  <c r="R301" i="1"/>
  <c r="R139" i="1"/>
  <c r="R264" i="1"/>
  <c r="R178" i="1"/>
  <c r="R309" i="1"/>
  <c r="R295" i="1"/>
  <c r="R185" i="1"/>
  <c r="R294" i="1"/>
  <c r="R287" i="1"/>
  <c r="N104" i="1"/>
  <c r="R258" i="1"/>
  <c r="R187" i="1"/>
  <c r="R202" i="1"/>
  <c r="R305" i="1"/>
  <c r="R322" i="1"/>
  <c r="R151" i="1"/>
  <c r="R177" i="1"/>
  <c r="R312" i="1"/>
  <c r="R253" i="1"/>
  <c r="R306" i="1"/>
  <c r="R145" i="1"/>
  <c r="R308" i="1"/>
  <c r="R136" i="1"/>
  <c r="R284" i="1"/>
  <c r="R325" i="1"/>
  <c r="R197" i="1"/>
  <c r="R266" i="1"/>
  <c r="R159" i="1"/>
  <c r="R152" i="1"/>
  <c r="R274" i="1"/>
  <c r="R269" i="1"/>
  <c r="R199" i="1"/>
  <c r="R298" i="1"/>
  <c r="R317" i="1"/>
  <c r="T4674" i="5"/>
  <c r="R134" i="1"/>
  <c r="R184" i="1"/>
  <c r="R133" i="1"/>
  <c r="R190" i="1"/>
  <c r="S2780" i="5"/>
  <c r="R188" i="1"/>
  <c r="R142" i="1"/>
  <c r="S2424" i="5"/>
  <c r="R158" i="1"/>
  <c r="R161" i="1"/>
  <c r="R279" i="1"/>
  <c r="R167" i="1"/>
  <c r="T4671" i="5"/>
  <c r="S2347" i="5"/>
  <c r="R291" i="1"/>
  <c r="R270" i="1"/>
  <c r="R141" i="1"/>
  <c r="R138" i="1"/>
  <c r="T4563" i="5"/>
  <c r="R147" i="1"/>
  <c r="R327" i="1"/>
  <c r="R255" i="1"/>
  <c r="R315" i="1"/>
  <c r="R200" i="1"/>
  <c r="R144" i="1"/>
  <c r="R262" i="1"/>
  <c r="S2627" i="5"/>
  <c r="R276" i="1"/>
  <c r="R154" i="1"/>
  <c r="T4569" i="5"/>
  <c r="R267" i="1"/>
  <c r="S2759" i="5"/>
  <c r="S4270" i="5"/>
  <c r="T4763" i="5"/>
  <c r="R148" i="1"/>
  <c r="T4752" i="5"/>
  <c r="R289" i="1"/>
  <c r="R164" i="1"/>
  <c r="R203" i="1"/>
  <c r="R254" i="1"/>
  <c r="R132" i="1"/>
  <c r="R183" i="1"/>
  <c r="R260" i="1"/>
  <c r="R319" i="1"/>
  <c r="R204" i="1"/>
  <c r="L3736" i="5"/>
  <c r="R330" i="1"/>
  <c r="R285" i="1"/>
  <c r="S2374" i="5"/>
  <c r="R313" i="1"/>
  <c r="R155" i="1"/>
  <c r="R275" i="1"/>
  <c r="R171" i="1"/>
  <c r="R259" i="1"/>
  <c r="T4589" i="5"/>
  <c r="R179" i="1"/>
  <c r="T4595" i="5"/>
  <c r="N268" i="1"/>
  <c r="R331" i="1"/>
  <c r="R297" i="1"/>
  <c r="R282" i="1"/>
  <c r="N131" i="1"/>
  <c r="T4694" i="5"/>
  <c r="S2644" i="5"/>
  <c r="R162" i="1"/>
  <c r="T4628" i="5"/>
  <c r="R302" i="1"/>
  <c r="S2836" i="5"/>
  <c r="R166" i="1"/>
  <c r="R174" i="1"/>
  <c r="R277" i="1"/>
  <c r="R280" i="1"/>
  <c r="R256" i="1"/>
  <c r="S4132" i="5"/>
  <c r="R257" i="1"/>
  <c r="R271" i="1"/>
  <c r="S4179" i="5"/>
  <c r="R310" i="1"/>
  <c r="R290" i="1"/>
  <c r="R292" i="1"/>
  <c r="R273" i="1"/>
  <c r="L4599" i="5"/>
  <c r="R283" i="1"/>
  <c r="T4732" i="5"/>
  <c r="R324" i="1"/>
  <c r="R263" i="1"/>
  <c r="R173" i="1"/>
  <c r="R150" i="1"/>
  <c r="T4742" i="5"/>
  <c r="T1372" i="5"/>
  <c r="U1372" i="5" s="1"/>
  <c r="R299" i="1" l="1"/>
  <c r="A151" i="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2734" i="5"/>
  <c r="A2735" i="5" s="1"/>
  <c r="A2736" i="5" s="1"/>
  <c r="A2737" i="5" s="1"/>
  <c r="R265" i="1"/>
  <c r="A3505" i="5"/>
  <c r="A3506" i="5" s="1"/>
  <c r="A3507" i="5" s="1"/>
  <c r="S303" i="1"/>
  <c r="S304" i="1"/>
  <c r="S332" i="1"/>
  <c r="S333" i="1"/>
  <c r="S131" i="1"/>
  <c r="S268" i="1"/>
  <c r="S326" i="1"/>
  <c r="S137" i="1"/>
  <c r="S320" i="1"/>
  <c r="S307" i="1"/>
  <c r="S261" i="1"/>
  <c r="S300" i="1"/>
  <c r="S329" i="1"/>
  <c r="S316" i="1"/>
  <c r="S321" i="1"/>
  <c r="S328" i="1"/>
  <c r="S278" i="1"/>
  <c r="S281" i="1"/>
  <c r="S311" i="1"/>
  <c r="S293" i="1"/>
  <c r="R321" i="1"/>
  <c r="R241" i="1"/>
  <c r="R238" i="1"/>
  <c r="R311" i="1"/>
  <c r="N339" i="1"/>
  <c r="N252" i="1"/>
  <c r="R333" i="1"/>
  <c r="R293" i="1"/>
  <c r="R300" i="1"/>
  <c r="R261" i="1"/>
  <c r="T4579" i="5"/>
  <c r="A422" i="5"/>
  <c r="A423" i="5" s="1"/>
  <c r="A425" i="5" s="1"/>
  <c r="A426" i="5" s="1"/>
  <c r="A427" i="5" s="1"/>
  <c r="A428" i="5" s="1"/>
  <c r="A429" i="5" s="1"/>
  <c r="A431" i="5" s="1"/>
  <c r="A432" i="5" s="1"/>
  <c r="A433" i="5" s="1"/>
  <c r="A434" i="5" s="1"/>
  <c r="A435" i="5" s="1"/>
  <c r="A436" i="5" s="1"/>
  <c r="A437" i="5" s="1"/>
  <c r="A441" i="5" s="1"/>
  <c r="A442" i="5" s="1"/>
  <c r="A443" i="5" s="1"/>
  <c r="A444" i="5" s="1"/>
  <c r="A445" i="5" s="1"/>
  <c r="A446" i="5" s="1"/>
  <c r="A447" i="5" s="1"/>
  <c r="A448" i="5" s="1"/>
  <c r="A449" i="5" s="1"/>
  <c r="A451" i="5" s="1"/>
  <c r="A452" i="5" s="1"/>
  <c r="A455" i="5" s="1"/>
  <c r="A456" i="5" s="1"/>
  <c r="A458" i="5" s="1"/>
  <c r="A459" i="5" s="1"/>
  <c r="A460" i="5" s="1"/>
  <c r="A461" i="5" s="1"/>
  <c r="A462" i="5" s="1"/>
  <c r="A463" i="5" s="1"/>
  <c r="A465" i="5" s="1"/>
  <c r="A467" i="5" s="1"/>
  <c r="A468" i="5" s="1"/>
  <c r="A470" i="5" s="1"/>
  <c r="A471" i="5" s="1"/>
  <c r="A472" i="5" s="1"/>
  <c r="A473" i="5" s="1"/>
  <c r="A474" i="5" s="1"/>
  <c r="A475" i="5" s="1"/>
  <c r="A476" i="5" s="1"/>
  <c r="A477" i="5" s="1"/>
  <c r="A478" i="5" s="1"/>
  <c r="A479" i="5" s="1"/>
  <c r="A480" i="5" s="1"/>
  <c r="A481" i="5" s="1"/>
  <c r="A482" i="5" s="1"/>
  <c r="A483" i="5" s="1"/>
  <c r="A484" i="5" s="1"/>
  <c r="A485" i="5" s="1"/>
  <c r="A487" i="5" s="1"/>
  <c r="A488" i="5" s="1"/>
  <c r="A489" i="5" s="1"/>
  <c r="A490" i="5" s="1"/>
  <c r="A491" i="5" s="1"/>
  <c r="A493" i="5" s="1"/>
  <c r="A495" i="5" s="1"/>
  <c r="A496" i="5" s="1"/>
  <c r="A497" i="5" s="1"/>
  <c r="A498" i="5" s="1"/>
  <c r="A499" i="5" s="1"/>
  <c r="A500" i="5" s="1"/>
  <c r="A501" i="5" s="1"/>
  <c r="A502" i="5" s="1"/>
  <c r="A503" i="5" s="1"/>
  <c r="A504" i="5" s="1"/>
  <c r="A505" i="5" s="1"/>
  <c r="A506" i="5" s="1"/>
  <c r="A507" i="5" s="1"/>
  <c r="A508" i="5" s="1"/>
  <c r="A509" i="5" s="1"/>
  <c r="A511" i="5" s="1"/>
  <c r="A512" i="5" s="1"/>
  <c r="A513" i="5" s="1"/>
  <c r="A514" i="5" s="1"/>
  <c r="A515" i="5" s="1"/>
  <c r="A516" i="5" s="1"/>
  <c r="A517" i="5" s="1"/>
  <c r="A518" i="5" s="1"/>
  <c r="A519" i="5" s="1"/>
  <c r="L4409" i="5"/>
  <c r="A2147" i="5"/>
  <c r="A2148" i="5" s="1"/>
  <c r="A2149" i="5" s="1"/>
  <c r="A586" i="5"/>
  <c r="A587" i="5" s="1"/>
  <c r="A588" i="5" s="1"/>
  <c r="A589" i="5" s="1"/>
  <c r="A590" i="5" s="1"/>
  <c r="A591" i="5" s="1"/>
  <c r="A592" i="5" s="1"/>
  <c r="A593" i="5" s="1"/>
  <c r="A594" i="5" s="1"/>
  <c r="A595" i="5" s="1"/>
  <c r="N375" i="1"/>
  <c r="R278" i="1"/>
  <c r="R328" i="1"/>
  <c r="A2867" i="5"/>
  <c r="A2868" i="5" s="1"/>
  <c r="A2869" i="5" s="1"/>
  <c r="A2870" i="5" s="1"/>
  <c r="R281" i="1"/>
  <c r="R307" i="1"/>
  <c r="R137" i="1"/>
  <c r="N208" i="1"/>
  <c r="R320" i="1"/>
  <c r="S4187" i="5"/>
  <c r="T4616" i="5"/>
  <c r="R332" i="1"/>
  <c r="R316" i="1"/>
  <c r="R326" i="1"/>
  <c r="R304" i="1"/>
  <c r="R329" i="1"/>
  <c r="S2884" i="5"/>
  <c r="T4550" i="5"/>
  <c r="R303" i="1"/>
  <c r="T1023" i="5"/>
  <c r="U1023" i="5" s="1"/>
  <c r="T4662" i="5"/>
  <c r="T1453" i="5"/>
  <c r="U1453" i="5" s="1"/>
  <c r="T1456" i="5"/>
  <c r="U1456" i="5" s="1"/>
  <c r="T1422" i="5"/>
  <c r="U1422" i="5" s="1"/>
  <c r="T1312" i="5"/>
  <c r="U1312" i="5" s="1"/>
  <c r="T2919" i="5"/>
  <c r="U2919" i="5" s="1"/>
  <c r="T1307" i="5"/>
  <c r="U1307" i="5" s="1"/>
  <c r="S104" i="1"/>
  <c r="T1236" i="5"/>
  <c r="U1236" i="5" s="1"/>
  <c r="R104" i="1"/>
  <c r="T2833" i="5"/>
  <c r="U2833" i="5" s="1"/>
  <c r="T1259" i="5"/>
  <c r="U1259" i="5" s="1"/>
  <c r="T4146" i="5"/>
  <c r="U4146" i="5" s="1"/>
  <c r="T2786" i="5"/>
  <c r="U2786" i="5" s="1"/>
  <c r="T2776" i="5"/>
  <c r="U2776" i="5" s="1"/>
  <c r="T4237" i="5"/>
  <c r="U4237" i="5" s="1"/>
  <c r="T2830" i="5"/>
  <c r="U2830" i="5" s="1"/>
  <c r="L3465" i="5"/>
  <c r="S2113" i="5"/>
  <c r="T1378" i="5"/>
  <c r="U1378" i="5" s="1"/>
  <c r="T2880" i="5"/>
  <c r="U2880" i="5" s="1"/>
  <c r="T2887" i="5"/>
  <c r="U2887" i="5" s="1"/>
  <c r="T2794" i="5"/>
  <c r="U2794" i="5" s="1"/>
  <c r="T4095" i="5"/>
  <c r="U4095" i="5" s="1"/>
  <c r="R131" i="1"/>
  <c r="R268" i="1"/>
  <c r="S4676" i="5"/>
  <c r="T4599" i="5"/>
  <c r="T4098" i="5"/>
  <c r="U4098" i="5" s="1"/>
  <c r="T4184" i="5"/>
  <c r="U4184" i="5" s="1"/>
  <c r="T2930" i="5"/>
  <c r="U2930" i="5" s="1"/>
  <c r="T4102" i="5"/>
  <c r="U4102" i="5" s="1"/>
  <c r="T4141" i="5"/>
  <c r="U4141" i="5" s="1"/>
  <c r="A2871" i="5" l="1"/>
  <c r="A2872" i="5" s="1"/>
  <c r="A2873" i="5" s="1"/>
  <c r="N222" i="1"/>
  <c r="U2113" i="5"/>
  <c r="T2113" i="5" s="1"/>
  <c r="A2738" i="5"/>
  <c r="A2739" i="5" s="1"/>
  <c r="A2740" i="5" s="1"/>
  <c r="A2741" i="5" s="1"/>
  <c r="A2742" i="5" s="1"/>
  <c r="A2743" i="5" s="1"/>
  <c r="A3508" i="5"/>
  <c r="A3509" i="5" s="1"/>
  <c r="A3510" i="5" s="1"/>
  <c r="A3511" i="5" s="1"/>
  <c r="A3512" i="5" s="1"/>
  <c r="A3513" i="5" s="1"/>
  <c r="A3514" i="5" s="1"/>
  <c r="A3515" i="5" s="1"/>
  <c r="A3516" i="5" s="1"/>
  <c r="A3517" i="5" s="1"/>
  <c r="A3518" i="5" s="1"/>
  <c r="A3519" i="5" s="1"/>
  <c r="A3520" i="5" s="1"/>
  <c r="A3521" i="5" s="1"/>
  <c r="A3522" i="5" s="1"/>
  <c r="A3523" i="5" s="1"/>
  <c r="A3524" i="5" s="1"/>
  <c r="T4270" i="5"/>
  <c r="U4270" i="5" s="1"/>
  <c r="T4275" i="5"/>
  <c r="U4275" i="5" s="1"/>
  <c r="T4132" i="5"/>
  <c r="U4132" i="5" s="1"/>
  <c r="R252" i="1"/>
  <c r="N340" i="1"/>
  <c r="R339" i="1"/>
  <c r="S4409" i="5"/>
  <c r="A2150" i="5"/>
  <c r="A2151" i="5" s="1"/>
  <c r="A2152" i="5" s="1"/>
  <c r="A2154" i="5" s="1"/>
  <c r="A2156" i="5" s="1"/>
  <c r="A2158" i="5" s="1"/>
  <c r="A2160" i="5" s="1"/>
  <c r="A2162" i="5" s="1"/>
  <c r="A2164" i="5" s="1"/>
  <c r="A2169" i="5" s="1"/>
  <c r="A2170" i="5" s="1"/>
  <c r="A2172" i="5" s="1"/>
  <c r="A2174" i="5" s="1"/>
  <c r="A596" i="5"/>
  <c r="A597" i="5" s="1"/>
  <c r="A598" i="5" s="1"/>
  <c r="A599" i="5" s="1"/>
  <c r="A600" i="5" s="1"/>
  <c r="A601" i="5" s="1"/>
  <c r="A602" i="5" s="1"/>
  <c r="A198" i="1"/>
  <c r="A199" i="1" s="1"/>
  <c r="A200" i="1" s="1"/>
  <c r="R375" i="1"/>
  <c r="R208" i="1"/>
  <c r="R222" i="1" s="1"/>
  <c r="T2825" i="5"/>
  <c r="U2825" i="5" s="1"/>
  <c r="T4266" i="5"/>
  <c r="U4266" i="5" s="1"/>
  <c r="T4108" i="5"/>
  <c r="U4108" i="5" s="1"/>
  <c r="T3938" i="5"/>
  <c r="U3938" i="5" s="1"/>
  <c r="T4192" i="5"/>
  <c r="U4192" i="5" s="1"/>
  <c r="T522" i="5"/>
  <c r="U522" i="5" s="1"/>
  <c r="S3465" i="5"/>
  <c r="T2836" i="5"/>
  <c r="U2836" i="5" s="1"/>
  <c r="T2644" i="5"/>
  <c r="U2644" i="5" s="1"/>
  <c r="T2780" i="5"/>
  <c r="U2780" i="5" s="1"/>
  <c r="T2627" i="5" l="1"/>
  <c r="U2627" i="5" s="1"/>
  <c r="A2176" i="5"/>
  <c r="A2178" i="5" s="1"/>
  <c r="A2180" i="5" s="1"/>
  <c r="A2181" i="5" s="1"/>
  <c r="T12" i="5"/>
  <c r="T2550" i="5"/>
  <c r="U2550" i="5" s="1"/>
  <c r="T4179" i="5"/>
  <c r="U4179" i="5" s="1"/>
  <c r="T4080" i="5"/>
  <c r="U4080" i="5" s="1"/>
  <c r="R340" i="1"/>
  <c r="T3964" i="5"/>
  <c r="U3964" i="5" s="1"/>
  <c r="T3900" i="5"/>
  <c r="U3900" i="5" s="1"/>
  <c r="T4217" i="5"/>
  <c r="U4217" i="5" s="1"/>
  <c r="T520" i="5"/>
  <c r="U520" i="5" s="1"/>
  <c r="A3292" i="5"/>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201" i="1"/>
  <c r="A202" i="1" s="1"/>
  <c r="T2759" i="5"/>
  <c r="U2759" i="5" s="1"/>
  <c r="T4187" i="5"/>
  <c r="U4187" i="5" s="1"/>
  <c r="T2884" i="5"/>
  <c r="U2884" i="5" s="1"/>
  <c r="T4409" i="5"/>
  <c r="U4409" i="5" s="1"/>
  <c r="T4676" i="5"/>
  <c r="U4676" i="5" s="1"/>
  <c r="A3351" i="5" l="1"/>
  <c r="A3352" i="5" s="1"/>
  <c r="A3353" i="5" s="1"/>
  <c r="A3354" i="5" s="1"/>
  <c r="A3355" i="5" s="1"/>
  <c r="A3356" i="5" s="1"/>
  <c r="A3049" i="5"/>
  <c r="A3050" i="5" s="1"/>
  <c r="A3051" i="5" s="1"/>
  <c r="A3052" i="5" s="1"/>
  <c r="A3053" i="5" s="1"/>
  <c r="A3054" i="5" s="1"/>
  <c r="A3055" i="5" s="1"/>
  <c r="A3056" i="5" s="1"/>
  <c r="A3057"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U12" i="5"/>
  <c r="A203" i="1"/>
  <c r="A204" i="1" s="1"/>
  <c r="T3465" i="5"/>
  <c r="U3465" i="5" s="1"/>
  <c r="A3093" i="5" l="1"/>
  <c r="A3094" i="5" s="1"/>
  <c r="A3095" i="5" s="1"/>
  <c r="A3096" i="5" s="1"/>
  <c r="A3097" i="5" s="1"/>
  <c r="A3098" i="5" s="1"/>
  <c r="A3099" i="5" s="1"/>
  <c r="A3103" i="5" s="1"/>
  <c r="A3104" i="5" s="1"/>
  <c r="A3105" i="5" s="1"/>
  <c r="A3106" i="5" s="1"/>
  <c r="A3107" i="5" s="1"/>
  <c r="A3108" i="5" s="1"/>
  <c r="A3109" i="5" s="1"/>
  <c r="A3110" i="5" s="1"/>
  <c r="A3111"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T10" i="5"/>
  <c r="U10" i="5" s="1"/>
  <c r="A3008" i="5"/>
  <c r="A205" i="1"/>
  <c r="A206" i="1" s="1"/>
  <c r="A207" i="1" s="1"/>
  <c r="A2744" i="5"/>
  <c r="A2745" i="5" l="1"/>
  <c r="A2746" i="5" s="1"/>
  <c r="A2747" i="5" s="1"/>
  <c r="A2749" i="5" s="1"/>
  <c r="A2751" i="5" s="1"/>
  <c r="A2753" i="5" s="1"/>
  <c r="A2755" i="5" s="1"/>
  <c r="A3165" i="5"/>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009" i="5"/>
  <c r="A3010" i="5" s="1"/>
  <c r="A3011" i="5" s="1"/>
  <c r="A3012" i="5" s="1"/>
  <c r="A3013" i="5" s="1"/>
  <c r="A3014" i="5" s="1"/>
  <c r="A3016" i="5" s="1"/>
  <c r="A3017" i="5" s="1"/>
  <c r="A3018" i="5" s="1"/>
  <c r="A3019" i="5" s="1"/>
  <c r="A3020" i="5" s="1"/>
  <c r="A3021" i="5" s="1"/>
  <c r="A3022" i="5" s="1"/>
  <c r="A3023" i="5" s="1"/>
  <c r="A3024" i="5" s="1"/>
  <c r="A3025" i="5" s="1"/>
  <c r="A3026" i="5" s="1"/>
  <c r="A3027" i="5" s="1"/>
  <c r="A3028" i="5" s="1"/>
  <c r="A3029" i="5" s="1"/>
  <c r="A3030" i="5" s="1"/>
  <c r="A3199" i="5" l="1"/>
  <c r="A3201" i="5" s="1"/>
  <c r="A3202"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360" i="5"/>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l="1"/>
  <c r="A3390" i="5" s="1"/>
  <c r="A3391" i="5" s="1"/>
  <c r="A3392" i="5" s="1"/>
  <c r="A3393" i="5" s="1"/>
  <c r="A3394" i="5" s="1"/>
  <c r="A3395" i="5" s="1"/>
  <c r="A3396" i="5" s="1"/>
  <c r="A3398" i="5" s="1"/>
  <c r="A3399" i="5" s="1"/>
  <c r="A3400" i="5" s="1"/>
  <c r="A3401" i="5" s="1"/>
  <c r="A1558" i="5"/>
  <c r="A3402" i="5" l="1"/>
  <c r="A3403" i="5" s="1"/>
  <c r="A3404" i="5" s="1"/>
  <c r="A3405" i="5" s="1"/>
  <c r="A1560" i="5"/>
  <c r="A1562" i="5" s="1"/>
  <c r="A3406" i="5" l="1"/>
  <c r="A3407" i="5" s="1"/>
  <c r="A3408" i="5" s="1"/>
  <c r="A3409" i="5" s="1"/>
  <c r="A3410" i="5" s="1"/>
  <c r="A3411" i="5" s="1"/>
  <c r="A3412" i="5" s="1"/>
  <c r="A3413" i="5" s="1"/>
  <c r="A1564" i="5"/>
  <c r="A3415" i="5" l="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1566" i="5"/>
  <c r="A1571" i="5" s="1"/>
  <c r="A3440" i="5" l="1"/>
  <c r="A3441" i="5" s="1"/>
  <c r="A3443" i="5" s="1"/>
  <c r="A1572" i="5"/>
  <c r="A1573" i="5" s="1"/>
  <c r="A1574" i="5" s="1"/>
  <c r="A1577" i="5" s="1"/>
  <c r="A1578" i="5" s="1"/>
  <c r="A1579" i="5" s="1"/>
  <c r="A1580" i="5" s="1"/>
  <c r="A3275" i="5"/>
  <c r="A3276" i="5" s="1"/>
  <c r="A3277" i="5" s="1"/>
  <c r="A3278" i="5" s="1"/>
  <c r="A3279" i="5" s="1"/>
  <c r="A3281" i="5" s="1"/>
  <c r="A3282" i="5" s="1"/>
  <c r="A3283" i="5" s="1"/>
  <c r="A3284" i="5" s="1"/>
  <c r="A3285" i="5" s="1"/>
  <c r="A3286" i="5" s="1"/>
  <c r="A3287" i="5" s="1"/>
  <c r="A3288" i="5" s="1"/>
  <c r="A3289" i="5" s="1"/>
  <c r="A1581" i="5" l="1"/>
  <c r="A1582" i="5" s="1"/>
  <c r="A1583" i="5" s="1"/>
  <c r="A1584" i="5" s="1"/>
  <c r="A1585" i="5" s="1"/>
  <c r="A1586" i="5" s="1"/>
  <c r="A1587" i="5" s="1"/>
  <c r="A1590" i="5" s="1"/>
  <c r="A1591" i="5" s="1"/>
  <c r="A1592" i="5" s="1"/>
  <c r="A1593" i="5" s="1"/>
  <c r="A1595" i="5" s="1"/>
  <c r="A1597" i="5" s="1"/>
  <c r="A1599" i="5" s="1"/>
  <c r="A1600" i="5" s="1"/>
  <c r="A1601" i="5" s="1"/>
  <c r="A1602" i="5" s="1"/>
  <c r="A1603" i="5" s="1"/>
  <c r="A1604" i="5" s="1"/>
  <c r="A1606" i="5" s="1"/>
  <c r="A1607" i="5" s="1"/>
  <c r="A1608" i="5" s="1"/>
  <c r="A1610" i="5" s="1"/>
  <c r="A1611" i="5" s="1"/>
  <c r="A1612" i="5" s="1"/>
  <c r="A1613" i="5" s="1"/>
  <c r="A1615" i="5" s="1"/>
  <c r="A1616" i="5" s="1"/>
  <c r="A1617" i="5" s="1"/>
  <c r="A1618" i="5" s="1"/>
  <c r="A1619" i="5" s="1"/>
  <c r="A1620" i="5" s="1"/>
  <c r="A1621" i="5" s="1"/>
  <c r="A1622" i="5" s="1"/>
  <c r="A1623" i="5" s="1"/>
  <c r="A1624" i="5" s="1"/>
  <c r="A1625" i="5" s="1"/>
  <c r="A1628" i="5" s="1"/>
  <c r="A1629" i="5" s="1"/>
  <c r="A1630" i="5" s="1"/>
  <c r="A1632" i="5" s="1"/>
  <c r="P2522" i="5"/>
  <c r="A1633" i="5" l="1"/>
  <c r="A1636" i="5" s="1"/>
  <c r="A1637" i="5" s="1"/>
  <c r="A1638" i="5" s="1"/>
  <c r="A1639" i="5" s="1"/>
  <c r="A1640" i="5" s="1"/>
  <c r="A1641" i="5" s="1"/>
  <c r="A1642" i="5" s="1"/>
  <c r="A1643" i="5" s="1"/>
  <c r="S2875" i="5" l="1"/>
  <c r="A1644" i="5"/>
  <c r="A1645" i="5" s="1"/>
  <c r="A1646" i="5" s="1"/>
  <c r="A1647" i="5" s="1"/>
  <c r="A1648" i="5" s="1"/>
  <c r="A1650" i="5" s="1"/>
  <c r="A1651" i="5" s="1"/>
  <c r="A1652" i="5" s="1"/>
  <c r="A1653" i="5" s="1"/>
  <c r="A1654" i="5" s="1"/>
  <c r="A1655" i="5" s="1"/>
  <c r="A1656" i="5" s="1"/>
  <c r="A1657" i="5" s="1"/>
  <c r="A1658" i="5" s="1"/>
  <c r="A1659" i="5" s="1"/>
  <c r="A1660" i="5" s="1"/>
  <c r="A1661" i="5" s="1"/>
  <c r="A1663" i="5" s="1"/>
  <c r="A1664" i="5" s="1"/>
  <c r="A1665" i="5" s="1"/>
  <c r="A1666" i="5" s="1"/>
  <c r="A1667" i="5" s="1"/>
  <c r="A1668" i="5" s="1"/>
  <c r="A1669"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2" i="5" s="1"/>
  <c r="A1704" i="5" s="1"/>
  <c r="A1705" i="5" s="1"/>
  <c r="A1706" i="5" s="1"/>
  <c r="A1707" i="5" s="1"/>
  <c r="A1708" i="5" s="1"/>
  <c r="A1709" i="5" s="1"/>
  <c r="A1710" i="5" s="1"/>
  <c r="A1711" i="5" s="1"/>
  <c r="A1712" i="5" s="1"/>
  <c r="A1713" i="5" s="1"/>
  <c r="A1719" i="5" s="1"/>
  <c r="A1720" i="5" s="1"/>
  <c r="A1721" i="5" s="1"/>
  <c r="A1722" i="5" s="1"/>
  <c r="A1723" i="5" s="1"/>
  <c r="A1725" i="5" s="1"/>
  <c r="A1726" i="5" s="1"/>
  <c r="A1727" i="5" s="1"/>
  <c r="A1728" i="5" s="1"/>
  <c r="A1729" i="5" s="1"/>
  <c r="A1730" i="5" s="1"/>
  <c r="A1731" i="5" s="1"/>
  <c r="A1732" i="5" s="1"/>
  <c r="A1734" i="5" s="1"/>
  <c r="A1735" i="5" s="1"/>
  <c r="A1736" i="5" s="1"/>
  <c r="A1737" i="5" s="1"/>
  <c r="A1738" i="5" s="1"/>
  <c r="A1739" i="5" s="1"/>
  <c r="A1740" i="5" s="1"/>
  <c r="A1741" i="5" s="1"/>
  <c r="A1743" i="5" s="1"/>
  <c r="A1745" i="5" s="1"/>
  <c r="A1746" i="5" s="1"/>
  <c r="A1747" i="5" s="1"/>
  <c r="A1748" i="5" s="1"/>
  <c r="A1749" i="5" s="1"/>
  <c r="A1750" i="5" s="1"/>
  <c r="A1751" i="5" s="1"/>
  <c r="A1752" i="5" s="1"/>
  <c r="A1753" i="5" s="1"/>
  <c r="A1754" i="5" s="1"/>
  <c r="A1755" i="5" s="1"/>
  <c r="A1756" i="5" s="1"/>
  <c r="A1757" i="5" s="1"/>
  <c r="A1758" i="5" s="1"/>
  <c r="A1759"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8" i="5" s="1"/>
  <c r="A1789" i="5" s="1"/>
  <c r="A1790" i="5" s="1"/>
  <c r="A1791" i="5" s="1"/>
  <c r="A1792" i="5" s="1"/>
  <c r="A1793" i="5" s="1"/>
  <c r="A1794" i="5" s="1"/>
  <c r="A1795" i="5" s="1"/>
  <c r="A1796" i="5" s="1"/>
  <c r="A1797" i="5" s="1"/>
  <c r="A1798" i="5" s="1"/>
  <c r="A1799" i="5" s="1"/>
  <c r="A1800" i="5" s="1"/>
  <c r="A1802" i="5" s="1"/>
  <c r="A1803" i="5" s="1"/>
  <c r="A1804" i="5" s="1"/>
  <c r="A1805" i="5" s="1"/>
  <c r="A1807" i="5" s="1"/>
  <c r="A1808" i="5" s="1"/>
  <c r="A1809" i="5" s="1"/>
  <c r="A1811" i="5" s="1"/>
  <c r="A1813" i="5" s="1"/>
  <c r="A1814" i="5" s="1"/>
  <c r="A1815" i="5" s="1"/>
  <c r="A1816" i="5" s="1"/>
  <c r="A1817" i="5" s="1"/>
  <c r="A1819" i="5" s="1"/>
  <c r="A1820" i="5" s="1"/>
  <c r="A1821"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6" i="5" s="1"/>
  <c r="A1847" i="5" s="1"/>
  <c r="A1848" i="5" s="1"/>
  <c r="A1849" i="5" s="1"/>
  <c r="A1851" i="5" s="1"/>
  <c r="A1852" i="5" s="1"/>
  <c r="A1853" i="5" s="1"/>
  <c r="A1854" i="5" s="1"/>
  <c r="A1855" i="5" s="1"/>
  <c r="A1857" i="5" s="1"/>
  <c r="A1858" i="5" s="1"/>
  <c r="A1859" i="5" s="1"/>
  <c r="A1860" i="5" s="1"/>
  <c r="A1862" i="5" s="1"/>
  <c r="A1863" i="5" s="1"/>
  <c r="A1864" i="5" s="1"/>
  <c r="A1865" i="5" s="1"/>
  <c r="A1866" i="5" s="1"/>
  <c r="A1867" i="5" s="1"/>
  <c r="A1868" i="5" s="1"/>
  <c r="A1869" i="5" s="1"/>
  <c r="A1870" i="5" s="1"/>
  <c r="A1871" i="5" s="1"/>
  <c r="A1872" i="5" s="1"/>
  <c r="A1873" i="5" s="1"/>
  <c r="A1874" i="5" s="1"/>
  <c r="L2522" i="5"/>
  <c r="A1875" i="5" l="1"/>
  <c r="A1876" i="5" s="1"/>
  <c r="A1877" i="5" s="1"/>
  <c r="A1878" i="5" s="1"/>
  <c r="S2522" i="5"/>
  <c r="A1879" i="5" l="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12" i="5" s="1"/>
  <c r="A1913" i="5" s="1"/>
  <c r="A1914" i="5" s="1"/>
  <c r="A1915" i="5" s="1"/>
  <c r="A1916" i="5" s="1"/>
  <c r="A1917" i="5" s="1"/>
  <c r="A1918" i="5" s="1"/>
  <c r="A1919" i="5" s="1"/>
  <c r="A1920" i="5" s="1"/>
  <c r="A1921" i="5" s="1"/>
  <c r="A1922" i="5" s="1"/>
  <c r="A1923" i="5" s="1"/>
  <c r="A1924" i="5" s="1"/>
  <c r="A1925" i="5" s="1"/>
  <c r="A1927" i="5" s="1"/>
  <c r="A1928" i="5" s="1"/>
  <c r="A1929" i="5" s="1"/>
  <c r="A1930" i="5" s="1"/>
  <c r="A1931" i="5" s="1"/>
  <c r="A1932" i="5" s="1"/>
  <c r="A1933" i="5" s="1"/>
  <c r="A1935" i="5" s="1"/>
  <c r="A1936" i="5" s="1"/>
  <c r="A1937" i="5" s="1"/>
  <c r="A1938" i="5" s="1"/>
  <c r="A1939" i="5" s="1"/>
  <c r="A1940" i="5" s="1"/>
  <c r="A1941" i="5" s="1"/>
  <c r="A1942" i="5" s="1"/>
  <c r="A1943" i="5" s="1"/>
  <c r="A1944" i="5" s="1"/>
  <c r="A1945" i="5" s="1"/>
  <c r="A1946" i="5" s="1"/>
  <c r="A1947" i="5" s="1"/>
  <c r="A1948" i="5" s="1"/>
  <c r="A1949" i="5" s="1"/>
  <c r="A1951" i="5" s="1"/>
  <c r="A1953" i="5" s="1"/>
  <c r="A1954" i="5" s="1"/>
  <c r="A1956" i="5" s="1"/>
  <c r="A1958" i="5" s="1"/>
  <c r="A1959" i="5" s="1"/>
  <c r="A1960" i="5" s="1"/>
  <c r="A1962" i="5" l="1"/>
  <c r="A1963" i="5" s="1"/>
  <c r="A1964" i="5" s="1"/>
  <c r="A1965" i="5" s="1"/>
  <c r="T2875" i="5"/>
  <c r="U2875" i="5" s="1"/>
  <c r="A1966" i="5" l="1"/>
  <c r="A1967" i="5" s="1"/>
  <c r="T2522" i="5"/>
  <c r="U2522" i="5" s="1"/>
  <c r="A1968" i="5" l="1"/>
  <c r="A1969" i="5" s="1"/>
  <c r="A1970" i="5" s="1"/>
  <c r="A1971" i="5" s="1"/>
  <c r="A1972" i="5" s="1"/>
  <c r="A1973" i="5" s="1"/>
  <c r="A1974" i="5" s="1"/>
  <c r="A1975" i="5" s="1"/>
  <c r="A1976" i="5" s="1"/>
  <c r="A1977" i="5" s="1"/>
  <c r="A1978" i="5" s="1"/>
  <c r="A1979" i="5" s="1"/>
  <c r="A1980" i="5" s="1"/>
  <c r="A1981" i="5" s="1"/>
  <c r="A1982" i="5" s="1"/>
  <c r="A1983" i="5" s="1"/>
  <c r="A1984" i="5" s="1"/>
  <c r="A1986" i="5" s="1"/>
  <c r="A1988" i="5" s="1"/>
  <c r="A1990" i="5" s="1"/>
  <c r="A1992" i="5" s="1"/>
  <c r="A1993" i="5" s="1"/>
  <c r="A1994" i="5" s="1"/>
  <c r="A1996" i="5" s="1"/>
  <c r="A1997" i="5" s="1"/>
  <c r="A2000" i="5" s="1"/>
  <c r="A2001" i="5" l="1"/>
  <c r="A2002" i="5" s="1"/>
  <c r="A2003" i="5" s="1"/>
  <c r="A2004" i="5" s="1"/>
  <c r="A2005" i="5" s="1"/>
  <c r="A2006" i="5" s="1"/>
  <c r="A2007" i="5" s="1"/>
  <c r="A2008" i="5" s="1"/>
  <c r="A2009" i="5" s="1"/>
  <c r="A2010" i="5" s="1"/>
  <c r="A2011" i="5" s="1"/>
  <c r="A2012" i="5" s="1"/>
  <c r="A2013" i="5" s="1"/>
  <c r="A2015" i="5" s="1"/>
  <c r="A2016" i="5" s="1"/>
  <c r="A2018" i="5" s="1"/>
  <c r="A2019" i="5" s="1"/>
  <c r="A2020" i="5" s="1"/>
  <c r="A2021" i="5" s="1"/>
  <c r="A2022" i="5" s="1"/>
  <c r="A2023" i="5" s="1"/>
  <c r="A2024" i="5" s="1"/>
  <c r="A2025" i="5" s="1"/>
  <c r="A2026" i="5" s="1"/>
  <c r="A2027" i="5" s="1"/>
  <c r="A2028" i="5" s="1"/>
  <c r="A2029" i="5" s="1"/>
  <c r="A2030" i="5" s="1"/>
  <c r="A2031" i="5" s="1"/>
  <c r="A2033" i="5" s="1"/>
  <c r="A2035" i="5" s="1"/>
  <c r="A2037" i="5" s="1"/>
  <c r="A2039" i="5" s="1"/>
  <c r="A2041" i="5" s="1"/>
  <c r="M4224" i="5" l="1"/>
  <c r="M3872" i="5" s="1"/>
  <c r="L4220" i="5" l="1"/>
  <c r="L4219" i="5" l="1"/>
  <c r="Q4224" i="5"/>
  <c r="Q3872" i="5" s="1"/>
  <c r="Q2964" i="5" s="1"/>
  <c r="L4224" i="5" l="1"/>
  <c r="S4224" i="5" l="1"/>
  <c r="L3872" i="5"/>
  <c r="S3872" i="5" l="1"/>
  <c r="T4224" i="5" l="1"/>
  <c r="U4224" i="5" s="1"/>
  <c r="T3872" i="5" l="1"/>
  <c r="U3872" i="5" s="1"/>
  <c r="L3391" i="5" l="1"/>
  <c r="L3403" i="5" l="1"/>
  <c r="M2966" i="5" l="1"/>
  <c r="M2964" i="5" s="1"/>
  <c r="L2964" i="5" l="1"/>
  <c r="L3413" i="5"/>
  <c r="L3463" i="5" s="1"/>
  <c r="S2964" i="5" l="1"/>
  <c r="S3413" i="5"/>
  <c r="S3463" i="5" l="1"/>
  <c r="L2966" i="5"/>
  <c r="S2966" i="5" l="1"/>
  <c r="T3463" i="5" l="1"/>
  <c r="U3463" i="5" s="1"/>
  <c r="T2966" i="5" l="1"/>
  <c r="U2966" i="5" s="1"/>
  <c r="T2964" i="5" l="1"/>
  <c r="U2964" i="5" s="1"/>
  <c r="O4313" i="5"/>
  <c r="Q4313" i="5"/>
  <c r="Q4407" i="5" l="1"/>
  <c r="Q4279" i="5" s="1"/>
  <c r="Q4277" i="5" s="1"/>
  <c r="O4407" i="5"/>
  <c r="O4279" i="5" s="1"/>
  <c r="O4277" i="5" s="1"/>
  <c r="L4313" i="5"/>
  <c r="M4279" i="5"/>
  <c r="M4277" i="5" s="1"/>
  <c r="L4407" i="5" l="1"/>
  <c r="S4407" i="5" s="1"/>
  <c r="L4279" i="5" l="1"/>
  <c r="S4279" i="5" l="1"/>
  <c r="L4277" i="5"/>
  <c r="T4407" i="5" l="1"/>
  <c r="U4407" i="5" s="1"/>
  <c r="S4277" i="5"/>
  <c r="T4279" i="5" l="1"/>
  <c r="U4279" i="5" s="1"/>
  <c r="T4277" i="5" l="1"/>
  <c r="U4277" i="5" s="1"/>
  <c r="E3872" i="5" l="1"/>
  <c r="E2964" i="5" s="1"/>
  <c r="E9" i="5" s="1"/>
  <c r="A3985" i="5"/>
  <c r="A3986" i="5" s="1"/>
  <c r="A3987" i="5" s="1"/>
  <c r="A3988" i="5" s="1"/>
  <c r="A3989" i="5" s="1"/>
  <c r="A3990" i="5" s="1"/>
  <c r="A3991" i="5" s="1"/>
  <c r="A3967" i="5"/>
  <c r="A3968" i="5" s="1"/>
  <c r="A3969" i="5" s="1"/>
  <c r="A3970" i="5" s="1"/>
  <c r="A3971" i="5" s="1"/>
  <c r="A3972" i="5" s="1"/>
  <c r="N2111" i="5"/>
  <c r="N1465" i="5" s="1"/>
  <c r="N1463" i="5" s="1"/>
  <c r="N9" i="5" s="1"/>
  <c r="O2111" i="5"/>
  <c r="O1465" i="5" s="1"/>
  <c r="O1463" i="5" s="1"/>
  <c r="O9" i="5" s="1"/>
  <c r="P2111" i="5"/>
  <c r="P1465" i="5" s="1"/>
  <c r="P1463" i="5" s="1"/>
  <c r="P9" i="5" s="1"/>
  <c r="Q1465" i="5"/>
  <c r="Q1463" i="5" s="1"/>
  <c r="Q9" i="5" s="1"/>
  <c r="M2111" i="5"/>
  <c r="M1465" i="5" s="1"/>
  <c r="M1463" i="5" s="1"/>
  <c r="M9" i="5" s="1"/>
  <c r="L1568" i="5"/>
  <c r="A3992" i="5" l="1"/>
  <c r="A3993" i="5" s="1"/>
  <c r="A3994" i="5" s="1"/>
  <c r="A3995" i="5" s="1"/>
  <c r="A3996" i="5" s="1"/>
  <c r="A3997" i="5" s="1"/>
  <c r="A3998" i="5" s="1"/>
  <c r="A3999" i="5" s="1"/>
  <c r="A4000" i="5" s="1"/>
  <c r="A4001" i="5" s="1"/>
  <c r="A4002" i="5" s="1"/>
  <c r="A4003" i="5" s="1"/>
  <c r="A4004" i="5" s="1"/>
  <c r="A4005" i="5" s="1"/>
  <c r="A4006" i="5" s="1"/>
  <c r="A4007" i="5" s="1"/>
  <c r="A3973" i="5"/>
  <c r="A3974" i="5" s="1"/>
  <c r="A3975" i="5" s="1"/>
  <c r="A3976" i="5" s="1"/>
  <c r="A3977" i="5" s="1"/>
  <c r="A3978" i="5" s="1"/>
  <c r="A3979" i="5" s="1"/>
  <c r="L2111" i="5"/>
  <c r="S1568" i="5"/>
  <c r="A4008" i="5" l="1"/>
  <c r="A4009" i="5" s="1"/>
  <c r="A4010" i="5" s="1"/>
  <c r="A4011" i="5" s="1"/>
  <c r="A4012" i="5" s="1"/>
  <c r="A4013" i="5" s="1"/>
  <c r="A4014" i="5" s="1"/>
  <c r="A4015" i="5" s="1"/>
  <c r="A4016" i="5" s="1"/>
  <c r="A4017" i="5" s="1"/>
  <c r="A4018" i="5" s="1"/>
  <c r="A4019" i="5" s="1"/>
  <c r="A4020" i="5" s="1"/>
  <c r="A4021" i="5" s="1"/>
  <c r="A4022" i="5" s="1"/>
  <c r="A4023" i="5" s="1"/>
  <c r="A4024" i="5" s="1"/>
  <c r="L1465" i="5"/>
  <c r="A4025" i="5" l="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S1465" i="5"/>
  <c r="L1463" i="5"/>
  <c r="S1463" i="5" l="1"/>
  <c r="L9" i="5"/>
  <c r="S2111" i="5"/>
  <c r="T2111" i="5" s="1"/>
  <c r="S9" i="5" l="1"/>
  <c r="T1465" i="5"/>
  <c r="U1465" i="5" s="1"/>
  <c r="T1463" i="5" l="1"/>
  <c r="U1463" i="5" s="1"/>
  <c r="T9" i="5" l="1"/>
  <c r="U9" i="5" s="1"/>
</calcChain>
</file>

<file path=xl/comments1.xml><?xml version="1.0" encoding="utf-8"?>
<comments xmlns="http://schemas.openxmlformats.org/spreadsheetml/2006/main">
  <authors>
    <author>Автор</author>
    <author>User</author>
  </authors>
  <commentList>
    <comment ref="P265" authorId="0" shapeId="0">
      <text>
        <r>
          <rPr>
            <b/>
            <i/>
            <sz val="9"/>
            <color indexed="81"/>
            <rFont val="Tahoma"/>
            <family val="2"/>
            <charset val="204"/>
          </rPr>
          <t>Автор:</t>
        </r>
        <r>
          <rPr>
            <sz val="9"/>
            <color indexed="81"/>
            <rFont val="Tahoma"/>
            <family val="2"/>
            <charset val="204"/>
          </rPr>
          <t xml:space="preserve">
Согласно приказа №2 от 25.06.2014г применять по сметной стоимости до 150 000-</t>
        </r>
        <r>
          <rPr>
            <b/>
            <i/>
            <sz val="9"/>
            <color indexed="81"/>
            <rFont val="Tahoma"/>
            <family val="2"/>
            <charset val="204"/>
          </rPr>
          <t>3800</t>
        </r>
        <r>
          <rPr>
            <sz val="9"/>
            <color indexed="81"/>
            <rFont val="Tahoma"/>
            <family val="2"/>
            <charset val="204"/>
          </rPr>
          <t xml:space="preserve"> руб.,
от 150 001 до 300 000-</t>
        </r>
        <r>
          <rPr>
            <b/>
            <i/>
            <sz val="9"/>
            <color indexed="81"/>
            <rFont val="Tahoma"/>
            <family val="2"/>
            <charset val="204"/>
          </rPr>
          <t>7800</t>
        </r>
        <r>
          <rPr>
            <sz val="9"/>
            <color indexed="81"/>
            <rFont val="Tahoma"/>
            <family val="2"/>
            <charset val="204"/>
          </rPr>
          <t xml:space="preserve"> руб.
от 300 001 до 700 000-</t>
        </r>
        <r>
          <rPr>
            <b/>
            <i/>
            <sz val="9"/>
            <color indexed="81"/>
            <rFont val="Tahoma"/>
            <family val="2"/>
            <charset val="204"/>
          </rPr>
          <t>11800</t>
        </r>
        <r>
          <rPr>
            <sz val="9"/>
            <color indexed="81"/>
            <rFont val="Tahoma"/>
            <family val="2"/>
            <charset val="204"/>
          </rPr>
          <t xml:space="preserve"> руб.
от 700 001 ----- </t>
        </r>
        <r>
          <rPr>
            <b/>
            <i/>
            <sz val="9"/>
            <color indexed="81"/>
            <rFont val="Tahoma"/>
            <family val="2"/>
            <charset val="204"/>
          </rPr>
          <t>20 00</t>
        </r>
        <r>
          <rPr>
            <sz val="9"/>
            <color indexed="81"/>
            <rFont val="Tahoma"/>
            <family val="2"/>
            <charset val="204"/>
          </rPr>
          <t>0 руб.</t>
        </r>
      </text>
    </comment>
    <comment ref="P267" authorId="0" shapeId="0">
      <text>
        <r>
          <rPr>
            <b/>
            <i/>
            <sz val="9"/>
            <color indexed="81"/>
            <rFont val="Tahoma"/>
            <family val="2"/>
            <charset val="204"/>
          </rPr>
          <t>Автор:</t>
        </r>
        <r>
          <rPr>
            <sz val="9"/>
            <color indexed="81"/>
            <rFont val="Tahoma"/>
            <family val="2"/>
            <charset val="204"/>
          </rPr>
          <t xml:space="preserve">
Согласно приказа №2 от 25.06.2014г применять по сметной стоимости до 150 000-</t>
        </r>
        <r>
          <rPr>
            <b/>
            <i/>
            <sz val="9"/>
            <color indexed="81"/>
            <rFont val="Tahoma"/>
            <family val="2"/>
            <charset val="204"/>
          </rPr>
          <t>3800</t>
        </r>
        <r>
          <rPr>
            <sz val="9"/>
            <color indexed="81"/>
            <rFont val="Tahoma"/>
            <family val="2"/>
            <charset val="204"/>
          </rPr>
          <t xml:space="preserve"> руб.,
от 150 001 до 300 000-</t>
        </r>
        <r>
          <rPr>
            <b/>
            <i/>
            <sz val="9"/>
            <color indexed="81"/>
            <rFont val="Tahoma"/>
            <family val="2"/>
            <charset val="204"/>
          </rPr>
          <t>7800</t>
        </r>
        <r>
          <rPr>
            <sz val="9"/>
            <color indexed="81"/>
            <rFont val="Tahoma"/>
            <family val="2"/>
            <charset val="204"/>
          </rPr>
          <t xml:space="preserve"> руб.
от 300 001 до 700 000-</t>
        </r>
        <r>
          <rPr>
            <b/>
            <i/>
            <sz val="9"/>
            <color indexed="81"/>
            <rFont val="Tahoma"/>
            <family val="2"/>
            <charset val="204"/>
          </rPr>
          <t>11800</t>
        </r>
        <r>
          <rPr>
            <sz val="9"/>
            <color indexed="81"/>
            <rFont val="Tahoma"/>
            <family val="2"/>
            <charset val="204"/>
          </rPr>
          <t xml:space="preserve"> руб.
от 700 001 ----- </t>
        </r>
        <r>
          <rPr>
            <b/>
            <i/>
            <sz val="9"/>
            <color indexed="81"/>
            <rFont val="Tahoma"/>
            <family val="2"/>
            <charset val="204"/>
          </rPr>
          <t>20 00</t>
        </r>
        <r>
          <rPr>
            <sz val="9"/>
            <color indexed="81"/>
            <rFont val="Tahoma"/>
            <family val="2"/>
            <charset val="204"/>
          </rPr>
          <t>0 руб.</t>
        </r>
      </text>
    </comment>
    <comment ref="B491" authorId="1" shapeId="0">
      <text>
        <r>
          <rPr>
            <b/>
            <sz val="9"/>
            <color indexed="81"/>
            <rFont val="Tahoma"/>
            <family val="2"/>
            <charset val="204"/>
          </rPr>
          <t>User:</t>
        </r>
        <r>
          <rPr>
            <sz val="9"/>
            <color indexed="81"/>
            <rFont val="Tahoma"/>
            <family val="2"/>
            <charset val="204"/>
          </rPr>
          <t xml:space="preserve">
Памятник </t>
        </r>
      </text>
    </comment>
    <comment ref="B493" authorId="1" shapeId="0">
      <text>
        <r>
          <rPr>
            <b/>
            <sz val="9"/>
            <color indexed="81"/>
            <rFont val="Tahoma"/>
            <family val="2"/>
            <charset val="204"/>
          </rPr>
          <t>User:</t>
        </r>
        <r>
          <rPr>
            <sz val="9"/>
            <color indexed="81"/>
            <rFont val="Tahoma"/>
            <family val="2"/>
            <charset val="204"/>
          </rPr>
          <t xml:space="preserve">
Памятник</t>
        </r>
      </text>
    </comment>
  </commentList>
</comments>
</file>

<file path=xl/sharedStrings.xml><?xml version="1.0" encoding="utf-8"?>
<sst xmlns="http://schemas.openxmlformats.org/spreadsheetml/2006/main" count="20184" uniqueCount="4388">
  <si>
    <t xml:space="preserve">
</t>
  </si>
  <si>
    <t>№ п/п</t>
  </si>
  <si>
    <t>Адрес МКД</t>
  </si>
  <si>
    <t>Год</t>
  </si>
  <si>
    <t>Материал стен</t>
  </si>
  <si>
    <t>Количество этажей</t>
  </si>
  <si>
    <t>Количество подъездов</t>
  </si>
  <si>
    <t>Общая площадь МКД, всего</t>
  </si>
  <si>
    <t>Площадь помещений МКД:</t>
  </si>
  <si>
    <t>Количество жителей, зарегистрированных в МКД на дату утверждения краткосрочного плана</t>
  </si>
  <si>
    <t>Вид ремонта</t>
  </si>
  <si>
    <t>Стоимость капитального ремонта</t>
  </si>
  <si>
    <t>Удельная стоимость капитального ремонта 1 кв. м общей площади помещений МКД</t>
  </si>
  <si>
    <t>Предельная стоимость капитального ремонта 1 кв. м общей площади помещений МКД</t>
  </si>
  <si>
    <t>Плановая дата завершения работ</t>
  </si>
  <si>
    <t>ввода в эксплуатацию</t>
  </si>
  <si>
    <t>завершение последнего капитального ремонта</t>
  </si>
  <si>
    <t>всего:</t>
  </si>
  <si>
    <t>в том числе жилых помещений, находящихся в собственности граждан</t>
  </si>
  <si>
    <t>в том числе:</t>
  </si>
  <si>
    <t>за счет средств Фонда</t>
  </si>
  <si>
    <t>за счет средств бюджета Республики Башкортостан</t>
  </si>
  <si>
    <t>за счет средств местного бюджета</t>
  </si>
  <si>
    <t>за счет взносов собственников помещений в МКД</t>
  </si>
  <si>
    <t>кв.м</t>
  </si>
  <si>
    <t>чел.</t>
  </si>
  <si>
    <t>руб.</t>
  </si>
  <si>
    <t>руб./кв.м</t>
  </si>
  <si>
    <t>Х</t>
  </si>
  <si>
    <t>Городской округ город Агидель Республики Башкортостан</t>
  </si>
  <si>
    <t>ремонт водоснабжения, водоотведения</t>
  </si>
  <si>
    <t>Итого по городскому округу город Агидель Республики Башкортостан</t>
  </si>
  <si>
    <t>Муниципальный район Благовещенский район Республики Башкортостан</t>
  </si>
  <si>
    <t>ремонт крыши</t>
  </si>
  <si>
    <t>Итого по муниципальному району Благовещенский район Республики Башкортостан</t>
  </si>
  <si>
    <t>Городской округ город Нефтекамск Республики Башкортостан</t>
  </si>
  <si>
    <t xml:space="preserve">Итого по городскому округу город Нефтекамск Республики Башкортостан </t>
  </si>
  <si>
    <t>Городской округ город Октябрьский Республики Башкортостан</t>
  </si>
  <si>
    <t>ремонт фасада</t>
  </si>
  <si>
    <t>Итого по городскому округу город Октябрьский Республики Башкортостан</t>
  </si>
  <si>
    <t>Муниципальный район Туймазинский район Республики Башкортостан</t>
  </si>
  <si>
    <t>Итого по муниципальному району Туймазинский район Республики Башкортостан</t>
  </si>
  <si>
    <t>Муниципальный район Альшеевский район Республики Башкортостан</t>
  </si>
  <si>
    <t>Итого по муниципальному району Альшеевский район Республики Башкортостан</t>
  </si>
  <si>
    <t>Муниципальный район Аскинский район Республики Башкортостан</t>
  </si>
  <si>
    <t>Муниципальный район Бакалинский район Республики Башкортостан</t>
  </si>
  <si>
    <t xml:space="preserve"> </t>
  </si>
  <si>
    <t>Итого по муниципальному району Бакалинский район Республики Башкортостан</t>
  </si>
  <si>
    <t>Муниципальный район Балтачевский район Республики Башкортостан</t>
  </si>
  <si>
    <t>Муниципальный район Белебеевский район Республики Башкортостан</t>
  </si>
  <si>
    <t>Итого по муниципальному району Белебеевский район Республики Башкортостан</t>
  </si>
  <si>
    <t>Муниципальный район Белокатайский район Республики Башкортостан</t>
  </si>
  <si>
    <t>Муниципальный район Бижбулякский район Республики Башкортостан</t>
  </si>
  <si>
    <t>Итого по муниципальному району Бижбулякский район Республики Башкортостан</t>
  </si>
  <si>
    <t>Муниципальный район Бирский район Республики Башкортостан</t>
  </si>
  <si>
    <t>Муниципальный район Благоварский район Республики Башкортостан</t>
  </si>
  <si>
    <t>Итого по муниципальному району Благоварский район Республики Башкортостан</t>
  </si>
  <si>
    <t>Муниципальный район Буздякский район Республики Башкортостан</t>
  </si>
  <si>
    <t>Итого по муниципальному району Буздякский район Республики Башкортостан</t>
  </si>
  <si>
    <t>Муниципальный район Бураевский район Республики Башкортостан</t>
  </si>
  <si>
    <t>Итого по муниципальному району Бураевский район Республики Башкортостан</t>
  </si>
  <si>
    <t>Муниципальный район Давлекановский район Республики Башкортостан</t>
  </si>
  <si>
    <t>Итого по муниципальному району Давлекановский район Республики Башкортостан</t>
  </si>
  <si>
    <t>Муниципальный район Дуванский район Республики Башкортостан</t>
  </si>
  <si>
    <t>Итого по муниципальному району Дуванский район Республики Башкортостан</t>
  </si>
  <si>
    <t>Муниципальный район Дюртюлинский район Республики Башкортостан</t>
  </si>
  <si>
    <t>Итого по муниципальному району Дюртюлинский район Республики Башкортостан</t>
  </si>
  <si>
    <t>Муниципальный район Ермекеевский район Республики Башкортостан</t>
  </si>
  <si>
    <t>Итого по муниципальному району Ермекеевский район Республики Башкортостан</t>
  </si>
  <si>
    <t>Муниципальный район Илишевский район Республики Башкортостан</t>
  </si>
  <si>
    <t>Итого по муниципальному району Илишевский район Республики Башкортостан</t>
  </si>
  <si>
    <t>Муниципальный район Калтасинский район Республики Башкортостан</t>
  </si>
  <si>
    <t>Итого по муниципальному району Калтасинский район Республики Башкортостан</t>
  </si>
  <si>
    <t>Итого по муниципальному району Караидельский район Республики Башкортостан</t>
  </si>
  <si>
    <t>Муниципальный район Кигинский район Республики Башкортостан</t>
  </si>
  <si>
    <t>Муниципальный район Краснокамский район Республики Башкортостан</t>
  </si>
  <si>
    <t>Муниципальный район Кушнаренковский район Республики Башкортостан</t>
  </si>
  <si>
    <t>Итого по муниципальному району Кушнаренковский район Республики Башкортостан</t>
  </si>
  <si>
    <t>Муниципальный район Мечетлинский район Республики Башкортостан</t>
  </si>
  <si>
    <t xml:space="preserve"> Муниципальный район Мишкинский район Республики Башкортостан</t>
  </si>
  <si>
    <t>Муниципальный район Нуримановский район Республики Башкортостан</t>
  </si>
  <si>
    <t>Муниципальный район Татышлинский район Республики Башкортостан</t>
  </si>
  <si>
    <t>Муниципальный район Уфимский район Республики Башкортостан</t>
  </si>
  <si>
    <t>Итого по муниципальному району Уфимский район Республики Башкортостан</t>
  </si>
  <si>
    <t>Муниципальный район Чекмагушевский район Республики Башкортостан</t>
  </si>
  <si>
    <t>Муниципальный район Чишминский район Республики Башкортостан</t>
  </si>
  <si>
    <t>Итого по муниципальному району Чишминский район Республики Башкортостан</t>
  </si>
  <si>
    <t>Муниципальный район Шаранский район Республики Башкортостан</t>
  </si>
  <si>
    <t>Итого по муниципальному району Шаранский район Республики Башкортостан</t>
  </si>
  <si>
    <t>Муниципальный район Янаульский район Республики Башкортостан</t>
  </si>
  <si>
    <t>Резервный перечень</t>
  </si>
  <si>
    <t>Итого по городскому округу город Нефтекамск Республики Башкортостан</t>
  </si>
  <si>
    <t>Муниципальный район Иглинский район Республики Башкортостан</t>
  </si>
  <si>
    <t>№ п\п</t>
  </si>
  <si>
    <t>Стоимость капитального ремонта, всего</t>
  </si>
  <si>
    <t>Виды, установленные ч.1 ст.166 Жилищного Кодекса РФ</t>
  </si>
  <si>
    <t>Виды, установленные постановлением Правительства Республики Башкортостан от 19.11.2013г.№ 558</t>
  </si>
  <si>
    <t>ремонт внутридомовых инженерных систем</t>
  </si>
  <si>
    <t>ремонт или замена лифтового оборудования</t>
  </si>
  <si>
    <t>ремонт подвальных помещений</t>
  </si>
  <si>
    <t>ремонт фундамента</t>
  </si>
  <si>
    <t>утепление  фасадов</t>
  </si>
  <si>
    <t>переустройству невентилируемой крыши на вентилируемую крышу, устройству выходов на кровлю</t>
  </si>
  <si>
    <t>установка коллективных (общедомовых) ПУ и УУ</t>
  </si>
  <si>
    <t>ед.</t>
  </si>
  <si>
    <t>кв.м.</t>
  </si>
  <si>
    <t>куб.м.</t>
  </si>
  <si>
    <t>V строительный дома, м3</t>
  </si>
  <si>
    <t>S фасада, м2</t>
  </si>
  <si>
    <t>Материал крыши</t>
  </si>
  <si>
    <t>S крыши, м2</t>
  </si>
  <si>
    <t>Количество квартир</t>
  </si>
  <si>
    <t>Средняя стоимость капитального ремонта от СМР</t>
  </si>
  <si>
    <t>СМР</t>
  </si>
  <si>
    <t>Смета РО 0,3%</t>
  </si>
  <si>
    <t>Проверка дост. сметной документации</t>
  </si>
  <si>
    <t xml:space="preserve">Итого по городскому округу город Агидель Республики Башкортостан </t>
  </si>
  <si>
    <t xml:space="preserve">Итого по муниципальному району Туймазинский район Республики Башкортостан </t>
  </si>
  <si>
    <t xml:space="preserve">Итого по муниципальному району Аскинский район Республики Башкортостан </t>
  </si>
  <si>
    <t xml:space="preserve">Итого по муниципальному району Балтачевский район Республики Башкортостан </t>
  </si>
  <si>
    <t xml:space="preserve">Итого по муниципальному району Белокатайский район Республики Башкортостан </t>
  </si>
  <si>
    <t xml:space="preserve">Итого по муниципальному району Бирский район Республики Башкортостан </t>
  </si>
  <si>
    <t xml:space="preserve">Итого по муниципальному району Дуванский район Республики Башкортостан </t>
  </si>
  <si>
    <t xml:space="preserve">Итого по муниципальному району Иглинский район Республики Башкортостан </t>
  </si>
  <si>
    <t xml:space="preserve">  Муниципальный район Караидельский район Республики Башкортостан</t>
  </si>
  <si>
    <t xml:space="preserve">Итого по муниципальному району Караидельский район Республики Башкортостан </t>
  </si>
  <si>
    <t xml:space="preserve">Итого по муниципальному району Кигинский район Республики Башкортостан </t>
  </si>
  <si>
    <t xml:space="preserve">Итого по муниципальному району Краснокамский район Республики Башкортостан </t>
  </si>
  <si>
    <t xml:space="preserve">Итого по муниципальному району Мечетлинский район Республики Башкортостан </t>
  </si>
  <si>
    <t xml:space="preserve">Итого по муниципальному району Мишкинский район Республики Башкортостан </t>
  </si>
  <si>
    <t xml:space="preserve"> Муниципальный район Миякинский район Республики Башкортостан</t>
  </si>
  <si>
    <t xml:space="preserve">Итого по муниципальному району Миякинский район Республики Башкортостан </t>
  </si>
  <si>
    <t xml:space="preserve">Итого по муниципальному району Нуримановский район Республики Башкортостан </t>
  </si>
  <si>
    <t xml:space="preserve">Итого по муниципальному району Татышлинский район Республики Башкортостан </t>
  </si>
  <si>
    <t xml:space="preserve">Итого по муниципальному району Уфимский район Республики Башкортостан </t>
  </si>
  <si>
    <t>Итого по муниципальному району Чекмагушевкий район Республики Башкортостан</t>
  </si>
  <si>
    <t xml:space="preserve">Итого по муниципальному району Янаульский район Республики Башкортостан </t>
  </si>
  <si>
    <t>Итого по северной зоне</t>
  </si>
  <si>
    <t>Северная зона</t>
  </si>
  <si>
    <t>Городской округ город Уфа Республики Башкортостан</t>
  </si>
  <si>
    <t>Центральная зона</t>
  </si>
  <si>
    <t>Городской округ город Кумертау Республики Башкортостан</t>
  </si>
  <si>
    <t>Итого по городскому округу город Кумертау Республики Башкортостан</t>
  </si>
  <si>
    <t xml:space="preserve">Итого по городскому округу город Салават Республики Башкортостан </t>
  </si>
  <si>
    <t>Итого по городскому округу город Сибай Республики Башкортостан</t>
  </si>
  <si>
    <t>Городской округ город Стерлитамак Республики Башкортостан</t>
  </si>
  <si>
    <t>Итого по городскому округу город Стерлитамак Республики Башкортостан</t>
  </si>
  <si>
    <t>ЗАТО Межгорье Республики Башкортостан</t>
  </si>
  <si>
    <t>Итого по ЗАТО Межгорье Республики Башкортостан</t>
  </si>
  <si>
    <t>Муниципальный район Белорецкий район Республики Башкортостан</t>
  </si>
  <si>
    <t>Итого по муниципальному району Белорецкий район Республики Башкортостан</t>
  </si>
  <si>
    <t>Муниципальный район Ишимбайский район Республики Башкортостан</t>
  </si>
  <si>
    <t>Итого по муниципальному району Ишимбайский район Республики Башкортостан</t>
  </si>
  <si>
    <t>Муниципальный район Кармаскалинский район Республики Башкортостан</t>
  </si>
  <si>
    <t>Итого по муниципальному району Кармаскалинский район Республики Башкортостан</t>
  </si>
  <si>
    <t>Муниципальный район Куюргазинский район Республики Башкортостан</t>
  </si>
  <si>
    <t>Итого по муниципальному району Куюргазинский район Республики Башкортостан</t>
  </si>
  <si>
    <t>Итого по муниципальному району Мелеузовский район Республики Башкортостан</t>
  </si>
  <si>
    <t>Итого по муниципальному району Стерлитамакский район Республики Башкортостан</t>
  </si>
  <si>
    <t>Муниципальный район Учалинский район Республики Башкортостан</t>
  </si>
  <si>
    <t>Итого по муниципальному району Учалинский район Республики Башкортостан</t>
  </si>
  <si>
    <t>Южная зона</t>
  </si>
  <si>
    <t>Итого по Южной зоне</t>
  </si>
  <si>
    <t>Итого по Центральной зоне</t>
  </si>
  <si>
    <t>Городской округ город Кумертау</t>
  </si>
  <si>
    <t>Городской округ город Салават</t>
  </si>
  <si>
    <t>Городской округ город Сибай</t>
  </si>
  <si>
    <t xml:space="preserve">Городской округ город Стерлитамак </t>
  </si>
  <si>
    <t xml:space="preserve">Итого по городскому округу город Стерлитамак Республика Башкортостан </t>
  </si>
  <si>
    <t>ЗАТО Межгорье</t>
  </si>
  <si>
    <t xml:space="preserve">Итого по ЗАТО Межгорье Республики Башкортостан </t>
  </si>
  <si>
    <t>Муниципальный район Абзелиловский район</t>
  </si>
  <si>
    <t xml:space="preserve">Итого по муниципальному району Абзелиловский район Республики Башкортостан </t>
  </si>
  <si>
    <t>Муниципальный район Архангельский район</t>
  </si>
  <si>
    <t xml:space="preserve">Итого по муниципальному району Архангельский район Республики Башкортостан </t>
  </si>
  <si>
    <t xml:space="preserve">Муниципальный район Аургазинский район    </t>
  </si>
  <si>
    <t xml:space="preserve">Итого по муниципальному району Аургазинский район Республики Башкортостан </t>
  </si>
  <si>
    <t>Муниципальный район Баймакский район</t>
  </si>
  <si>
    <t xml:space="preserve">Итого по муниципальному району Баймакский район Республики Башкортостан </t>
  </si>
  <si>
    <t>Муниципальный район Белорецкий район</t>
  </si>
  <si>
    <t xml:space="preserve">Итого по муниципальному району Белорецкий район Республики Башкортостан </t>
  </si>
  <si>
    <t>Муниципальный район Бурзянский район</t>
  </si>
  <si>
    <t xml:space="preserve">Итого по муниципальному району Бурзянский район Республики Башкортостан </t>
  </si>
  <si>
    <t>Муниципальный район Гафурийский район</t>
  </si>
  <si>
    <t xml:space="preserve">Итого по муниципальному району Гафурийский район Республики Башкортостан </t>
  </si>
  <si>
    <t>Муниципальный район Зианчуринский район</t>
  </si>
  <si>
    <t xml:space="preserve">Итого по муниципальному району Зианчуринский район Республики Башкортостан </t>
  </si>
  <si>
    <t>Муниципальный район Зилаирский район</t>
  </si>
  <si>
    <t xml:space="preserve">Итого по муниципальному району Зилаирский район Республики Башкортостан </t>
  </si>
  <si>
    <t xml:space="preserve">Муниципальный район Ишимбайский район </t>
  </si>
  <si>
    <t>Муниципальный район Кармаскалинский район</t>
  </si>
  <si>
    <t xml:space="preserve">Итого по муниципальному району Кармаскалинский район Республики Башкортостан </t>
  </si>
  <si>
    <t>Муниципальный район Кугарчинский район</t>
  </si>
  <si>
    <t xml:space="preserve">Итого по муниципальному району Кугарчинский район Республики Башкортостан </t>
  </si>
  <si>
    <t>Муниципальный район Куюргазинский район</t>
  </si>
  <si>
    <t xml:space="preserve">Итого по муниципальному району Куюргазинский район Республики Башкортостан </t>
  </si>
  <si>
    <t xml:space="preserve"> Муниципальный район Мелеузовский район </t>
  </si>
  <si>
    <t>Итого по муниципальному району Мелеузовский  район Республики Башкортостан</t>
  </si>
  <si>
    <t>Муниципальный район Стерлибашевский район</t>
  </si>
  <si>
    <t xml:space="preserve">Итого по муниципальному району Стерлибашевский район Республики Башкортостан </t>
  </si>
  <si>
    <t>Муниципальный район Стерлитамакский район</t>
  </si>
  <si>
    <t>Муниципальный район Учалинский район</t>
  </si>
  <si>
    <t xml:space="preserve">Итого по муниципальному району Учалинский район Республики Башкортостан </t>
  </si>
  <si>
    <t xml:space="preserve"> Муниципальный район Федоровский район</t>
  </si>
  <si>
    <t xml:space="preserve">Итого по муниципальному району Федоровский район Республики Башкортостан </t>
  </si>
  <si>
    <t>Муниципальный район Хайбуллинский район</t>
  </si>
  <si>
    <t xml:space="preserve">Итого по муниципальному району Хайбуллинский район Республики Башкортостан </t>
  </si>
  <si>
    <t>Генеральный директор НОФ "Региональный оператор РБ"                                                                                                                             Б.П. Герасимов</t>
  </si>
  <si>
    <t>Генеральный директор НОФ "Региональный оператор РБ"                                                                                    Б.П. Герасимов</t>
  </si>
  <si>
    <t xml:space="preserve">Итого по городскому округу город Уфа Республики Башкортостан </t>
  </si>
  <si>
    <t>Итого по Республике Башкортостан на 2017 год</t>
  </si>
  <si>
    <t>Итого по Республике Башкортостан на 2017 - 2019 годы</t>
  </si>
  <si>
    <t xml:space="preserve">Краткосрочный план реализации Республиканской программы капитального ремонта общего имущества в многоквартирных домах, расположенных на территории Республики Башкортостан, на 2017 - 2019 годы </t>
  </si>
  <si>
    <t>Итого по Республике Башкортостан на 2018 год</t>
  </si>
  <si>
    <t>Итого по Республике Башкортостан на 2019 год</t>
  </si>
  <si>
    <t>Муниципальный район Салаватский район Республики Башкортостан</t>
  </si>
  <si>
    <t xml:space="preserve">Итого по муниципальному району Салаватский район Республики Башкортостан </t>
  </si>
  <si>
    <t xml:space="preserve">Таблица 2. Реестр многоквартирных домов, расположенных на территории Республики Башкортостан, в отношении которых в 2017 - 2019 годах планируется проведение капитального ремонта общего имущества, по видам работ по капитальному ремонту </t>
  </si>
  <si>
    <t>панельные</t>
  </si>
  <si>
    <t>рулонный</t>
  </si>
  <si>
    <t>замена лифтового оборудования</t>
  </si>
  <si>
    <t>12.2017</t>
  </si>
  <si>
    <t>каменные, кирпичные</t>
  </si>
  <si>
    <t>шиферная</t>
  </si>
  <si>
    <t>плоская</t>
  </si>
  <si>
    <t>ремонт электроснабжения</t>
  </si>
  <si>
    <t>ремонт теплоснабжения (розлив)</t>
  </si>
  <si>
    <t>утепление фасада</t>
  </si>
  <si>
    <t>мягкая</t>
  </si>
  <si>
    <t>профнастил</t>
  </si>
  <si>
    <t>деревянные</t>
  </si>
  <si>
    <t>металлическая</t>
  </si>
  <si>
    <t xml:space="preserve">ремонт теплоснабжения </t>
  </si>
  <si>
    <t>12.2018</t>
  </si>
  <si>
    <t>рулонная</t>
  </si>
  <si>
    <t xml:space="preserve">ремонт крыши </t>
  </si>
  <si>
    <t>ремонт крыши с усилением</t>
  </si>
  <si>
    <t xml:space="preserve">ремонт крыши
</t>
  </si>
  <si>
    <t xml:space="preserve">ремонт водоснабжения, водоотведения </t>
  </si>
  <si>
    <t>ремонт теплоснабжения</t>
  </si>
  <si>
    <t>блочные</t>
  </si>
  <si>
    <t xml:space="preserve">ремонт крыши с утеплением
</t>
  </si>
  <si>
    <t xml:space="preserve">шиферная </t>
  </si>
  <si>
    <t>ремонт крыши на профнастил (шатровая с полной заменой обрешетки с утеплением)</t>
  </si>
  <si>
    <t>ремонт водоотведения (замена стояков, копка траншеи и укладка трубы до шамбо)</t>
  </si>
  <si>
    <t xml:space="preserve">ремонт фасада с металлосайдингом </t>
  </si>
  <si>
    <t>ремонт водоотведения</t>
  </si>
  <si>
    <t xml:space="preserve">ремонт фасада </t>
  </si>
  <si>
    <t>ремонт крыши  (мягкая с утеплением)</t>
  </si>
  <si>
    <t>ремонт крыши (шатровая с полной заменой обрешетки с утеплением)</t>
  </si>
  <si>
    <t>комбинированная (шиферная/плоская) делаем только шатровую часть</t>
  </si>
  <si>
    <t>переустройство невентилируемой крыши на вентилируемую крышу</t>
  </si>
  <si>
    <t>шифер</t>
  </si>
  <si>
    <t>переустройство крыши</t>
  </si>
  <si>
    <t>бикрост</t>
  </si>
  <si>
    <t>ПСД-2015г.</t>
  </si>
  <si>
    <t>ремонт крыши (с шифера на профнастил с утеплением)</t>
  </si>
  <si>
    <t>ремонт крыши
 (с шифера на профнастил без утепления)</t>
  </si>
  <si>
    <t>ремонт крыши
 (с шифера на профнастил с утеплением)</t>
  </si>
  <si>
    <t>2015,           2016</t>
  </si>
  <si>
    <t xml:space="preserve">утепление фасада </t>
  </si>
  <si>
    <t>ремонт крыши  с заменой утеплителя</t>
  </si>
  <si>
    <t xml:space="preserve">переустройство крыши </t>
  </si>
  <si>
    <t>ремонт крыши (с шифера на профнастил)</t>
  </si>
  <si>
    <t>ремонт фасада (оштукатуривание и покраска)</t>
  </si>
  <si>
    <t>г. Янаул, ул. Советская, д.20</t>
  </si>
  <si>
    <t xml:space="preserve"> шиферная</t>
  </si>
  <si>
    <t>шатровая</t>
  </si>
  <si>
    <t>ремонт фасада (сайдинг, без утепления)</t>
  </si>
  <si>
    <t>ремонт водоснабжения</t>
  </si>
  <si>
    <t>ремонт водоснабжения, водоотведения (стояки)</t>
  </si>
  <si>
    <t>12.2019</t>
  </si>
  <si>
    <t xml:space="preserve">каменные, кирпичные </t>
  </si>
  <si>
    <t>ремонт фасада с заменой экранов</t>
  </si>
  <si>
    <t>ремонт водоснабжения, водоотведения (без ГВС )</t>
  </si>
  <si>
    <t>ремонт крыши (с шифера на профнастил, без утепления)</t>
  </si>
  <si>
    <t>ремонт оштукатуренного фасада с акриловой покраской</t>
  </si>
  <si>
    <t>ремонт крыши (мягкая с утеплением)</t>
  </si>
  <si>
    <t>X</t>
  </si>
  <si>
    <t>Итого по муниципальному району Иглинский  район Республики Башкортостан</t>
  </si>
  <si>
    <t xml:space="preserve">ремонт теплоснабжения, установка коллективных (общедомовых) теплосчетчика </t>
  </si>
  <si>
    <t>руллонная</t>
  </si>
  <si>
    <t xml:space="preserve">ремонт теплоснабжения             </t>
  </si>
  <si>
    <t>кирпич</t>
  </si>
  <si>
    <t>панельн.</t>
  </si>
  <si>
    <t>ремонт фасада с утеплением</t>
  </si>
  <si>
    <t>рубероид                          бикрост</t>
  </si>
  <si>
    <t>рубероид,   бикрост</t>
  </si>
  <si>
    <t>унифлекс</t>
  </si>
  <si>
    <t>стальная</t>
  </si>
  <si>
    <t xml:space="preserve">профнастил </t>
  </si>
  <si>
    <t>рубероид</t>
  </si>
  <si>
    <t>шиферная скатная</t>
  </si>
  <si>
    <t>кирпичный</t>
  </si>
  <si>
    <t>блочный</t>
  </si>
  <si>
    <t>крупноблочные</t>
  </si>
  <si>
    <t>шлакоблочн</t>
  </si>
  <si>
    <t>панельный</t>
  </si>
  <si>
    <t>переустройство с мягкой на шатровую</t>
  </si>
  <si>
    <t>каменные 
кирпичные</t>
  </si>
  <si>
    <t>каменные,
кирпичные</t>
  </si>
  <si>
    <t xml:space="preserve"> ремонт электроснабжения</t>
  </si>
  <si>
    <t>железо</t>
  </si>
  <si>
    <t>крупнопанельные</t>
  </si>
  <si>
    <t>мягкая кровля</t>
  </si>
  <si>
    <t>метал</t>
  </si>
  <si>
    <t>каменные , кирпичные</t>
  </si>
  <si>
    <t>рубленные из брусьев</t>
  </si>
  <si>
    <t>ремонт крыши (без утепления)</t>
  </si>
  <si>
    <t>замена лифтового оборудования (1 лифт)</t>
  </si>
  <si>
    <t>рулон</t>
  </si>
  <si>
    <t>каменные, каменные, кирпичныеные</t>
  </si>
  <si>
    <t>1982/панельные</t>
  </si>
  <si>
    <t>1990 / каменные, кирпичные</t>
  </si>
  <si>
    <t>металл</t>
  </si>
  <si>
    <t>кирпичные</t>
  </si>
  <si>
    <t>шиферная, скатная</t>
  </si>
  <si>
    <t>профлист</t>
  </si>
  <si>
    <t>рулонная мягкая</t>
  </si>
  <si>
    <t xml:space="preserve"> кирпичные</t>
  </si>
  <si>
    <t>фасад с кап.рем.балКарлаплит, цоколь</t>
  </si>
  <si>
    <t>фасад с кап.рем.балКарлаплит</t>
  </si>
  <si>
    <t>кирпичное</t>
  </si>
  <si>
    <t>блочно-панельный</t>
  </si>
  <si>
    <t>железобетонные</t>
  </si>
  <si>
    <t>478.5</t>
  </si>
  <si>
    <t>кирпичные, каменные</t>
  </si>
  <si>
    <t>1974/каменные, кирпичные</t>
  </si>
  <si>
    <t>1980/каменные, кирпичные</t>
  </si>
  <si>
    <t>1975/каменные, кирпичные</t>
  </si>
  <si>
    <t>1976/каменные, кирпичные</t>
  </si>
  <si>
    <t>1970/каменные, кирпичные</t>
  </si>
  <si>
    <t>1979 / каменные, кирпичные</t>
  </si>
  <si>
    <t>1981/каменные, кирпичные</t>
  </si>
  <si>
    <t>1974  / каменные, кирпичные</t>
  </si>
  <si>
    <t>1983/панельные</t>
  </si>
  <si>
    <t>1989 / каменные, кирпичные</t>
  </si>
  <si>
    <t>1992 / каменные, кирпичные</t>
  </si>
  <si>
    <t>шиферная,скатная</t>
  </si>
  <si>
    <t>ремонт газоснабжения</t>
  </si>
  <si>
    <t>плоская мягкая кровля</t>
  </si>
  <si>
    <t>блочно-панельные</t>
  </si>
  <si>
    <t>проф.лист</t>
  </si>
  <si>
    <t>шлакоблок</t>
  </si>
  <si>
    <t>шлокоблок</t>
  </si>
  <si>
    <t>замена лифтового оборудования(2й подъезд)</t>
  </si>
  <si>
    <t xml:space="preserve">кирпич </t>
  </si>
  <si>
    <t>1991/каменные, кирпичные</t>
  </si>
  <si>
    <t>1971/каменные, кирпичные</t>
  </si>
  <si>
    <t>1997/каменные, кирпичные</t>
  </si>
  <si>
    <t>1988 / каменные, кирпичные</t>
  </si>
  <si>
    <t>1989/каменные, кирпичные</t>
  </si>
  <si>
    <t>1991 / каменные, кирпичные</t>
  </si>
  <si>
    <t>метал-лическая</t>
  </si>
  <si>
    <t>шиферная,   скатная</t>
  </si>
  <si>
    <t>Мягкая кровля</t>
  </si>
  <si>
    <t>12.2020</t>
  </si>
  <si>
    <t>Муниципальный район Гафурийский район Республики Башкортостан</t>
  </si>
  <si>
    <t>Итого по муниципальному району Гафурийский район Республики Башкортостан</t>
  </si>
  <si>
    <t>Итого по городскому округу город Салават Республики Башкортостан</t>
  </si>
  <si>
    <t>сил. кирпич</t>
  </si>
  <si>
    <t>ремонт крыши (с утеплением)</t>
  </si>
  <si>
    <t>Муниципальный район Мелеузовский район РБ</t>
  </si>
  <si>
    <t>1961 / каменные, кирпичные</t>
  </si>
  <si>
    <t xml:space="preserve">замена лифтового оборудования </t>
  </si>
  <si>
    <t>1960 / каменные, кирпичные</t>
  </si>
  <si>
    <t xml:space="preserve"> ремонт водоснабжения, водоотведения</t>
  </si>
  <si>
    <t>брусчатые</t>
  </si>
  <si>
    <t>ремонт и утепление фасада</t>
  </si>
  <si>
    <t xml:space="preserve">металлическая </t>
  </si>
  <si>
    <t>мелкоблочные</t>
  </si>
  <si>
    <t>шиферная, рулонная</t>
  </si>
  <si>
    <t>ремонт фасада с восстановлением балконов</t>
  </si>
  <si>
    <t>2500</t>
  </si>
  <si>
    <t>2501</t>
  </si>
  <si>
    <t xml:space="preserve"> ремонт крыши</t>
  </si>
  <si>
    <t xml:space="preserve"> ремонт фасада с утеплением</t>
  </si>
  <si>
    <t>ремонт фасада с утепленим</t>
  </si>
  <si>
    <t>ремонт водоснабжения, водоотведения (ХВС)</t>
  </si>
  <si>
    <t>техноэласт</t>
  </si>
  <si>
    <t>каменные, 
кирпичные</t>
  </si>
  <si>
    <t>1977/ панельные</t>
  </si>
  <si>
    <t>1973/ каменные, кирпичные</t>
  </si>
  <si>
    <t>1977/ каменные, кирпичные</t>
  </si>
  <si>
    <t>1980/панельные</t>
  </si>
  <si>
    <t>1968 / каменные, кирпичные</t>
  </si>
  <si>
    <t>1984/каменные, кирпичные</t>
  </si>
  <si>
    <t>1985/каменные, кирпичные</t>
  </si>
  <si>
    <t>каменные, каменные</t>
  </si>
  <si>
    <t>1986/каменные, кирпичные</t>
  </si>
  <si>
    <t>1987/каменные, кирпичные</t>
  </si>
  <si>
    <t xml:space="preserve">утепление фасада с металлосайдингом </t>
  </si>
  <si>
    <t>сбор.щитовой</t>
  </si>
  <si>
    <t>шл.блочный</t>
  </si>
  <si>
    <t xml:space="preserve">ремонт фасада     </t>
  </si>
  <si>
    <t>ремонт крыши (на шифер)</t>
  </si>
  <si>
    <t>черепица</t>
  </si>
  <si>
    <t>панельные, обл. кирпич.</t>
  </si>
  <si>
    <t>брусч.</t>
  </si>
  <si>
    <t>гипсобл.</t>
  </si>
  <si>
    <t>карк.зас.</t>
  </si>
  <si>
    <t xml:space="preserve">ремонт водоснабжения (ХВС), водоотведения </t>
  </si>
  <si>
    <t>брус</t>
  </si>
  <si>
    <t xml:space="preserve">каменные кирпичные </t>
  </si>
  <si>
    <t>рулонная, совмещенная</t>
  </si>
  <si>
    <t>стеновые жб панель</t>
  </si>
  <si>
    <t>панель</t>
  </si>
  <si>
    <t>331,4</t>
  </si>
  <si>
    <t>682</t>
  </si>
  <si>
    <t>1034</t>
  </si>
  <si>
    <t>523</t>
  </si>
  <si>
    <t>467</t>
  </si>
  <si>
    <t>ремонт фасада (укрепление плит)</t>
  </si>
  <si>
    <t xml:space="preserve">Итого по муниципальный район Зилаирский район Республики Башкортостан </t>
  </si>
  <si>
    <t>х</t>
  </si>
  <si>
    <t>Краткосрочный план реализации Республиканской программы капитального ремонта общего имущества в многоквартирных домах, расположенных на территории Республики Башкортостан, на 2017-2019 годы</t>
  </si>
  <si>
    <t xml:space="preserve"> каменные, кирпичные  </t>
  </si>
  <si>
    <t xml:space="preserve">Таблица 1 . Адресный перечень многоквартирных домов, расположенных на территории Республики Башкортостан, в отношении которых в 2017-2019 годах планируется проведение капитального ремонта общего имущества </t>
  </si>
  <si>
    <t>ремонт водоснабжения, водоотведения (без ГВС)</t>
  </si>
  <si>
    <t>вн. ливневка</t>
  </si>
  <si>
    <t>Итого по городскому округу город Нефтекамск  Республики Башкортостан</t>
  </si>
  <si>
    <t>2016 лифт</t>
  </si>
  <si>
    <t>2014 вода</t>
  </si>
  <si>
    <t>2014г.</t>
  </si>
  <si>
    <t>вода</t>
  </si>
  <si>
    <t>2014г. Электр</t>
  </si>
  <si>
    <t>утепление фасада (торцы)</t>
  </si>
  <si>
    <t>хотят  крышу</t>
  </si>
  <si>
    <t>6765 / 224</t>
  </si>
  <si>
    <t>Таблица 5. Адресный перечень многоквартирных домов, расположенных на территории Республики Башкортостан, в отношении которых в 2017-2019 гоах планируется проведение капитального ремонта общего имущества с раскладкой на СМР, ПСД, строительный контроль (технический надзор)</t>
  </si>
  <si>
    <t>г. Уфа, б-р Дуванский, д.22 корп.1</t>
  </si>
  <si>
    <t>г. Уфа, б-р Ибрагимова, д.47</t>
  </si>
  <si>
    <t>г. Уфа, б-р Ибрагимова, д.47 корп.1</t>
  </si>
  <si>
    <t>г. Уфа, б-р Ибрагимова, д.49 корп.1</t>
  </si>
  <si>
    <t>г. Уфа, б-р Ибрагимова, д.53</t>
  </si>
  <si>
    <t>г. Уфа, б-р Славы, д.15</t>
  </si>
  <si>
    <t>г. Уфа, б-р Славы, д.2 корп.3</t>
  </si>
  <si>
    <t>г. Уфа, б-р Славы, д.3</t>
  </si>
  <si>
    <t>г. Уфа, б-р Тухвата Янаби, д.49 корп.1</t>
  </si>
  <si>
    <t>г. Уфа, б-р Хадии Давлетшиной, д.20 корп.1</t>
  </si>
  <si>
    <t>г. Уфа, б-р Тюлькина, д.3</t>
  </si>
  <si>
    <t>г. Уфа, пер. Пархоменко, д.10</t>
  </si>
  <si>
    <t>г. Уфа, пер. Пархоменко, д.6 корп.1</t>
  </si>
  <si>
    <t>г. Уфа, пр-кт Октября, д.105 корп.3</t>
  </si>
  <si>
    <t>г. Уфа, пр-кт Октября, д.109 корп.2</t>
  </si>
  <si>
    <t>г. Уфа, пр-кт Октября, д.12 корп.2</t>
  </si>
  <si>
    <t>г. Уфа, пр-кт Октября, д.16 корп.3</t>
  </si>
  <si>
    <t>г. Уфа, пр-кт Октября, д.166 корп.1</t>
  </si>
  <si>
    <t>г. Уфа, пр-кт Октября, д.176</t>
  </si>
  <si>
    <t>г. Уфа, пр-кт Октября, д.176 корп.1</t>
  </si>
  <si>
    <t>г. Уфа, пр-кт Октября, д.21 корп.4</t>
  </si>
  <si>
    <t>г. Уфа, пр-кт Октября, д.22 корп.1</t>
  </si>
  <si>
    <t>г. Уфа, пр-кт Октября, д.23 корп.5</t>
  </si>
  <si>
    <t>г. Уфа, пр-кт Октября, д.26 корп.2</t>
  </si>
  <si>
    <t>г. Уфа, пр-кт Октября, д.37</t>
  </si>
  <si>
    <t>г. Уфа, пр-кт Октября, д.37 корп.3</t>
  </si>
  <si>
    <t>г. Уфа, пр-кт Октября, д.46 корп.1</t>
  </si>
  <si>
    <t>г. Уфа, пр-кт Октября, д.48</t>
  </si>
  <si>
    <t>г. Уфа, пр-кт Октября, д.63 корп.2</t>
  </si>
  <si>
    <t>г. Уфа, пр-кт Октября, д.64</t>
  </si>
  <si>
    <t>г. Уфа, пр-кт Октября, д.64 корп.1</t>
  </si>
  <si>
    <t>г. Уфа, пр-кт Октября, д.66 корп.2</t>
  </si>
  <si>
    <t>г. Уфа, пр-кт Октября, д.68 корп.1</t>
  </si>
  <si>
    <t>г. Уфа, пр-кт Октября, д.8 корп.2</t>
  </si>
  <si>
    <t>г. Уфа, пр-кт Октября, д.87</t>
  </si>
  <si>
    <t>г. Уфа, пр-кт Октября, д.87 корп.3</t>
  </si>
  <si>
    <t>г. Уфа, ул. 40 лет Октября, д.16</t>
  </si>
  <si>
    <t>г. Уфа, ул. 40 лет Октября, д.18</t>
  </si>
  <si>
    <t>г. Уфа, ул. 40 лет Октября, д.9</t>
  </si>
  <si>
    <t>г. Уфа, ул. 50 лет СССР, д.43 корп.1</t>
  </si>
  <si>
    <t>г. Уфа, ул. 50-летия Октября, д.11</t>
  </si>
  <si>
    <t>г. Уфа, ул. 50-летия Октября, д.2</t>
  </si>
  <si>
    <t>г. Уфа, ул. 50-летия Октября, д.20</t>
  </si>
  <si>
    <t>г. Уфа, ул. 50-летия Октября, д.7</t>
  </si>
  <si>
    <t>г. Уфа, ул. 8 Марта, д.13</t>
  </si>
  <si>
    <t>г. Уфа, ул. 8 Марта, д.20</t>
  </si>
  <si>
    <t>г. Уфа, ул. 8 Марта, д.5</t>
  </si>
  <si>
    <t>г. Уфа, ул. Авроры, д.27</t>
  </si>
  <si>
    <t>г. Уфа, ул. Авроры, д.31</t>
  </si>
  <si>
    <t>г. Уфа, ул. Авроры, д.7 корп.5</t>
  </si>
  <si>
    <t>г. Уфа, ул. Адмирала Макарова, д.14</t>
  </si>
  <si>
    <t>г. Уфа, ул. Адмирала Макарова, д.14 корп.1</t>
  </si>
  <si>
    <t>г. Уфа, ул. Адмирала Ушакова, д.56</t>
  </si>
  <si>
    <t>г. Уфа, ул. Адмирала Ушакова, д.62 корп.1</t>
  </si>
  <si>
    <t>г. Уфа, ул. Адмирала Ушакова, д.68</t>
  </si>
  <si>
    <t>г. Уфа, ул. Адмирала Ушакова, д.70</t>
  </si>
  <si>
    <t>г. Уфа, ул. Адмирала Ушакова, д.70 корп.1</t>
  </si>
  <si>
    <t>г. Уфа, ул. Адмирала Ушакова, д.74</t>
  </si>
  <si>
    <t>г. Уфа, ул. Адмирала Ушакова, д.88 корп.1</t>
  </si>
  <si>
    <t>г. Уфа, ул. Айская, д.63</t>
  </si>
  <si>
    <t>г. Уфа, ул. Айская, д.69 корп.1</t>
  </si>
  <si>
    <t>г. Уфа, ул. Айская, д.78</t>
  </si>
  <si>
    <t>г. Уфа, ул. Айская, д.79</t>
  </si>
  <si>
    <t>г. Уфа, ул. Айская, д.83</t>
  </si>
  <si>
    <t>г. Уфа, ул. Айская, д.91</t>
  </si>
  <si>
    <t>г. Уфа, ул. Акназарова, д.20</t>
  </si>
  <si>
    <t>г. Уфа, ул. Акназарова, д.27</t>
  </si>
  <si>
    <t>г. Уфа, ул. Александра Невского, д.11</t>
  </si>
  <si>
    <t>г. Уфа, ул. Александра Невского, д.25</t>
  </si>
  <si>
    <t>г. Уфа, ул. Антонова, д.2</t>
  </si>
  <si>
    <t>г. Уфа, ул. Архитектурная, д.10</t>
  </si>
  <si>
    <t>г. Уфа, ул. Архитектурная, д.4</t>
  </si>
  <si>
    <t>г. Уфа, ул. Архитектурная, д.8</t>
  </si>
  <si>
    <t>г. Уфа, ул. Ахметова, д.318</t>
  </si>
  <si>
    <t>г. Уфа, ул. Бабушкина, д.21 корп.1</t>
  </si>
  <si>
    <t>г. Уфа, ул. Бакалинская, д.38</t>
  </si>
  <si>
    <t>г. Уфа, ул. Бакалинская, д.62</t>
  </si>
  <si>
    <t>г. Уфа, ул. Батумская, д.1</t>
  </si>
  <si>
    <t>г. Уфа, ул. Батумская, д.3</t>
  </si>
  <si>
    <t>г. Уфа, ул. Батырская, д.10</t>
  </si>
  <si>
    <t>г. Уфа, ул. Батырская, д.10 корп.1</t>
  </si>
  <si>
    <t>г. Уфа, ул. Батырская, д.14 корп.1</t>
  </si>
  <si>
    <t>г. Уфа, ул. Батырская, д.14 корп.2</t>
  </si>
  <si>
    <t>г. Уфа, ул. Батырская, д.16</t>
  </si>
  <si>
    <t>г. Уфа, ул. Батырская, д.4</t>
  </si>
  <si>
    <t>г. Уфа, ул. Батырская, д.4 корп.1</t>
  </si>
  <si>
    <t>г. Уфа, ул. Баязита Бикбая, д.24 корп.2</t>
  </si>
  <si>
    <t>г. Уфа, ул. Белякова, д.82</t>
  </si>
  <si>
    <t>г. Уфа, ул. Блюхера, д.17</t>
  </si>
  <si>
    <t>г. Уфа, ул. Блюхера, д.3 корп.1</t>
  </si>
  <si>
    <t>г. Уфа, ул. Блюхера, д.32</t>
  </si>
  <si>
    <t>г. Уфа, ул. Блюхера, д.46</t>
  </si>
  <si>
    <t>г. Уфа, ул. Блюхера, д.6а</t>
  </si>
  <si>
    <t>г. Уфа, ул. Блюхера, д.8</t>
  </si>
  <si>
    <t>г. Уфа, ул. Богдана Хмельницкого, д.123</t>
  </si>
  <si>
    <t>г. Уфа, ул. Богдана Хмельницкого, д.45</t>
  </si>
  <si>
    <t>г. Уфа, ул. Богдана Хмельницкого, д.49 корп.1</t>
  </si>
  <si>
    <t>г. Уфа, ул. Богдана Хмельницкого, д.55</t>
  </si>
  <si>
    <t xml:space="preserve">г. Уфа, ул. Богдана Хмельницкого, д.57 </t>
  </si>
  <si>
    <t>г. Уфа, ул. Богдана Хмельницкого, д.59</t>
  </si>
  <si>
    <t>г. Уфа, ул. Богдана Хмельницкого, д.88 корп.1</t>
  </si>
  <si>
    <t>г. Уфа, ул. Борисоглебская, д.10</t>
  </si>
  <si>
    <t>г. Уфа, ул. Борисоглебская, д.12</t>
  </si>
  <si>
    <t>г. Уфа, ул. Владивостокская, д.13 корп.1</t>
  </si>
  <si>
    <t>г. Уфа, ул. Вологодская, д.21 корп.1</t>
  </si>
  <si>
    <t>г. Уфа, ул. Вологодская, д.77</t>
  </si>
  <si>
    <t>г. Уфа, ул. Гафури, д.72</t>
  </si>
  <si>
    <t>г. Уфа, ул. Георгия Мушникова, д.11 корп.3</t>
  </si>
  <si>
    <t>г. Уфа, ул. Гончарова, д.26</t>
  </si>
  <si>
    <t>г. Уфа, ул. Минигали Губайдуллина, д.19 корп.4</t>
  </si>
  <si>
    <t>г. Уфа, ул. Дагестанская, д.13 корп.1</t>
  </si>
  <si>
    <t xml:space="preserve">г. Уфа, ул. Даута Юлтыя, д.7 </t>
  </si>
  <si>
    <t>г. Уфа, ул. Дмитрия Донского, д.38</t>
  </si>
  <si>
    <t>г. Уфа, ул. Достоевского, д.112</t>
  </si>
  <si>
    <t>г. Уфа, ул. Достоевского, д.68</t>
  </si>
  <si>
    <t>г. Уфа, ул. Достоевского, д.83</t>
  </si>
  <si>
    <t>г. Уфа, ул. Жуковского, д.18</t>
  </si>
  <si>
    <t>г. Уфа, ул. Заводская, д.15</t>
  </si>
  <si>
    <t>г. Уфа, ул. Заводская, д.16</t>
  </si>
  <si>
    <t>г. Уфа, пер. Запорожский, д.32</t>
  </si>
  <si>
    <t>г. Уфа, ул. Запотоцкого, д.8</t>
  </si>
  <si>
    <t>г. Уфа, ул. Интернациональная, д.105</t>
  </si>
  <si>
    <t>г. Уфа, ул. Интернациональная, д.153 корп.1</t>
  </si>
  <si>
    <t>г. Уфа, ул. Интернациональная, д.165</t>
  </si>
  <si>
    <t>г. Уфа, ул. Интернациональная, д.179 корп.1</t>
  </si>
  <si>
    <t>г. Уфа, ул. Интернациональная, д.63</t>
  </si>
  <si>
    <t>г. Уфа, ул. Интернациональная, д.91 корп.1</t>
  </si>
  <si>
    <t>г. Уфа, ул. Калинина, д.18</t>
  </si>
  <si>
    <t>г. Уфа, ул. Калинина, д.20</t>
  </si>
  <si>
    <t>г. Уфа, ул. Калинина, д.22</t>
  </si>
  <si>
    <t>г. Уфа, ул. Калинина, д.61</t>
  </si>
  <si>
    <t>г. Уфа, ул. Калинина, д.84</t>
  </si>
  <si>
    <t>г. Уфа, ул. Карла Маркса, д.26</t>
  </si>
  <si>
    <t>г. Уфа, ул. Карла Маркса, д.32</t>
  </si>
  <si>
    <t>г. Уфа, ул. Карла Маркса, д.33</t>
  </si>
  <si>
    <t>г. Уфа, ул. Карла Маркса, д.54</t>
  </si>
  <si>
    <t>г. Уфа, ул. Кирова, д.101</t>
  </si>
  <si>
    <t>г. Уфа, ул. Кирова, д.39</t>
  </si>
  <si>
    <t>г. Уфа, ул. Клавдии Абрамовой, д.6</t>
  </si>
  <si>
    <t>г. Уфа, ул. Кольцевая, д.104</t>
  </si>
  <si>
    <t>г. Уфа, ул. Кольцевая, д.130</t>
  </si>
  <si>
    <t>г. Уфа, ул. Кольцевая, д.140</t>
  </si>
  <si>
    <t>г. Уфа, ул. Кольцевая, д.168 корп.1</t>
  </si>
  <si>
    <t>г. Уфа, ул. Кольцевая, д.187</t>
  </si>
  <si>
    <t>г. Уфа, ул. Кольцевая, д.191</t>
  </si>
  <si>
    <t>г. Уфа, ул. Кольцевая, д.200</t>
  </si>
  <si>
    <t>г. Уфа, ул. Кольцевая, д.204</t>
  </si>
  <si>
    <t>г. Уфа, ул. Кольцевая, д.33</t>
  </si>
  <si>
    <t>г. Уфа, ул. Кольцевая, д.36</t>
  </si>
  <si>
    <t>г. Уфа, ул. Коммунаров, д.22</t>
  </si>
  <si>
    <t>г. Уфа, ул. Коммунаров, д.55</t>
  </si>
  <si>
    <t>г. Уфа, ул. Коммунаров, д.59</t>
  </si>
  <si>
    <t>г. Уфа, ул. Коммунаров, д.6</t>
  </si>
  <si>
    <t>г. Уфа, ул. Коммунаров, д.67</t>
  </si>
  <si>
    <t>г. Уфа, ул. Коммунистическая, д.40а</t>
  </si>
  <si>
    <t>г. Уфа, ул. Коммунистическая, д.82</t>
  </si>
  <si>
    <t>г. Уфа, ул. Коммунистическая, д.89</t>
  </si>
  <si>
    <t>г. Уфа, ул. Комсомольская, д.100 корп.1</t>
  </si>
  <si>
    <t>г. Уфа, ул. Комсомольская, д.137 корп.2</t>
  </si>
  <si>
    <t>г. Уфа, ул. Комсомольская, д.157 корп.1</t>
  </si>
  <si>
    <t>г. Уфа, ул. Комсомольская, д.163 корп.1</t>
  </si>
  <si>
    <t>г. Уфа, ул. Комсомольская, д.167 корп.2</t>
  </si>
  <si>
    <t>г. Уфа, ул. Комсомольская, д.167 корп.3</t>
  </si>
  <si>
    <t>г. Уфа, ул. Комсомольская, д.26</t>
  </si>
  <si>
    <t>г. Уфа, ул. Космонавтов, д.18</t>
  </si>
  <si>
    <t>г. Уфа, ул. Красина, д.13</t>
  </si>
  <si>
    <t>г. Уфа, ул. Кремлевская, д.31</t>
  </si>
  <si>
    <t>г. Уфа, ул. Кремлевская, д.65</t>
  </si>
  <si>
    <t>г. Уфа, ул. Левитана, д.14 корп.3</t>
  </si>
  <si>
    <t>г. Уфа, ул. Левитана, д.15</t>
  </si>
  <si>
    <t>г. Уфа, ул. Левитана, д.17</t>
  </si>
  <si>
    <t>г. Уфа, ул. Левитана, д.19</t>
  </si>
  <si>
    <t>г. Уфа, ул. Левитана, д.22</t>
  </si>
  <si>
    <t>г. Уфа, ул. Левитана, д.41</t>
  </si>
  <si>
    <t>г. Уфа, ул. Левитана, д.41б</t>
  </si>
  <si>
    <t>г. Уфа, ул. Левченко, д.4</t>
  </si>
  <si>
    <t>г. Уфа, ул. Ленина, д.148</t>
  </si>
  <si>
    <t>г. Уфа, ул. Ленина, д.150 корп.2</t>
  </si>
  <si>
    <t>г. Уфа, ул. Ленина, д.162</t>
  </si>
  <si>
    <t>г. Уфа, ул. Ленина, д.65</t>
  </si>
  <si>
    <t>г. Уфа, ул. Лесотехникума, д.20</t>
  </si>
  <si>
    <t>г. Уфа, ул. Лесотехникума, д.26</t>
  </si>
  <si>
    <t>г. Уфа, ул. Летчиков, д.4 корп.1</t>
  </si>
  <si>
    <t>г. Уфа, ул. Магистральная, д.36</t>
  </si>
  <si>
    <t>г. Уфа, ул. Магистральная, д.7</t>
  </si>
  <si>
    <t>г. Уфа, ул. Максима Рыльского, д.10 корп.1</t>
  </si>
  <si>
    <t>г. Уфа, ул. Максима Рыльского, д.18</t>
  </si>
  <si>
    <t>г. Уфа, ул. Матвея Пинского, д.10</t>
  </si>
  <si>
    <t>г. Уфа, ул. Матвея Пинского, д.3</t>
  </si>
  <si>
    <t>г. Уфа, ул. Машиностроителей, д.9</t>
  </si>
  <si>
    <t>г. Уфа, ул. Маяковского, д.10 корп.2</t>
  </si>
  <si>
    <t>г. Уфа, ул. Маяковского, д.16</t>
  </si>
  <si>
    <t>г. Уфа, ул. Маяковского, д.4</t>
  </si>
  <si>
    <t>г. Уфа, ул. Мелеузовская, д.19</t>
  </si>
  <si>
    <t>г. Уфа, ул. Менделеева, д.155 корп.1</t>
  </si>
  <si>
    <t>г. Уфа, ул. Менделеева, д.155 корп.2</t>
  </si>
  <si>
    <t>г. Уфа, ул. Менделеева, д.155 корп.3</t>
  </si>
  <si>
    <t>г. Уфа, ул. Менделеева, д.155 корп.4</t>
  </si>
  <si>
    <t>г. Уфа, ул. Менделеева, д.171 корп.2</t>
  </si>
  <si>
    <t>г. Уфа, ул. Менделеева, д.175б</t>
  </si>
  <si>
    <t>г. Уфа, ул. Менделеева, д.189</t>
  </si>
  <si>
    <t>г. Уфа, ул. Менделеева, д.189в</t>
  </si>
  <si>
    <t>г. Уфа, ул. Менделеева, д.199</t>
  </si>
  <si>
    <t>г. Уфа, ул. Менделеева, д.207</t>
  </si>
  <si>
    <t>г. Уфа, ул. Менделеева, д.211</t>
  </si>
  <si>
    <t>г. Уфа, ул. Мингажева, д.123</t>
  </si>
  <si>
    <t>г. Уфа, ул. Мингажева, д.127</t>
  </si>
  <si>
    <t>г. Уфа, ул. Мингажева, д.156</t>
  </si>
  <si>
    <t>г. Уфа, ул. Мира, д.22</t>
  </si>
  <si>
    <t>г. Уфа, ул. Мира, д.24а</t>
  </si>
  <si>
    <t>г. Уфа, ул. Мира, д.3</t>
  </si>
  <si>
    <t>г. Уфа, ул. Мира, д.30</t>
  </si>
  <si>
    <t>г. Уфа, ул. Мира, д.9</t>
  </si>
  <si>
    <t>г. Уфа, ул. Мубарякова, д.4 корп.1</t>
  </si>
  <si>
    <t>г. Уфа, ул. Мусоргского, д.9а</t>
  </si>
  <si>
    <t>г. Уфа, ул. Мустая Карима, д.43</t>
  </si>
  <si>
    <t>г. Уфа, ул. Набережная реки Уфы, д.51</t>
  </si>
  <si>
    <t>г. Уфа, ул. Натальи Ковшовой, д.11</t>
  </si>
  <si>
    <t>г. Уфа, ул. Натальи Ковшовой, д.7</t>
  </si>
  <si>
    <t>г. Уфа, ул. Нежинская, д.39</t>
  </si>
  <si>
    <t>г. Уфа, ул. Николая Дмитриева, д.9</t>
  </si>
  <si>
    <t>г. Уфа, ул. Новороссийская, д.10</t>
  </si>
  <si>
    <t>г. Уфа, ул. Новороссийская, д.8</t>
  </si>
  <si>
    <t>г. Уфа, ул. Обская, д.6</t>
  </si>
  <si>
    <t>г. Уфа, ул. Орджоникидзе, д.20 корп.1</t>
  </si>
  <si>
    <t>г. Уфа, ул. Пархоменко, д.106 корп.2</t>
  </si>
  <si>
    <t>г. Уфа, ул. Пархоменко, д.117</t>
  </si>
  <si>
    <t>г. Уфа, ул. Первомайская, д.38</t>
  </si>
  <si>
    <t>г. Уфа, ул. Первомайская, д.42</t>
  </si>
  <si>
    <t>г. Уфа, ул. Первомайская, д.4а</t>
  </si>
  <si>
    <t>г. Уфа, ул. Первомайская, д.55</t>
  </si>
  <si>
    <t>г. Уфа, ул. Первомайская, д.56</t>
  </si>
  <si>
    <t>г. Уфа, ул. Первомайская, д.59</t>
  </si>
  <si>
    <t>г. Уфа, ул. Первомайская, д.63</t>
  </si>
  <si>
    <t>г. Уфа, ул. Первомайская, д.66</t>
  </si>
  <si>
    <t>г. Уфа, ул. Первомайская, д.68 корп.1</t>
  </si>
  <si>
    <t>г. Уфа, ул. Первомайская, д.75а</t>
  </si>
  <si>
    <t>г. Уфа, ул. Первомайская, д.83</t>
  </si>
  <si>
    <t>г. Уфа, ул. Первомайская, д.92</t>
  </si>
  <si>
    <t>г. Уфа, ул. Первомайская, д.94</t>
  </si>
  <si>
    <t>г. Уфа, ул. Петрозаводская, д.10б</t>
  </si>
  <si>
    <t>г. Уфа, ул. Петрозаводская, д.8</t>
  </si>
  <si>
    <t>г. Уфа, ул. Петрозаводская, д.8г</t>
  </si>
  <si>
    <t>г. Уфа, ул. Петропавловская, д.51</t>
  </si>
  <si>
    <t>г. Уфа, ул. Пионерская, д.13 корп.1</t>
  </si>
  <si>
    <t>г. Уфа, ул. Пионерская, д.16 корп.1</t>
  </si>
  <si>
    <t>г. Уфа, ул. Победы, д.20</t>
  </si>
  <si>
    <t>г. Уфа, ул. Победы, д.9 корп.1</t>
  </si>
  <si>
    <t>г. Уфа, ул. Правды, д.11</t>
  </si>
  <si>
    <t>г. Уфа, ул. Пушкина, д.54 корп.1</t>
  </si>
  <si>
    <t>г. Уфа, ул. Рабкоров, д.3</t>
  </si>
  <si>
    <t>г. Уфа, ул. Рабкоров, д.8</t>
  </si>
  <si>
    <t>г. Уфа, ул. Революционная, д.90</t>
  </si>
  <si>
    <t>г. Уфа, ул. Революционная, д.90 корп.1</t>
  </si>
  <si>
    <t>г. Уфа, ул. Революционная, д.97</t>
  </si>
  <si>
    <t>г. Уфа, ул. Революционная, д.97 корп.99</t>
  </si>
  <si>
    <t>г. Уфа, ул. Рихарда Зорге, д.11</t>
  </si>
  <si>
    <t>г. Уфа, ул. Рихарда Зорге, д.20</t>
  </si>
  <si>
    <t>г. Уфа, ул. Рихарда Зорге, д.24</t>
  </si>
  <si>
    <t>г. Уфа, ул. Рихарда Зорге, д.26 корп.1</t>
  </si>
  <si>
    <t>г. Уфа, ул. Рихарда Зорге, д.28</t>
  </si>
  <si>
    <t>г. Уфа, ул. Рихарда Зорге, д.31</t>
  </si>
  <si>
    <t>г. Уфа, ул. Рихарда Зорге, д.31 корп.3</t>
  </si>
  <si>
    <t>г. Уфа, ул. Рихарда Зорге, д.32 корп.1</t>
  </si>
  <si>
    <t>г. Уфа, ул. Рихарда Зорге, д.34 корп.3</t>
  </si>
  <si>
    <t>г. Уфа, ул. Рихарда Зорге, д.35</t>
  </si>
  <si>
    <t>г. Уфа, ул. Рихарда Зорге, д.37</t>
  </si>
  <si>
    <t>г. Уфа, ул. Рихарда Зорге, д.45 корп.1</t>
  </si>
  <si>
    <t>г. Уфа, ул. Рихарда Зорге, д.47</t>
  </si>
  <si>
    <t>г. Уфа, ул. Рихарда Зорге, д.49</t>
  </si>
  <si>
    <t>г. Уфа, ул. Российская, д.106 корп.1</t>
  </si>
  <si>
    <t>г. Уфа, ул. Российская, д.151</t>
  </si>
  <si>
    <t>г. Уфа, ул. Российская, д.161 корп.3</t>
  </si>
  <si>
    <t>г. Уфа, ул. Российская, д.33 корп.2</t>
  </si>
  <si>
    <t>г. Уфа, ул. Российская, д.39</t>
  </si>
  <si>
    <t>г. Уфа, ул. Российская, д.41 корп.2</t>
  </si>
  <si>
    <t>г. Уфа, ул. Российская, д.43 корп.11</t>
  </si>
  <si>
    <t>г. Уфа, ул. Российская, д.43 корп.2</t>
  </si>
  <si>
    <t>г. Уфа, ул. Российская, д.7</t>
  </si>
  <si>
    <t>г. Уфа, ул. Российская, д.78</t>
  </si>
  <si>
    <t>г. Уфа, ул. Российская, д.96 корп.1</t>
  </si>
  <si>
    <t>г. Уфа, ул. Российская, д.98</t>
  </si>
  <si>
    <t>г. Уфа, ул. Ростовская, д.26</t>
  </si>
  <si>
    <t>г. Уфа, ул. Рядовая, д.10</t>
  </si>
  <si>
    <t>г. Уфа, ул. Рядовая, д.11</t>
  </si>
  <si>
    <t>г. Уфа, ул. Рядовая, д.13</t>
  </si>
  <si>
    <t>г. Уфа, ул. Рядовая, д.15</t>
  </si>
  <si>
    <t>г. Уфа, ул. Рядовая, д.2</t>
  </si>
  <si>
    <t>г. Уфа, ул. Рядовая, д.9</t>
  </si>
  <si>
    <t>г. Уфа, ул. Рязанская, д.1 корп.1</t>
  </si>
  <si>
    <t>г. Уфа, ул. Рязанская, д.7</t>
  </si>
  <si>
    <t>г. Уфа, ул. Сагита Агиша, д.14 корп.1</t>
  </si>
  <si>
    <t>г. Уфа, ул. Свердлова, д.47</t>
  </si>
  <si>
    <t>г. Уфа, ул. Свободы, д.15</t>
  </si>
  <si>
    <t>г. Уфа, ул. Свободы, д.33</t>
  </si>
  <si>
    <t>г. Уфа, ул. Сельская Богородская, д.15</t>
  </si>
  <si>
    <t>г. Уфа, ул. Сельская Богородская, д.15б</t>
  </si>
  <si>
    <t>г. Уфа, ул. Сельская Богородская, д.15в</t>
  </si>
  <si>
    <t>г. Уфа, ул. Сельская Богородская, д.15г</t>
  </si>
  <si>
    <t>г. Уфа, ул. Сергея Вострецова, д.3</t>
  </si>
  <si>
    <t>г. Уфа, ул. Сергея Вострецова, д.5</t>
  </si>
  <si>
    <t>г. Уфа, ул. Советская, д.21</t>
  </si>
  <si>
    <t>г. Уфа, ул. Сосновская, д.34а</t>
  </si>
  <si>
    <t>г. Уфа, ул. Сосновская, д.44а</t>
  </si>
  <si>
    <t>г. Уфа, ул. Сосновская, д.48</t>
  </si>
  <si>
    <t>г. Уфа, ул. Сосновская, д.50</t>
  </si>
  <si>
    <t>г. Уфа, ул. Сосновская, д.52</t>
  </si>
  <si>
    <t>г. Уфа, ул. Степана Злобина, д.20</t>
  </si>
  <si>
    <t>г. Уфа, ул. Степана Злобина, д.32 корп.2</t>
  </si>
  <si>
    <t>г. Уфа, ул. Степана Злобина, д.34</t>
  </si>
  <si>
    <t>г. Уфа, ул. Степана Злобина, д.34 корп.1</t>
  </si>
  <si>
    <t>г. Уфа, ул. Степана Злобина, д.42</t>
  </si>
  <si>
    <t>г. Уфа, ул. Степана Кувыкина, д.14 корп.4</t>
  </si>
  <si>
    <t>г. Уфа, ул. Степана Кувыкина, д.14 корп.5</t>
  </si>
  <si>
    <t>г. Уфа, ул. Вологодская, д.11</t>
  </si>
  <si>
    <t>г. Уфа, ул. Степана Кувыкина, д.20</t>
  </si>
  <si>
    <t>г. Уфа, ул. Степана Кувыкина, д.21 корп.1</t>
  </si>
  <si>
    <t>г. Уфа, ул. Степана Халтурина, д.41 корп.1</t>
  </si>
  <si>
    <t>г. Уфа, ул. Степана Халтурина, д.43</t>
  </si>
  <si>
    <t>г. Уфа, ул. Степана Халтурина, д.44</t>
  </si>
  <si>
    <t>г. Уфа, ул. Степана Халтурина, д.46</t>
  </si>
  <si>
    <t>г. Уфа, ул. Степана Халтурина, д.59</t>
  </si>
  <si>
    <t>г. Уфа, ул. Султанова, д.8</t>
  </si>
  <si>
    <t>г. Уфа, б-р Тухвата Янаби, д.63</t>
  </si>
  <si>
    <t>г. Уфа, ул. Таллинская, д.23б</t>
  </si>
  <si>
    <t>г. Уфа, ул. Таллинская, д.26</t>
  </si>
  <si>
    <t>г. Уфа, ул. Татышлинская, д.2</t>
  </si>
  <si>
    <t>г. Уфа, ул. Татышлинская, д.4</t>
  </si>
  <si>
    <t>г. Уфа, ул. Татышлинская, д.6</t>
  </si>
  <si>
    <t>г. Уфа, ул. Ульяновых, д.20</t>
  </si>
  <si>
    <t>г. Уфа, ул. Ульяновых, д.33</t>
  </si>
  <si>
    <t>г. Уфа, ул. Ульяновых, д.36</t>
  </si>
  <si>
    <t>г. Уфа, ул. Ульяновых, д.37</t>
  </si>
  <si>
    <t>г. Уфа, ул. Ульяновых, д.46</t>
  </si>
  <si>
    <t>г. Уфа, ул. Ухтомского, д.22</t>
  </si>
  <si>
    <t>г. Уфа, ул. Ферина, д.1 корп.1</t>
  </si>
  <si>
    <t>г. Уфа, ул. Ферина, д.3 корп.3</t>
  </si>
  <si>
    <t>г. Уфа, ул. Ферина, д.8</t>
  </si>
  <si>
    <t>г. Уфа, ул. Харьковская, д.103</t>
  </si>
  <si>
    <t>г. Уфа, ул. Харьковская, д.114</t>
  </si>
  <si>
    <t>г. Уфа, ул. Харьковская, д.129</t>
  </si>
  <si>
    <t>г. Уфа, ул. Худайбердина, д.1</t>
  </si>
  <si>
    <t>г. Уфа, ул. Центральная, д.4</t>
  </si>
  <si>
    <t>г. Уфа, ул. Цюрупы, д.134</t>
  </si>
  <si>
    <t>г. Уфа, ул. Цюрупы, д.84</t>
  </si>
  <si>
    <t>г. Уфа, ул. Черниковская, д.12</t>
  </si>
  <si>
    <t>г. Уфа, ул. Черниковская, д.3</t>
  </si>
  <si>
    <t>г. Уфа, ул. Черниковская, д.46</t>
  </si>
  <si>
    <t>г. Уфа, ул. Черниковская, д.67</t>
  </si>
  <si>
    <t>г. Уфа, ул. Черниковская, д.69</t>
  </si>
  <si>
    <t>г. Уфа, ул. Чернышевского, д.101</t>
  </si>
  <si>
    <t>г. Уфа, ул. Чернышевского, д.105</t>
  </si>
  <si>
    <t>г. Уфа, ул. Шафиева, д.14</t>
  </si>
  <si>
    <t>г. Уфа, ул. Шафиева, д.29</t>
  </si>
  <si>
    <t>г. Уфа, ул. Шафиева, д.31 корп.1</t>
  </si>
  <si>
    <t>г. Уфа, ул. Шота Руставели, д.27 корп.3</t>
  </si>
  <si>
    <t>г. Уфа, ул. Уфимское шоссе, д.18 корп.4</t>
  </si>
  <si>
    <t>г. Уфа, ул. Уфимское шоссе, д.18 корп.5</t>
  </si>
  <si>
    <t>г. Уфа, ул. Уфимское шоссе, д.4 корп.1</t>
  </si>
  <si>
    <t>г. Уфа, ул. Уфимское шоссе, д.6</t>
  </si>
  <si>
    <t>г. Уфа, ул. Уфимское шоссе, д.8 корп.1</t>
  </si>
  <si>
    <t>г. Агидель, б-р Комсомольский, д.6а</t>
  </si>
  <si>
    <t>г. Агидель, ул. Академика Курчатова д.17</t>
  </si>
  <si>
    <t>г. Агидель, ул. Мира, д.4</t>
  </si>
  <si>
    <t>г. Агидель, ул. Мира, д.6</t>
  </si>
  <si>
    <t>г. Агидель, ул. Мира, д.22</t>
  </si>
  <si>
    <t>г. Агидель, ул. Первых Строителей, д.2</t>
  </si>
  <si>
    <t>г. Нефтекамск, пр-кт Комсомольский, д.22</t>
  </si>
  <si>
    <t>г. Нефтекамск, пр-кт Комсомольский, д.31а</t>
  </si>
  <si>
    <t>г. Нефтекамск, пр-кт Комсомольский, д.31б</t>
  </si>
  <si>
    <t>г. Нефтекамск, пр-кт Комсомольский, д.42а</t>
  </si>
  <si>
    <t>г. Нефтекамск, пр-кт Комсомольский, д.46</t>
  </si>
  <si>
    <t>г. Нефтекамск, пр-кт Комсомольский, д.52</t>
  </si>
  <si>
    <t>г. Нефтекамск, пр-кт Юбилейный, д.1а</t>
  </si>
  <si>
    <t>г. Нефтекамск, ул. Дзержинского, д.1 корп.А</t>
  </si>
  <si>
    <t>г. Нефтекамск, ул. Дзержинского, д.1 корп.Б</t>
  </si>
  <si>
    <t>г. Нефтекамск, ул. Дорожная, д.17а</t>
  </si>
  <si>
    <t>г. Нефтекамск, ул. Дорожная, д.21а</t>
  </si>
  <si>
    <t>г. Нефтекамск, ул. Дорожная, д.25а</t>
  </si>
  <si>
    <t>г. Нефтекамск, ул. Дорожная, д.27а</t>
  </si>
  <si>
    <t>г. Нефтекамск, ул. Ленина, д.13а</t>
  </si>
  <si>
    <t>г. Нефтекамск, ул. Ленина, д.25</t>
  </si>
  <si>
    <t>г. Нефтекамск, ул. Ленина, д.31в</t>
  </si>
  <si>
    <t>г. Нефтекамск, ул. Ленина, д.38</t>
  </si>
  <si>
    <t>г. Нефтекамск, ул. Ленина, д.41</t>
  </si>
  <si>
    <t>г. Нефтекамск, ул. Ленина, д.58а</t>
  </si>
  <si>
    <t>г. Нефтекамск, ул. Ленина, д.64</t>
  </si>
  <si>
    <t>г. Нефтекамск, ул. Ленина, д.8</t>
  </si>
  <si>
    <t>г. Нефтекамск, ул. Нефтяников, д.13</t>
  </si>
  <si>
    <t>г. Нефтекамск, ул. Нефтяников, д.19а</t>
  </si>
  <si>
    <t>г. Нефтекамск, ул. Нефтяников, д.26б</t>
  </si>
  <si>
    <t>г. Нефтекамск, ул. Нефтяников, д.28б</t>
  </si>
  <si>
    <t>г. Нефтекамск, ул. Парковая, д.21</t>
  </si>
  <si>
    <t>г. Нефтекамск, ул. Парковая, д.4а</t>
  </si>
  <si>
    <t>г. Нефтекамск, ул. Парковая, д.5б</t>
  </si>
  <si>
    <t>г. Нефтекамск, ул. Парковая, д.6</t>
  </si>
  <si>
    <t>г. Нефтекамск, ул. Парковая, д.8</t>
  </si>
  <si>
    <t>г. Нефтекамск, ул. Парковая, д.8б</t>
  </si>
  <si>
    <t>г. Нефтекамск, ул. Победы, д.13а</t>
  </si>
  <si>
    <t xml:space="preserve">г. Нефтекамск, ул. Победы, д.3 </t>
  </si>
  <si>
    <t>г. Нефтекамск, ул. Социалистическая, д.111</t>
  </si>
  <si>
    <t>г. Нефтекамск, ул. Социалистическая, д.20а</t>
  </si>
  <si>
    <t>г. Нефтекамск, ул. Социалистическая, д.66а</t>
  </si>
  <si>
    <t>г. Нефтекамск, ул. Социалистическая, д.95</t>
  </si>
  <si>
    <t>г. Нефтекамск, ул. Социалистическая, д.32</t>
  </si>
  <si>
    <t>г. Нефтекамск, ул. Строителей, д.17</t>
  </si>
  <si>
    <t>г. Нефтекамск, ул. Строителей, д.45</t>
  </si>
  <si>
    <t>г. Нефтекамск, ул. Строителей, д.47а</t>
  </si>
  <si>
    <t>г. Нефтекамск, ул. Строителей, д.51</t>
  </si>
  <si>
    <t>г. Нефтекамск, ул. Строителей, д.87б</t>
  </si>
  <si>
    <t>г. Нефтекамск, ул. Энергетиков, д.9</t>
  </si>
  <si>
    <t>с. Амзя, ул. Азина, д.3</t>
  </si>
  <si>
    <t>с. Амзя, ул. Азина, д.5</t>
  </si>
  <si>
    <t>с. Амзя, ул. Кудрявцева, д.17</t>
  </si>
  <si>
    <t>с. Амзя, ул. Кудрявцева, д.2</t>
  </si>
  <si>
    <t>с. Амзя, ул. Лесохимическая, д.4</t>
  </si>
  <si>
    <t>с. Амзя, ул. Лесохимическая, д.6</t>
  </si>
  <si>
    <t>г. Октябрьский, мкр. 21-й, д.12</t>
  </si>
  <si>
    <t>г. Октябрьский, мкр. 24-й, д.12</t>
  </si>
  <si>
    <t>г. Октябрьский, мкр. 24-й, д.28</t>
  </si>
  <si>
    <t>г. Октябрьский, мкр. 25-й, д.16</t>
  </si>
  <si>
    <t>г. Октябрьский, мкр. 25-й, д.21</t>
  </si>
  <si>
    <t>г. Октябрьский, мкр. 25-й, д.7</t>
  </si>
  <si>
    <t>г. Октябрьский, мкр. 25-й, д.8</t>
  </si>
  <si>
    <t>г. Октябрьский, мкр. 34-й, д.10</t>
  </si>
  <si>
    <t>г. Октябрьский, мкр. 34-й, д.10а</t>
  </si>
  <si>
    <t>г. Октябрьский, мкр. 34-й, д.12 корп.2</t>
  </si>
  <si>
    <t>г. Октябрьский, мкр. 34-й, д.19</t>
  </si>
  <si>
    <t>г. Октябрьский, мкр. 34-й, д.20</t>
  </si>
  <si>
    <t>г. Октябрьский, мкр. 34-й, д.22</t>
  </si>
  <si>
    <t>г. Октябрьский, мкр. 34-й, д.28</t>
  </si>
  <si>
    <t>г. Октябрьский, мкр. 34-й, д.29</t>
  </si>
  <si>
    <t>г. Октябрьский, мкр. 34-й, д.3</t>
  </si>
  <si>
    <t>г. Октябрьский, мкр. 35-й, д.11</t>
  </si>
  <si>
    <t>г. Октябрьский, мкр. 35-й, д.16</t>
  </si>
  <si>
    <t xml:space="preserve">г. Октябрьский, мкр. 35-й, д.19 </t>
  </si>
  <si>
    <t>г. Октябрьский, мкр. 35-й, д.29</t>
  </si>
  <si>
    <t>г. Октябрьский, мкр. 35-й, д.3</t>
  </si>
  <si>
    <t>г. Октябрьский, мкр. 35-й, д.34</t>
  </si>
  <si>
    <t>г. Октябрьский, мкр. 35-й, д.39</t>
  </si>
  <si>
    <t>г. Октябрьский, пр-кт Ленина, д.45</t>
  </si>
  <si>
    <t>г. Октябрьский, пр-кт Ленина, д.45 корп.1</t>
  </si>
  <si>
    <t>г. Октябрьский, пр-кт Ленина, д.67</t>
  </si>
  <si>
    <t>г. Октябрьский, пр-кт Ленина, д.79</t>
  </si>
  <si>
    <t>г. Октябрьский, пр-кт Ленина, д.8</t>
  </si>
  <si>
    <t>г. Октябрьский, ул. Академика Королева, д.10а</t>
  </si>
  <si>
    <t>г. Октябрьский, ул. Академика Королева, д.13</t>
  </si>
  <si>
    <t>г. Октябрьский, ул. Гаражная, д.5</t>
  </si>
  <si>
    <t>г. Октябрьский, ул. Герцена, д.24б</t>
  </si>
  <si>
    <t>г. Октябрьский, ул. Герцена, д.36</t>
  </si>
  <si>
    <t>г. Октябрьский, ул. Горького, д.15</t>
  </si>
  <si>
    <t>г. Октябрьский, ул. Горького, д.40</t>
  </si>
  <si>
    <t>г. Октябрьский, ул. Губкина, д.22</t>
  </si>
  <si>
    <t>г. Октябрьский, ул. Девонская, д.15</t>
  </si>
  <si>
    <t>г. Октябрьский, ул. Комсомольская, д.19</t>
  </si>
  <si>
    <t>г. Октябрьский, ул. Комсомольская, д.20б</t>
  </si>
  <si>
    <t>г. Октябрьский, ул. Комсомольская, д.41</t>
  </si>
  <si>
    <t>г. Октябрьский, ул. Кортунова, д.14</t>
  </si>
  <si>
    <t>г. Октябрьский, ул. Кувыкина, д.26</t>
  </si>
  <si>
    <t>г. Октябрьский, ул. Кувыкина, д.26а</t>
  </si>
  <si>
    <t>г. Октябрьский, ул. Луначарского, д.2</t>
  </si>
  <si>
    <t>г. Октябрьский, ул. Островского, д.52</t>
  </si>
  <si>
    <t>г. Октябрьский, ул. Островского, д.53</t>
  </si>
  <si>
    <t>г. Октябрьский, ул. Островского, д.88</t>
  </si>
  <si>
    <t>г. Октябрьский, ул. Садовое Кольцо, д.13</t>
  </si>
  <si>
    <t>г. Октябрьский, ул. Садовое Кольцо, д.58</t>
  </si>
  <si>
    <t>г. Октябрьский, ул. Садовое Кольцо, д.59</t>
  </si>
  <si>
    <t>г. Октябрьский, ул. Садовое Кольцо, д.60</t>
  </si>
  <si>
    <t>г. Октябрьский, ул. Садовое Кольцо, д.60а</t>
  </si>
  <si>
    <t>г. Октябрьский, ул. Свердлова, д.22</t>
  </si>
  <si>
    <t>г. Октябрьский, ул. Северная, д.28</t>
  </si>
  <si>
    <t>г. Октябрьский, ул. Фрунзе, д.1</t>
  </si>
  <si>
    <t>с. Ким, ул. Мира, д.10</t>
  </si>
  <si>
    <t>с. Мечниково, ул. Центральная, д.10</t>
  </si>
  <si>
    <t>с. Раевский, ул. Карла Маркса, д.1</t>
  </si>
  <si>
    <t>с. Раевский, ул. Карла Маркса, д.3</t>
  </si>
  <si>
    <t>с. Раевский, ул. Карла Маркса, д.5</t>
  </si>
  <si>
    <t>с. Раевский, ул. Космонавтов, д.36а</t>
  </si>
  <si>
    <t>с. Аскино, ул. Гагарина, д.12</t>
  </si>
  <si>
    <t>с. Бакалы, ул. Ленина, д.199</t>
  </si>
  <si>
    <t>с. Бакалы, ул. Красноармейская, д.16</t>
  </si>
  <si>
    <t>с. Бакалы, ул. Советская, д.3</t>
  </si>
  <si>
    <t>с. Старобалтачево, ул. Комсомольская, д.53</t>
  </si>
  <si>
    <t>с. Старобалтачево, ул. Комсомольская, д.64</t>
  </si>
  <si>
    <t>с. Старобалтачево, ул. Советская, д.46</t>
  </si>
  <si>
    <t>г. Белебей, ул. им Бехтерева, д.17</t>
  </si>
  <si>
    <t>г. Белебей, ул. Волгоградская, д.9 корп.3</t>
  </si>
  <si>
    <t>г. Белебей, ул. им В.И.Ленина, д.32а</t>
  </si>
  <si>
    <t>г. Белебей, ул. Интернациональная, д.75</t>
  </si>
  <si>
    <t>г. Белебей, ул. Красная, д.95а</t>
  </si>
  <si>
    <t>г. Белебей, ул. Красная, д.117 корп.1</t>
  </si>
  <si>
    <t>г. Белебей, ул. Красная, д.123 корп.2</t>
  </si>
  <si>
    <t>г. Белебей, ул. Красная, д.123 корп.3</t>
  </si>
  <si>
    <t>г. Белебей, ул. Красная, д.124</t>
  </si>
  <si>
    <t>г. Белебей, ул. Мебельная, д.15</t>
  </si>
  <si>
    <t>г. Белебей, ул. Площадка РТС, д.11</t>
  </si>
  <si>
    <t>г. Белебей, ул. Пролетарская, д.66 корп.1</t>
  </si>
  <si>
    <t>г. Белебей, ул. Революционеров, д.5</t>
  </si>
  <si>
    <t>г. Белебей, ул. Фурманова, д.63</t>
  </si>
  <si>
    <t>с. Аксаково, ул. Садовая, д.35</t>
  </si>
  <si>
    <t>с. Баженово, ул. Советская, д.5</t>
  </si>
  <si>
    <t>с. ЦУ племзавода им Максима Горького, ул. Мира, д.5</t>
  </si>
  <si>
    <t>с. Новобелокатай, ул. Мира, д.6</t>
  </si>
  <si>
    <t>с. Бижбуляк, ул. Центральная, д.73</t>
  </si>
  <si>
    <t>с. Бижбуляк, ул. Юбилейная, д.9</t>
  </si>
  <si>
    <t>г. Бирск, ул. 8 Марта, д.10</t>
  </si>
  <si>
    <t>г. Бирск, ул. 8 Марта, д.14а</t>
  </si>
  <si>
    <t>г. Бирск, ул. 8 Марта, д.24а</t>
  </si>
  <si>
    <t>г. Бирск, ул. 8 Марта, д.40</t>
  </si>
  <si>
    <t>г. Бирск, ул. Интернациональная, д.25а</t>
  </si>
  <si>
    <t>г. Бирск, ул. Калинина, д.25</t>
  </si>
  <si>
    <t>г. Бирск, ул. Калинина, д.26</t>
  </si>
  <si>
    <t>г. Бирск, ул. Калинина, д.29</t>
  </si>
  <si>
    <t>г. Бирск, ул. Луговая, д.28б</t>
  </si>
  <si>
    <t>г. Бирск, ул. Мира, д.132</t>
  </si>
  <si>
    <t>г. Бирск, ул. Мира, д.134а</t>
  </si>
  <si>
    <t>г. Бирск, ул. Овчинникова, д.36а</t>
  </si>
  <si>
    <t>г. Бирск, ул. Советская, д.40</t>
  </si>
  <si>
    <t>г. Бирск, ул. Советская, д.42а</t>
  </si>
  <si>
    <t>г. Бирск, ул. Чеверева, д.142а</t>
  </si>
  <si>
    <t>г. Бирск, ул. Чеверева, д.142в</t>
  </si>
  <si>
    <t>с. Калинники, ул. Центральная, д.8</t>
  </si>
  <si>
    <t>с. Осиновка, ул. Овчинникова, д.5</t>
  </si>
  <si>
    <t>с. Силантьево, ул. Интернациональная, д.16</t>
  </si>
  <si>
    <t>с. Суслово, ул. Центральная, д.30б</t>
  </si>
  <si>
    <t>с. Первомайский, ул. Победы, д.5</t>
  </si>
  <si>
    <t>с. Первомайский, ул. Победы, д.6</t>
  </si>
  <si>
    <t>г. Благовещенск, ул. Братьев Першиных, д.3 корп.1</t>
  </si>
  <si>
    <t>г. Благовещенск, ул. Братьев Першиных, д.6</t>
  </si>
  <si>
    <t>г. Благовещенск, ул. Демьяна Бедного, д.95</t>
  </si>
  <si>
    <t>г. Благовещенск, ул. Комарова, д.11 корп.2</t>
  </si>
  <si>
    <t>г. Благовещенск, ул. Комарова, д.17 корп.1</t>
  </si>
  <si>
    <t>г. Благовещенск, ул. Комарова, д.3 корп.1</t>
  </si>
  <si>
    <t>г. Благовещенск, ул. Коммунистическая, д.5</t>
  </si>
  <si>
    <t>г. Благовещенск, ул. Коммунистическая, д.8</t>
  </si>
  <si>
    <t>г. Благовещенск, ул. Седова, д.111 корп.1</t>
  </si>
  <si>
    <t>г. Благовещенск, ул. Седова, д.112 корп.1</t>
  </si>
  <si>
    <t>г. Благовещенск, ул. Советская, д.6</t>
  </si>
  <si>
    <t>г. Благовещенск, ул. Социалистическая, д.20</t>
  </si>
  <si>
    <t>г. Благовещенск, ул. Чехова, д.11 корп.1</t>
  </si>
  <si>
    <t>г. Благовещенск, ул. Чистякова, д.26</t>
  </si>
  <si>
    <t>с. Буздяк, ул. Гагарина, д.9а</t>
  </si>
  <si>
    <t>с. Буздяк, ул. Кирова, д.1</t>
  </si>
  <si>
    <t>с. Восточное, ул. Центральная, д.36</t>
  </si>
  <si>
    <t>с. Бураево, ул. Строителей, д.23</t>
  </si>
  <si>
    <t>г. Давлеканово, ул. Беляева, д.4</t>
  </si>
  <si>
    <t>г. Давлеканово, ул. Красная Площадь, д.7а</t>
  </si>
  <si>
    <t>г. Давлеканово, ул. Мира, д.7</t>
  </si>
  <si>
    <t>г. Давлеканово, ул. Мира, д.13</t>
  </si>
  <si>
    <t>г. Давлеканово, ул. Мира, д.17</t>
  </si>
  <si>
    <t>г. Давлеканово, ул. Мира, д.19</t>
  </si>
  <si>
    <t>с. Месягутово, ул. Октябрьская, д.18 корп.1</t>
  </si>
  <si>
    <t>г. Дюртюли, ул. Агидель, д.10а</t>
  </si>
  <si>
    <t>г. Дюртюли, ул. Василия Горшкова, д.3</t>
  </si>
  <si>
    <t>г. Дюртюли, ул. Гостенова, д.34</t>
  </si>
  <si>
    <t>г. Дюртюли, ул. Красноармейская, д.36</t>
  </si>
  <si>
    <t>г. Дюртюли, ул. Ленина, д.7 корп.1</t>
  </si>
  <si>
    <t>г. Дюртюли, ул. Ленина, д.36</t>
  </si>
  <si>
    <t>г. Дюртюли, ул. Ленина, д.44</t>
  </si>
  <si>
    <t>г. Дюртюли, ул. Матросова, д.13</t>
  </si>
  <si>
    <t>г. Дюртюли, ул. Назара Наджми, д.39</t>
  </si>
  <si>
    <t>г. Дюртюли, ул. Назара Наджми, д.40</t>
  </si>
  <si>
    <t>г. Дюртюли, ул. Первомайская, д.4а</t>
  </si>
  <si>
    <t>г. Дюртюли, ул. Первомайская, д.10а</t>
  </si>
  <si>
    <t>г. Дюртюли, ул. Первомайская, д.12</t>
  </si>
  <si>
    <t>г. Дюртюли, ул. Первомайская, д.13а</t>
  </si>
  <si>
    <t>г. Дюртюли, ул. Садовая, д.11</t>
  </si>
  <si>
    <t>г. Дюртюли, ул. Электрическая, д.34</t>
  </si>
  <si>
    <t>с. Асяново, ул. Трактовая, д.11</t>
  </si>
  <si>
    <t>с. Иванаево, ул. Комсомольская, д.2</t>
  </si>
  <si>
    <t xml:space="preserve">с. Семилетка, ул. Губкина, д.3 </t>
  </si>
  <si>
    <t xml:space="preserve">с. Семилетка, ул. Губкина, д.5 </t>
  </si>
  <si>
    <t>с. Семилетка, ул. Коммунистическая, д.4</t>
  </si>
  <si>
    <t>с. Ермекеево, ул. Сельхозтехники, д.2</t>
  </si>
  <si>
    <t>с. Кудеевский, ул. Победы, д.3</t>
  </si>
  <si>
    <t>с. Иглино, ул. Калинина, д.10</t>
  </si>
  <si>
    <t>с. Верхнеяркеево, пер. Библиотечный, д.7</t>
  </si>
  <si>
    <t>с. Калтасы, ул. Карла Маркса, д.71</t>
  </si>
  <si>
    <t>с. Калтасы, ул. Карла Маркса, д.90</t>
  </si>
  <si>
    <t>с. Краснохолмский, ул. Горького, д.3</t>
  </si>
  <si>
    <t>с. Краснохолмский, ул. Горького, д.19</t>
  </si>
  <si>
    <t>с. Краснохолмский, ул. Губкина, д.22</t>
  </si>
  <si>
    <t>с. Краснохолмский, ул. Губкина, д.22а</t>
  </si>
  <si>
    <t>с. Краснохолмский, ул. Губкина, д.28</t>
  </si>
  <si>
    <t>с. Краснохолмский, ул. Калинина, д.4</t>
  </si>
  <si>
    <t>с. Краснохолмский, ул. Октябрьская, д.54</t>
  </si>
  <si>
    <t>с. Краснохолмский, ул. Октябрьская, д.58</t>
  </si>
  <si>
    <t>с. Краснохолмский, ул. Стадионная, д.4</t>
  </si>
  <si>
    <t>с. Краснохолмский, ул. Фрунзе, д.17</t>
  </si>
  <si>
    <t>с. Краснохолмский, ул. Юбилейная, д.1</t>
  </si>
  <si>
    <t>с. Краснохолмский, ул. Ленина, д.13</t>
  </si>
  <si>
    <t>с. Кутерем, ул. Нефтяников, д.1а</t>
  </si>
  <si>
    <t>с. Караидель, ул. Октябрьская, д.28</t>
  </si>
  <si>
    <t>с. Верхние Киги, ул. Ленина, д.110</t>
  </si>
  <si>
    <t xml:space="preserve">с. Куяново, ул. Лесная, д.11 </t>
  </si>
  <si>
    <t>с. Николо-Березовка, ул. Дорожная, д.36</t>
  </si>
  <si>
    <t>с. Николо-Березовка, ул. Дорожная, д.40</t>
  </si>
  <si>
    <t>с. Николо-Березовка, ул. Дорожная, д.40 корп.4</t>
  </si>
  <si>
    <t>с. Николо-Березовка, ул. Молодежная, д.7</t>
  </si>
  <si>
    <t>с. Кушнаренково, ул. Партизанская, д.3</t>
  </si>
  <si>
    <t>с. Большеустьикинское, ул. Мира, д.5</t>
  </si>
  <si>
    <t>с. Большеустьикинское, ул. Ленина, д.2а</t>
  </si>
  <si>
    <t>с. Большеустьикинское, ул. Мира, д.18</t>
  </si>
  <si>
    <t>с. Мишкино, ул. Мира, д.16</t>
  </si>
  <si>
    <t>с. Киргиз-Мияки, ул. Гагарина, д.1</t>
  </si>
  <si>
    <t>с. Красная горка, ул. Колхозная, д.5</t>
  </si>
  <si>
    <t>с. Павловка, ул. Карла Маркса, д.27</t>
  </si>
  <si>
    <t>с. Малояз, ул. Коммунистическая, д.74</t>
  </si>
  <si>
    <t>с. Малояз, ул. Школьная, д.12</t>
  </si>
  <si>
    <t xml:space="preserve">с. Мурсалимкино, ул. Коммунистическая, д.15 </t>
  </si>
  <si>
    <t>с. Верхние Татышлы, пер. Гагарина, д.3</t>
  </si>
  <si>
    <t>г. Туймазы, ул. 70 лет Октября, д.9а</t>
  </si>
  <si>
    <t>г. Туймазы, ул. 70 лет Октября, д.11</t>
  </si>
  <si>
    <t>г. Туймазы, ул. 70 лет Октября, д.13</t>
  </si>
  <si>
    <t>г. Туймазы, мкр. Молодежный, д.11</t>
  </si>
  <si>
    <t>г. Туймазы, мкр. Молодежный, д.18</t>
  </si>
  <si>
    <t>г. Туймазы, мкр. Молодежный, д.21</t>
  </si>
  <si>
    <t>г. Туймазы, пр-кт Ленина, д.1</t>
  </si>
  <si>
    <t>г. Туймазы, пр-кт Ленина, д.8</t>
  </si>
  <si>
    <t>г. Туймазы, ул. Аксакова, д.1</t>
  </si>
  <si>
    <t>г. Туймазы, ул. Аксакова, д.5</t>
  </si>
  <si>
    <t>г. Туймазы, ул. Комарова, д.5</t>
  </si>
  <si>
    <t>г. Туймазы, ул. Комарова, д.26</t>
  </si>
  <si>
    <t>г. Туймазы, ул. Луначарского, д.49</t>
  </si>
  <si>
    <t>г. Туймазы, ул. Луначарского, д.51</t>
  </si>
  <si>
    <t>г. Туймазы, ул. Мичурина, д.8</t>
  </si>
  <si>
    <t>г. Туймазы, ул. Мичурина, д.10</t>
  </si>
  <si>
    <t>г. Туймазы, ул. Мичурина, д.17а</t>
  </si>
  <si>
    <t>г. Туймазы, ул. Островского, д.9 корп.1</t>
  </si>
  <si>
    <t>г. Туймазы, ул. Чапаева, д.6б</t>
  </si>
  <si>
    <t>г. Туймазы, ул. Чапаева, д.10</t>
  </si>
  <si>
    <t>с. Кандры, ул. Ленина, д.13</t>
  </si>
  <si>
    <t>с. Кандры, ул. С.Юлаева, д.11</t>
  </si>
  <si>
    <t>с. Кандры, ул. Мира, д.6</t>
  </si>
  <si>
    <t>с. Нижнетроицкий, ул. Гагарина, д.9</t>
  </si>
  <si>
    <t>с. Серафимовский, 21-й кв-л, д.7</t>
  </si>
  <si>
    <t>с. Серафимовский, ул. Гафури, д.13</t>
  </si>
  <si>
    <t>с. Серафимовский, ул. Губкина, д.4</t>
  </si>
  <si>
    <t>с. Серафимовский, ул. Девонская, д.35</t>
  </si>
  <si>
    <t>с. Серафимовский, ул. Девонская, д.42а</t>
  </si>
  <si>
    <t>с. Серафимовский, ул. Пл.Советская, д.1</t>
  </si>
  <si>
    <t>с. Серафимовский, ул. Пл.Советская, д.2</t>
  </si>
  <si>
    <t>с. Субханкулово, ул. Ленина, д.10</t>
  </si>
  <si>
    <t>с. Субханкулово, ул. Нефтяников, д.2</t>
  </si>
  <si>
    <t>с. Карамалы-Губеево, ул. Ленина, д.13</t>
  </si>
  <si>
    <t>г. Туймазы, ул. Аксакова, д.16</t>
  </si>
  <si>
    <t>г. Туймазы, ул. Комарова, д.20</t>
  </si>
  <si>
    <t>г. Туймазы, пр-кт Ленина, д.19б</t>
  </si>
  <si>
    <t>г. Туймазы, ул. Мичурина, д.5</t>
  </si>
  <si>
    <t>г. Туймазы, ул. М.Джалиля, д.30</t>
  </si>
  <si>
    <t>г. Туймазы, ул. Пугачева, д.6</t>
  </si>
  <si>
    <t>г. Туймазы, ул. Комарова, д.9</t>
  </si>
  <si>
    <t>д. Алексеевка, с.п. Алексеевский, ул. Интернациональная, д.62</t>
  </si>
  <si>
    <t>д. Алексеевка, с.п. Алексеевский, ул. Интернациональная, д.62 корп.1</t>
  </si>
  <si>
    <t>д. Алексеевка, с.п. Алексеевский, ул. Комсомольская, д.2</t>
  </si>
  <si>
    <t>д. Ягодная Поляна, с.п. Дмитриевский, ул. Центральная, д.2</t>
  </si>
  <si>
    <t>д. Ягодная Поляна, с.п. Дмитриевский, ул. Центральная, д.3</t>
  </si>
  <si>
    <t>с. Геофизиков, с.п. Чесноковский, ул. Геологов, д.3а</t>
  </si>
  <si>
    <t>с. Миловка, с.п. Миловский, ул. Гагарина, д.7</t>
  </si>
  <si>
    <t>с. Михайловка, с.п. Михайловский, ул. Садовая, д.12</t>
  </si>
  <si>
    <t>с. Михайловка, с.п. Михайловский, ул. Садовая, д.16</t>
  </si>
  <si>
    <t>с. Михайловка, с.п. Михайловский, ул. Садовая, д.3 корп.2</t>
  </si>
  <si>
    <t>с. Нижегородка, с.п. Зубовский, ул. Кузнецовская поляна, д.1</t>
  </si>
  <si>
    <t>с. Нижегородка, с.п. Зубовский, ул. Мира, д.22 корп.1</t>
  </si>
  <si>
    <t>с. Октябрьский, с.п. Шемякский, ул. Школьная, д.1 корп.1</t>
  </si>
  <si>
    <t>с. Ольховое, с.п. Ольховский, ул. Советская, д.1 корп.1</t>
  </si>
  <si>
    <t>с. Чернолесовский, с.п. Красноярский, ул. Мира, д.2</t>
  </si>
  <si>
    <t>с. санаторий Юматово, с.п. Юматовский, ул. Кольцевая, д.12</t>
  </si>
  <si>
    <t>с. Старокалмашево, ул. Нефтяников, д.8</t>
  </si>
  <si>
    <t>с. Чекмагуш, ул. 70 лет Октября, д.6 корп.2</t>
  </si>
  <si>
    <t>с. Чекмагуш, ул. Гагарина, д.2</t>
  </si>
  <si>
    <t>с. Чекмагуш, ул. Гагарина, д.2а</t>
  </si>
  <si>
    <t>с. Чекмагуш, ул. Мира, д.16</t>
  </si>
  <si>
    <t>рп Чишмы, пер. Почтовый, д.2</t>
  </si>
  <si>
    <t>рп Чишмы, ул. Западная, д.2а</t>
  </si>
  <si>
    <t>рп Чишмы, ул. Кирова, д.54</t>
  </si>
  <si>
    <t>рп Чишмы, ул. Мира, д.2</t>
  </si>
  <si>
    <t>рп Чишмы, ул. Социалистическая, д.4</t>
  </si>
  <si>
    <t>рп Чишмы, ул. Шоссейная, д.6</t>
  </si>
  <si>
    <t>с. Чишмы, ул. Колхозная, д.7</t>
  </si>
  <si>
    <t>с. Шингак-Куль, ул. Молодежная, д.2</t>
  </si>
  <si>
    <t>с. Шаран, ул. Гагарина, д.1</t>
  </si>
  <si>
    <t>с. Шаран, ул. Лесопарковая, д.19</t>
  </si>
  <si>
    <t>с. Шаран, ул. Лесопарковая, д.19 корп.1</t>
  </si>
  <si>
    <t>г. Янаул, ул. Ленина, д.30</t>
  </si>
  <si>
    <t>г. Янаул, ул. Советская, д.4</t>
  </si>
  <si>
    <t>г. Янаул, ул. Юбилейная, д.7</t>
  </si>
  <si>
    <t>г. Янаул, ул. Юбилейная, д.7 корп.1</t>
  </si>
  <si>
    <t>г. Янаул, ул. Юбилейная, д.14</t>
  </si>
  <si>
    <t>г. Янаул, 52-й кв-л, д.6</t>
  </si>
  <si>
    <t>г. Янаул, пер. Малышева, д.4а</t>
  </si>
  <si>
    <t>г. Янаул, пер. Малышева, д.11</t>
  </si>
  <si>
    <t>г. Кумертау, ул. 60 лет БАССР, д.16</t>
  </si>
  <si>
    <t>г. Кумертау, ул. Бабаевская, д.10</t>
  </si>
  <si>
    <t>г. Кумертау, ул. Горького, д.12</t>
  </si>
  <si>
    <t>г. Кумертау, ул. Дзержинского, д.5</t>
  </si>
  <si>
    <t>г. Кумертау, ул. Карла Маркса, д.15</t>
  </si>
  <si>
    <t>г. Кумертау, ул. Карла Маркса, д.16</t>
  </si>
  <si>
    <t>г. Кумертау, ул. Карла Маркса, д.18</t>
  </si>
  <si>
    <t>г. Кумертау, ул. Карла Маркса, д.3</t>
  </si>
  <si>
    <t>г. Кумертау, ул. Карла Маркса, д.32</t>
  </si>
  <si>
    <t>г. Кумертау, ул. Ленина, д.1</t>
  </si>
  <si>
    <t>г. Кумертау, ул. Ленина, д.10</t>
  </si>
  <si>
    <t>г. Кумертау, ул. Ленина, д.27</t>
  </si>
  <si>
    <t>г. Кумертау, ул. Окружная, д.16</t>
  </si>
  <si>
    <t>г. Кумертау, ул. Пушкина, д.11а</t>
  </si>
  <si>
    <t>г. Кумертау, ул. Пушкина, д.15</t>
  </si>
  <si>
    <t>г. Кумертау, ул. Пушкина, д.16</t>
  </si>
  <si>
    <t>г. Кумертау, ул. Пушкина, д.19</t>
  </si>
  <si>
    <t>г. Кумертау, ул. Пушкина, д.6</t>
  </si>
  <si>
    <t>г. Кумертау, ул. Пушкина, д.8</t>
  </si>
  <si>
    <t>г. Кумертау, ул. Салавата, д.23</t>
  </si>
  <si>
    <t>г. Кумертау, ул. Энергетиков, д.19а</t>
  </si>
  <si>
    <t>г. Кумертау, ул. Энергетиков, д.27</t>
  </si>
  <si>
    <t>г. Кумертау, ул. Энергетиков, д.27а</t>
  </si>
  <si>
    <t>г. Кумертау, ул. Энергетиков, д.7</t>
  </si>
  <si>
    <t>с. Маячный, ул. Матросова, д.14</t>
  </si>
  <si>
    <t>с. Маячный, ул. Социалистическая, д.8</t>
  </si>
  <si>
    <t>г. Салават, б-р Космонавтов, д.25</t>
  </si>
  <si>
    <t>г. Салават, б-р Космонавтов, д.44</t>
  </si>
  <si>
    <t>г. Салават, б-р Космонавтов, д.46</t>
  </si>
  <si>
    <t>г. Салават, б-р Матросова, д.22</t>
  </si>
  <si>
    <t>г. Салават, пр-кт Нефтяников, д.12</t>
  </si>
  <si>
    <t>г. Салават, пр-кт Нефтяников, д.2</t>
  </si>
  <si>
    <t>г. Салават, пр-кт Нефтяников, д.9</t>
  </si>
  <si>
    <t>г. Салават, ул. 30 лет Победы, д.15</t>
  </si>
  <si>
    <t>г. Салават, ул. Хмельницкого, д.32а</t>
  </si>
  <si>
    <t>г. Салават, ул. Гагарина, д.14</t>
  </si>
  <si>
    <t>г. Салават, ул. Гагарина, д.16</t>
  </si>
  <si>
    <t>г. Салават, ул. Гагарина, д.31а</t>
  </si>
  <si>
    <t>г. Салават, ул. Гафури, д.14</t>
  </si>
  <si>
    <t>г. Салават, ул. Гафури, д.15</t>
  </si>
  <si>
    <t>г. Салават, ул. Гафури, д.20</t>
  </si>
  <si>
    <t>г. Салават, ул. Гафури, д.22</t>
  </si>
  <si>
    <t>г. Салават, ул. Гафури, д.23а</t>
  </si>
  <si>
    <t>г. Салават, ул. Гафури, д.30</t>
  </si>
  <si>
    <t>г. Салават, ул. Горького, д.28а</t>
  </si>
  <si>
    <t>г. Салават, ул. Горького, д.42</t>
  </si>
  <si>
    <t>г. Салават, ул. Калинина, д.75</t>
  </si>
  <si>
    <t>г. Салават, б-р Космонавтов, д.36</t>
  </si>
  <si>
    <t>г. Салават, б-р Космонавтов, д.40</t>
  </si>
  <si>
    <t>г. Салават, ул. Ленина, д.27</t>
  </si>
  <si>
    <t>г. Салават, ул. Ленина, д.52</t>
  </si>
  <si>
    <t>г. Салават, ул. Ленинградская, д.5</t>
  </si>
  <si>
    <t>г. Салават, ул. Ленинградская, д.55</t>
  </si>
  <si>
    <t>г. Салават, ул. Ленинградская, д.73</t>
  </si>
  <si>
    <t>г. Салават, ул. Октябрьская, д.30</t>
  </si>
  <si>
    <t>г. Салават, ул. Октябрьская, д.62</t>
  </si>
  <si>
    <t>г. Салават, ул. Октябрьская, д.68</t>
  </si>
  <si>
    <t>г. Салават, ул. Островского, д.26</t>
  </si>
  <si>
    <t>г. Салават, ул. Островского, д.54</t>
  </si>
  <si>
    <t>г. Салават, ул. Пархоменко, д.15</t>
  </si>
  <si>
    <t>г. Салават, ул. Пархоменко, д.6</t>
  </si>
  <si>
    <t>г. Салават, ул. Пархоменко, д.9</t>
  </si>
  <si>
    <t>г. Салават, ул. Первомайская, д.45</t>
  </si>
  <si>
    <t>г. Салават, ул. Пушкина, д.15</t>
  </si>
  <si>
    <t>г. Салават, ул. Пушкина, д.21</t>
  </si>
  <si>
    <t>г. Салават, ул. Речная, д.32а</t>
  </si>
  <si>
    <t>г. Салават, ул. Уфимская, д.114</t>
  </si>
  <si>
    <t>г. Салават, ул. Уфимская, д.118</t>
  </si>
  <si>
    <t>г. Салават, ул. Уфимская, д.118а</t>
  </si>
  <si>
    <t>г. Салават, ул. Уфимская, д.120</t>
  </si>
  <si>
    <t>г. Салават, ул. Уфимская, д.24</t>
  </si>
  <si>
    <t>г. Салават, ул. Уфимская, д.38</t>
  </si>
  <si>
    <t>г. Салават, ул. Чапаева, д.27</t>
  </si>
  <si>
    <t>г. Салават, ул. Чапаева, д.28</t>
  </si>
  <si>
    <t>г. Салават, ул. Чапаева, д.3</t>
  </si>
  <si>
    <t>г. Салават, ул. Чапаева, д.3а</t>
  </si>
  <si>
    <t>г. Салават, ул. Чапаева, д.8а</t>
  </si>
  <si>
    <t>г. Сибай, пр-кт Горняков, д.28</t>
  </si>
  <si>
    <t>г. Сибай, пр-кт Горняков, д.36</t>
  </si>
  <si>
    <t>г. Сибай, пр-кт Горняков, д.56</t>
  </si>
  <si>
    <t>г. Сибай, пр-кт Горняков, д.59</t>
  </si>
  <si>
    <t>г. Сибай, пр-кт Горняков, д.6/4</t>
  </si>
  <si>
    <t>г. Сибай, пр-кт Горняков, д.61</t>
  </si>
  <si>
    <t>г. Сибай, ул. Заки Валиди, д.46</t>
  </si>
  <si>
    <t>г. Сибай, ул. Заки Валиди, д.48</t>
  </si>
  <si>
    <t>г. Сибай, ул. Заки Валиди, д.57/4</t>
  </si>
  <si>
    <t>г. Сибай, ул. Заки Валиди, д.61/1</t>
  </si>
  <si>
    <t>г. Сибай, ш. Индустриальное, д.12</t>
  </si>
  <si>
    <t>г. Сибай, ул. Цеткин, д.6</t>
  </si>
  <si>
    <t>г. Сибай, ул. Ленина, д.1/1</t>
  </si>
  <si>
    <t>г. Сибай, ул. Ленина, д.38</t>
  </si>
  <si>
    <t>г. Сибай, ул. Маяковского, д.12</t>
  </si>
  <si>
    <t>г. Стерлитамак, пр-кт Октября, д.18а</t>
  </si>
  <si>
    <t>г. Стерлитамак, ул. 7 Ноября, д.103</t>
  </si>
  <si>
    <t>г. Стерлитамак, ул. Артема, д.123</t>
  </si>
  <si>
    <t>г. Стерлитамак, ул. Артема, д.19</t>
  </si>
  <si>
    <t>г. Стерлитамак, ул. Артема, д.5</t>
  </si>
  <si>
    <t>г. Стерлитамак, ул. Артема, д.7</t>
  </si>
  <si>
    <t>г. Стерлитамак, ул. Артема, д.91</t>
  </si>
  <si>
    <t>г. Стерлитамак, ул. Братская, д.11</t>
  </si>
  <si>
    <t>г. Стерлитамак, ул. Вокзальная, д.36</t>
  </si>
  <si>
    <t>г. Стерлитамак, ул. Волочаевская, д.13</t>
  </si>
  <si>
    <t>г. Стерлитамак, ул. Волочаевская, д.13а</t>
  </si>
  <si>
    <t>г. Стерлитамак, ул. Волочаевская, д.16</t>
  </si>
  <si>
    <t>г. Стерлитамак, ул. Голикова, д.24а</t>
  </si>
  <si>
    <t>г. Стерлитамак, ул. Дружбы, д.24а</t>
  </si>
  <si>
    <t>г. Стерлитамак, ул. Карла Маркса, д.98</t>
  </si>
  <si>
    <t>г. Стерлитамак, ул. Коммунистическая, д.18</t>
  </si>
  <si>
    <t>г. Стерлитамак, ул. Коммунистическая, д.52</t>
  </si>
  <si>
    <t>г. Стерлитамак, ул. Коммунистическая, д.59</t>
  </si>
  <si>
    <t>г. Стерлитамак, ул. Коммунистическая, д.87</t>
  </si>
  <si>
    <t>г. Стерлитамак, ул. Коммунистическая, д.87а</t>
  </si>
  <si>
    <t>г. Стерлитамак, ул. Механизации, д.8</t>
  </si>
  <si>
    <t>г. Стерлитамак, ул. Николаева, д.2а</t>
  </si>
  <si>
    <t>г. Стерлитамак, ул. Радищева, д.8</t>
  </si>
  <si>
    <t>г. Стерлитамак, ул. Свердлова, д.59</t>
  </si>
  <si>
    <t>г. Стерлитамак, ул. Советская, д.100</t>
  </si>
  <si>
    <t>г. Стерлитамак, ул. Социалистическая, д.6</t>
  </si>
  <si>
    <t>г. Стерлитамак, ул. Суворова, д.10</t>
  </si>
  <si>
    <t>г. Стерлитамак, ул. Суворова, д.12</t>
  </si>
  <si>
    <t>г. Стерлитамак, ул. Суханова, д.7</t>
  </si>
  <si>
    <t>г. Стерлитамак, ул. Суханова, д.7а</t>
  </si>
  <si>
    <t>г. Стерлитамак, ул. Худайбердина, д.147</t>
  </si>
  <si>
    <t>г. Стерлитамак, ул. Худайбердина, д.170</t>
  </si>
  <si>
    <t>г. Стерлитамак, ул. Худайбердина, д.170а</t>
  </si>
  <si>
    <t>г. Стерлитамак, ул. Худайбердина, д.178</t>
  </si>
  <si>
    <t>г. Стерлитамак, ул. Худайбердина, д.56</t>
  </si>
  <si>
    <t>г. Стерлитамак, ул. Худайбердина, д.67</t>
  </si>
  <si>
    <t>г. Стерлитамак, ул. Худайбердина, д.71</t>
  </si>
  <si>
    <t>г. Стерлитамак, ул. Черноморская, д.4</t>
  </si>
  <si>
    <t>г. Стерлитамак, ул. Черноморская, д.6</t>
  </si>
  <si>
    <t>г. Стерлитамак, ул. Черняховского, д.1а</t>
  </si>
  <si>
    <t>г. Стерлитамак, ул. Шафиева, д.13</t>
  </si>
  <si>
    <t>г. Стерлитамак, ул. Худайбердина, д.214</t>
  </si>
  <si>
    <t>г. Стерлитамак, ул. Свердлова, д.224</t>
  </si>
  <si>
    <t>г. Стерлитамак, ул. Николаева, д.4а</t>
  </si>
  <si>
    <t>г. Стерлитамак, ул. Николаева, д.14</t>
  </si>
  <si>
    <t>г. Стерлитамак, ул. Нахимова, д.5</t>
  </si>
  <si>
    <t>г. Стерлитамак, ул. Гоголя, д.122</t>
  </si>
  <si>
    <t>г. Стерлитамак, ул. Нагуманова, д.25е</t>
  </si>
  <si>
    <t>г. Стерлитамак, ул. Лесная, д.61</t>
  </si>
  <si>
    <t>г. Стерлитамак, ул. Лесная, д.2</t>
  </si>
  <si>
    <t>г. Стерлитамак, пр-кт Ленина, д.36</t>
  </si>
  <si>
    <t>г. Стерлитамак, ул. Тукаева, д.15</t>
  </si>
  <si>
    <t>г. Стерлитамак, ул. Кочетова, д.24в</t>
  </si>
  <si>
    <t>г. Стерлитамак, ул. Худайбердина, д.158</t>
  </si>
  <si>
    <t>г. Стерлитамак, ул. Волочаевская, д.17</t>
  </si>
  <si>
    <t>г. Стерлитамак, ул. Черняховского, д.5</t>
  </si>
  <si>
    <t>г. Стерлитамак, ул. Фурманова, д.10а</t>
  </si>
  <si>
    <t>г. Стерлитамак, ул. Заводская, д.8</t>
  </si>
  <si>
    <t>г. Стерлитамак, ул. Заводская, д.25</t>
  </si>
  <si>
    <t>г. Стерлитамак, пр-кт Ленина, д.41</t>
  </si>
  <si>
    <t>г. Стерлитамак, ул. Одесская, д.76</t>
  </si>
  <si>
    <t>г. Стерлитамак, ул. Фурманова, д.10г</t>
  </si>
  <si>
    <t>г. Стерлитамак, ул. Элеваторная, д.66</t>
  </si>
  <si>
    <t>г. Стерлитамак, ул. Цюрупы, д.1а</t>
  </si>
  <si>
    <t>г. Стерлитамак, ул. Коммунистическая, д.89</t>
  </si>
  <si>
    <t>г. Стерлитамак, ул. Худайбердина, д.79</t>
  </si>
  <si>
    <t>г. Стерлитамак, ул. Шафиева, д.3</t>
  </si>
  <si>
    <t>г. Межгорье, ул. Ильмяшевская, д.3</t>
  </si>
  <si>
    <t>г. Межгорье, ул. Карбышева, д.34</t>
  </si>
  <si>
    <t>г. Межгорье, ул. Карбышева, д.38</t>
  </si>
  <si>
    <t>г. Межгорье, ул. Комсомольская, д.17</t>
  </si>
  <si>
    <t>г. Межгорье, ул. Комсомольская, д.41</t>
  </si>
  <si>
    <t>г. Межгорье, ул. Ленина, д.7</t>
  </si>
  <si>
    <t>г. Межгорье, ул. Олимпийская, д.5</t>
  </si>
  <si>
    <t>г. Межгорье, ул. Советская, д.12</t>
  </si>
  <si>
    <t>г. Межгорье, ул. Советская, д.2</t>
  </si>
  <si>
    <t>г. Межгорье, ул. Советская, д.6</t>
  </si>
  <si>
    <t>г. Межгорье, ул. Советская, д.7</t>
  </si>
  <si>
    <t>г. Межгорье, ул. Спортивная, д.1</t>
  </si>
  <si>
    <t>с. Аскарово, ул. Шаймуратова, д.11</t>
  </si>
  <si>
    <t>с. Красная Башкирия, ул. Карла Маркса, д.2</t>
  </si>
  <si>
    <t>д. Приуралье, ул. Вокзальная, д.7</t>
  </si>
  <si>
    <t>д. Приуралье, ул. Вокзальная, д.8</t>
  </si>
  <si>
    <t>с. Архангельское, ул. Юрия Гагарина, д.64б</t>
  </si>
  <si>
    <t>с. Толбазы, ул. 7 ноября, д.12</t>
  </si>
  <si>
    <t>с. Толбазы, ул. Ленина, д.127</t>
  </si>
  <si>
    <t>с. Толбазы, ул. Фрунзе, д.42</t>
  </si>
  <si>
    <t>г. Баймак, ул. Мира, д.25</t>
  </si>
  <si>
    <t>г. Баймак, ул. Юбилейная, д.1</t>
  </si>
  <si>
    <t>г. Баймак, ул. Юбилейная, д.13</t>
  </si>
  <si>
    <t>с. Акмурун, ул. 1 мая, д.3</t>
  </si>
  <si>
    <t>с. Старый Сибай, ул. Ленина, д.17</t>
  </si>
  <si>
    <t>с. Старый Сибай, ул. Шаймуратова, д.2</t>
  </si>
  <si>
    <t>г. Белорецк, ул. 50 лет Октября, д.46</t>
  </si>
  <si>
    <t>г. Белорецк, ул. Карла Маркса, д.35</t>
  </si>
  <si>
    <t>г. Белорецк, ул. Карла Маркса, д.75</t>
  </si>
  <si>
    <t>г. Белорецк, ул. Карла Маркса, д.78</t>
  </si>
  <si>
    <t>г. Белорецк, ул. Кирова, д.46 корп.2</t>
  </si>
  <si>
    <t>г. Белорецк, ул. Кирова, д.56</t>
  </si>
  <si>
    <t>г. Белорецк, ул. Косоротова, д.2</t>
  </si>
  <si>
    <t>г. Белорецк, ул. Косоротова, д.8</t>
  </si>
  <si>
    <t>г. Белорецк, ул. Крупской, д.47</t>
  </si>
  <si>
    <t>г. Белорецк, ул. Ленина, д.33</t>
  </si>
  <si>
    <t>г. Белорецк, ул. Ленина, д.35</t>
  </si>
  <si>
    <t>г. Белорецк, ул. Пушкина, д.47</t>
  </si>
  <si>
    <t>г. Белорецк, ул. Пушкина, д.49</t>
  </si>
  <si>
    <t>г. Белорецк, ул. Пушкина, д.51</t>
  </si>
  <si>
    <t>г. Белорецк, ул. Пушкина, д.57</t>
  </si>
  <si>
    <t>г. Белорецк, ул. Точисского, д.13</t>
  </si>
  <si>
    <t>г. Белорецк, ул. Точисского, д.26</t>
  </si>
  <si>
    <t>с. Инзер, ул. Энергетиков, д.11</t>
  </si>
  <si>
    <t>с. Старосубхангулово, ул. Ленина, д.63</t>
  </si>
  <si>
    <t>с. Курорта, ул. Юбилейная, д.14</t>
  </si>
  <si>
    <t>с. Исянгулово, ул. К.Маркса, д.3</t>
  </si>
  <si>
    <t>с. Исянгулово, ул. Октябрьской Революции, д.56</t>
  </si>
  <si>
    <t>г. Ишимбай, ул. Бульварная, д.11</t>
  </si>
  <si>
    <t>г. Ишимбай, ул. Богдана Хмельницкого, д.12</t>
  </si>
  <si>
    <t>г. Ишимбай, ул. Гагарина, д.60</t>
  </si>
  <si>
    <t>г. Ишимбай, ул. Гайдара, д.13</t>
  </si>
  <si>
    <t>г. Ишимбай, ул. Губкина, д.38</t>
  </si>
  <si>
    <t>г. Ишимбай, ул. Докучаева, д.12</t>
  </si>
  <si>
    <t>г. Ишимбай, б-р З.Валиди, д.8</t>
  </si>
  <si>
    <t>г. Ишимбай, ул. Космонавтов, д.6</t>
  </si>
  <si>
    <t>г. Ишимбай, ул. Космонавтов, д.8</t>
  </si>
  <si>
    <t>г. Ишимбай, ул. Машиностроителей, д.67</t>
  </si>
  <si>
    <t>г. Ишимбай, ул. Машиностроителей, д.69а</t>
  </si>
  <si>
    <t>г. Ишимбай, ул. Промысловая, д.13</t>
  </si>
  <si>
    <t>г. Ишимбай, ул. Революционная, д.21</t>
  </si>
  <si>
    <t>г. Ишимбай, ул. Революционная, д.23а</t>
  </si>
  <si>
    <t>г. Ишимбай, ул. Стахановская, д.26</t>
  </si>
  <si>
    <t>г. Ишимбай, ул. Стахановская, д.32</t>
  </si>
  <si>
    <t>г. Ишимбай, ул. Стахановская, д.33</t>
  </si>
  <si>
    <t>г. Ишимбай, ул. Стахановская, д.89</t>
  </si>
  <si>
    <t>г. Ишимбай, ул. Стахановская, д.97</t>
  </si>
  <si>
    <t>г. Ишимбай, ул. Уральская, д.76</t>
  </si>
  <si>
    <t>г. Ишимбай, ул. Уральская, д.78</t>
  </si>
  <si>
    <t>г. Ишимбай, ул. Чкалова, д.5</t>
  </si>
  <si>
    <t>г. Ишимбай, ул. Чкалова, д.11</t>
  </si>
  <si>
    <t>г. Ишимбай, ул. Чкалова, д.30</t>
  </si>
  <si>
    <t>с. Петровское, ул. Первомайская, д.56а</t>
  </si>
  <si>
    <t>с. Петровское, ул. Трудовая, д.4</t>
  </si>
  <si>
    <t>д. Кабаково, ул. Строителей, д.43</t>
  </si>
  <si>
    <t>д. Константиновка, ул. Молодежная, д.3</t>
  </si>
  <si>
    <t>д. Улукулево, ул. Строителей, д.50</t>
  </si>
  <si>
    <t>с. Кармаскалы, ул. Кирова, д.11</t>
  </si>
  <si>
    <t>с. Юмагузино, ул. Молодежная, д.3</t>
  </si>
  <si>
    <t>с. Ермолаево, ул. Советская, д.113</t>
  </si>
  <si>
    <t>с. Ермолаево, ул. Калинина, д.16</t>
  </si>
  <si>
    <t>с. Ермолаево, ул. Калинина, д.21</t>
  </si>
  <si>
    <t>с. Свобода, ул. Центральная, д.10</t>
  </si>
  <si>
    <t>г. Мелеуз, мкр. 32-й, д.18</t>
  </si>
  <si>
    <t>г. Мелеуз, мкр. 32-й, д.36</t>
  </si>
  <si>
    <t>г. Мелеуз, ул. Ленина, д.133</t>
  </si>
  <si>
    <t>г. Мелеуз, ул. Ленина, д.152</t>
  </si>
  <si>
    <t>г. Мелеуз, ул. Ленина, д.220</t>
  </si>
  <si>
    <t>г. Мелеуз, ул. Матросова, д.15</t>
  </si>
  <si>
    <t>г. Мелеуз, ул. Матросова, д.19</t>
  </si>
  <si>
    <t>г. Мелеуз, ул. Маяковского, д.19</t>
  </si>
  <si>
    <t>г. Мелеуз, ул. Маяковского, д.21</t>
  </si>
  <si>
    <t>г. Мелеуз, ул. Метеорологическая, д.9</t>
  </si>
  <si>
    <t>г. Мелеуз, ул. Октябрьская, д.2</t>
  </si>
  <si>
    <t>г. Мелеуз, ул. Октябрьская, д.4</t>
  </si>
  <si>
    <t>г. Мелеуз, ул. Октябрьская, д.6</t>
  </si>
  <si>
    <t>г. Мелеуз, ул. Октябрьская, д.7</t>
  </si>
  <si>
    <t>г. Мелеуз, ул. Салавата, д.5</t>
  </si>
  <si>
    <t>д. Антоновка, ул. Калинина, д.53</t>
  </si>
  <si>
    <t>д. Первомайская, ул. Уральская, д.2</t>
  </si>
  <si>
    <t>с. Стерлибашево, ул. Ахметова, д.11</t>
  </si>
  <si>
    <t>с. Стерлибашево, ул. Ленина, д.96</t>
  </si>
  <si>
    <t>с. Стерлибашево, ул. Школьная, д.4</t>
  </si>
  <si>
    <t>с. Бельское, ул. Центральная, д.5</t>
  </si>
  <si>
    <t>с. Бельское, ул. Центральная, д.6</t>
  </si>
  <si>
    <t>с. Большой Куганак, ул. Заводская, д.2</t>
  </si>
  <si>
    <t>с. Большой Куганак, ул. Комсомольская, д.2</t>
  </si>
  <si>
    <t>с. Октябрьское, ул. Мира, д.4</t>
  </si>
  <si>
    <t>с. Первомайское, ул. Садовая, д.15</t>
  </si>
  <si>
    <t>с. Первомайское, ул. Школьная, д.10</t>
  </si>
  <si>
    <t>с. Первомайское, ул. Школьная, д.12</t>
  </si>
  <si>
    <t>с. Первомайское, ул. Школьная, д.14</t>
  </si>
  <si>
    <t>с. Первомайское, ул. Школьная, д.8</t>
  </si>
  <si>
    <t>с. Рощинский, ул. Майская, д.2</t>
  </si>
  <si>
    <t>с. Рощинский, ул. Майская, д.10</t>
  </si>
  <si>
    <t>г. Учалы, пер. Молодежный, д.7а</t>
  </si>
  <si>
    <t>г. Учалы, ул. 50 лет Октября, д.5</t>
  </si>
  <si>
    <t>г. Учалы, ул. 50 лет Октября, д.7</t>
  </si>
  <si>
    <t>г. Учалы, ул. Ахметгалина, д.13</t>
  </si>
  <si>
    <t>г. Учалы, ул. Ахметгалина, д.19</t>
  </si>
  <si>
    <t>г. Учалы, ул. Ахметгалина, д.9</t>
  </si>
  <si>
    <t>г. Учалы, ул. Ахметгалина, д.11</t>
  </si>
  <si>
    <t>г. Учалы, ул. Башкортостана, д.17а</t>
  </si>
  <si>
    <t>г. Учалы, ул. Башкортостана, д.22</t>
  </si>
  <si>
    <t>г. Учалы, ул. Башкортостана, д.24</t>
  </si>
  <si>
    <t>г. Учалы, ул. Башкортостана, д.24а</t>
  </si>
  <si>
    <t>г. Учалы, ул. Горького, д.4</t>
  </si>
  <si>
    <t>г. Учалы, ул. Горького, д.6</t>
  </si>
  <si>
    <t>г. Учалы, ул. Горького, д.9</t>
  </si>
  <si>
    <t>г. Учалы, ул. К.Маркса, д.11</t>
  </si>
  <si>
    <t>г. Учалы, ул. Кирова, д.11а</t>
  </si>
  <si>
    <t>г. Учалы, ул. Ленина, д.17</t>
  </si>
  <si>
    <t>г. Учалы, ул. Ленина, д.19</t>
  </si>
  <si>
    <t>г. Учалы, ул. Ленина, д.20</t>
  </si>
  <si>
    <t>г. Учалы, ул. Ленина, д.44</t>
  </si>
  <si>
    <t>г. Учалы, ул. Ленина, д.7а</t>
  </si>
  <si>
    <t>г. Учалы, ул. Ленинского Комсомола, д.15</t>
  </si>
  <si>
    <t>г. Учалы, ул. Ленинского Комсомола, д.8</t>
  </si>
  <si>
    <t>г. Учалы, ул. Мира, д.20</t>
  </si>
  <si>
    <t>г. Учалы, ул. К.Маркса, д.3</t>
  </si>
  <si>
    <t>г. Учалы, ул. Первостроителей, д.28</t>
  </si>
  <si>
    <t>г. Учалы, ул. Российская, д.18а</t>
  </si>
  <si>
    <t>г. Учалы, ул. Строительная, д.12а</t>
  </si>
  <si>
    <t>с. Учалы, ул. Клубная, д.2</t>
  </si>
  <si>
    <t>с. Федоровка, ул. Социалистическая, д.65</t>
  </si>
  <si>
    <t>с. Акъяр, ул. Акмуллы, д.42 корп.1</t>
  </si>
  <si>
    <t>с. Макан, ул. Ахметшина, д.8</t>
  </si>
  <si>
    <t>с. Подольск, ул. Ю.Исянбаева, д.1</t>
  </si>
  <si>
    <t>с. Уфимский, ул. Худайбердина, д.37</t>
  </si>
  <si>
    <t>г. Уфа, б-р Давлеткильдеева, д.3 корп.1</t>
  </si>
  <si>
    <t>г. Уфа, б-р Дуванский, д.24 корп.1</t>
  </si>
  <si>
    <t>г. Уфа, б-р Ибрагимова, д.23</t>
  </si>
  <si>
    <t>г. Уфа, б-р Плеханова, д.11 корп.1</t>
  </si>
  <si>
    <t>г. Уфа, б-р Плеханова, д.13</t>
  </si>
  <si>
    <t>г. Уфа, б-р Плеханова, д.9</t>
  </si>
  <si>
    <t>г. Уфа, б-р Тухвата Янаби, д.53</t>
  </si>
  <si>
    <t>г. Уфа, б-р Тухвата Янаби, д.53 корп.2</t>
  </si>
  <si>
    <t>г. Уфа, б-р Тухвата Янаби, д.69</t>
  </si>
  <si>
    <t>г. Уфа, б-р Хадии Давлетшиной, д.30</t>
  </si>
  <si>
    <t>г. Уфа, б-р Хадии Давлетшиной, д.16</t>
  </si>
  <si>
    <t>г. Уфа, пер. Пархоменко, д.8</t>
  </si>
  <si>
    <t>г. Уфа, проезд Лесной, д.8</t>
  </si>
  <si>
    <t>г. Уфа, пр-кт Октября, д.105</t>
  </si>
  <si>
    <t>г. Уфа, пр-кт Октября, д.12 корп.1</t>
  </si>
  <si>
    <t>г. Уфа, пр-кт Октября, д.129 корп.1</t>
  </si>
  <si>
    <t>г. Уфа, пр-кт Октября, д.132 корп.2</t>
  </si>
  <si>
    <t>г. Уфа, пр-кт Октября, д.134</t>
  </si>
  <si>
    <t>г. Уфа, пр-кт Октября, д.136</t>
  </si>
  <si>
    <t>г. Уфа, пр-кт Октября, д.142</t>
  </si>
  <si>
    <t>г. Уфа, пр-кт Октября, д.146</t>
  </si>
  <si>
    <t>г. Уфа, пр-кт Октября, д.16 корп.2</t>
  </si>
  <si>
    <t>г. Уфа, пр-кт Октября, д.170 корп.1</t>
  </si>
  <si>
    <t>г. Уфа, пр-кт Октября, д.21 корп.5</t>
  </si>
  <si>
    <t>г. Уфа, пр-кт Октября, д.24</t>
  </si>
  <si>
    <t>г. Уфа, пр-кт Октября, д.39</t>
  </si>
  <si>
    <t>г. Уфа, пр-кт Октября, д.43 корп.2</t>
  </si>
  <si>
    <t>г. Уфа, пр-кт Октября, д.43 корп.4</t>
  </si>
  <si>
    <t>г. Уфа, пр-кт Октября, д.44 корп.1</t>
  </si>
  <si>
    <t>г. Уфа, пр-кт Октября, д.48 корп.2</t>
  </si>
  <si>
    <t>г. Уфа, пр-кт Октября, д.52</t>
  </si>
  <si>
    <t>г. Уфа, пр-кт Октября, д.57 корп.1</t>
  </si>
  <si>
    <t>г. Уфа, пр-кт Октября, д.57 корп.2</t>
  </si>
  <si>
    <t>г. Уфа, пр-кт Октября, д.65 корп.5</t>
  </si>
  <si>
    <t>г. Уфа, пр-кт Октября, д.78 корп.2</t>
  </si>
  <si>
    <t>г. Уфа, пр-кт Октября, д.84</t>
  </si>
  <si>
    <t>г. Уфа, пр-кт Октября, д.84 корп.1</t>
  </si>
  <si>
    <t>г. Уфа, пр-кт Октября, д.86</t>
  </si>
  <si>
    <t>г. Уфа, пр-кт Октября, д.88</t>
  </si>
  <si>
    <t>г. Уфа, пр-кт Октября, д.95</t>
  </si>
  <si>
    <t>г. Уфа, ул. 40 лет Октября, д.9 корп.1</t>
  </si>
  <si>
    <t>г. Уфа, ул. 8 Марта, д.10</t>
  </si>
  <si>
    <t>г. Уфа, ул. 8 Марта, д.18</t>
  </si>
  <si>
    <t>г. Уфа, ул. 8 Марта, д.24</t>
  </si>
  <si>
    <t>г. Уфа, ул. Айская, д.60</t>
  </si>
  <si>
    <t>г. Уфа, ул. Айская, д.69 корп.2</t>
  </si>
  <si>
    <t>г. Уфа, ул. Айская, д.75</t>
  </si>
  <si>
    <t>г. Уфа, ул. Айская, д.75 корп.1</t>
  </si>
  <si>
    <t>г. Уфа, ул. Айская, д.91 корп.1</t>
  </si>
  <si>
    <t>г. Уфа, ул. Александра Невского, д.37</t>
  </si>
  <si>
    <t>г. Уфа, ул. Александра Невского, д.37 корп.1</t>
  </si>
  <si>
    <t>г. Уфа, ул. Александра Невского, д.5 корп.1</t>
  </si>
  <si>
    <t>г. Уфа, ул. Александра Невского, д.23</t>
  </si>
  <si>
    <t>г. Уфа, ул. Александра Невского, д.30</t>
  </si>
  <si>
    <t>г. Уфа, ул. Архитектурная, д.1</t>
  </si>
  <si>
    <t>г. Уфа, ул. Архитектурная, д.2</t>
  </si>
  <si>
    <t>г. Уфа, ул. Архитектурная, д.24</t>
  </si>
  <si>
    <t>г. Уфа, ул. Архитектурная, д.9</t>
  </si>
  <si>
    <t>г. Уфа, ул. Ахметова, д.287</t>
  </si>
  <si>
    <t>г. Уфа, ул. Ахметова, д.300</t>
  </si>
  <si>
    <t>г. Уфа, ул. Ахметова, д.300 корп.1</t>
  </si>
  <si>
    <t>г. Уфа, ул. Ахметова, д.302</t>
  </si>
  <si>
    <t>г. Уфа, ул. Ахметова, д.316</t>
  </si>
  <si>
    <t>г. Уфа, ул. Ахметова, д.316 корп.3</t>
  </si>
  <si>
    <t>г. Уфа, ул. Бакалинская, д.50</t>
  </si>
  <si>
    <t>г. Уфа, ул. Бакалинская, д.68</t>
  </si>
  <si>
    <t>г. Уфа, ул. Белякова, д.32</t>
  </si>
  <si>
    <t>г. Уфа, ул. Бессонова, д.25</t>
  </si>
  <si>
    <t>г. Уфа, ул. Блюхера, д.12</t>
  </si>
  <si>
    <t>г. Уфа, ул. Блюхера, д.14</t>
  </si>
  <si>
    <t>г. Уфа, ул. Блюхера, д.21 корп.1</t>
  </si>
  <si>
    <t>г. Уфа, ул. Блюхера, д.23 корп.1</t>
  </si>
  <si>
    <t>г. Уфа, ул. Блюхера, д.27 корп.1</t>
  </si>
  <si>
    <t>г. Уфа, ул. Богдана Хмельницкого, д.47</t>
  </si>
  <si>
    <t>г. Уфа, ул. Богдана Хмельницкого, д.55 корп.1</t>
  </si>
  <si>
    <t>г. Уфа, ул. Богдана Хмельницкого, д.60 корп.1</t>
  </si>
  <si>
    <t>г. Уфа, ул. Богдана Хмельницкого, д.61</t>
  </si>
  <si>
    <t>г. Уфа, ул. Богдана Хмельницкого, д.71 корп.1</t>
  </si>
  <si>
    <t>г. Уфа, ул. Богдана Хмельницкого, д.92 корп.1</t>
  </si>
  <si>
    <t>г. Уфа, ул. Борисоглебская, д.18</t>
  </si>
  <si>
    <t>г. Уфа, ул. Боткина, д.5</t>
  </si>
  <si>
    <t>г. Уфа, ул. Братьев Кадомцевых, д.12</t>
  </si>
  <si>
    <t>г. Уфа, ул. Братьев Кадомцевых, д.8</t>
  </si>
  <si>
    <t>г. Уфа, ул. Владивостокская, д.7 корп.1</t>
  </si>
  <si>
    <t>г. Уфа, ул. Вологодская, д.15</t>
  </si>
  <si>
    <t>г. Уфа, ул. Вологодская, д.15 корп.1</t>
  </si>
  <si>
    <t>г. Уфа, ул. Вологодская, д.17</t>
  </si>
  <si>
    <t>г. Уфа, ул. Вологодская, д.19 корп.1</t>
  </si>
  <si>
    <t>г. Уфа, ул. Вологодская, д.28</t>
  </si>
  <si>
    <t>г. Уфа, ул. Вологодская, д.34</t>
  </si>
  <si>
    <t>г. Уфа, ул. Вологодская, д.7</t>
  </si>
  <si>
    <t>г. Уфа, ул. Вологодская, д.81</t>
  </si>
  <si>
    <t>г. Уфа, ул. Ворошилова, д.26</t>
  </si>
  <si>
    <t>г. Уфа, ул. Высоковольтная, д.10</t>
  </si>
  <si>
    <t>г. Уфа, ул. Гафури, д.105</t>
  </si>
  <si>
    <t>г. Уфа, ул. Гвардейская, д.60</t>
  </si>
  <si>
    <t>г. Уфа, ул. Генерала Горбатова, д.3 корп.3</t>
  </si>
  <si>
    <t>г. Уфа, ул. Генерала Горбатова, д.7</t>
  </si>
  <si>
    <t>г. Уфа, ул. Кольцевая, д.175 корп.1</t>
  </si>
  <si>
    <t>г. Уфа, ул. Георгия Мушникова, д.9 корп.1</t>
  </si>
  <si>
    <t>г. Уфа, ул. Грозненская, д.67 корп.5</t>
  </si>
  <si>
    <t>г. Уфа, ул. Грозненская, д.67 корп.4</t>
  </si>
  <si>
    <t>г. Уфа, ул. Даута Юлтыя, д.4</t>
  </si>
  <si>
    <t>г. Уфа, ул. Джалиля Киекбаева, д.19</t>
  </si>
  <si>
    <t>г. Уфа, ул. Дмитрия Донского, д.34</t>
  </si>
  <si>
    <t>г. Уфа, ул. Достоевского, д.102 корп.3</t>
  </si>
  <si>
    <t>г. Уфа, ул. Достоевского, д.106</t>
  </si>
  <si>
    <t>г. Уфа, ул. Достоевского, д.110</t>
  </si>
  <si>
    <t>г. Уфа, ул. Достоевского, д.156</t>
  </si>
  <si>
    <t>г. Уфа, ул. Достоевского, д.158</t>
  </si>
  <si>
    <t>г. Уфа, ул. Достоевского, д.99</t>
  </si>
  <si>
    <t>г. Уфа, ул. Заводская, д.10</t>
  </si>
  <si>
    <t>г. Уфа, ул. Заводская, д.2</t>
  </si>
  <si>
    <t>г. Уфа, ул. Ивана Франко, д.7</t>
  </si>
  <si>
    <t>г. Уфа, ул. Ивана Франко, д.9</t>
  </si>
  <si>
    <t>г. Уфа, ул. Интернациональная, д.101</t>
  </si>
  <si>
    <t>г. Уфа, ул. Интернациональная, д.107 корп.1</t>
  </si>
  <si>
    <t>г. Уфа, ул. Интернациональная, д.115</t>
  </si>
  <si>
    <t>г. Уфа, ул. Интернациональная, д.119 корп.1</t>
  </si>
  <si>
    <t>г. Уфа, ул. Интернациональная, д.121</t>
  </si>
  <si>
    <t>г. Уфа, ул. Интернациональная, д.129 корп.2</t>
  </si>
  <si>
    <t>г. Уфа, ул. Интернациональная, д.133</t>
  </si>
  <si>
    <t>г. Уфа, ул. Интернациональная, д.139</t>
  </si>
  <si>
    <t>г. Уфа, ул. Интернациональная, д.161</t>
  </si>
  <si>
    <t>г. Уфа, ул. Интернациональная, д.171</t>
  </si>
  <si>
    <t>г. Уфа, ул. Интернациональная, д.179 корп.3</t>
  </si>
  <si>
    <t>г. Уфа, ул. Интернациональная, д.185</t>
  </si>
  <si>
    <t>г. Уфа, ул. Интернациональная, д.189</t>
  </si>
  <si>
    <t>г. Уфа, ул. Интернациональная, д.19 корп.1</t>
  </si>
  <si>
    <t>г. Уфа, ул. Интернациональная, д.61</t>
  </si>
  <si>
    <t>г. Уфа, ул. Интернациональная, д.67</t>
  </si>
  <si>
    <t>г. Уфа, ул. Калинина, д.15</t>
  </si>
  <si>
    <t>г. Уфа, ул. Калинина, д.63</t>
  </si>
  <si>
    <t>г. Уфа, ул. Калинина, д.67</t>
  </si>
  <si>
    <t>г. Уфа, ул. Касимовская, д.6 корп.1</t>
  </si>
  <si>
    <t>г. Уфа, ул. Кирова, д.43 корп.1</t>
  </si>
  <si>
    <t>г. Уфа, ул. Кольцевая, д.166</t>
  </si>
  <si>
    <t>г. Уфа, ул. Кольцевая, д.127</t>
  </si>
  <si>
    <t>г. Уфа, ул. Кольцевая, д.138 корп.1</t>
  </si>
  <si>
    <t>г. Уфа, ул. Кольцевая, д.160</t>
  </si>
  <si>
    <t>г. Уфа, ул. Кольцевая, д.166 корп.1</t>
  </si>
  <si>
    <t>г. Уфа, ул. Кольцевая, д.170 корп.1</t>
  </si>
  <si>
    <t>г. Уфа, ул. Кольцевая, д.170 корп.2</t>
  </si>
  <si>
    <t>г. Уфа, ул. Кольцевая, д.172</t>
  </si>
  <si>
    <t>г. Уфа, ул. Кольцевая, д.179</t>
  </si>
  <si>
    <t>г. Уфа, ул. Кольцевая, д.185 корп.1</t>
  </si>
  <si>
    <t>г. Уфа, ул. Кольцевая, д.198</t>
  </si>
  <si>
    <t>г. Уфа, ул. Кольцевая, д.201 корп.2</t>
  </si>
  <si>
    <t>г. Уфа, ул. Кольцевая, д.201 корп.4</t>
  </si>
  <si>
    <t>г. Уфа, ул. Кольцевая, д.27а</t>
  </si>
  <si>
    <t>г. Уфа, ул. Кольцевая, д.31а</t>
  </si>
  <si>
    <t>г. Уфа, ул. Кольцевая, д.50</t>
  </si>
  <si>
    <t>г. Уфа, ул. Кольцевая, д.76</t>
  </si>
  <si>
    <t>г. Уфа, ул. Кольцевая, д.78</t>
  </si>
  <si>
    <t>г. Уфа, ул. Кольцевая, д.80</t>
  </si>
  <si>
    <t>г. Уфа, ул. Комарова, д.36б</t>
  </si>
  <si>
    <t>г. Уфа, ул. Коммунаров, д.62</t>
  </si>
  <si>
    <t>г. Уфа, ул. Коммунаров, д.8</t>
  </si>
  <si>
    <t>г. Уфа, ул. Комсомольская, д.137 корп.1</t>
  </si>
  <si>
    <t>г. Уфа, ул. Комсомольская, д.142</t>
  </si>
  <si>
    <t>г. Уфа, ул. Комсомольская, д.149 корп.2</t>
  </si>
  <si>
    <t>г. Уфа, ул. Комсомольская, д.21</t>
  </si>
  <si>
    <t>г. Уфа, ул. Комсомольская, д.23 корп.3</t>
  </si>
  <si>
    <t>г. Уфа, ул. Комсомольская, д.96 корп.1</t>
  </si>
  <si>
    <t>г. Уфа, ул. Конституции, д.1</t>
  </si>
  <si>
    <t>г. Уфа, ул. Конституции, д.5</t>
  </si>
  <si>
    <t>г. Уфа, ул. Красина, д.15</t>
  </si>
  <si>
    <t>г. Уфа, ул. Красноводская, д.22</t>
  </si>
  <si>
    <t>г. Уфа, ул. Кремлевская, д.27</t>
  </si>
  <si>
    <t>г. Уфа, ул. Кремлевская, д.67</t>
  </si>
  <si>
    <t>г. Уфа, ул. Крупской, д.6</t>
  </si>
  <si>
    <t>г. Уфа, ул. Кубанская, д.1</t>
  </si>
  <si>
    <t>г. Уфа, ул. Левитана, д.21</t>
  </si>
  <si>
    <t>г. Уфа, ул. Левитана, д.23</t>
  </si>
  <si>
    <t>г. Уфа, ул. Левитана, д.3</t>
  </si>
  <si>
    <t>г. Уфа, ул. Левитана, д.39а</t>
  </si>
  <si>
    <t>г. Уфа, ул. Левитана, д.43а</t>
  </si>
  <si>
    <t>г. Уфа, ул. Левченко, д.6</t>
  </si>
  <si>
    <t>г. Уфа, ул. Ленина, д.128</t>
  </si>
  <si>
    <t>г. Уфа, ул. Ленина, д.130</t>
  </si>
  <si>
    <t>г. Уфа, ул. Ленина, д.154</t>
  </si>
  <si>
    <t>г. Уфа, ул. Ленина, д.66</t>
  </si>
  <si>
    <t>г. Уфа, ул. Ленина, д.97 корп.1</t>
  </si>
  <si>
    <t>г. Уфа, ул. Ленина, д.97 корп.2</t>
  </si>
  <si>
    <t>г. Уфа, ул. Лесотехникума, д.34 корп.1</t>
  </si>
  <si>
    <t>г. Уфа, ул. Летчиков, д.6</t>
  </si>
  <si>
    <t>г. Уфа, ул. Летчиков, д.8 корп.1</t>
  </si>
  <si>
    <t>г. Уфа, ул. Магистральная, д.11</t>
  </si>
  <si>
    <t>г. Уфа, ул. Майская, д.1а</t>
  </si>
  <si>
    <t>г. Уфа, ул. Маршала Жукова, д.4</t>
  </si>
  <si>
    <t>г. Уфа, ул. Машиностроителей, д.10</t>
  </si>
  <si>
    <t>г. Уфа, ул. Мелеузовская, д.29</t>
  </si>
  <si>
    <t>г. Уфа, ул. Мелеузовская, д.31</t>
  </si>
  <si>
    <t>г. Уфа, ул. Менделеева, д.173 корп.1</t>
  </si>
  <si>
    <t>г. Уфа, ул. Менделеева, д.112</t>
  </si>
  <si>
    <t>г. Уфа, ул. Менделеева, д.116</t>
  </si>
  <si>
    <t>г. Уфа, ул. Менделеева, д.142</t>
  </si>
  <si>
    <t>г. Уфа, ул. Менделеева, д.155</t>
  </si>
  <si>
    <t xml:space="preserve">г. Уфа, ул. Менделеева, д.171 </t>
  </si>
  <si>
    <t>г. Уфа, ул. Менделеева, д.171 корп.1</t>
  </si>
  <si>
    <t>г. Уфа, ул. Менделеева, д.173</t>
  </si>
  <si>
    <t>г. Уфа, ул. Менделеева, д.177 корп.1</t>
  </si>
  <si>
    <t>г. Уфа, ул. Менделеева, д.177 корп.2</t>
  </si>
  <si>
    <t>г. Уфа, ул. Менделеева, д.187</t>
  </si>
  <si>
    <t>г. Уфа, ул. Менделеева, д.201</t>
  </si>
  <si>
    <t>г. Уфа, ул. Менделеева, д.201 корп.2</t>
  </si>
  <si>
    <t>г. Уфа, ул. Менделеева, д.203 корп.2</t>
  </si>
  <si>
    <t>г. Уфа, ул. Мечетлинская, д.6а</t>
  </si>
  <si>
    <t>г. Уфа, ул. Мира, д.33</t>
  </si>
  <si>
    <t>г. Уфа, ул. Мубарякова, д.16</t>
  </si>
  <si>
    <t>г. Уфа, ул. Мубарякова, д.18</t>
  </si>
  <si>
    <t>г. Уфа, ул. Мубарякова, д.22 корп.1</t>
  </si>
  <si>
    <t>г. Уфа, ул. Мубарякова, д.3</t>
  </si>
  <si>
    <t>г. Уфа, ул. Мубарякова, д.7 корп.2</t>
  </si>
  <si>
    <t>г. Уфа, ул. Муксинова, д.3</t>
  </si>
  <si>
    <t>г. Уфа, ул. Муксинова, д.9</t>
  </si>
  <si>
    <t>г. Уфа, ул. Мусы Джалиля, д.10</t>
  </si>
  <si>
    <t>г. Уфа, ул. Мусы Джалиля, д.6</t>
  </si>
  <si>
    <t>г. Уфа, ул. Мусы Джалиля, д.8</t>
  </si>
  <si>
    <t>г. Уфа, ул. Нежинская, д.6</t>
  </si>
  <si>
    <t>г. Уфа, ул. Николая Дмитриева, д.19</t>
  </si>
  <si>
    <t>г. Уфа, ул. Обская, д.5</t>
  </si>
  <si>
    <t>г. Уфа, ул. Обская, д.5 корп.1</t>
  </si>
  <si>
    <t>г. Уфа, ул. Октябрьской Революции, д.73</t>
  </si>
  <si>
    <t>г. Уфа, ул. Октябрьской Революции, д.77</t>
  </si>
  <si>
    <t>г. Уфа, ул. Олимпийская, д.4</t>
  </si>
  <si>
    <t>г. Уфа, ул. Орджоникидзе, д.11</t>
  </si>
  <si>
    <t>г. Уфа, ул. Орджоникидзе, д.7</t>
  </si>
  <si>
    <t>г. Уфа, ул. Орджоникидзе, д.9</t>
  </si>
  <si>
    <t>г. Уфа, ул. Парковая, д.14 корп.2</t>
  </si>
  <si>
    <t>г. Уфа, ул. Парковая, д.18 корп.1</t>
  </si>
  <si>
    <t>г. Уфа, ул. Пархоменко, д.71</t>
  </si>
  <si>
    <t>г. Уфа, ул. Пархоменко, д.95</t>
  </si>
  <si>
    <t>г. Уфа, ул. Первомайская, д.28а</t>
  </si>
  <si>
    <t>г. Уфа, ул. Первомайская, д.40</t>
  </si>
  <si>
    <t>г. Уфа, ул. Первомайская, д.43</t>
  </si>
  <si>
    <t>г. Уфа, ул. Первомайская, д.43а</t>
  </si>
  <si>
    <t>г. Уфа, ул. Первомайская, д.51</t>
  </si>
  <si>
    <t>г. Уфа, ул. Первомайская, д.53</t>
  </si>
  <si>
    <t>г. Уфа, ул. Первомайская, д.58</t>
  </si>
  <si>
    <t>г. Уфа, ул. Первомайская, д.64</t>
  </si>
  <si>
    <t>г. Уфа, ул. Первомайская, д.64 корп.1</t>
  </si>
  <si>
    <t>г. Уфа, ул. Первомайская, д.68</t>
  </si>
  <si>
    <t>г. Уфа, ул. Первомайская, д.6а</t>
  </si>
  <si>
    <t>г. Уфа, ул. Первомайская, д.79</t>
  </si>
  <si>
    <t>г. Уфа, ул. Первомайская, д.81</t>
  </si>
  <si>
    <t>г. Уфа, ул. Первомайская, д.88 корп.1</t>
  </si>
  <si>
    <t>г. Уфа, ул. Первомайская, д.89</t>
  </si>
  <si>
    <t>г. Уфа, ул. Перевалочная, д.22</t>
  </si>
  <si>
    <t>г. Уфа, ул. Пионерская, д.16</t>
  </si>
  <si>
    <t>г. Уфа, ул. Победы, д.19</t>
  </si>
  <si>
    <t>г. Уфа, ул. Победы, д.21</t>
  </si>
  <si>
    <t>г. Уфа, ул. Победы, д.23</t>
  </si>
  <si>
    <t>г. Уфа, ул. Победы, д.6</t>
  </si>
  <si>
    <t>г. Уфа, ул. Пожарского, д.261</t>
  </si>
  <si>
    <t>г. Уфа, ул. Пожарского, д.307</t>
  </si>
  <si>
    <t>г. Уфа, ул. Правды, д.25 корп.1</t>
  </si>
  <si>
    <t>г. Уфа, ул. Рабкоров, д.10</t>
  </si>
  <si>
    <t>г. Уфа, ул. Рабкоров, д.2 корп.3</t>
  </si>
  <si>
    <t>г. Уфа, ул. Рабкоров, д.2 корп.5</t>
  </si>
  <si>
    <t>г. Уфа, ул. Рабкоров, д.26</t>
  </si>
  <si>
    <t>г. Уфа, ул. Рабкоров, д.9</t>
  </si>
  <si>
    <t>г. Уфа, ул. Революционная, д.167а</t>
  </si>
  <si>
    <t>г. Уфа, ул. Рихарда Зорге, д.26 корп.3</t>
  </si>
  <si>
    <t>г. Уфа, ул. Рихарда Зорге, д.27 корп.1</t>
  </si>
  <si>
    <t>г. Уфа, ул. Рихарда Зорге, д.31 корп.1</t>
  </si>
  <si>
    <t>г. Уфа, ул. Рихарда Зорге, д.32</t>
  </si>
  <si>
    <t>г. Уфа, ул. Рихарда Зорге, д.36 корп.2</t>
  </si>
  <si>
    <t>г. Уфа, ул. Рихарда Зорге, д.40</t>
  </si>
  <si>
    <t>г. Уфа, ул. Рихарда Зорге, д.45 корп.4</t>
  </si>
  <si>
    <t>г. Уфа, ул. Российская, д.10</t>
  </si>
  <si>
    <t>г. Уфа, ул. Российская, д.14</t>
  </si>
  <si>
    <t>г. Уфа, ул. Российская, д.159</t>
  </si>
  <si>
    <t>г. Уфа, ул. Российская, д.163</t>
  </si>
  <si>
    <t>г. Уфа, ул. Российская, д.31</t>
  </si>
  <si>
    <t>г. Уфа, ул. Российская, д.33 корп.3</t>
  </si>
  <si>
    <t>г. Уфа, ул. Российская, д.37</t>
  </si>
  <si>
    <t>г. Уфа, ул. Российская, д.5 корп.1</t>
  </si>
  <si>
    <t>г. Уфа, ул. Российская, д.76</t>
  </si>
  <si>
    <t>г. Уфа, ул. Российская, д.94</t>
  </si>
  <si>
    <t>г. Уфа, ул. Российская, д.98 корп.1</t>
  </si>
  <si>
    <t>г. Уфа, ул. Рычкова, д.10</t>
  </si>
  <si>
    <t>г. Уфа, ул. Рядовая, д.5 корп.1</t>
  </si>
  <si>
    <t>г. Уфа, ул. Рядовая, д.7 корп.1</t>
  </si>
  <si>
    <t>г. Уфа, ул. Рязанская, д.9</t>
  </si>
  <si>
    <t>г. Уфа, ул. Сагита Агиша, д.10</t>
  </si>
  <si>
    <t>г. Уфа, ул. Сагита Агиша, д.10 корп.1</t>
  </si>
  <si>
    <t>г. Уфа, ул. Свердлова, д.49</t>
  </si>
  <si>
    <t>г. Уфа, ул. Свободы, д.14</t>
  </si>
  <si>
    <t>г. Уфа, ул. Свободы, д.18</t>
  </si>
  <si>
    <t>г. Уфа, ул. Свободы, д.24</t>
  </si>
  <si>
    <t>г. Уфа, ул. Свободы, д.47 корп.2</t>
  </si>
  <si>
    <t>г. Уфа, ул. Сельская Богородская, д.11</t>
  </si>
  <si>
    <t>г. Уфа, ул. Сельская Богородская, д.13</t>
  </si>
  <si>
    <t>г. Уфа, ул. Софьи Перовской, д.1</t>
  </si>
  <si>
    <t>г. Уфа, ул. Софьи Перовской, д.21 корп.1</t>
  </si>
  <si>
    <t>г. Уфа, ул. Софьи Перовской, д.21 корп.2</t>
  </si>
  <si>
    <t>г. Уфа, ул. Софьи Перовской, д.23</t>
  </si>
  <si>
    <t>г. Уфа, ул. Софьи Перовской, д.25 корп.2</t>
  </si>
  <si>
    <t>г. Уфа, ул. Софьи Перовской, д.3</t>
  </si>
  <si>
    <t>г. Уфа, ул. Софьи Перовской, д.5</t>
  </si>
  <si>
    <t>г. Уфа, ул. Союзная, д.35 корп.1</t>
  </si>
  <si>
    <t>г. Уфа, ул. Степана Злобина, д.22а корп.1</t>
  </si>
  <si>
    <t>г. Уфа, ул. Степана Злобина, д.22б корп.1</t>
  </si>
  <si>
    <t>г. Уфа, ул. Степана Злобина, д.22в корп.1</t>
  </si>
  <si>
    <t>г. Уфа, ул. Степана Злобина, д.28</t>
  </si>
  <si>
    <t>г. Уфа, ул. Степана Злобина, д.44</t>
  </si>
  <si>
    <t>г. Уфа, ул. Степана Кувыкина, д.1</t>
  </si>
  <si>
    <t>г. Уфа, ул. Степана Кувыкина, д.1в</t>
  </si>
  <si>
    <t>г. Уфа, ул. Степана Кувыкина, д.10а</t>
  </si>
  <si>
    <t>г. Уфа, ул. Степана Кувыкина, д.1а</t>
  </si>
  <si>
    <t>г. Уфа, ул. Степана Кувыкина, д.1б</t>
  </si>
  <si>
    <t>г. Уфа, ул. Степана Кувыкина, д.23 корп.2</t>
  </si>
  <si>
    <t>г. Уфа, ул. Степана Кувыкина, д.7</t>
  </si>
  <si>
    <t>г. Уфа, ул. Степана Халтурина, д.34</t>
  </si>
  <si>
    <t>г. Уфа, ул. Степана Халтурина, д.42 корп.1</t>
  </si>
  <si>
    <t>г. Уфа, ул. Степана Халтурина, д.53 корп.2</t>
  </si>
  <si>
    <t>г. Уфа, ул. Суворова, д.16а</t>
  </si>
  <si>
    <t>г. Уфа, ул. Судоремонтная, д.14</t>
  </si>
  <si>
    <t>г. Уфа, ул. Судоремонтная, д.14а</t>
  </si>
  <si>
    <t>г. Уфа, ул. Судоремонтная, д.14б</t>
  </si>
  <si>
    <t>г. Уфа, ул. Судоремонтная, д.5</t>
  </si>
  <si>
    <t>г. Уфа, ул. Таллинская, д.21а</t>
  </si>
  <si>
    <t>г. Уфа, ул. Транспортная, д.26</t>
  </si>
  <si>
    <t>г. Уфа, ул. Транспортная, д.26 корп.6</t>
  </si>
  <si>
    <t>г. Уфа, ул. Транспортная, д.30 корп.1</t>
  </si>
  <si>
    <t>г. Уфа, ул. Транспортная, д.30 корп.2</t>
  </si>
  <si>
    <t>г. Уфа, ул. Транспортная, д.36 корп.2</t>
  </si>
  <si>
    <t>г. Уфа, ул. Транспортная, д.38 корп.1</t>
  </si>
  <si>
    <t>г. Уфа, ул. Ульяновых, д.21</t>
  </si>
  <si>
    <t>г. Уфа, ул. Ульяновых, д.29</t>
  </si>
  <si>
    <t>г. Уфа, ул. Ульяновых, д.44</t>
  </si>
  <si>
    <t>г. Уфа, ул. Ухтомского, д.21</t>
  </si>
  <si>
    <t>г. Уфа, ул. Ухтомского, д.26 корп.2</t>
  </si>
  <si>
    <t>г. Уфа, ул. Ферина, д.10 корп.1</t>
  </si>
  <si>
    <t>г. Уфа, ул. Ферина, д.20</t>
  </si>
  <si>
    <t>г. Уфа, ул. Ферина, д.20 корп.2</t>
  </si>
  <si>
    <t>г. Уфа, ул. Ферина, д.21</t>
  </si>
  <si>
    <t>г. Уфа, ул. Ферина, д.24</t>
  </si>
  <si>
    <t>г. Уфа, ул. Харьковская, д.101</t>
  </si>
  <si>
    <t>г. Уфа, ул. Харьковская, д.120</t>
  </si>
  <si>
    <t>г. Уфа, ул. Центральная, д.14</t>
  </si>
  <si>
    <t>г. Уфа, ул. Центральная, д.14а</t>
  </si>
  <si>
    <t>г. Уфа, ул. Центральная, д.38</t>
  </si>
  <si>
    <t>г. Уфа, ул. Цюрупы, д.110 корп.1</t>
  </si>
  <si>
    <t>г. Уфа, ул. Цюрупы, д.83</t>
  </si>
  <si>
    <t>г. Уфа, пер. Шкаповский, д.6</t>
  </si>
  <si>
    <t>г. Уфа, ул. Черниковская, д.13</t>
  </si>
  <si>
    <t>г. Уфа, ул. Черниковская, д.15</t>
  </si>
  <si>
    <t>г. Уфа, ул. Черниковская, д.17</t>
  </si>
  <si>
    <t>г. Уфа, ул. Черниковская, д.19</t>
  </si>
  <si>
    <t>г. Уфа, ул. Черниковская, д.44</t>
  </si>
  <si>
    <t>г. Уфа, ул. Черниковская, д.5 корп.1</t>
  </si>
  <si>
    <t>г. Уфа, ул. Черниковская, д.56</t>
  </si>
  <si>
    <t>г. Уфа, ул. Черниковская, д.7</t>
  </si>
  <si>
    <t>г. Уфа, ул. Черниковская, д.79</t>
  </si>
  <si>
    <t>г. Уфа, ул. Чернышевского, д.125 корп.1</t>
  </si>
  <si>
    <t>г. Уфа, ул. Чернышевского, д.14</t>
  </si>
  <si>
    <t>г. Уфа, ул. Чудинова, д.5</t>
  </si>
  <si>
    <t>г. Уфа, ул. Шота Руставели, д.23 корп.2</t>
  </si>
  <si>
    <t>г. Уфа, ул. Шота Руставели, д.27 корп.1</t>
  </si>
  <si>
    <t>г. Уфа, ул. Шота Руставели, д.27 корп.2</t>
  </si>
  <si>
    <t>г. Уфа, ул. Шота Руставели, д.28 корп.1</t>
  </si>
  <si>
    <t>г. Уфа, ул. Шота Руставели, д.37 корп.1</t>
  </si>
  <si>
    <t>г. Уфа, ул. Шота Руставели, д.41 корп.1</t>
  </si>
  <si>
    <t>г. Уфа, ул. Шумавцова, д.23</t>
  </si>
  <si>
    <t>г. Уфа, ул. Энгельса, д.3</t>
  </si>
  <si>
    <t>г. Уфа, ул. Энтузиастов, д.2</t>
  </si>
  <si>
    <t>г. Уфа, ул. Юрия Гагарина, д.10 корп.2</t>
  </si>
  <si>
    <t>г. Уфа, ул. Юрия Гагарина, д.28 корп.2</t>
  </si>
  <si>
    <t>г. Уфа, ул. Юрия Гагарина, д.66 корп.1</t>
  </si>
  <si>
    <t>г. Уфа, ул. Уфимское шоссе, д.18 корп.1</t>
  </si>
  <si>
    <t>г. Уфа, ул. Уфимское шоссе, д.18 корп.2</t>
  </si>
  <si>
    <t>г. Уфа, ул. Уфимское шоссе, д.25 корп.1</t>
  </si>
  <si>
    <t>г. Уфа, ул. Уфимское шоссе, д.27 корп.3</t>
  </si>
  <si>
    <t>г. Нефтекамск, пр-кт Комсомольский, д.29</t>
  </si>
  <si>
    <t>г. Нефтекамск, пр-кт Комсомольский, д.32</t>
  </si>
  <si>
    <t>г. Нефтекамск, пр-кт Комсомольский, д.32а</t>
  </si>
  <si>
    <t>г. Нефтекамск, пр-кт Юбилейный, д.28</t>
  </si>
  <si>
    <t>г. Нефтекамск, ул. Дзержинского, д.22</t>
  </si>
  <si>
    <t>г. Нефтекамск, ул. Дорожная, д.21</t>
  </si>
  <si>
    <t>г. Нефтекамск, ул. Дорожная, д.23</t>
  </si>
  <si>
    <t>г. Нефтекамск, ул. Дорожная, д.25</t>
  </si>
  <si>
    <t>г. Нефтекамск, ул. Карла Маркса, д.4</t>
  </si>
  <si>
    <t>г. Нефтекамск, ул. Карла Маркса, д.8а</t>
  </si>
  <si>
    <t>г. Нефтекамск, ул. Ленина, д.4а</t>
  </si>
  <si>
    <t>г. Нефтекамск, ул. Ленина, д.5а</t>
  </si>
  <si>
    <t>г. Нефтекамск, ул. Ленина, д.15</t>
  </si>
  <si>
    <t>г. Нефтекамск, ул. Ленина, д.27б</t>
  </si>
  <si>
    <t>г. Нефтекамск, ул. Ленина, д.39а</t>
  </si>
  <si>
    <t>г. Нефтекамск, ул. Ленина, д.60</t>
  </si>
  <si>
    <t>г. Нефтекамск, ул. Ленина, д.62б</t>
  </si>
  <si>
    <t>г. Нефтекамск, ул. Нефтяников, д.14</t>
  </si>
  <si>
    <t>г. Нефтекамск, ул. Нефтяников, д.23</t>
  </si>
  <si>
    <t>г. Нефтекамск, ул. Нефтяников, д.26а</t>
  </si>
  <si>
    <t>г. Нефтекамск, ул. Нефтяников, д.26в</t>
  </si>
  <si>
    <t>г. Нефтекамск, ул. Парковая, д.6в</t>
  </si>
  <si>
    <t>г. Нефтекамск, ул. Парковая, д.6г</t>
  </si>
  <si>
    <t>г. Нефтекамск, ул. Парковая, д.7</t>
  </si>
  <si>
    <t>г. Нефтекамск, ул. Парковая, д.8в</t>
  </si>
  <si>
    <t>г. Нефтекамск, ул. Парковая, д.15</t>
  </si>
  <si>
    <t>г. Нефтекамск, ул. Социалистическая, д.4</t>
  </si>
  <si>
    <t>г. Нефтекамск, ул. Строителей, д.21а</t>
  </si>
  <si>
    <t>г. Нефтекамск, ул. Строителей, д.21б</t>
  </si>
  <si>
    <t>г. Нефтекамск, ул. Строителей, д.41а</t>
  </si>
  <si>
    <t>г. Нефтекамск, ул. Строителей, д.59а</t>
  </si>
  <si>
    <t>г. Нефтекамск, ул. Строителей, д.61а</t>
  </si>
  <si>
    <t>г. Нефтекамск, ул. Строителей, д.67</t>
  </si>
  <si>
    <t>г. Нефтекамск, ул. Строителей, д.91б</t>
  </si>
  <si>
    <t>г. Нефтекамск, ул. Уральская, д.9</t>
  </si>
  <si>
    <t>г. Нефтекамск, ул. Энергетиков, д.3</t>
  </si>
  <si>
    <t>г. Нефтекамск, ул. Энергетиков, д.7</t>
  </si>
  <si>
    <t>с. Амзя, ул. Азина, д.8</t>
  </si>
  <si>
    <t>с. Амзя, ул. Кудрявцева, д.11</t>
  </si>
  <si>
    <t>с. Амзя, ул. Кудрявцева, д.15</t>
  </si>
  <si>
    <t>с. Амзя, ул. Лесохимическая, д.8</t>
  </si>
  <si>
    <t>с. Амзя, ул. Пионерская, д.1</t>
  </si>
  <si>
    <t>с. Амзя, ул. Садовая, д.13</t>
  </si>
  <si>
    <t>г. Октябрьский, мкр. 24-й, д.2</t>
  </si>
  <si>
    <t>г. Октябрьский, мкр. 24-й, д.6</t>
  </si>
  <si>
    <t>г. Октябрьский, мкр. 24-й, д.7</t>
  </si>
  <si>
    <t>г. Октябрьский, мкр. 24-й, д.8</t>
  </si>
  <si>
    <t>г. Октябрьский, мкр. 25-й, д.23</t>
  </si>
  <si>
    <t>г. Октябрьский, мкр. 34-й, д.2</t>
  </si>
  <si>
    <t>г. Октябрьский, мкр. 34-й, д.7</t>
  </si>
  <si>
    <t>г. Октябрьский, мкр. 35-й, д.22 корп.2</t>
  </si>
  <si>
    <t>г. Октябрьский, мкр. 35-й, д.28</t>
  </si>
  <si>
    <t>г. Октябрьский, мкр. 35-й, д.4</t>
  </si>
  <si>
    <t>г. Октябрьский, мкр. 35-й, д.9</t>
  </si>
  <si>
    <t>г. Октябрьский, пр-кт Ленина, д.26</t>
  </si>
  <si>
    <t>г. Октябрьский, пр-кт Ленина, д.28</t>
  </si>
  <si>
    <t>г. Октябрьский, пр-кт Ленина, д.41</t>
  </si>
  <si>
    <t>г. Октябрьский, пр-кт Ленина, д.57</t>
  </si>
  <si>
    <t>г. Октябрьский, пр-кт Ленина, д.61</t>
  </si>
  <si>
    <t>г. Октябрьский, пр-кт Ленина, д.63а</t>
  </si>
  <si>
    <t>г. Октябрьский, пр-кт Ленина, д.77</t>
  </si>
  <si>
    <t>г. Октябрьский, пр-кт Ленина, д.9</t>
  </si>
  <si>
    <t>г. Октябрьский, ул. Аксакова, д.9</t>
  </si>
  <si>
    <t>г. Октябрьский, ул. Гаражная, д.4</t>
  </si>
  <si>
    <t>г. Октябрьский, ул. Геофизиков, д.4</t>
  </si>
  <si>
    <t>г. Октябрьский, ул. Герцена, д.32</t>
  </si>
  <si>
    <t>г. Октябрьский, ул. Горького, д.11</t>
  </si>
  <si>
    <t>г. Октябрьский, ул. Горького, д.2</t>
  </si>
  <si>
    <t>г. Октябрьский, ул. Горького, д.6</t>
  </si>
  <si>
    <t>г. Октябрьский, ул. Губкина, д.26</t>
  </si>
  <si>
    <t>г. Октябрьский, ул. Девонская, д.10а</t>
  </si>
  <si>
    <t>г. Октябрьский, ул. Девонская, д.12а</t>
  </si>
  <si>
    <t>г. Октябрьский, ул. Девонская, д.16</t>
  </si>
  <si>
    <t>г. Октябрьский, ул. Девонская, д.5</t>
  </si>
  <si>
    <t>г. Октябрьский, ул. Комсомольская, д.17</t>
  </si>
  <si>
    <t>г. Октябрьский, ул. Комсомольская, д.17а</t>
  </si>
  <si>
    <t>г. Октябрьский, ул. Комсомольская, д.19а</t>
  </si>
  <si>
    <t>г. Октябрьский, ул. Комсомольская, д.20а</t>
  </si>
  <si>
    <t>г. Октябрьский, ул. Кортунова, д.6</t>
  </si>
  <si>
    <t>г. Октябрьский, ул. Кортунова, д.10</t>
  </si>
  <si>
    <t>г. Октябрьский, ул. Кувыкина, д.17</t>
  </si>
  <si>
    <t>г. Октябрьский, ул. Куйбышева, д.17</t>
  </si>
  <si>
    <t>г. Октябрьский, ул. Лермонтова, д.11</t>
  </si>
  <si>
    <t>г. Октябрьский, ул. Островского, д.45</t>
  </si>
  <si>
    <t>г. Октябрьский, ул. Островского, д.49</t>
  </si>
  <si>
    <t>г. Октябрьский, ул. Первомайская, д.7а</t>
  </si>
  <si>
    <t>г. Октябрьский, ул. Садовое Кольцо, д.21</t>
  </si>
  <si>
    <t>г. Октябрьский, ул. Садовое Кольцо, д.30</t>
  </si>
  <si>
    <t>г. Октябрьский, ул. Садовое Кольцо, д.40</t>
  </si>
  <si>
    <t>г. Октябрьский, ул. Садовое Кольцо, д.61</t>
  </si>
  <si>
    <t>г. Октябрьский, ул. Свердлова, д.87</t>
  </si>
  <si>
    <t>г. Октябрьский, ул. Северная, д.16</t>
  </si>
  <si>
    <t>г. Октябрьский, ул. Северная, д.22</t>
  </si>
  <si>
    <t>г. Октябрьский, ул. Северная, д.24</t>
  </si>
  <si>
    <t>г. Октябрьский, ул. Фрунзе, д.9а</t>
  </si>
  <si>
    <t>с. Ким, ул. Мира, д.6</t>
  </si>
  <si>
    <t>с. Раевский, ул. Дружбы, д.40а</t>
  </si>
  <si>
    <t>с. Раевский, ул. Кирова, д.96б</t>
  </si>
  <si>
    <t>с. Тавричанка, ул. Интернациональная, д.7</t>
  </si>
  <si>
    <t>с. Аскино, ул. Ленина, д.47</t>
  </si>
  <si>
    <t>с. Старобалтачево, ул. Первомайская, д.6</t>
  </si>
  <si>
    <t>г. Белебей, ул. им В.И.Ленина, д.32</t>
  </si>
  <si>
    <t>г. Белебей, ул. им В.И.Ленина, д.46</t>
  </si>
  <si>
    <t>г. Белебей, ул. им В.И.Ленина, д.58</t>
  </si>
  <si>
    <t>г. Белебей, ул. Интернациональная, д.73</t>
  </si>
  <si>
    <t>г. Белебей, ул. Интернациональная, д.79</t>
  </si>
  <si>
    <t>г. Белебей, ул. Интернациональная, д.114</t>
  </si>
  <si>
    <t>г. Белебей, ул. Интернациональная, д.124</t>
  </si>
  <si>
    <t>г. Белебей, ул. Красная, д.125 корп.4</t>
  </si>
  <si>
    <t>г. Белебей, ул. Красноармейская, д.265б</t>
  </si>
  <si>
    <t>г. Белебей, ул. Максимовой, д.14</t>
  </si>
  <si>
    <t>г. Белебей, ул. Мебельная, д.17</t>
  </si>
  <si>
    <t>г. Белебей, ул. им М.Г.Амирова, д.8 корп.1</t>
  </si>
  <si>
    <t>г. Белебей, ул. им С.Ф.Горохова, д.36</t>
  </si>
  <si>
    <t>г. Белебей, ул. Тукаева, д.68</t>
  </si>
  <si>
    <t>с. Аксаково, ул. Садовая, д.37</t>
  </si>
  <si>
    <t>с. Баженово, ул. Советская, д.8</t>
  </si>
  <si>
    <t>с. Санатория Глуховского, ул. Строителей, д.4</t>
  </si>
  <si>
    <t>с. Новобелокатай, ул. Мира, д.5</t>
  </si>
  <si>
    <t>с. Бижбуляк, ул. Центральная, д.67</t>
  </si>
  <si>
    <t>с. Сухоречка, ул. Карима Хакимова, д.8</t>
  </si>
  <si>
    <t>г. Бирск, ул. 8 Марта, д.38а</t>
  </si>
  <si>
    <t>г. Бирск, ул. Калинина, д.26а</t>
  </si>
  <si>
    <t>г. Бирск, ул. Кирова, д.24</t>
  </si>
  <si>
    <t>г. Бирск, ул. Комарова, д.36</t>
  </si>
  <si>
    <t>г. Бирск, ул. Комарова, д.42</t>
  </si>
  <si>
    <t>г. Бирск, ул. Красноармейская, д.71</t>
  </si>
  <si>
    <t>г. Бирск, ул. Курбатова, д.33</t>
  </si>
  <si>
    <t>г. Бирск, ул. Лермонтова, д.75</t>
  </si>
  <si>
    <t>г. Бирск, ул. Луговая, д.24</t>
  </si>
  <si>
    <t>г. Бирск, ул. Луговая, д.26</t>
  </si>
  <si>
    <t>г. Бирск, ул. Луговая, д.30б</t>
  </si>
  <si>
    <t>г. Бирск, ул. Овчинникова, д.40</t>
  </si>
  <si>
    <t>г. Бирск, ул. Советская, д.38а</t>
  </si>
  <si>
    <t>г. Бирск, ул. Чеверева, д.140</t>
  </si>
  <si>
    <t>г. Бирск, ул. Чеверева, д.140а</t>
  </si>
  <si>
    <t>с. Первомайский, ул. Ленина, д.9</t>
  </si>
  <si>
    <t>д. Янбакты, ул. Железодорожная, д.4</t>
  </si>
  <si>
    <t>г. Благовещенск, ул. Братьев Першиных, д.3 корп.2</t>
  </si>
  <si>
    <t>г. Благовещенск, ул. Демьяна Бедного, д.81</t>
  </si>
  <si>
    <t>г. Благовещенск, ул. Демьяна Бедного, д.85 корп.1</t>
  </si>
  <si>
    <t>г. Благовещенск, ул. Комарова, д.5</t>
  </si>
  <si>
    <t>г. Благовещенск, ул. Коммунистическая, д.10</t>
  </si>
  <si>
    <t>г. Благовещенск, ул. Коммунистическая, д.7</t>
  </si>
  <si>
    <t>г. Благовещенск, ул. Расковой, д.53</t>
  </si>
  <si>
    <t>г. Благовещенск, ул. Расковой, д.55</t>
  </si>
  <si>
    <t>г. Благовещенск, ул. Расковой, д.55 корп.1</t>
  </si>
  <si>
    <t>г. Благовещенск, ул. Седова, д.112 корп.2</t>
  </si>
  <si>
    <t>г. Благовещенск, ул. Седова, д.22</t>
  </si>
  <si>
    <t>г. Благовещенск, ул. Социалистическая, д.18 корп.1</t>
  </si>
  <si>
    <t>с. Буздяк, ул. В.Ахмадеева, д.4</t>
  </si>
  <si>
    <t>с. Буздяк, ул. Заводская, д.31</t>
  </si>
  <si>
    <t>с. Гафури, ул. Мира, д.17</t>
  </si>
  <si>
    <t>с. Бураево, ул. Строителей, д.8</t>
  </si>
  <si>
    <t>г. Давлеканово, ул. Высоковольтная, д.19</t>
  </si>
  <si>
    <t>г. Давлеканово, пер. Каранский, д.29</t>
  </si>
  <si>
    <t>г. Давлеканово, ул. Карла Маркса, д.133 корп.1</t>
  </si>
  <si>
    <t>г. Давлеканово, ул. Карла Маркса, д.125</t>
  </si>
  <si>
    <t>с. Месягутово, ул. И.Усова, д.3 корп.1</t>
  </si>
  <si>
    <t>г. Дюртюли, ул. Ленина, д.34</t>
  </si>
  <si>
    <t>г. Дюртюли, ул. Ленина, д.40 корп.1</t>
  </si>
  <si>
    <t>г. Дюртюли, ул. Назара Наджми, д.19 корп.1</t>
  </si>
  <si>
    <t>г. Дюртюли, ул. Первомайская, д.5</t>
  </si>
  <si>
    <t>г. Дюртюли, ул. Первомайская, д.11</t>
  </si>
  <si>
    <t>г. Дюртюли, ул. Седова, д.2 корп.1</t>
  </si>
  <si>
    <t>с. Семилетка, ул. Мира, д.20а</t>
  </si>
  <si>
    <t>с. Пионерский, ул. Пионерская, д.5</t>
  </si>
  <si>
    <t>с. Ермекеево, ул. Школьная, д.9</t>
  </si>
  <si>
    <t>с. Урман, ул. Центральная, д.11</t>
  </si>
  <si>
    <t>с. Кудеевский, ул. Гагарина, д.8</t>
  </si>
  <si>
    <t>с. Иглино, ул. Калинина, д.34</t>
  </si>
  <si>
    <t>с. Верхнеяркеево, пер. Библиотечный, д.3</t>
  </si>
  <si>
    <t>с. Верхнеяркеево, ул. Коммунистическая, д.38</t>
  </si>
  <si>
    <t>с. Калтасы, ул. Комсомольская, д.2а</t>
  </si>
  <si>
    <t>с. Краснохолмский, ул. Губкина, д.26</t>
  </si>
  <si>
    <t>с. Краснохолмский, ул. Губкина, д.20</t>
  </si>
  <si>
    <t>с. Краснохолмский, ул. Комсомольская, д.9</t>
  </si>
  <si>
    <t>с. Краснохолмский, ул. Губкина, д.7</t>
  </si>
  <si>
    <t>с. Краснохолмский, ул. Губкина, д.14</t>
  </si>
  <si>
    <t>с. Караидель, ул. Мира, д.11</t>
  </si>
  <si>
    <t>с. Верхние Киги, ул. Микрорайон, д.7</t>
  </si>
  <si>
    <t>с. Куяново, пр-кт Комсомольский, д.13</t>
  </si>
  <si>
    <t xml:space="preserve">с. Куяново, пр-кт Комсомольский, д.19 </t>
  </si>
  <si>
    <t>с. Кушнаренково, ул. Октябрьская, д.48</t>
  </si>
  <si>
    <t>с. Кушнаренково, ул. Октябрьская, д.77</t>
  </si>
  <si>
    <t>с. Большеустьикинское, ул. Ленина, д.8</t>
  </si>
  <si>
    <t>с. Мишкино, ул. Мира, д.18а</t>
  </si>
  <si>
    <t>с. Киргиз-Мияки, ул. Шоссейная, д.15</t>
  </si>
  <si>
    <t>с. Киргиз-Мияки, ул. Чапаева, д.2 корп.1</t>
  </si>
  <si>
    <t>с. Павловка, ул. Карла Маркса, д.37</t>
  </si>
  <si>
    <t>с. Красная горка, ул. Нуриманова, д.28</t>
  </si>
  <si>
    <t xml:space="preserve">с. Мурсалимкино, ул. Коммунистическая, д.13 </t>
  </si>
  <si>
    <t>с. Мурсалимкино, ул. Кирова, д.19</t>
  </si>
  <si>
    <t xml:space="preserve">с. Мурсалимкино, ул. Кирова, д.20 </t>
  </si>
  <si>
    <t xml:space="preserve">с. Мурсалимкино, ул. Кирова, д.21 </t>
  </si>
  <si>
    <t>с. Верхние Татышлы, пер. Гагарина, д.2</t>
  </si>
  <si>
    <t>с. Верхние Татышлы, ул. Комсомольская, д.11</t>
  </si>
  <si>
    <t>г. Туймазы, пр-кт Ленина, д.2</t>
  </si>
  <si>
    <t>г. Туймазы, пр-кт Ленина, д.6а</t>
  </si>
  <si>
    <t>г. Туймазы, ул. Комарова, д.17</t>
  </si>
  <si>
    <t>г. Туймазы, ул. Ленина, д.79</t>
  </si>
  <si>
    <t>г. Туймазы, ул. Мичурина, д.17б</t>
  </si>
  <si>
    <t>г. Туймазы, ул. Островского, д.36</t>
  </si>
  <si>
    <t>г. Туймазы, ул. Ульянова, д.36</t>
  </si>
  <si>
    <t>г. Туймазы, ул. Чапаева, д.2а</t>
  </si>
  <si>
    <t>г. Туймазы, ул. Чапаева, д.4</t>
  </si>
  <si>
    <t>г. Туймазы, ул. Чапаева, д.4в</t>
  </si>
  <si>
    <t>г. Туймазы, ул. Чапаева, д.22</t>
  </si>
  <si>
    <t>г. Туймазы, ул. Щербакова, д.23а</t>
  </si>
  <si>
    <t>с. Кандры, ул. Котовского, д.1</t>
  </si>
  <si>
    <t>с. Кандры, ул. Котовского, д.1а</t>
  </si>
  <si>
    <t>с. Кандры, ул. Котовского, д.2</t>
  </si>
  <si>
    <t>с. Нижнетроицкий, ул. Гагарина, д.13</t>
  </si>
  <si>
    <t>с. Нижнетроицкий, ул. Гагарина, д.7</t>
  </si>
  <si>
    <t>с. Серафимовский, 18-й кв-л, д.5</t>
  </si>
  <si>
    <t>с. Серафимовский, 18-й кв-л, д.6</t>
  </si>
  <si>
    <t>с. Серафимовский, 19-й кв-л, д.10</t>
  </si>
  <si>
    <t>с. Серафимовский, 19-й кв-л, д.11</t>
  </si>
  <si>
    <t>с. Серафимовский, 19-й кв-л, д.13</t>
  </si>
  <si>
    <t>с. Серафимовский, 19-й кв-л, д.9</t>
  </si>
  <si>
    <t>с. Серафимовский, 21-й кв-л, д.8</t>
  </si>
  <si>
    <t>с. Серафимовский, 21-й кв-л, д.9</t>
  </si>
  <si>
    <t>с. Серафимовский, 22-й кв-л, д.3</t>
  </si>
  <si>
    <t>с. Серафимовский, 22-й кв-л, д.8</t>
  </si>
  <si>
    <t>с. Серафимовский, ул. Покровская, д.8</t>
  </si>
  <si>
    <t>с. Серафимовский, ул. Свердлова, д.1</t>
  </si>
  <si>
    <t>с. Субханкулово, ул. Черняева, д.2</t>
  </si>
  <si>
    <t>с. Субханкулово, ул. Южная, д.2</t>
  </si>
  <si>
    <t>д. Алексеевка, с.п. Алексеевский, ул. Центральная, д.63</t>
  </si>
  <si>
    <t>д. Юматово, с.п. Юматовский, ул. Парковая, д.54</t>
  </si>
  <si>
    <t>с. Дмитриевка, с.п. Дмитриевский, ул. Трактовая, д.13 корп.1</t>
  </si>
  <si>
    <t>с. Дмитриевка, с.п. Дмитриевский, ул. Трактовая, д.19</t>
  </si>
  <si>
    <t>с. Михайловка, с.п. Михайловский, ул. Ленина, д.69</t>
  </si>
  <si>
    <t>с. Михайловка, с.п. Михайловский, ул. Садовая, д.14</t>
  </si>
  <si>
    <t>с. Михайловка, с.п. Михайловский, ул. Садовая, д.5</t>
  </si>
  <si>
    <t>с. Октябрьский, с.п. Шемякский, ул. Центральная, д.1</t>
  </si>
  <si>
    <t>с. Октябрьский, с.п. Шемякский, ул. Центральная, д.17</t>
  </si>
  <si>
    <t>с. санаторий Юматово, с.п. Юматовский, ул. Кольцевая, д.1</t>
  </si>
  <si>
    <t>с. санаторий Юматово, с.п. Юматовский, ул. Кольцевая, д.4</t>
  </si>
  <si>
    <t>с. Старокалмашево, ул. Нефтяников, д.9</t>
  </si>
  <si>
    <t>с. Чекмагуш, ул. Гагарина, д.1</t>
  </si>
  <si>
    <t>с. Чекмагуш, ул. Мира, д.8а</t>
  </si>
  <si>
    <t>с. Чекмагуш, ул. Мира, д.18</t>
  </si>
  <si>
    <t>рп Чишмы, ул. Кирова, д.1</t>
  </si>
  <si>
    <t>рп Чишмы, ул. Коммунистическая, д.5А</t>
  </si>
  <si>
    <t>рп Чишмы, ул. Ленина, д.55</t>
  </si>
  <si>
    <t>рп Чишмы, ул. Строительная, д.22а</t>
  </si>
  <si>
    <t>рп Чишмы, ул. Строительная, д.24</t>
  </si>
  <si>
    <t>с. Алкино-2, ул. Центральная, д.5</t>
  </si>
  <si>
    <t>с. Шаран, ул. Гагарина, д.14</t>
  </si>
  <si>
    <t>с. Шаран, ул. Гагарина, д.17</t>
  </si>
  <si>
    <t>с. Шаран, ул. Лесопарковая, д.25</t>
  </si>
  <si>
    <t>г. Янаул, ул. Ленина, д.8</t>
  </si>
  <si>
    <t>г. Янаул, ул. Ленина, д.10</t>
  </si>
  <si>
    <t>г. Янаул, ул. Ломоносова, д.8</t>
  </si>
  <si>
    <t>г. Янаул, ул. Победы, д.72</t>
  </si>
  <si>
    <t>г. Янаул, ул. Советская, д.10</t>
  </si>
  <si>
    <t>г. Янаул, ул. Худайбердина, д.2</t>
  </si>
  <si>
    <t>г. Янаул, ул. Юбилейная, д.8</t>
  </si>
  <si>
    <t>г. Янаул, ул. Юбилейная, д.12</t>
  </si>
  <si>
    <t>г. Кумертау, ул. Бабаевская, д.8</t>
  </si>
  <si>
    <t>г. Кумертау, ул. Вокзальная, д.3</t>
  </si>
  <si>
    <t>г. Кумертау, ул. Гафури, д.8</t>
  </si>
  <si>
    <t>г. Кумертау, ул. Гафури, д.9</t>
  </si>
  <si>
    <t>г. Кумертау, ул. Карла Маркса, д.10</t>
  </si>
  <si>
    <t>г. Кумертау, ул. Карла Маркса, д.17</t>
  </si>
  <si>
    <t>г. Кумертау, ул. Карла Маркса, д.5</t>
  </si>
  <si>
    <t>г. Кумертау, ул. Ленина, д.16</t>
  </si>
  <si>
    <t>г. Кумертау, ул. Логовая, д.4</t>
  </si>
  <si>
    <t>г. Кумертау, ул. Логовая, д.42</t>
  </si>
  <si>
    <t>г. Кумертау, ул. Окружная, д.14</t>
  </si>
  <si>
    <t>г. Кумертау, ул. Окружная, д.6</t>
  </si>
  <si>
    <t>г. Кумертау, ул. Первомайская, д.32</t>
  </si>
  <si>
    <t>г. Кумертау, ул. Пушкина, д.1</t>
  </si>
  <si>
    <t xml:space="preserve">г. Кумертау, ул. Пушкина, д.17 </t>
  </si>
  <si>
    <t>г. Кумертау, ул. Шахтостроительная, д.3</t>
  </si>
  <si>
    <t>г. Кумертау, ул. Энергетиков, д.17</t>
  </si>
  <si>
    <t>г. Кумертау, ул. Энергетиков, д.19</t>
  </si>
  <si>
    <t>г. Кумертау, ул. Энергетиков, д.23</t>
  </si>
  <si>
    <t>г. Кумертау, ул. Энергетиков, д.25</t>
  </si>
  <si>
    <t>г. Кумертау, ул. Энергетиков, д.7б</t>
  </si>
  <si>
    <t>с. Маячный, ул. Социалистическая, д.10</t>
  </si>
  <si>
    <t>с. Маячный, ул. Социалистическая, д.6</t>
  </si>
  <si>
    <t>г. Салават, б-р Космонавтов, д.13</t>
  </si>
  <si>
    <t>г. Салават, б-р Космонавтов, д.18</t>
  </si>
  <si>
    <t>г. Салават, б-р Юлаева, д.6</t>
  </si>
  <si>
    <t>г. Салават, пер. Школьный, д.9</t>
  </si>
  <si>
    <t>г. Салават, ул. 30 лет Победы, д.14</t>
  </si>
  <si>
    <t>г. Салават, ул. Хмельницкого, д.43</t>
  </si>
  <si>
    <t>г. Салават, ул. Гагарина, д.20</t>
  </si>
  <si>
    <t>г. Салават, ул. Гагарина, д.23</t>
  </si>
  <si>
    <t>г. Салават, ул. Гагарина, д.25а</t>
  </si>
  <si>
    <t>г. Салават, ул. Гагарина, д.3а</t>
  </si>
  <si>
    <t>г. Салават, ул. Гафури, д.13</t>
  </si>
  <si>
    <t>г. Салават, ул. Гафури, д.21</t>
  </si>
  <si>
    <t>г. Салават, ул. Гафури, д.23</t>
  </si>
  <si>
    <t>г. Салават, ул. Горького, д.11а</t>
  </si>
  <si>
    <t>г. Салават, ул. Горького, д.17</t>
  </si>
  <si>
    <t>г. Салават, ул. Горького, д.20</t>
  </si>
  <si>
    <t>г. Салават, ул. Горького, д.25</t>
  </si>
  <si>
    <t>г. Салават, ул. Горького, д.27</t>
  </si>
  <si>
    <t>г. Салават, ул. Губкина, д.2а</t>
  </si>
  <si>
    <t>г. Салават, ул. Губкина, д.8</t>
  </si>
  <si>
    <t>г. Салават, ул. Ключевая, д.12а</t>
  </si>
  <si>
    <t>г. Салават, ул. Колхозная, д.38а</t>
  </si>
  <si>
    <t>г. Салават, ул. Колхозная, д.5</t>
  </si>
  <si>
    <t>г. Салават, ул. Ленина, д.20</t>
  </si>
  <si>
    <t>г. Салават, ул. Октябрьская, д.13</t>
  </si>
  <si>
    <t>г. Салават, ул. Октябрьская, д.4</t>
  </si>
  <si>
    <t>г. Салават, ул. Октябрьская, д.56</t>
  </si>
  <si>
    <t>г. Салават, ул. Октябрьская, д.62а</t>
  </si>
  <si>
    <t>г. Салават, ул. Октябрьская, д.64</t>
  </si>
  <si>
    <t>г. Салават, ул. Октябрьская, д.8</t>
  </si>
  <si>
    <t>г. Салават, ул. Островского, д.63</t>
  </si>
  <si>
    <t>г. Салават, ул. Островского, д.65</t>
  </si>
  <si>
    <t>г. Салават, ул. Островского, д.69</t>
  </si>
  <si>
    <t>г. Салават, ул. Первомайская, д.22а</t>
  </si>
  <si>
    <t>г. Салават, ул. Пушкина, д.14</t>
  </si>
  <si>
    <t>г. Салават, ул. Речная, д.38</t>
  </si>
  <si>
    <t>г. Салават, ул. Северная, д.12</t>
  </si>
  <si>
    <t>г. Салават, ул. Строителей, д.13</t>
  </si>
  <si>
    <t>г. Салават, ул. Строителей, д.46б</t>
  </si>
  <si>
    <t>г. Салават, ул. Строителей, д.46а</t>
  </si>
  <si>
    <t>г. Салават, ул. Чапаева, д.27а</t>
  </si>
  <si>
    <t>г. Салават, ул. Чапаева, д.31</t>
  </si>
  <si>
    <t>г. Сибай, пр-кт Горняков, д.24</t>
  </si>
  <si>
    <t>г. Сибай, пр-кт Горняков, д.30</t>
  </si>
  <si>
    <t>г. Сибай, пр-кт Горняков, д.45</t>
  </si>
  <si>
    <t>г. Сибай, пр-кт Горняков, д.6/7</t>
  </si>
  <si>
    <t>г. Сибай, пр-кт Горняков, д.7</t>
  </si>
  <si>
    <t>г. Сибай, ул. Ветеранов, д.6</t>
  </si>
  <si>
    <t>г. Сибай, ул. Горького, д.45</t>
  </si>
  <si>
    <t>г. Сибай, ул. Горького, д.47</t>
  </si>
  <si>
    <t>г. Сибай, ул. Горького, д.86</t>
  </si>
  <si>
    <t>г. Сибай, ул. Заки Валиди, д.48/2</t>
  </si>
  <si>
    <t>г. Стерлитамак, пр-кт Ленина, д.16</t>
  </si>
  <si>
    <t>г. Стерлитамак, ул. Кочетова, д.32</t>
  </si>
  <si>
    <t>г. Стерлитамак, пр-кт Ленина, д.45</t>
  </si>
  <si>
    <t>г. Стерлитамак, пр-кт Ленина, д.51</t>
  </si>
  <si>
    <t>г. Стерлитамак, пр-кт Ленина, д.67</t>
  </si>
  <si>
    <t>г. Стерлитамак, пр-кт Октября, д.9а</t>
  </si>
  <si>
    <t>г. Стерлитамак, ул. Артема, д.109</t>
  </si>
  <si>
    <t>г. Стерлитамак, ул. Артема, д.144</t>
  </si>
  <si>
    <t>г. Стерлитамак, ул. Артема, д.149</t>
  </si>
  <si>
    <t>г. Стерлитамак, ул. Артема, д.23</t>
  </si>
  <si>
    <t>г. Стерлитамак, ул. Артема, д.3</t>
  </si>
  <si>
    <t>г. Стерлитамак, ул. Артема, д.51</t>
  </si>
  <si>
    <t>г. Стерлитамак, ул. Артема, д.77</t>
  </si>
  <si>
    <t>г. Стерлитамак, ул. Блюхера, д.21</t>
  </si>
  <si>
    <t>г. Стерлитамак, ул. Блюхера, д.6а</t>
  </si>
  <si>
    <t>г. Стерлитамак, ул. Богдана Хмельницкого, д.46</t>
  </si>
  <si>
    <t>г. Стерлитамак, ул. Богдана Хмельницкого, д.48</t>
  </si>
  <si>
    <t>г. Стерлитамак, ул. Богдана Хмельницкого, д.50</t>
  </si>
  <si>
    <t>г. Стерлитамак, ул. Братская, д.1</t>
  </si>
  <si>
    <t>г. Стерлитамак, ул. Братская, д.3</t>
  </si>
  <si>
    <t>г. Стерлитамак, ул. Братская, д.5</t>
  </si>
  <si>
    <t>г. Стерлитамак, ул. Братская, д.9</t>
  </si>
  <si>
    <t>г. Стерлитамак, ул. Вокзальная, д.13</t>
  </si>
  <si>
    <t>г. Стерлитамак, ул. Вокзальная, д.39</t>
  </si>
  <si>
    <t>г. Стерлитамак, ул. Тукаева, д.5</t>
  </si>
  <si>
    <t>г. Стерлитамак, ул. Волочаевская, д.18</t>
  </si>
  <si>
    <t>г. Стерлитамак, ул. Свердлова, д.222</t>
  </si>
  <si>
    <t>г. Стерлитамак, ул. Гоголя, д.125</t>
  </si>
  <si>
    <t>г. Стерлитамак, ул. Гоголя, д.145б</t>
  </si>
  <si>
    <t>г. Стерлитамак, ул. Голикова, д.11</t>
  </si>
  <si>
    <t>г. Стерлитамак, ул. Голикова, д.9</t>
  </si>
  <si>
    <t>г. Стерлитамак, ул. Деповская, д.19</t>
  </si>
  <si>
    <t>г. Стерлитамак, ул. Дружбы, д.31</t>
  </si>
  <si>
    <t>г. Стерлитамак, ул. Дружбы, д.42</t>
  </si>
  <si>
    <t>г. Стерлитамак, ул. Дружбы, д.52</t>
  </si>
  <si>
    <t>г. Стерлитамак, ул. Шафиева, д.29</t>
  </si>
  <si>
    <t>г. Стерлитамак, ул. Ибрагимова, д.2</t>
  </si>
  <si>
    <t>г. Стерлитамак, ул. Карла Маркса, д.147</t>
  </si>
  <si>
    <t>г. Стерлитамак, ул. Карла Маркса, д.149</t>
  </si>
  <si>
    <t>г. Стерлитамак, ул. Карла Маркса, д.170</t>
  </si>
  <si>
    <t>г. Стерлитамак, ул. Коммунистическая, д.108</t>
  </si>
  <si>
    <t>г. Стерлитамак, ул. Коммунистическая, д.14</t>
  </si>
  <si>
    <t>г. Стерлитамак, ул. Коммунистическая, д.25</t>
  </si>
  <si>
    <t>г. Стерлитамак, ул. Коммунистическая, д.27</t>
  </si>
  <si>
    <t>г. Стерлитамак, ул. Коммунистическая, д.38</t>
  </si>
  <si>
    <t>г. Стерлитамак, ул. Коммунистическая, д.54</t>
  </si>
  <si>
    <t>г. Стерлитамак, ул. Коммунистическая, д.7</t>
  </si>
  <si>
    <t>г. Стерлитамак, ул. Коммунистическая, д.84</t>
  </si>
  <si>
    <t>г. Стерлитамак, ул. Коммунистическая, д.98</t>
  </si>
  <si>
    <t>г. Стерлитамак, ул. Уфимская, д.39</t>
  </si>
  <si>
    <t>г. Стерлитамак, ул. Курчатова, д.16</t>
  </si>
  <si>
    <t>г. Стерлитамак, ул. Курчатова, д.2</t>
  </si>
  <si>
    <t>г. Стерлитамак, ул. Тукаева, д.5а</t>
  </si>
  <si>
    <t>г. Стерлитамак, ул. Механизации, д.13</t>
  </si>
  <si>
    <t>г. Стерлитамак, ул. Механизации, д.3а</t>
  </si>
  <si>
    <t>г. Стерлитамак, ул. Механизации, д.7а</t>
  </si>
  <si>
    <t>г. Стерлитамак, ул. Николаева, д.4</t>
  </si>
  <si>
    <t>г. Стерлитамак, ул. Нагуманова, д.58</t>
  </si>
  <si>
    <t>г. Стерлитамак, ул. Нахимова, д.1</t>
  </si>
  <si>
    <t>г. Стерлитамак, ул. Нахимова, д.2</t>
  </si>
  <si>
    <t>г. Стерлитамак, ул. Нахимова, д.2а</t>
  </si>
  <si>
    <t>г. Стерлитамак, ул. Кочетова, д.19</t>
  </si>
  <si>
    <t>г. Стерлитамак, ул. Нахимова, д.7</t>
  </si>
  <si>
    <t>г. Стерлитамак, ул. Воинов-Интернационалистов, д.40</t>
  </si>
  <si>
    <t>г. Стерлитамак, ул. Патриотическая, д.102</t>
  </si>
  <si>
    <t>г. Стерлитамак, ул. Патриотическая, д.98</t>
  </si>
  <si>
    <t>г. Стерлитамак, ул. Полевая, д.1</t>
  </si>
  <si>
    <t>г. Стерлитамак, ул. Полевая, д.5</t>
  </si>
  <si>
    <t>г. Стерлитамак, ул. Революционная, д.13</t>
  </si>
  <si>
    <t>г. Стерлитамак, ул. Революционная, д.9</t>
  </si>
  <si>
    <t>г. Стерлитамак, ул. Сакко и Ванцетти, д.63</t>
  </si>
  <si>
    <t>г. Стерлитамак, ул. Сакко и Ванцетти, д.67</t>
  </si>
  <si>
    <t>г. Стерлитамак, ул. Тукаева, д.4</t>
  </si>
  <si>
    <t>г. Стерлитамак, ул. Советская, д.98</t>
  </si>
  <si>
    <t>г. Стерлитамак, ул. Социалистическая, д.13</t>
  </si>
  <si>
    <t>г. Стерлитамак, ул. Стадионная, д.19а</t>
  </si>
  <si>
    <t>г. Стерлитамак, ул. Суханова, д.10</t>
  </si>
  <si>
    <t>г. Стерлитамак, ул. Суханова, д.5</t>
  </si>
  <si>
    <t>г. Стерлитамак, ул. Трудовые Резервы, д.1</t>
  </si>
  <si>
    <t>г. Стерлитамак, ул. Тукаева, д.1</t>
  </si>
  <si>
    <t>г. Стерлитамак, ул. Воинов-Интернационалистов, д.42</t>
  </si>
  <si>
    <t>г. Стерлитамак, ул. Тукаева, д.5в</t>
  </si>
  <si>
    <t>г. Стерлитамак, ул. Фестивальная, д.7а</t>
  </si>
  <si>
    <t>г. Стерлитамак, ул. Худайбердина, д.111</t>
  </si>
  <si>
    <t>г. Стерлитамак, ул. Николаева, д.12</t>
  </si>
  <si>
    <t>г. Стерлитамак, ул. Худайбердина, д.117</t>
  </si>
  <si>
    <t>г. Стерлитамак, ул. Худайбердина, д.132</t>
  </si>
  <si>
    <t>г. Стерлитамак, ул. Худайбердина, д.142</t>
  </si>
  <si>
    <t>г. Стерлитамак, ул. Худайбердина, д.210</t>
  </si>
  <si>
    <t>г. Стерлитамак, ул. Худайбердина, д.36</t>
  </si>
  <si>
    <t>г. Стерлитамак, ул. Худайбердина, д.42</t>
  </si>
  <si>
    <t>г. Стерлитамак, ул. Худайбердина, д.44</t>
  </si>
  <si>
    <t>г. Стерлитамак, ул. Худайбердина, д.48</t>
  </si>
  <si>
    <t>г. Стерлитамак, ул. Худайбердина, д.52</t>
  </si>
  <si>
    <t>г. Стерлитамак, ул. Худайбердина, д.97</t>
  </si>
  <si>
    <t>г. Стерлитамак, ул. Цементников, д.8</t>
  </si>
  <si>
    <t>г. Стерлитамак, ул. Николаева, д.2</t>
  </si>
  <si>
    <t>г. Стерлитамак, ул. Цюрупы, д.30</t>
  </si>
  <si>
    <t>г. Стерлитамак, ул. Черноморская, д.12</t>
  </si>
  <si>
    <t>г. Стерлитамак, ул. Фестивальная, д.9</t>
  </si>
  <si>
    <t>г. Стерлитамак, ул. Чехова, д.1</t>
  </si>
  <si>
    <t>г. Стерлитамак, ул. Шаймуратова, д.3</t>
  </si>
  <si>
    <t>г. Стерлитамак, ул. Шафиева, д.27</t>
  </si>
  <si>
    <t>г. Стерлитамак, ул. Шафиева, д.41</t>
  </si>
  <si>
    <t>г. Стерлитамак, ул. Элеваторная, д.102</t>
  </si>
  <si>
    <t>г. Межгорье, ул. 40 лет Победы, д.19</t>
  </si>
  <si>
    <t>г. Межгорье, ул. Комсомольская, д.21</t>
  </si>
  <si>
    <t>г. Межгорье, ул. Комсомольская, д.23</t>
  </si>
  <si>
    <t>г. Межгорье, ул. Комсомольская, д.3</t>
  </si>
  <si>
    <t>г. Межгорье, ул. Ленина, д.3</t>
  </si>
  <si>
    <t>г. Межгорье, ул. Советская, д.5</t>
  </si>
  <si>
    <t>г. Межгорье, ул. Спортивная, д.8</t>
  </si>
  <si>
    <t>г. Межгорье, ул. Татлинская, д.5</t>
  </si>
  <si>
    <t>с. Аскарово, ул. Шаймуратова, д.5</t>
  </si>
  <si>
    <t>с. Архангельское, ул. Лазо, д.4</t>
  </si>
  <si>
    <t>с. Архангельское, ул. Карла Маркса, д.49</t>
  </si>
  <si>
    <t>с. Толбазы, ул. Матросова, д.39</t>
  </si>
  <si>
    <t>г. Баймак, ул. С.Есенина, д.3</t>
  </si>
  <si>
    <t>г. Белорецк, ул. 50 лет Октября, д.66</t>
  </si>
  <si>
    <t>г. Белорецк, ул. Карла Маркса, д.37</t>
  </si>
  <si>
    <t>г. Белорецк, ул. Карла Маркса, д.59</t>
  </si>
  <si>
    <t>г. Белорецк, ул. Кирова, д.46 корп.1</t>
  </si>
  <si>
    <t>г. Белорецк, ул. Косоротова, д.4</t>
  </si>
  <si>
    <t>г. Белорецк, ул. Крупской, д.57</t>
  </si>
  <si>
    <t>г. Белорецк, ул. Пушкина, д.38 корп.1</t>
  </si>
  <si>
    <t>г. Белорецк, ул. Пушкина, д.59</t>
  </si>
  <si>
    <t>г. Белорецк, ул. Пушкина, д.65</t>
  </si>
  <si>
    <t>г. Белорецк, ул. Точисского, д.15</t>
  </si>
  <si>
    <t>г. Белорецк, ул. Точисского, д.17</t>
  </si>
  <si>
    <t>г. Белорецк, ул. Точисского, д.32</t>
  </si>
  <si>
    <t>г. Белорецк, ул. Точисского, д.42</t>
  </si>
  <si>
    <t>г. Белорецк, ул. Точисского, д.44</t>
  </si>
  <si>
    <t>г. Белорецк, ул. Челябинская, д.15</t>
  </si>
  <si>
    <t>с. Красноусольский, ул. Калмыкова, д.10</t>
  </si>
  <si>
    <t>с. Красноусольский, ул. К.Маркса, д.5</t>
  </si>
  <si>
    <t>с. Красноусольский, ул. Пугачева, д.43</t>
  </si>
  <si>
    <t>с. Исянгулово, ул. Нефтяников, д.21</t>
  </si>
  <si>
    <t>с. Зилаир, ул. Ленина, д.115</t>
  </si>
  <si>
    <t>г. Ишимбай, ул. Бульварная, д.33</t>
  </si>
  <si>
    <t>г. Ишимбай, ул. Богдана Хмельницкого, д.23</t>
  </si>
  <si>
    <t>г. Ишимбай, ул. Вахитова, д.11</t>
  </si>
  <si>
    <t>г. Ишимбай, ул. Гагарина, д.16</t>
  </si>
  <si>
    <t>г. Ишимбай, ул. Гагарина, д.56</t>
  </si>
  <si>
    <t>г. Ишимбай, ул. Докучаева, д.6</t>
  </si>
  <si>
    <t>г. Ишимбай, ул. Докучаева, д.12а</t>
  </si>
  <si>
    <t>г. Ишимбай, пр-кт Ленина, д.16а</t>
  </si>
  <si>
    <t>г. Ишимбай, пр-кт Ленина, д.55</t>
  </si>
  <si>
    <t>г. Ишимбай, ул. Молодежная, д.12</t>
  </si>
  <si>
    <t>г. Ишимбай, ул. Стахановская, д.14</t>
  </si>
  <si>
    <t>г. Ишимбай, ул. Стахановская, д.18</t>
  </si>
  <si>
    <t>г. Ишимбай, ул. Стахановская, д.18а</t>
  </si>
  <si>
    <t>г. Ишимбай, ул. Стахановская, д.29</t>
  </si>
  <si>
    <t>г. Ишимбай, ул. Советская, д.96</t>
  </si>
  <si>
    <t>с. Прибельский, ул. Ленина, д.14</t>
  </si>
  <si>
    <t>с. Мраково, ул. З.Биишевой, д.102</t>
  </si>
  <si>
    <t>с. Юмагузино, ул. Молодежная, д.8</t>
  </si>
  <si>
    <t>с. Ермолаево, ул. Калинина, д.22а</t>
  </si>
  <si>
    <t>г. Мелеуз, мкр. 31-й, д.3</t>
  </si>
  <si>
    <t>г. Мелеуз, мкр. 31-й, д.4</t>
  </si>
  <si>
    <t>г. Мелеуз, мкр. 32-й, д.12</t>
  </si>
  <si>
    <t>г. Мелеуз, мкр. 32-й, д.14</t>
  </si>
  <si>
    <t>г. Мелеуз, мкр. 32-й, д.29</t>
  </si>
  <si>
    <t>г. Мелеуз, ул. Комарова, д.7</t>
  </si>
  <si>
    <t>г. Мелеуз, ул. Комарова, д.9</t>
  </si>
  <si>
    <t>г. Мелеуз, ул. Ленина, д.131</t>
  </si>
  <si>
    <t>г. Мелеуз, ул. Ленина, д.156</t>
  </si>
  <si>
    <t>г. Мелеуз, ул. Метеорологическая, д.21</t>
  </si>
  <si>
    <t>г. Мелеуз, ул. Метеорологическая, д.5а</t>
  </si>
  <si>
    <t>г. Мелеуз, ул. Октябрьская, д.5</t>
  </si>
  <si>
    <t>г. Мелеуз, ул. Смоленская, д.31</t>
  </si>
  <si>
    <t>г. Мелеуз, ул. Шахтерская, д.3</t>
  </si>
  <si>
    <t>г. Мелеуз, ул. Школьная, д.3а</t>
  </si>
  <si>
    <t>с. Первомайский, ул. Дружбы, д.4</t>
  </si>
  <si>
    <t>с. Стерлибашево, ул. Строителей, д.2</t>
  </si>
  <si>
    <t>с. Стерлибашево, ул. Строителей, д.4</t>
  </si>
  <si>
    <t>с. Стерлибашево, ул. Тукаева, д.41</t>
  </si>
  <si>
    <t>с. Подлесное, ул. Центральная, д.52</t>
  </si>
  <si>
    <t>с. Большой Куганак, ул. Комсомольская, д.4</t>
  </si>
  <si>
    <t>с. Большой Куганак, ул. Комсомольская, д.6</t>
  </si>
  <si>
    <t>с. Наумовка, ул. Ленина, д.51</t>
  </si>
  <si>
    <t>с. Наумовка, ул. Ленина, д.51а</t>
  </si>
  <si>
    <t>с. Октябрьское, ул. Весенняя, д.59</t>
  </si>
  <si>
    <t>с. Октябрьское, ул. Мира, д.2</t>
  </si>
  <si>
    <t>с. Рощинский, ул. Майская, д.13</t>
  </si>
  <si>
    <t>г. Учалы, ул. Ахметгалина, д.23</t>
  </si>
  <si>
    <t>г. Учалы, ул. Башкортостана, д.5</t>
  </si>
  <si>
    <t>г. Учалы, ул. Башкортостана, д.11</t>
  </si>
  <si>
    <t>г. Учалы, ул. Башкортостана, д.13</t>
  </si>
  <si>
    <t>г. Учалы, ул. Горького, д.8</t>
  </si>
  <si>
    <t>г. Учалы, ул. К.Маркса, д.14</t>
  </si>
  <si>
    <t>г. Учалы, ул. Кирова, д.8а</t>
  </si>
  <si>
    <t>г. Учалы, ул. Ленина, д.1</t>
  </si>
  <si>
    <t>г. Учалы, ул. Ленина, д.18</t>
  </si>
  <si>
    <t>г. Учалы, ул. Ленина, д.23а</t>
  </si>
  <si>
    <t>г. Учалы, ул. Ленина, д.30</t>
  </si>
  <si>
    <t>г. Учалы, ул. Ленина, д.34</t>
  </si>
  <si>
    <t>г. Учалы, ул. Ленина, д.7б</t>
  </si>
  <si>
    <t>г. Учалы, ул. Мира, д.10</t>
  </si>
  <si>
    <t>г. Учалы, ул. Мира, д.22</t>
  </si>
  <si>
    <t>г. Учалы, ул. Мира, д.32</t>
  </si>
  <si>
    <t>г. Учалы, ул. Мира, д.8</t>
  </si>
  <si>
    <t>г. Учалы, ул. Мира, д.28</t>
  </si>
  <si>
    <t>г. Учалы, ул. Пионерская, д.2</t>
  </si>
  <si>
    <t>г. Учалы, ул. Первостроителей, д.2</t>
  </si>
  <si>
    <t>с. Бала-Четырман, ул. Первомайская, д.3</t>
  </si>
  <si>
    <t>с. Федоровка, ул. Социалистическая, д.34</t>
  </si>
  <si>
    <t>с. Акъяр, ул. Акмуллы, д.44 корп.1</t>
  </si>
  <si>
    <t>с. Садовый, ул. Новая, д.4</t>
  </si>
  <si>
    <t>с. Татыр-Узяк, ул. Победы, д.10</t>
  </si>
  <si>
    <t>с. Уфимский, ул. Худайбердина, д.30</t>
  </si>
  <si>
    <t>г. Уфа, б-р Ибрагимова, д.37 корп.1</t>
  </si>
  <si>
    <t>г. Уфа, б-р Славы, д.17</t>
  </si>
  <si>
    <t>г. Уфа, б-р Тухвата Янаби, д.71</t>
  </si>
  <si>
    <t>г. Уфа, б-р Хадии Давлетшиной, д.13</t>
  </si>
  <si>
    <t>г. Уфа, б-р Хадии Давлетшиной, д.17</t>
  </si>
  <si>
    <t>г. Уфа, б-р Хадии Давлетшиной, д.19</t>
  </si>
  <si>
    <t>г. Уфа, б-р Хадии Давлетшиной, д.34</t>
  </si>
  <si>
    <t>г. Уфа, пер. Запорожский, д.30</t>
  </si>
  <si>
    <t>г. Уфа, пер. Шкаповский, д.5</t>
  </si>
  <si>
    <t>г. Уфа, проезд Лесной, д.8 корп.1</t>
  </si>
  <si>
    <t>г. Уфа, пр-кт Октября, д.107 корп.1</t>
  </si>
  <si>
    <t>г. Уфа, пр-кт Октября, д.160 корп.1</t>
  </si>
  <si>
    <t>г. Уфа, пр-кт Октября, д.162а корп.1</t>
  </si>
  <si>
    <t>г. Уфа, пр-кт Октября, д.164 корп.1</t>
  </si>
  <si>
    <t>г. Уфа, пр-кт Октября, д.180</t>
  </si>
  <si>
    <t>г. Уфа, пр-кт Октября, д.37 корп.1</t>
  </si>
  <si>
    <t>г. Уфа, пр-кт Октября, д.61 корп.1</t>
  </si>
  <si>
    <t>г. Уфа, пр-кт Октября, д.63 корп.5</t>
  </si>
  <si>
    <t>г. Уфа, пр-кт Октября, д.65 корп.2</t>
  </si>
  <si>
    <t>г. Уфа, пр-кт Октября, д.66 корп.3</t>
  </si>
  <si>
    <t>г. Уфа, пр-кт Октября, д.74</t>
  </si>
  <si>
    <t>г. Уфа, пр-кт Октября, д.82</t>
  </si>
  <si>
    <t>г. Уфа, пр-кт Октября, д.82 корп.2</t>
  </si>
  <si>
    <t>г. Уфа, пр-кт Октября, д.82 корп.3</t>
  </si>
  <si>
    <t>г. Уфа, пр-кт Октября, д.86 корп.3</t>
  </si>
  <si>
    <t>г. Уфа, пр-кт Октября, д.88 корп.1</t>
  </si>
  <si>
    <t>г. Уфа, пр-кт Октября, д.93 корп.1</t>
  </si>
  <si>
    <t>г. Уфа, ул. 40 лет Октября, д.5</t>
  </si>
  <si>
    <t>г. Уфа, ул. 50 лет СССР, д.48</t>
  </si>
  <si>
    <t>г. Уфа, ул. 50-летия Октября, д.18</t>
  </si>
  <si>
    <t>г. Уфа, ул. 8 Марта, д.24 корп.1</t>
  </si>
  <si>
    <t>г. Уфа, ул. Авроры, д.11</t>
  </si>
  <si>
    <t>г. Уфа, ул. Авроры, д.13 корп.1</t>
  </si>
  <si>
    <t>г. Уфа, ул. Авроры, д.13 корп.2</t>
  </si>
  <si>
    <t>г. Уфа, ул. Авроры, д.15 корп.1</t>
  </si>
  <si>
    <t>г. Уфа, ул. Авроры, д.25</t>
  </si>
  <si>
    <t>г. Уфа, ул. Авроры, д.27 корп.1</t>
  </si>
  <si>
    <t>г. Уфа, ул. Авроры, д.5</t>
  </si>
  <si>
    <t>г. Уфа, ул. Авроры, д.5 корп.4</t>
  </si>
  <si>
    <t>г. Уфа, ул. Авроры, д.5 корп.5</t>
  </si>
  <si>
    <t>г. Уфа, ул. Авроры, д.5 корп.6</t>
  </si>
  <si>
    <t>г. Уфа, ул. Авроры, д.5 корп.8</t>
  </si>
  <si>
    <t>г. Уфа, ул. Авроры, д.9 корп.1</t>
  </si>
  <si>
    <t>г. Уфа, ул. Адмирала Ушакова, д.90</t>
  </si>
  <si>
    <t>г. Уфа, ул. Адмирала Ушакова, д.90 корп.1</t>
  </si>
  <si>
    <t>г. Уфа, ул. Айская, д.89</t>
  </si>
  <si>
    <t>г. Уфа, ул. Академика Королева, д.10 корп.2</t>
  </si>
  <si>
    <t>г. Уфа, ул. Академика Королева, д.12 корп.1</t>
  </si>
  <si>
    <t>г. Уфа, ул. Академика Королева, д.2 корп.2</t>
  </si>
  <si>
    <t>г. Уфа, ул. Академика Королева, д.6</t>
  </si>
  <si>
    <t>г. Уфа, ул. Ак-Идель, д.2б</t>
  </si>
  <si>
    <t>г. Уфа, ул. Александра Невского, д.14</t>
  </si>
  <si>
    <t>г. Уфа, ул. Александра Невского, д.16</t>
  </si>
  <si>
    <t>г. Уфа, ул. Александра Невского, д.18</t>
  </si>
  <si>
    <t>г. Уфа, ул. Александра Невского, д.26</t>
  </si>
  <si>
    <t>г. Уфа, ул. Александра Невского, д.28</t>
  </si>
  <si>
    <t>г. Уфа, ул. Александра Невского, д.36</t>
  </si>
  <si>
    <t>г. Уфа, ул. Архитектурная, д.20</t>
  </si>
  <si>
    <t>г. Уфа, ул. Ахметова, д.277</t>
  </si>
  <si>
    <t>г. Уфа, ул. Ахметова, д.289</t>
  </si>
  <si>
    <t>г. Уфа, ул. Бакалинская, д.50 корп.1</t>
  </si>
  <si>
    <t>г. Уфа, ул. Бакалинская, д.60 корп.2</t>
  </si>
  <si>
    <t>г. Уфа, ул. Батырская, д.18</t>
  </si>
  <si>
    <t>г. Уфа, ул. Баязита Бикбая, д.27</t>
  </si>
  <si>
    <t>г. Уфа, ул. Бессонова, д.28</t>
  </si>
  <si>
    <t>г. Уфа, ул. Бессонова, д.28 корп.1</t>
  </si>
  <si>
    <t>г. Уфа, ул. Блюхера, д.10</t>
  </si>
  <si>
    <t>г. Уфа, ул. Блюхера, д.12 корп.2</t>
  </si>
  <si>
    <t>г. Уфа, ул. Блюхера, д.19</t>
  </si>
  <si>
    <t>г. Уфа, ул. Блюхера, д.27</t>
  </si>
  <si>
    <t>г. Уфа, ул. Блюхера, д.34</t>
  </si>
  <si>
    <t>г. Уфа, ул. Блюхера, д.36</t>
  </si>
  <si>
    <t>г. Уфа, ул. Богдана Хмельницкого, д.129</t>
  </si>
  <si>
    <t>г. Уфа, ул. Богдана Хмельницкого, д.14</t>
  </si>
  <si>
    <t>г. Уфа, ул. Богдана Хмельницкого, д.143 корп.1</t>
  </si>
  <si>
    <t>г. Уфа, ул. Богдана Хмельницкого, д.18</t>
  </si>
  <si>
    <t>г. Уфа, ул. Богдана Хмельницкого, д.20</t>
  </si>
  <si>
    <t>г. Уфа, ул. Богдана Хмельницкого, д.6</t>
  </si>
  <si>
    <t>г. Уфа, ул. Богдана Хмельницкого, д.68</t>
  </si>
  <si>
    <t>г. Уфа, ул. Богдана Хмельницкого, д.70</t>
  </si>
  <si>
    <t>г. Уфа, ул. Богдана Хмельницкого, д.71</t>
  </si>
  <si>
    <t>г. Уфа, ул. Богдана Хмельницкого, д.88</t>
  </si>
  <si>
    <t>г. Уфа, ул. Борисоглебская, д.37</t>
  </si>
  <si>
    <t>г. Уфа, ул. Боткина, д.12</t>
  </si>
  <si>
    <t>г. Уфа, ул. Боткина, д.7</t>
  </si>
  <si>
    <t>г. Уфа, ул. Боткина, д.8</t>
  </si>
  <si>
    <t>г. Уфа, ул. Вокзальная, д.2</t>
  </si>
  <si>
    <t>г. Уфа, ул. Вологодская, д.20</t>
  </si>
  <si>
    <t>г. Уфа, ул. Высотная, д.12 корп.2</t>
  </si>
  <si>
    <t>г. Уфа, ул. Гафури, д.27 корп.1</t>
  </si>
  <si>
    <t>г. Уфа, ул. Гафури, д.48</t>
  </si>
  <si>
    <t>г. Уфа, ул. Гвардейская, д.46</t>
  </si>
  <si>
    <t>г. Уфа, ул. Гвардейская, д.58</t>
  </si>
  <si>
    <t>г. Уфа, ул. Гвардейская, д.62</t>
  </si>
  <si>
    <t>г. Уфа, ул. Георгия Мушникова, д.21</t>
  </si>
  <si>
    <t>г. Уфа, ул. Георгия Мушникова, д.21 корп.4</t>
  </si>
  <si>
    <t>г. Уфа, ул. Гоголя, д.80</t>
  </si>
  <si>
    <t>г. Уфа, ул. Дагестанская, д.11</t>
  </si>
  <si>
    <t>г. Уфа, ул. Дагестанская, д.9</t>
  </si>
  <si>
    <t>г. Уфа, ул. Дагестанская, д.9 корп.1</t>
  </si>
  <si>
    <t>г. Уфа, ул. Даута Юлтыя, д.3</t>
  </si>
  <si>
    <t>г. Уфа, ул. Даута Юлтыя, д.8</t>
  </si>
  <si>
    <t>г. Уфа, ул. Джалиля Киекбаева, д.21</t>
  </si>
  <si>
    <t>г. Уфа, ул. Добролетная, д.7 корп.2</t>
  </si>
  <si>
    <t>г. Уфа, ул. Достоевского, д.106 корп.1</t>
  </si>
  <si>
    <t>г. Уфа, ул. Достоевского, д.160</t>
  </si>
  <si>
    <t>г. Уфа, ул. Заки Валиди, д.9</t>
  </si>
  <si>
    <t>г. Уфа, ул. Запотоцкого, д.21</t>
  </si>
  <si>
    <t>г. Уфа, ул. Запотоцкого, д.48</t>
  </si>
  <si>
    <t>г. Уфа, ул. Ивана Франко, д.12</t>
  </si>
  <si>
    <t>г. Уфа, ул. Ивана Франко, д.8</t>
  </si>
  <si>
    <t>г. Уфа, ул. Интернациональная, д.175 корп.1</t>
  </si>
  <si>
    <t>г. Уфа, ул. Интернациональная, д.179 корп.2</t>
  </si>
  <si>
    <t>г. Уфа, ул. Интернациональная, д.25</t>
  </si>
  <si>
    <t>г. Уфа, ул. Интернациональная, д.31</t>
  </si>
  <si>
    <t>г. Уфа, ул. Интернациональная, д.73</t>
  </si>
  <si>
    <t>г. Уфа, ул. Интернациональная, д.75</t>
  </si>
  <si>
    <t>г. Уфа, ул. Интернациональная, д.77</t>
  </si>
  <si>
    <t>г. Уфа, ул. Ирендык, д.4</t>
  </si>
  <si>
    <t>г. Уфа, ул. Ирендык, д.4 корп.1</t>
  </si>
  <si>
    <t>г. Уфа, ул. Калинина, д.13</t>
  </si>
  <si>
    <t>г. Уфа, ул. Калинина, д.3</t>
  </si>
  <si>
    <t>г. Уфа, ул. Калинина, д.35</t>
  </si>
  <si>
    <t>г. Уфа, ул. Калинина, д.37</t>
  </si>
  <si>
    <t>г. Уфа, ул. Караидельская, д.48</t>
  </si>
  <si>
    <t>г. Уфа, ул. Карима Хакимова, д.3</t>
  </si>
  <si>
    <t>г. Уфа, ул. Карла Маркса, д.65</t>
  </si>
  <si>
    <t>г. Уфа, ул. Карла Маркса, д.67</t>
  </si>
  <si>
    <t>г. Уфа, ул. Касимовская, д.10 корп.1</t>
  </si>
  <si>
    <t>г. Уфа, ул. Кирова, д.31</t>
  </si>
  <si>
    <t>г. Уфа, ул. Кирова, д.41</t>
  </si>
  <si>
    <t>г. Уфа, ул. Клавдии Абрамовой, д.2</t>
  </si>
  <si>
    <t>г. Уфа, ул. Кольцевая, д.107 корп.1</t>
  </si>
  <si>
    <t>г. Уфа, ул. Кольцевая, д.134</t>
  </si>
  <si>
    <t>г. Уфа, ул. Кольцевая, д.138</t>
  </si>
  <si>
    <t>г. Уфа, ул. Кольцевая, д.156а</t>
  </si>
  <si>
    <t>г. Уфа, ул. Кольцевая, д.158а</t>
  </si>
  <si>
    <t>г. Уфа, ул. Кольцевая, д.170</t>
  </si>
  <si>
    <t>г. Уфа, ул. Кольцевая, д.33б</t>
  </si>
  <si>
    <t>г. Уфа, ул. Кольцевая, д.62</t>
  </si>
  <si>
    <t>г. Уфа, ул. Кольцевая, д.64</t>
  </si>
  <si>
    <t>г. Уфа, ул. Кольцевая, д.93</t>
  </si>
  <si>
    <t>г. Уфа, ул. Комарова, д.14</t>
  </si>
  <si>
    <t>г. Уфа, ул. Коммунальная, д.10</t>
  </si>
  <si>
    <t>г. Уфа, ул. Коммунаров, д.14</t>
  </si>
  <si>
    <t>г. Уфа, ул. Коммунаров, д.18</t>
  </si>
  <si>
    <t>г. Уфа, ул. Коммунаров, д.24</t>
  </si>
  <si>
    <t>г. Уфа, ул. Комсомольская, д.10</t>
  </si>
  <si>
    <t>г. Уфа, ул. Комсомольская, д.135</t>
  </si>
  <si>
    <t>г. Уфа, ул. Комсомольская, д.96 корп.2</t>
  </si>
  <si>
    <t>г. Уфа, ул. Конституции, д.11</t>
  </si>
  <si>
    <t>г. Уфа, ул. Космонавтов, д.13</t>
  </si>
  <si>
    <t>г. Уфа, ул. Космонавтов, д.20</t>
  </si>
  <si>
    <t>г. Уфа, ул. Космонавтов, д.9</t>
  </si>
  <si>
    <t>г. Уфа, ул. Николая Кузнецова, д.6</t>
  </si>
  <si>
    <t>г. Уфа, ул. Николая Кузнецова, д.9</t>
  </si>
  <si>
    <t>г. Уфа, ул. Кулибина, д.19 корп.1</t>
  </si>
  <si>
    <t>г. Уфа, ул. Кулибина, д.22</t>
  </si>
  <si>
    <t>г. Уфа, ул. Кулибина, д.4</t>
  </si>
  <si>
    <t>г. Уфа, ул. Ладыгина, д.15</t>
  </si>
  <si>
    <t>г. Уфа, ул. Ладыгина, д.23</t>
  </si>
  <si>
    <t>г. Уфа, ул. Ладыгина, д.7</t>
  </si>
  <si>
    <t>г. Уфа, ул. Левитана, д.36</t>
  </si>
  <si>
    <t>г. Уфа, ул. Левитана, д.39</t>
  </si>
  <si>
    <t>г. Уфа, ул. Левитана, д.41а</t>
  </si>
  <si>
    <t>г. Уфа, ул. Левитана, д.43</t>
  </si>
  <si>
    <t>г. Уфа, ул. Левитана, д.7а</t>
  </si>
  <si>
    <t>г. Уфа, ул. Левитана, д.9а</t>
  </si>
  <si>
    <t>г. Уфа, ул. Ленина, д.150</t>
  </si>
  <si>
    <t>г. Уфа, ул. Ленина, д.87</t>
  </si>
  <si>
    <t>г. Уфа, ул. Ленина, д.97</t>
  </si>
  <si>
    <t>г. Уфа, ул. Малая Лесозаводская, д.3а</t>
  </si>
  <si>
    <t>г. Уфа, ул. Малая Лесозаводская, д.1</t>
  </si>
  <si>
    <t>г. Уфа, ул. Малая Лесозаводская, д.3б</t>
  </si>
  <si>
    <t>г. Уфа, ул. Малая Лесозаводская, д.6</t>
  </si>
  <si>
    <t>г. Уфа, ул. Летчиков, д.4</t>
  </si>
  <si>
    <t>г. Уфа, ул. Летчиков, д.5 корп.2</t>
  </si>
  <si>
    <t>г. Уфа, ул. Летчиков, д.5 корп.3</t>
  </si>
  <si>
    <t>г. Уфа, ул. Летчиков, д.5 корп.4</t>
  </si>
  <si>
    <t>г. Уфа, ул. Летчиков, д.5 корп.5</t>
  </si>
  <si>
    <t>г. Уфа, ул. Льва Толстого, д.1</t>
  </si>
  <si>
    <t>г. Уфа, ул. Львовская, д.5</t>
  </si>
  <si>
    <t>г. Уфа, ул. Максима Горького, д.38</t>
  </si>
  <si>
    <t>г. Уфа, ул. Максима Горького, д.39</t>
  </si>
  <si>
    <t>г. Уфа, ул. Максима Горького, д.41</t>
  </si>
  <si>
    <t>г. Уфа, ул. Максима Рыльского, д.14 корп.1</t>
  </si>
  <si>
    <t>г. Уфа, ул. Максима Рыльского, д.21 корп.3</t>
  </si>
  <si>
    <t>г. Уфа, ул. Маршала Жукова, д.2 корп.3</t>
  </si>
  <si>
    <t>г. Уфа, ул. Маршала Жукова, д.2 корп.6</t>
  </si>
  <si>
    <t>г. Уфа, ул. Маршала Жукова, д.24</t>
  </si>
  <si>
    <t>г. Уфа, ул. Маршала Жукова, д.4 корп.1</t>
  </si>
  <si>
    <t>г. Уфа, ул. Машиностроителей, д.13 корп.1</t>
  </si>
  <si>
    <t>г. Уфа, ул. Менделеева, д.136 корп.1</t>
  </si>
  <si>
    <t>г. Уфа, ул. Менделеева, д.136 корп.2</t>
  </si>
  <si>
    <t>г. Уфа, ул. Менделеева, д.145 корп.1</t>
  </si>
  <si>
    <t>г. Уфа, ул. Менделеева, д.151</t>
  </si>
  <si>
    <t>г. Уфа, ул. Менделеева, д.152</t>
  </si>
  <si>
    <t>г. Уфа, ул. Менделеева, д.153 корп.1</t>
  </si>
  <si>
    <t>г. Уфа, ул. Менделеева, д.153 корп.2</t>
  </si>
  <si>
    <t>г. Уфа, ул. Менделеева, д.153 корп.3</t>
  </si>
  <si>
    <t>г. Уфа, ул. Менделеева, д.173 корп.3</t>
  </si>
  <si>
    <t>г. Уфа, ул. Султанова, д.24</t>
  </si>
  <si>
    <t>г. Уфа, ул. Российская, д.100</t>
  </si>
  <si>
    <t>г. Уфа, ул. Менделеева, д.213 корп.2</t>
  </si>
  <si>
    <t>г. Уфа, ул. Минигали Губайдуллина, д.17</t>
  </si>
  <si>
    <t>г. Уфа, ул. Минигали Губайдуллина, д.17 корп.1</t>
  </si>
  <si>
    <t>г. Уфа, ул. Минигали Губайдуллина, д.17 корп.2</t>
  </si>
  <si>
    <t>г. Уфа, ул. Минигали Губайдуллина, д.19</t>
  </si>
  <si>
    <t>г. Уфа, ул. Минигали Губайдуллина, д.21 корп.2</t>
  </si>
  <si>
    <t>г. Уфа, ул. Мира, д.24</t>
  </si>
  <si>
    <t>г. Уфа, ул. Мира, д.4</t>
  </si>
  <si>
    <t>г. Уфа, ул. Мишкинская, д.2</t>
  </si>
  <si>
    <t>г. Уфа, ул. Мишкинская, д.4</t>
  </si>
  <si>
    <t>г. Уфа, ул. Мубарякова, д.11 корп.2</t>
  </si>
  <si>
    <t>г. Уфа, ул. Мубарякова, д.2 корп.4</t>
  </si>
  <si>
    <t>г. Уфа, ул. Мубарякова, д.20</t>
  </si>
  <si>
    <t>г. Уфа, ул. Мубарякова, д.22</t>
  </si>
  <si>
    <t>г. Уфа, ул. Мубарякова, д.7</t>
  </si>
  <si>
    <t>г. Уфа, ул. Мубарякова, д.7 корп.1</t>
  </si>
  <si>
    <t>г. Уфа, ул. Мубарякова, д.8</t>
  </si>
  <si>
    <t>г. Уфа, ул. Муксинова, д.7</t>
  </si>
  <si>
    <t>г. Уфа, ул. Муксинова, д.7 корп.1</t>
  </si>
  <si>
    <t>г. Уфа, ул. Мусоргского, д.13а</t>
  </si>
  <si>
    <t>г. Уфа, ул. Мустая Карима, д.50</t>
  </si>
  <si>
    <t>г. Уфа, ул. Мусы Джалиля, д.5</t>
  </si>
  <si>
    <t>г. Уфа, ул. Набережная реки Уфы, д.11 корп.1</t>
  </si>
  <si>
    <t>г. Уфа, ул. Набережная реки Уфы, д.39</t>
  </si>
  <si>
    <t>г. Уфа, ул. Набережная реки Уфы, д.41</t>
  </si>
  <si>
    <t>г. Уфа, ул. Набережная реки Уфы, д.45</t>
  </si>
  <si>
    <t>г. Уфа, ул. Набережная реки Уфы, д.65</t>
  </si>
  <si>
    <t>г. Уфа, ул. Нежинская, д.12</t>
  </si>
  <si>
    <t>г. Уфа, ул. Нежинская, д.14</t>
  </si>
  <si>
    <t>г. Уфа, ул. Нежинская, д.38</t>
  </si>
  <si>
    <t>г. Уфа, ул. Нежинская, д.40а</t>
  </si>
  <si>
    <t xml:space="preserve">г. Уфа, ул. Нежинская, д.42а </t>
  </si>
  <si>
    <t>г. Уфа, ул. Нефтяников, д.7</t>
  </si>
  <si>
    <t>г. Уфа, ул. Николая Дмитриева, д.13</t>
  </si>
  <si>
    <t>г. Уфа, ул. Николая Дмитриева, д.23</t>
  </si>
  <si>
    <t>г. Уфа, ул. Новоженова, д.9 корп.1</t>
  </si>
  <si>
    <t>г. Уфа, ул. Новороссийская, д.6</t>
  </si>
  <si>
    <t>г. Уфа, ул. Обская, д.14</t>
  </si>
  <si>
    <t>г. Уфа, ул. Обская, д.16</t>
  </si>
  <si>
    <t>г. Уфа, ул. Олимпийская, д.1</t>
  </si>
  <si>
    <t>г. Уфа, ул. Орджоникидзе, д.28</t>
  </si>
  <si>
    <t>г. Уфа, ул. Орловская, д.22</t>
  </si>
  <si>
    <t>г. Уфа, ул. Парковая, д.10</t>
  </si>
  <si>
    <t>г. Уфа, ул. Парковая, д.14 корп.1</t>
  </si>
  <si>
    <t>г. Уфа, ул. Парковая, д.18</t>
  </si>
  <si>
    <t>г. Уфа, ул. Парковая, д.4</t>
  </si>
  <si>
    <t>г. Уфа, ул. Парковая, д.6 корп.1</t>
  </si>
  <si>
    <t>г. Уфа, ул. Парковая, д.8</t>
  </si>
  <si>
    <t>г. Уфа, ул. Первомайская, д.30а</t>
  </si>
  <si>
    <t>г. Уфа, ул. Первомайская, д.39</t>
  </si>
  <si>
    <t>г. Уфа, ул. Первомайская, д.44</t>
  </si>
  <si>
    <t>г. Уфа, ул. Первомайская, д.44 корп.1</t>
  </si>
  <si>
    <t>г. Уфа, ул. Первомайская, д.45</t>
  </si>
  <si>
    <t>г. Уфа, ул. Первомайская, д.67</t>
  </si>
  <si>
    <t>г. Уфа, ул. Первомайская, д.69</t>
  </si>
  <si>
    <t>г. Уфа, ул. Первомайская, д.70 корп.1</t>
  </si>
  <si>
    <t>г. Уфа, ул. Первомайская, д.71</t>
  </si>
  <si>
    <t>г. Уфа, ул. Первомайская, д.76 корп.1</t>
  </si>
  <si>
    <t>г. Уфа, ул. Петрозаводская, д.10</t>
  </si>
  <si>
    <t>г. Уфа, ул. Петрозаводская, д.10а</t>
  </si>
  <si>
    <t>г. Уфа, ул. Петрозаводская, д.14а</t>
  </si>
  <si>
    <t>г. Уфа, ул. Петрозаводская, д.4</t>
  </si>
  <si>
    <t>г. Уфа, ул. Петрозаводская, д.6</t>
  </si>
  <si>
    <t>г. Уфа, ул. Петрозаводская, д.8а</t>
  </si>
  <si>
    <t>г. Уфа, ул. Петрозаводская, д.8б</t>
  </si>
  <si>
    <t>г. Уфа, ул. Пионерская, д.11</t>
  </si>
  <si>
    <t>г. Уфа, ул. Пионерская, д.14</t>
  </si>
  <si>
    <t>г. Уфа, ул. Победы, д.31</t>
  </si>
  <si>
    <t>г. Уфа, ул. Победы, д.33</t>
  </si>
  <si>
    <t>г. Уфа, ул. Подвойского, д.17</t>
  </si>
  <si>
    <t>г. Уфа, ул. Подвойского, д.21</t>
  </si>
  <si>
    <t>г. Уфа, ул. Пожарского, д.219а</t>
  </si>
  <si>
    <t>г. Уфа, ул. Правды, д.13</t>
  </si>
  <si>
    <t>г. Уфа, ул. Правды, д.21</t>
  </si>
  <si>
    <t>г. Уфа, ул. Правды, д.4 корп.1</t>
  </si>
  <si>
    <t>г. Уфа, ул. Пушкина, д.52</t>
  </si>
  <si>
    <t>г. Уфа, ул. Рабкоров, д.10а</t>
  </si>
  <si>
    <t>г. Уфа, ул. Рабкоров, д.11 корп.1</t>
  </si>
  <si>
    <t>г. Уфа, ул. Рабкоров, д.11 корп.2</t>
  </si>
  <si>
    <t>г. Уфа, ул. Рабкоров, д.11 корп.3</t>
  </si>
  <si>
    <t>г. Уфа, ул. Рабкоров, д.5</t>
  </si>
  <si>
    <t>г. Уфа, ул. Рабкоров, д.5 корп.2</t>
  </si>
  <si>
    <t>г. Уфа, ул. Революционная, д.39</t>
  </si>
  <si>
    <t>г. Уфа, ул. Репина, д.4</t>
  </si>
  <si>
    <t>г. Уфа, ул. Рихарда Зорге, д.32 корп.3</t>
  </si>
  <si>
    <t>г. Уфа, ул. Рихарда Зорге, д.45 корп.5</t>
  </si>
  <si>
    <t>г. Уфа, ул. Рихарда Зорге, д.8 корп.1</t>
  </si>
  <si>
    <t>г. Уфа, ул. Российская, д.108</t>
  </si>
  <si>
    <t>г. Уфа, ул. Российская, д.163 корп.4</t>
  </si>
  <si>
    <t>г. Уфа, ул. Российская, д.163 корп.2</t>
  </si>
  <si>
    <t>г. Уфа, ул. Российская, д.163 корп.3</t>
  </si>
  <si>
    <t>г. Уфа, ул. Российская, д.171</t>
  </si>
  <si>
    <t>г. Уфа, ул. Российская, д.171а</t>
  </si>
  <si>
    <t>г. Уфа, ул. Российская, д.171б</t>
  </si>
  <si>
    <t>г. Уфа, ул. Российская, д.171в</t>
  </si>
  <si>
    <t>г. Уфа, ул. Российская, д.25 (секции А,Б)</t>
  </si>
  <si>
    <t>г. Уфа, ул. Российская, д.60б</t>
  </si>
  <si>
    <t>г. Уфа, ул. Рязанская, д.11</t>
  </si>
  <si>
    <t>г. Уфа, ул. Связи, д.1 корп.1</t>
  </si>
  <si>
    <t>г. Уфа, ул. Сельская Богородская, д.15д</t>
  </si>
  <si>
    <t>г. Уфа, ул. Сельская Богородская, д.17</t>
  </si>
  <si>
    <t>г. Уфа, ул. Сельская Богородская, д.17а</t>
  </si>
  <si>
    <t>г. Уфа, ул. Сельская Богородская, д.19</t>
  </si>
  <si>
    <t>г. Уфа, ул. Сельская Богородская, д.19б</t>
  </si>
  <si>
    <t>г. Уфа, ул. Сельская Богородская, д.21</t>
  </si>
  <si>
    <t>г. Уфа, ул. Сельская Богородская, д.23</t>
  </si>
  <si>
    <t>г. Уфа, ул. Сельская Богородская, д.49</t>
  </si>
  <si>
    <t>г. Уфа, ул. Сергея Вострецова, д.11</t>
  </si>
  <si>
    <t>г. Уфа, ул. Софьи Перовской, д.23 корп.1</t>
  </si>
  <si>
    <t>г. Уфа, ул. Софьи Перовской, д.25 корп.1</t>
  </si>
  <si>
    <t>г. Уфа, ул. Степана Злобина, д.15</t>
  </si>
  <si>
    <t>г. Уфа, ул. Степана Злобина, д.26</t>
  </si>
  <si>
    <t>г. Уфа, ул. Степана Злобина, д.28 корп.1</t>
  </si>
  <si>
    <t>г. Уфа, ул. Степана Злобина, д.32 корп.1</t>
  </si>
  <si>
    <t>г. Уфа, ул. Степана Злобина, д.5 корп.3</t>
  </si>
  <si>
    <t>г. Уфа, ул. Степана Кувыкина, д.12</t>
  </si>
  <si>
    <t>г. Уфа, ул. Степана Кувыкина, д.14</t>
  </si>
  <si>
    <t>г. Уфа, ул. Степана Кувыкина, д.14 корп.2</t>
  </si>
  <si>
    <t>г. Уфа, ул. Степана Кувыкина, д.18 корп.2</t>
  </si>
  <si>
    <t>г. Уфа, ул. Степана Кувыкина, д.18 корп.3</t>
  </si>
  <si>
    <t>г. Уфа, ул. Степана Кувыкина, д.23</t>
  </si>
  <si>
    <t>г. Уфа, ул. Степана Кувыкина, д.31</t>
  </si>
  <si>
    <t>г. Уфа, ул. Степана Кувыкина, д.6</t>
  </si>
  <si>
    <t>г. Уфа, ул. Степана Кувыкина, д.6 корп.1</t>
  </si>
  <si>
    <t>г. Уфа, ул. Таллинская, д.16</t>
  </si>
  <si>
    <t>г. Уфа, ул. Таллинская, д.18</t>
  </si>
  <si>
    <t>г. Уфа, ул. Таллинская, д.20</t>
  </si>
  <si>
    <t>г. Уфа, ул. Таллинская, д.26 корп.1</t>
  </si>
  <si>
    <t>г. Уфа, ул. Татышлинская, д.2а</t>
  </si>
  <si>
    <t>г. Уфа, ул. Транспортная, д.32</t>
  </si>
  <si>
    <t>г. Уфа, ул. Транспортная, д.48 корп.2</t>
  </si>
  <si>
    <t>г. Уфа, ул. Транспортная, д.50 корп.3</t>
  </si>
  <si>
    <t>г. Уфа, ул. Уссурийская, д.30</t>
  </si>
  <si>
    <t>г. Уфа, ул. Уссурийская, д.31</t>
  </si>
  <si>
    <t>г. Уфа, ул. Уссурийская, д.32</t>
  </si>
  <si>
    <t>г. Уфа, ул. Ухтомского, д.30</t>
  </si>
  <si>
    <t>г. Уфа, ул. Ферина, д.14</t>
  </si>
  <si>
    <t>г. Уфа, ул. Ферина, д.17 корп.1</t>
  </si>
  <si>
    <t>г. Уфа, ул. Ферина, д.20 корп.1</t>
  </si>
  <si>
    <t>г. Уфа, ул. Ферина, д.24 корп.2</t>
  </si>
  <si>
    <t>г. Уфа, ул. Ферина, д.3 корп.4</t>
  </si>
  <si>
    <t>г. Уфа, ул. Ферина, д.9</t>
  </si>
  <si>
    <t>г. Уфа, ул. Ферина, д.9 корп.1</t>
  </si>
  <si>
    <t>г. Уфа, ул. им Фронтовых Бригад, д.11</t>
  </si>
  <si>
    <t>г. Уфа, ул. им Фронтовых Бригад, д.9</t>
  </si>
  <si>
    <t>г. Уфа, ул. Харьковская, д.118</t>
  </si>
  <si>
    <t>г. Уфа, ул. Центральная, д.10</t>
  </si>
  <si>
    <t>г. Уфа, ул. Центральная, д.12</t>
  </si>
  <si>
    <t>г. Уфа, ул. Центральная, д.30</t>
  </si>
  <si>
    <t>г. Уфа, ул. Центральная, д.6</t>
  </si>
  <si>
    <t>г. Уфа, ул. Центральная, д.6 корп.1</t>
  </si>
  <si>
    <t>г. Уфа, ул. Центральная, д.8</t>
  </si>
  <si>
    <t>г. Уфа, ул. Цюрупы, д.130</t>
  </si>
  <si>
    <t>г. Уфа, ул. Цюрупы, д.149 корп.1</t>
  </si>
  <si>
    <t>г. Уфа, ул. Цюрупы, д.82</t>
  </si>
  <si>
    <t>г. Уфа, ул. Цюрупы, д.85</t>
  </si>
  <si>
    <t>г. Уфа, ул. Черниковская, д.21</t>
  </si>
  <si>
    <t>г. Уфа, ул. Черниковская, д.23</t>
  </si>
  <si>
    <t>г. Уфа, ул. Черниковская, д.25</t>
  </si>
  <si>
    <t>г. Уфа, ул. Черниковская, д.41а</t>
  </si>
  <si>
    <t>г. Уфа, ул. Черниковская, д.45</t>
  </si>
  <si>
    <t>г. Уфа, ул. Черниковская, д.45а</t>
  </si>
  <si>
    <t>г. Уфа, ул. Черниковская, д.47</t>
  </si>
  <si>
    <t>г. Уфа, ул. Черниковская, д.47а</t>
  </si>
  <si>
    <t>г. Уфа, ул. Черниковская, д.48</t>
  </si>
  <si>
    <t>г. Уфа, ул. Черниковская, д.50</t>
  </si>
  <si>
    <t>г. Уфа, ул. Черниковская, д.54</t>
  </si>
  <si>
    <t>г. Уфа, ул. Черниковская, д.75 корп.2</t>
  </si>
  <si>
    <t>г. Уфа, ул. Чернышевского, д.100</t>
  </si>
  <si>
    <t>г. Уфа, ул. Чернышевского, д.14 корп.1</t>
  </si>
  <si>
    <t>г. Уфа, ул. Чудинова, д.14</t>
  </si>
  <si>
    <t>г. Уфа, ул. Шафиева, д.43 корп.1</t>
  </si>
  <si>
    <t>г. Уфа, ул. Шафиева, д.8 корп.1</t>
  </si>
  <si>
    <t>г. Уфа, ул. Шота Руставели, д.23</t>
  </si>
  <si>
    <t>г. Уфа, ул. Энтузиастов, д.6</t>
  </si>
  <si>
    <t>г. Уфа, ул. Юрия Гагарина, д.12 корп.4</t>
  </si>
  <si>
    <t>г. Уфа, п. Новые Черкассы, ул. Юрия Гагарина, д.13</t>
  </si>
  <si>
    <t>г. Уфа, ул. Юрия Гагарина, д.14 корп.1</t>
  </si>
  <si>
    <t>г. Уфа, ул. Юрия Гагарина, д.64 корп.1</t>
  </si>
  <si>
    <t>г. Уфа, ул. Юрия Гагарина, д.74</t>
  </si>
  <si>
    <t>г. Уфа, ул. Уфимское шоссе, д.31</t>
  </si>
  <si>
    <t>г. Агидель, ул. Академика Курчатова, д.1 корп.11</t>
  </si>
  <si>
    <t>г. Агидель, ул. Академика Курчатова, д.11</t>
  </si>
  <si>
    <t>г. Агидель, ул. Первых Строителей, д.12</t>
  </si>
  <si>
    <t>г. Нефтекамск, пр-кт Юбилейный, д.11</t>
  </si>
  <si>
    <t>г. Нефтекамск, ш. Березовское, д.2а</t>
  </si>
  <si>
    <t>г. Нефтекамск, ул. Дзержинского, д.26</t>
  </si>
  <si>
    <t>г. Нефтекамск, ул. Дзержинского, д.28</t>
  </si>
  <si>
    <t>г. Нефтекамск, ул. Дзержинского, д.32</t>
  </si>
  <si>
    <t>г. Нефтекамск, ул. Дорожная, д.29</t>
  </si>
  <si>
    <t>г. Нефтекамск, ул. Карла Маркса, д.2а</t>
  </si>
  <si>
    <t>г. Нефтекамск, ул. Карла Маркса, д.12</t>
  </si>
  <si>
    <t>г. Нефтекамск, ул. Ленина, д.29</t>
  </si>
  <si>
    <t>г. Нефтекамск, ул. Ленина, д.3б</t>
  </si>
  <si>
    <t>г. Нефтекамск, ул. Ленина, д.68</t>
  </si>
  <si>
    <t>г. Нефтекамск, ул. Ленина, д.7</t>
  </si>
  <si>
    <t>г. Нефтекамск, ул. Ленина, д.7в</t>
  </si>
  <si>
    <t>г. Нефтекамск, ул. Нефтяников, д.7</t>
  </si>
  <si>
    <t>г. Нефтекамск, ул. Нефтяников, д.7а</t>
  </si>
  <si>
    <t>г. Нефтекамск, ул. Нефтяников, д.11б</t>
  </si>
  <si>
    <t>г. Нефтекамск, ул. Нефтяников, д.13а</t>
  </si>
  <si>
    <t>г. Нефтекамск, ул. Парковая, д.23а</t>
  </si>
  <si>
    <t>г. Нефтекамск, ул. Парковая, д.9</t>
  </si>
  <si>
    <t>г. Нефтекамск, ул. Парковая, д.27</t>
  </si>
  <si>
    <t>г. Нефтекамск, ул. Пионерская, д.2а</t>
  </si>
  <si>
    <t>г. Нефтекамск, ул. Социалистическая, д.89а корп.1</t>
  </si>
  <si>
    <t>г. Нефтекамск, ул. Социалистическая, д.105</t>
  </si>
  <si>
    <t>г. Нефтекамск, ул. Социалистическая, д.20</t>
  </si>
  <si>
    <t>г. Нефтекамск, ул. Социалистическая, д.26</t>
  </si>
  <si>
    <t>г. Нефтекамск, ул. Социалистическая, д.40в</t>
  </si>
  <si>
    <t>г. Нефтекамск, ул. Социалистическая, д.54</t>
  </si>
  <si>
    <t>г. Нефтекамск, ул. Социалистическая, д.87</t>
  </si>
  <si>
    <t>г. Нефтекамск, ул. Строителей, д.43</t>
  </si>
  <si>
    <t>г. Нефтекамск, ул. Строителей, д.49</t>
  </si>
  <si>
    <t>г. Нефтекамск, ул. Строителей, д.77</t>
  </si>
  <si>
    <t>г. Нефтекамск, ул. Строителей, д.79</t>
  </si>
  <si>
    <t>г. Нефтекамск, ул. Строителей, д.97</t>
  </si>
  <si>
    <t>г. Нефтекамск, ул. Энергетиков, д.5</t>
  </si>
  <si>
    <t>с. Амзя, ул. Азина, д.13</t>
  </si>
  <si>
    <t>с. Амзя, ул. Кудрявцева, д.3</t>
  </si>
  <si>
    <t>с. Амзя, ул. Кудрявцева, д.8</t>
  </si>
  <si>
    <t>с. Амзя, ул. Свердлова, д.10</t>
  </si>
  <si>
    <t>г. Октябрьский, мкр. 24-й, д.11</t>
  </si>
  <si>
    <t>г. Октябрьский, мкр. 24-й, д.14 корп.15</t>
  </si>
  <si>
    <t>г. Октябрьский, мкр. 25-й, д.13</t>
  </si>
  <si>
    <t>г. Октябрьский, мкр. 25-й, д.13а</t>
  </si>
  <si>
    <t>г. Октябрьский, мкр. 25-й, д.19</t>
  </si>
  <si>
    <t>г. Октябрьский, мкр. 34-й, д.16б</t>
  </si>
  <si>
    <t>г. Октябрьский, мкр. 34-й, д.5</t>
  </si>
  <si>
    <t>г. Октябрьский, мкр. 34-й, д.9а</t>
  </si>
  <si>
    <t>г. Октябрьский, мкр. 34-й, д.9 корп.1</t>
  </si>
  <si>
    <t>г. Октябрьский, мкр. 34-й, д.9 корп.2</t>
  </si>
  <si>
    <t>г. Октябрьский, мкр. 34-й, д.9 корп.3</t>
  </si>
  <si>
    <t>г. Октябрьский, мкр. 35-й, д.2</t>
  </si>
  <si>
    <t>г. Октябрьский, мкр. 35-й, д.2а</t>
  </si>
  <si>
    <t>г. Октябрьский, мкр. 35-й, д.20</t>
  </si>
  <si>
    <t>г. Октябрьский, мкр. 35-й, д.30а</t>
  </si>
  <si>
    <t>г. Октябрьский, мкр. 35-й, д.31</t>
  </si>
  <si>
    <t>г. Октябрьский, мкр. 35-й, д.31а</t>
  </si>
  <si>
    <t>г. Октябрьский, мкр. 35-й, д.38</t>
  </si>
  <si>
    <t>г. Октябрьский, пр-кт Ленина, д.14</t>
  </si>
  <si>
    <t>г. Октябрьский, пр-кт Ленина, д.39</t>
  </si>
  <si>
    <t>г. Октябрьский, пр-кт Ленина, д.51</t>
  </si>
  <si>
    <t>г. Октябрьский, пр-кт Ленина, д.57 п.7, п.8</t>
  </si>
  <si>
    <t>г. Октябрьский, пр-кт Ленина, д.65</t>
  </si>
  <si>
    <t>г. Октябрьский, пр-кт Ленина, д.71</t>
  </si>
  <si>
    <t>г. Октябрьский, ул. Аксакова, д.3</t>
  </si>
  <si>
    <t>г. Октябрьский, ул. Герцена, д.26</t>
  </si>
  <si>
    <t>г. Октябрьский, ул. Гоголя, д.8</t>
  </si>
  <si>
    <t>г. Октябрьский, ул. Горького, д.9</t>
  </si>
  <si>
    <t>г. Октябрьский, ул. Девонская, д.14</t>
  </si>
  <si>
    <t>г. Октябрьский, ул. Комсомольская, д.20</t>
  </si>
  <si>
    <t>г. Октябрьский, ул. Комсомольская, д.23а</t>
  </si>
  <si>
    <t>г. Октябрьский, ул. Комсомольская, д.25</t>
  </si>
  <si>
    <t>г. Октябрьский, ул. Комсомольская, д.29</t>
  </si>
  <si>
    <t>г. Октябрьский, ул. Комсомольская, д.31</t>
  </si>
  <si>
    <t>г. Октябрьский, ул. Комсомольская, д.37</t>
  </si>
  <si>
    <t>г. Октябрьский, ул. Комсомольская, д.39</t>
  </si>
  <si>
    <t>г. Октябрьский, ул. Кувыкина, д.10</t>
  </si>
  <si>
    <t>г. Октябрьский, ул. Кувыкина, д.45</t>
  </si>
  <si>
    <t>г. Октябрьский, ул. Куйбышева, д.19</t>
  </si>
  <si>
    <t>г. Октябрьский, ул. Луначарского, д.4</t>
  </si>
  <si>
    <t>г. Октябрьский, ул. Новоселов, д.18</t>
  </si>
  <si>
    <t>г. Октябрьский, ул. Островского, д.39</t>
  </si>
  <si>
    <t>г. Октябрьский, ул. Садовое Кольцо, д.16</t>
  </si>
  <si>
    <t>г. Октябрьский, ул. Садовое Кольцо, д.34</t>
  </si>
  <si>
    <t>г. Октябрьский, ул. Садовое Кольцо, д.79</t>
  </si>
  <si>
    <t>г. Октябрьский, ул. Свердлова, д.12</t>
  </si>
  <si>
    <t>г. Октябрьский, ул. Свердлова, д.20</t>
  </si>
  <si>
    <t>г. Октябрьский, ул. Свердлова, д.39</t>
  </si>
  <si>
    <t>г. Октябрьский, ул. Северная, д.26</t>
  </si>
  <si>
    <t>г. Октябрьский, ул. Социалистическая, д.4а</t>
  </si>
  <si>
    <t>г. Октябрьский, ул. Чапаева, д.19</t>
  </si>
  <si>
    <t>г. Октябрьский, ул. Чапаева, д.21</t>
  </si>
  <si>
    <t>г. Октябрьский, ул. Чапаева, д.40</t>
  </si>
  <si>
    <t>с. Раевский, ул. Дружбы, д.19а</t>
  </si>
  <si>
    <t>с. Раевский, ул. Крупской, д.6а</t>
  </si>
  <si>
    <t>с. Аскино, ул. Гагарина, д.8</t>
  </si>
  <si>
    <t>с. Аскино, ул. Советская, д.16</t>
  </si>
  <si>
    <t>с. Аскино, ул. Советская, д.20</t>
  </si>
  <si>
    <t>с. Бакалы, пл. Ворошилова, д.6</t>
  </si>
  <si>
    <t>с. Бакалы, пл. Ворошилова, д.14</t>
  </si>
  <si>
    <t>с. Бакалы, ул. Красных Партизан, д.56</t>
  </si>
  <si>
    <t>г. Белебей, ул. Красная, д.120</t>
  </si>
  <si>
    <t>г. Белебей, ул. Красная, д.122</t>
  </si>
  <si>
    <t>г. Белебей, ул. Красная, д.128</t>
  </si>
  <si>
    <t>г. Белебей, ул. Красная, д.130</t>
  </si>
  <si>
    <t>г. Белебей, ул. Максимовой, д.18</t>
  </si>
  <si>
    <t>г. Белебей, ул. им М.Г.Амирова, д.7б</t>
  </si>
  <si>
    <t>г. Белебей, ул. Площадка РТС, д.6</t>
  </si>
  <si>
    <t>г. Белебей, ул. Революционеров, д.10</t>
  </si>
  <si>
    <t>г. Белебей, ул. Революционеров, д.16</t>
  </si>
  <si>
    <t>г. Белебей, ул. Тукаева, д.74</t>
  </si>
  <si>
    <t>г. Белебей, ул. Фурманова, д.69</t>
  </si>
  <si>
    <t>с. Аксаково, ул. Первомайская, д.63</t>
  </si>
  <si>
    <t>с. Баженово, ул. Советская, д.4</t>
  </si>
  <si>
    <t>с. ЦУ племзавода им Максима Горького, ул. Мира, д.2</t>
  </si>
  <si>
    <t>с. Новобелокатай, ул. Ленина, д.3</t>
  </si>
  <si>
    <t>с. Бижбуляк, ул. Центральная, д.71</t>
  </si>
  <si>
    <t>г. Бирск, пер. Уфимский, д.7</t>
  </si>
  <si>
    <t>г. Бирск, ул. 2 Пятилетка, д.3</t>
  </si>
  <si>
    <t>г. Бирск, ул. 2 Пятилетка, д.3а</t>
  </si>
  <si>
    <t>г. Бирск, ул. 8 Марта, д.22</t>
  </si>
  <si>
    <t>г. Бирск, ул. 8 Марта, д.24б</t>
  </si>
  <si>
    <t>г. Бирск, ул. 8 Марта, д.34</t>
  </si>
  <si>
    <t>г. Бирск, ул. 8 Марта, д.36</t>
  </si>
  <si>
    <t>г. Бирск, ул. Гагарина, д.85</t>
  </si>
  <si>
    <t>г. Бирск, ул. Гагарина, д.86</t>
  </si>
  <si>
    <t>г. Бирск, ул. Интернациональная, д.118а</t>
  </si>
  <si>
    <t>г. Бирск, ул. Калинина, д.24а</t>
  </si>
  <si>
    <t>г. Бирск, ул. Калинина, д.27</t>
  </si>
  <si>
    <t>г. Бирск, ул. Комарова, д.40</t>
  </si>
  <si>
    <t>г. Бирск, ул. Коммунистическая, д.27</t>
  </si>
  <si>
    <t>г. Бирск, ул. Ленина, д.8</t>
  </si>
  <si>
    <t>г. Бирск, ул. Мира, д.118</t>
  </si>
  <si>
    <t>с. Осиновка, ул. Овчинникова, д.9</t>
  </si>
  <si>
    <t>с. Старобурново, ул. Мира, д.9</t>
  </si>
  <si>
    <t>с. Суслово, ул. Центральная, д.30а</t>
  </si>
  <si>
    <t>с. Мирный, ул. Ленина, д.6</t>
  </si>
  <si>
    <t>с. Первомайский, ул. Победы, д.2</t>
  </si>
  <si>
    <t>г. Благовещенск, ул. Комарова, д.3 корп.2</t>
  </si>
  <si>
    <t>г. Благовещенск, ул. Братьев Першиных, д.3 корп.3</t>
  </si>
  <si>
    <t>г. Благовещенск, ул. Зенцова, д.2</t>
  </si>
  <si>
    <t>г. Благовещенск, ул. Кирова, д.7</t>
  </si>
  <si>
    <t>г. Благовещенск, ул. Кирова, д.9</t>
  </si>
  <si>
    <t>г. Благовещенск, ул. Комарова, д.7 корп.1</t>
  </si>
  <si>
    <t>г. Благовещенск, ул. Расковой, д.51</t>
  </si>
  <si>
    <t>г. Благовещенск, ул. Расковой, д.51 корп.1</t>
  </si>
  <si>
    <t>г. Благовещенск, ул. Расковой, д.57 корп.1</t>
  </si>
  <si>
    <t>г. Благовещенск, ул. Социалистическая, д.18</t>
  </si>
  <si>
    <t>г. Благовещенск, ул. Худайбердина, д.20</t>
  </si>
  <si>
    <t>с. Ильино-Поляна, ул. Юбилейная, д.1 корп.2</t>
  </si>
  <si>
    <t>с. Буздяк, ул. Ленина, д.44</t>
  </si>
  <si>
    <t>с. Буздяк, ул. Интернациональная, д.12</t>
  </si>
  <si>
    <t>с. Буздяк, ул. Титова, д.4</t>
  </si>
  <si>
    <t>с. Буздяк, ул. Титова, д.6</t>
  </si>
  <si>
    <t>с. Бураево, ул. Ленина, д.10</t>
  </si>
  <si>
    <t>г. Давлеканово, ул. Мажита Гафури, д.12</t>
  </si>
  <si>
    <t>г. Давлеканово, ул. Мажита Гафури, д.14</t>
  </si>
  <si>
    <t>г. Давлеканово, ул. Московская, д.102</t>
  </si>
  <si>
    <t>г. Давлеканово, ул. Чкалова, д.7</t>
  </si>
  <si>
    <t>г. Давлеканово, ул. Высоковольтная, д.2</t>
  </si>
  <si>
    <t>г. Давлеканово, ул. 50 лет Башкирии, д.4</t>
  </si>
  <si>
    <t>с. Месягутово, ул. Октябрьская, д.3</t>
  </si>
  <si>
    <t>с. Месягутово, ул. Заводская, д.2</t>
  </si>
  <si>
    <t>г. Дюртюли, ул. 70-летия Октября, д.1 корп.2</t>
  </si>
  <si>
    <t>г. Дюртюли, ул. Василия Горшкова, д.7 корп.1</t>
  </si>
  <si>
    <t>г. Дюртюли, ул. Василия Горшкова, д.13</t>
  </si>
  <si>
    <t>г. Дюртюли, ул. Первомайская, д.7</t>
  </si>
  <si>
    <t>г. Дюртюли, ул. Первомайская, д.112</t>
  </si>
  <si>
    <t>г. Дюртюли, ул. Садовая, д.3</t>
  </si>
  <si>
    <t>г. Дюртюли, ул. Садовая, д.7</t>
  </si>
  <si>
    <t>г. Дюртюли, ул. Шаехзады Бабича, д.1</t>
  </si>
  <si>
    <t>г. Дюртюли, ул. Шаехзады Бабича, д.1 корп.1</t>
  </si>
  <si>
    <t>г. Дюртюли, ул. Уфимская, д.33</t>
  </si>
  <si>
    <t>с. Асяново, ул. Заводская, д.1</t>
  </si>
  <si>
    <t>с. Асяново, ул. Заводская, д.2</t>
  </si>
  <si>
    <t xml:space="preserve">с. Семилетка, ул. Северная, д.2 </t>
  </si>
  <si>
    <t xml:space="preserve">с. Семилетка, ул. Северная, д.5 </t>
  </si>
  <si>
    <t>с. им 8 Марта, ул. Школьная, д.5</t>
  </si>
  <si>
    <t>с. Урман, ул. Центральная, д.12</t>
  </si>
  <si>
    <t>с. Иглино, ул. Ленина, д.46</t>
  </si>
  <si>
    <t>с. Иглино, ул. Калинина, д.46</t>
  </si>
  <si>
    <t>с. Верхнеяркеево, ул. Пушкина, д.5</t>
  </si>
  <si>
    <t>с. Верхнеяркеево, ул. Советская, д.19 корп.1</t>
  </si>
  <si>
    <t>с. Верхнеяркеево, ул. Комсомольская, д.6</t>
  </si>
  <si>
    <t>с. Верхнеяркеево, ул. Худайбердина, д.5</t>
  </si>
  <si>
    <t>с. Кутерем, ул. Нефтяников, д.10</t>
  </si>
  <si>
    <t>с. Караидель, ул. Горького, д.14</t>
  </si>
  <si>
    <t>с. Верхние Киги, ул. Микрорайон, д.2</t>
  </si>
  <si>
    <t>с. Куяново, пер. Молодежный, д.9</t>
  </si>
  <si>
    <t>с. Николо-Березовка, ул. Дорожная, д.42 корп.3</t>
  </si>
  <si>
    <t>с. Кушнаренково, ул. Октябрьская, д.31</t>
  </si>
  <si>
    <t>с. Кушнаренково, ул. Октябрьская, д.36</t>
  </si>
  <si>
    <t>с. Большеустьикинское, ул. Ленина, д.14</t>
  </si>
  <si>
    <t>с. Большеустьикинское, ул. Мира, д.1а</t>
  </si>
  <si>
    <t>с. Большеустьикинское, ул. Строительная, д.2а</t>
  </si>
  <si>
    <t>с. Мишкино, ул. Мира, д.40</t>
  </si>
  <si>
    <t>с. Киргиз-Мияки, ул. Губайдуллина, д.142</t>
  </si>
  <si>
    <t>с. Красная горка, ул. Нуриманова, д.22</t>
  </si>
  <si>
    <t>с. Павловка, ул. Карла Маркса, д.26</t>
  </si>
  <si>
    <t>с. Малояз, ул. Коммунистическая, д.67</t>
  </si>
  <si>
    <t>с. Верхние Татышлы, ул. Строителей, д.26</t>
  </si>
  <si>
    <t>г. Туймазы, пр-кт Ленина, д.6б</t>
  </si>
  <si>
    <t>г. Туймазы, пр-кт Ленина, д.6в</t>
  </si>
  <si>
    <t>г. Туймазы, пр-кт Ленина, д.9а</t>
  </si>
  <si>
    <t>г. Туймазы, ул. 8 Марта, д.13</t>
  </si>
  <si>
    <t>г. Туймазы, ул. 70 лет Октября, д.9</t>
  </si>
  <si>
    <t>г. Туймазы, ул. Аксакова, д.7</t>
  </si>
  <si>
    <t>г. Туймазы, ул. Комарова, д.16</t>
  </si>
  <si>
    <t>г. Туймазы, ул. Комарова, д.18</t>
  </si>
  <si>
    <t>г. Туймазы, ул. Комарова, д.21</t>
  </si>
  <si>
    <t>г. Туймазы, ул. Комарова, д.23а</t>
  </si>
  <si>
    <t>г. Туймазы, ул. Комарова, д.27</t>
  </si>
  <si>
    <t>г. Туймазы, ул. Комарова, д.28 корп.1</t>
  </si>
  <si>
    <t>г. Туймазы, ул. Комарова, д.31а</t>
  </si>
  <si>
    <t>г. Туймазы, ул. О.Кошевого, д.16а</t>
  </si>
  <si>
    <t>г. Туймазы, ул. Островского, д.30</t>
  </si>
  <si>
    <t>г. Туймазы, ул. Чапаева, д.6</t>
  </si>
  <si>
    <t>г. Туймазы, ул. Чапаева, д.8</t>
  </si>
  <si>
    <t>с. Кандры, пер. Матросова, д.1</t>
  </si>
  <si>
    <t>с. Кандры, ул. Ленина, д.5</t>
  </si>
  <si>
    <t>с. Кандры, ул. Матросова, д.13б</t>
  </si>
  <si>
    <t>с. Кандры, ул. Чапаева, д.11</t>
  </si>
  <si>
    <t>с. Кандры, ул. Чапаева, д.9</t>
  </si>
  <si>
    <t>с. Серафимовский, 19-й кв-л, д.2</t>
  </si>
  <si>
    <t>с. Серафимовский, 19-й кв-л, д.4</t>
  </si>
  <si>
    <t>с. Серафимовский, 19-й кв-л, д.7</t>
  </si>
  <si>
    <t>с. Серафимовский, 20-й кв-л, д.1</t>
  </si>
  <si>
    <t>с. Серафимовский, 20-й кв-л, д.2</t>
  </si>
  <si>
    <t>с. Серафимовский, 21-й кв-л, д.13</t>
  </si>
  <si>
    <t>с. Серафимовский, 21-й кв-л, д.2</t>
  </si>
  <si>
    <t>с. Серафимовский, 21-й кв-л, д.3</t>
  </si>
  <si>
    <t>с. Серафимовский, 21-й кв-л, д.6</t>
  </si>
  <si>
    <t>с. Субханкулово, ул. Ленина, д.4</t>
  </si>
  <si>
    <t>д. Волково, с.п. Дмитриевский, мкр. Солнечный, д.2</t>
  </si>
  <si>
    <t>д. Волково, с.п. Дмитриевский, мкр. Солнечный, д.7</t>
  </si>
  <si>
    <t>д. Дубрава, с.п. Таптыковский, ул. Лесная, д.2</t>
  </si>
  <si>
    <t>д. Дубрава, с.п. Таптыковский, ул. Лесная, д.3</t>
  </si>
  <si>
    <t>д. Николаевка, с.п. Николаевский, ул. Дружбы, д.11</t>
  </si>
  <si>
    <t>с. Дмитриевка, с.п. Дмитриевский, ул. Дорожная, д.1</t>
  </si>
  <si>
    <t>с. Дмитриевка, с.п. Дмитриевский, ул. Трактовая, д.20</t>
  </si>
  <si>
    <t>с. Красный Яр, с.п. Красноярский, пер. Речной, д.4</t>
  </si>
  <si>
    <t>с. Красный Яр, с.п. Красноярский, ул. Советская, д.85</t>
  </si>
  <si>
    <t>с. Красный Яр, с.п. Красноярский, ул. Фрунзе, д.49</t>
  </si>
  <si>
    <t>с. Миловка, с.п. Миловский, ул. Победы, д.3</t>
  </si>
  <si>
    <t>с. Михайловка, с.п. Михайловский, ул. Ленина, д.36</t>
  </si>
  <si>
    <t>с. Михайловка, с.п. Михайловский, ул. Ленина, д.38</t>
  </si>
  <si>
    <t>с. Ольховое, с.п. Ольховский, ул. Советская, д.9</t>
  </si>
  <si>
    <t>с. Старокалмашево, ул. Нефтяников, д.6</t>
  </si>
  <si>
    <t>с. Чекмагуш, ул. 70 лет Октября, д.6 корп.1</t>
  </si>
  <si>
    <t>с. Чекмагуш, ул. Мира, д.2</t>
  </si>
  <si>
    <t>с. Чекмагуш, ул. Мира, д.20</t>
  </si>
  <si>
    <t>с. Чекмагуш, ул. Мира, д.22</t>
  </si>
  <si>
    <t>рп Чишмы, ул. Западная, д.4</t>
  </si>
  <si>
    <t>рп Чишмы, ул. Ленина, д.72</t>
  </si>
  <si>
    <t>рп Чишмы, ул. Чернышевского, д.2</t>
  </si>
  <si>
    <t>рп Чишмы, ул. Чернышевского, д.4</t>
  </si>
  <si>
    <t>рп Чишмы, ул. Чернышевского, д.6</t>
  </si>
  <si>
    <t>рп Чишмы, ул. Чернышевского, д.7а</t>
  </si>
  <si>
    <t>рп Чишмы, ул. Чернышевского, д.21</t>
  </si>
  <si>
    <t>с. Алкино-2, ул. Центральная, д.14</t>
  </si>
  <si>
    <t>с. Шингак-Куль, ул. Шоссейная, д.3</t>
  </si>
  <si>
    <t>с. Шаран, ул. Гагарина, д.7</t>
  </si>
  <si>
    <t>с. Шаран, ул. Гагарина, д.13</t>
  </si>
  <si>
    <t>с. Шаран, ул. Пролетарская, д.8</t>
  </si>
  <si>
    <t>г. Янаул, ул. Ломоносова, д.1</t>
  </si>
  <si>
    <t>г. Янаул, ул. Некрасова, д.23</t>
  </si>
  <si>
    <t>г. Янаул, ул. Советская, д.8</t>
  </si>
  <si>
    <t>г. Янаул, ул. Юбилейная, д.1</t>
  </si>
  <si>
    <t>г. Янаул, ул. Юбилейная, д.9</t>
  </si>
  <si>
    <t>г. Янаул, ул. Юбилейная, д.10</t>
  </si>
  <si>
    <t>г. Янаул, ул. Юбилейная, д.15</t>
  </si>
  <si>
    <t>г. Кумертау, ул. 40 лет Победы, д.46</t>
  </si>
  <si>
    <t>г. Кумертау, ул. 40 лет Победы, д.46а</t>
  </si>
  <si>
    <t>г. Кумертау, ул. 60 лет БАССР, д.14</t>
  </si>
  <si>
    <t>г. Кумертау, ул. Вокзальная, д.22</t>
  </si>
  <si>
    <t>г. Кумертау, ул. Гафури, д.2а</t>
  </si>
  <si>
    <t>г. Кумертау, ул. Гафури, д.2в</t>
  </si>
  <si>
    <t>г. Кумертау, ул. Горького, д.8</t>
  </si>
  <si>
    <t>г. Кумертау, ул. Дзержинского, д.1</t>
  </si>
  <si>
    <t>г. Кумертау, ул. Логовая, д.36</t>
  </si>
  <si>
    <t>г. Кумертау, ул. Логовая, д.36а</t>
  </si>
  <si>
    <t>г. Кумертау, ул. Логовая, д.8</t>
  </si>
  <si>
    <t>г. Кумертау, ул. Ломоносова, д.23</t>
  </si>
  <si>
    <t>г. Кумертау, ул. Машиностроителей, д.3</t>
  </si>
  <si>
    <t>г. Кумертау, ул. Машиностроителей, д.3б</t>
  </si>
  <si>
    <t>г. Кумертау, ул. Мира, д.2</t>
  </si>
  <si>
    <t>г. Кумертау, ул. Пушкина, д.11</t>
  </si>
  <si>
    <t>г. Кумертау, ул. Советская, д.1</t>
  </si>
  <si>
    <t>г. Кумертау, ул. Худайбердина, д.12</t>
  </si>
  <si>
    <t>г. Кумертау, ул. Худайбердина, д.8</t>
  </si>
  <si>
    <t>г. Кумертау, ул. Шахтостроительная, д.12</t>
  </si>
  <si>
    <t>г. Кумертау, ул. Шахтостроительная, д.14</t>
  </si>
  <si>
    <t>г. Кумертау, ул. Энергетиков, д.21</t>
  </si>
  <si>
    <t>г. Салават, б-р Юлаева, д.9а</t>
  </si>
  <si>
    <t>г. Салават, пр-кт Нефтяников, д.11</t>
  </si>
  <si>
    <t>г. Салават, пр-кт Нефтяников, д.4</t>
  </si>
  <si>
    <t>г. Салават, ул. Хмельницкого, д.40</t>
  </si>
  <si>
    <t>г. Салават, ул. Бочкарева, д.12</t>
  </si>
  <si>
    <t>г. Салават, ул. Гафури, д.12</t>
  </si>
  <si>
    <t>г. Салават, ул. Гафури, д.2</t>
  </si>
  <si>
    <t>г. Салават, ул. Гафури, д.28</t>
  </si>
  <si>
    <t>г. Салават, ул. Горького, д.32</t>
  </si>
  <si>
    <t>г. Салават, ул. Губкина, д.8а</t>
  </si>
  <si>
    <t>г. Салават, ул. Губкина, д.9</t>
  </si>
  <si>
    <t>г. Салават, ул. Колхозная, д.16</t>
  </si>
  <si>
    <t>г. Салават, ул. Колхозная, д.20</t>
  </si>
  <si>
    <t>г. Салават, ул. Ленина, д.40</t>
  </si>
  <si>
    <t>г. Салават, ул. Октябрьская, д.15</t>
  </si>
  <si>
    <t>г. Салават, ул. Октябрьская, д.21</t>
  </si>
  <si>
    <t>г. Салават, ул. Октябрьская, д.29</t>
  </si>
  <si>
    <t>г. Салават, ул. Октябрьская, д.31</t>
  </si>
  <si>
    <t>г. Салават, ул. Октябрьская, д.36</t>
  </si>
  <si>
    <t>г. Салават, ул. Островского, д.82а</t>
  </si>
  <si>
    <t>г. Салават, ул. Пархоменко, д.2</t>
  </si>
  <si>
    <t>г. Салават, ул. Речная, д.37</t>
  </si>
  <si>
    <t>г. Салават, ул. Уфимская, д.54</t>
  </si>
  <si>
    <t>г. Сибай, пр-кт Горняков, д.40</t>
  </si>
  <si>
    <t>г. Сибай, пр-кт Горняков, д.5</t>
  </si>
  <si>
    <t>г. Сибай, ул. Заки Валиди, д.55/1</t>
  </si>
  <si>
    <t>г. Сибай, ул. Заки Валиди, д.61</t>
  </si>
  <si>
    <t>г. Сибай, ул. Цеткин, д.10/1</t>
  </si>
  <si>
    <t>г. Сибай, ул. Ленина, д.17</t>
  </si>
  <si>
    <t>г. Сибай, ул. Ленина, д.28</t>
  </si>
  <si>
    <t>г. Сибай, ул. Маяковского, д.14</t>
  </si>
  <si>
    <t>г. Сибай, ул. Маяковского, д.16</t>
  </si>
  <si>
    <t>г. Сибай, ул. Ленина, д.1</t>
  </si>
  <si>
    <t>г. Сибай, пр-кт Горняков, д.13</t>
  </si>
  <si>
    <t>г. Стерлитамак, пр-кт Ленина, д.20</t>
  </si>
  <si>
    <t>г. Стерлитамак, пр-кт Ленина, д.45а</t>
  </si>
  <si>
    <t>г. Стерлитамак, пр-кт Ленина, д.63</t>
  </si>
  <si>
    <t>г. Стерлитамак, пр-кт Ленина, д.81</t>
  </si>
  <si>
    <t>г. Стерлитамак, пр-кт Ленина, д.87</t>
  </si>
  <si>
    <t>г. Стерлитамак, пр-кт Октября, д.27</t>
  </si>
  <si>
    <t>г. Стерлитамак, пр-кт Октября, д.73</t>
  </si>
  <si>
    <t>г. Стерлитамак, пр-кт Октября, д.77</t>
  </si>
  <si>
    <t>г. Стерлитамак, пр-кт Октября, д.81</t>
  </si>
  <si>
    <t>г. Стерлитамак, ул. Артема, д.133</t>
  </si>
  <si>
    <t>г. Стерлитамак, ул. Артема, д.147</t>
  </si>
  <si>
    <t>г. Стерлитамак, ул. Артема, д.47</t>
  </si>
  <si>
    <t>г. Стерлитамак, ул. Блюхера, д.12</t>
  </si>
  <si>
    <t>г. Стерлитамак, ул. Блюхера, д.12б</t>
  </si>
  <si>
    <t>г. Стерлитамак, ул. Блюхера, д.23</t>
  </si>
  <si>
    <t>г. Стерлитамак, ул. Блюхера, д.25</t>
  </si>
  <si>
    <t>г. Стерлитамак, ул. Воинов-Интернационалистов, д.38</t>
  </si>
  <si>
    <t>г. Стерлитамак, ул. Волочаевская, д.6</t>
  </si>
  <si>
    <t>г. Стерлитамак, ул. Гоголя, д.105</t>
  </si>
  <si>
    <t>г. Стерлитамак, ул. Гоголя, д.121</t>
  </si>
  <si>
    <t>г. Стерлитамак, ул. Гоголя, д.131</t>
  </si>
  <si>
    <t>г. Стерлитамак, ул. Гоголя, д.133</t>
  </si>
  <si>
    <t>г. Стерлитамак, ул. Гоголя, д.145</t>
  </si>
  <si>
    <t>г. Стерлитамак, ул. Гоголя, д.149</t>
  </si>
  <si>
    <t>г. Стерлитамак, ул. Гоголя, д.149а</t>
  </si>
  <si>
    <t>г. Стерлитамак, ул. Голикова, д.24</t>
  </si>
  <si>
    <t>г. Стерлитамак, ул. Гражданская, д.41</t>
  </si>
  <si>
    <t>г. Стерлитамак, ул. Дружбы, д.20</t>
  </si>
  <si>
    <t>г. Стерлитамак, ул. Дружбы, д.21</t>
  </si>
  <si>
    <t>г. Стерлитамак, ул. Дружбы, д.29</t>
  </si>
  <si>
    <t>г. Стерлитамак, ул. Дружбы, д.30а</t>
  </si>
  <si>
    <t>г. Стерлитамак, ул. Дружбы, д.30б</t>
  </si>
  <si>
    <t>г. Стерлитамак, ул. Дружбы, д.30в</t>
  </si>
  <si>
    <t>г. Стерлитамак, ул. Дружбы, д.43</t>
  </si>
  <si>
    <t>г. Стерлитамак, ул. Дружбы, д.58</t>
  </si>
  <si>
    <t>г. Стерлитамак, ул. Дружбы, д.68</t>
  </si>
  <si>
    <t>г. Стерлитамак, ул. Дружбы, д.70</t>
  </si>
  <si>
    <t>г. Стерлитамак, ул. Железнодорожная, д.10</t>
  </si>
  <si>
    <t>г. Стерлитамак, ул. Заводская, д.22</t>
  </si>
  <si>
    <t>г. Стерлитамак, ул. Ибрагимова, д.4</t>
  </si>
  <si>
    <t>г. Стерлитамак, ул. Караная Муратова, д.6</t>
  </si>
  <si>
    <t>г. Стерлитамак, ул. Карла Маркса, д.160</t>
  </si>
  <si>
    <t>г. Стерлитамак, ул. Коммунистическая, д.75</t>
  </si>
  <si>
    <t>г. Стерлитамак, ул. Кочетова, д.17</t>
  </si>
  <si>
    <t>г. Стерлитамак, ул. Кочетова, д.23б</t>
  </si>
  <si>
    <t>г. Стерлитамак, ул. Кочетова, д.26в</t>
  </si>
  <si>
    <t>г. Стерлитамак, ул. Курчатова, д.18</t>
  </si>
  <si>
    <t>г. Стерлитамак, ул. Курчатова, д.22</t>
  </si>
  <si>
    <t>г. Стерлитамак, ул. Курчатова, д.7</t>
  </si>
  <si>
    <t>г. Стерлитамак, ул. Коммунистическая, д.69</t>
  </si>
  <si>
    <t>г. Стерлитамак, ул. Мира, д.44</t>
  </si>
  <si>
    <t>г. Стерлитамак, ул. Николаева, д.6</t>
  </si>
  <si>
    <t>г. Стерлитамак, ул. Одесская, д.32а</t>
  </si>
  <si>
    <t>г. Стерлитамак, ул. Одесская, д.34а</t>
  </si>
  <si>
    <t>г. Стерлитамак, ул. Одесская, д.78</t>
  </si>
  <si>
    <t>г. Стерлитамак, ул. Патриотическая, д.92</t>
  </si>
  <si>
    <t>г. Стерлитамак, ул. Революционная, д.5</t>
  </si>
  <si>
    <t>г. Стерлитамак, ул. Сазонова, д.14</t>
  </si>
  <si>
    <t>г. Стерлитамак, ул. Сазонова, д.32</t>
  </si>
  <si>
    <t>г. Стерлитамак, ул. Сазонова, д.8</t>
  </si>
  <si>
    <t>г. Стерлитамак, ул. Сакко и Ванцетти, д.55</t>
  </si>
  <si>
    <t>г. Стерлитамак, ул. Свердлова, д.57</t>
  </si>
  <si>
    <t>г. Стерлитамак, ул. Свердлова, д.69</t>
  </si>
  <si>
    <t>г. Стерлитамак, ул. Социалистическая, д.10</t>
  </si>
  <si>
    <t>г. Стерлитамак, ул. Социалистическая, д.16</t>
  </si>
  <si>
    <t>г. Стерлитамак, ул. Социалистическая, д.32</t>
  </si>
  <si>
    <t>г. Стерлитамак, ул. Суханова, д.10б</t>
  </si>
  <si>
    <t>г. Стерлитамак, ул. Суханова, д.4</t>
  </si>
  <si>
    <t>г. Стерлитамак, ул. Суханова, д.6</t>
  </si>
  <si>
    <t>г. Стерлитамак, ул. Трудовые Резервы, д.4</t>
  </si>
  <si>
    <t>г. Стерлитамак, ул. Тукаева, д.5б</t>
  </si>
  <si>
    <t>г. Стерлитамак, ул. Уфимская, д.35</t>
  </si>
  <si>
    <t>г. Стерлитамак, ул. Худайбердина, д.137</t>
  </si>
  <si>
    <t>г. Стерлитамак, ул. Худайбердина, д.141</t>
  </si>
  <si>
    <t>г. Стерлитамак, ул. Худайбердина, д.150</t>
  </si>
  <si>
    <t>г. Стерлитамак, ул. Днепровская, д.18</t>
  </si>
  <si>
    <t>г. Стерлитамак, ул. Худайбердина, д.184</t>
  </si>
  <si>
    <t>г. Стерлитамак, ул. Худайбердина, д.204</t>
  </si>
  <si>
    <t>г. Стерлитамак, ул. Худайбердина, д.206</t>
  </si>
  <si>
    <t>г. Стерлитамак, ул. Худайбердина, д.212</t>
  </si>
  <si>
    <t>г. Стерлитамак, ул. Кочетова, д.21</t>
  </si>
  <si>
    <t>г. Стерлитамак, ул. Худайбердина, д.27</t>
  </si>
  <si>
    <t>г. Стерлитамак, ул. Худайбердина, д.77</t>
  </si>
  <si>
    <t>г. Стерлитамак, ул. Цюрупы, д.32</t>
  </si>
  <si>
    <t>г. Стерлитамак, ул. Цюрупы, д.5</t>
  </si>
  <si>
    <t>г. Стерлитамак, ул. Цюрупы, д.7</t>
  </si>
  <si>
    <t>г. Стерлитамак, ул. Черноморская, д.10</t>
  </si>
  <si>
    <t>г. Стерлитамак, ул. Шаймуратова, д.1</t>
  </si>
  <si>
    <t>г. Стерлитамак, ул. Шаймуратова, д.5в</t>
  </si>
  <si>
    <t>г. Стерлитамак, ул. Шаймуратова, д.7б</t>
  </si>
  <si>
    <t>г. Стерлитамак, ул. Элеваторная, д.100</t>
  </si>
  <si>
    <t>г. Стерлитамак, ул. Элеваторная, д.100а</t>
  </si>
  <si>
    <t>г. Стерлитамак, ул. Элеваторная, д.82</t>
  </si>
  <si>
    <t>г. Стерлитамак, ул. Якутова, д.9а</t>
  </si>
  <si>
    <t>г. Межгорье, ул. Комсомольская, д.25</t>
  </si>
  <si>
    <t>г. Межгорье, ул. Комсомольская, д.27</t>
  </si>
  <si>
    <t>г. Межгорье, ул. Комсомольская, д.7а</t>
  </si>
  <si>
    <t>г. Межгорье, ул. Комсомольская, д.9</t>
  </si>
  <si>
    <t>г. Межгорье, ул. Спортивная, д.24</t>
  </si>
  <si>
    <t>г. Межгорье, ул. Спортивная, д.3</t>
  </si>
  <si>
    <t>г. Межгорье, ул. Спортивная, д.6</t>
  </si>
  <si>
    <t>г. Межгорье, ул. Спортивная, д.7</t>
  </si>
  <si>
    <t>г. Межгорье, ул. Цветочная, д.4</t>
  </si>
  <si>
    <t>с. Аскарово, ул. Тангатарская, д.14</t>
  </si>
  <si>
    <t>с. Красная Башкирия, ул. Ленина, д.8</t>
  </si>
  <si>
    <t>с. Архангельское, ул. Ворошилова, д.113, к.1</t>
  </si>
  <si>
    <t>с. Толбазы, ул. Ленина, д.142</t>
  </si>
  <si>
    <t>с. Толбазы, ул. М.Гафури, д.4</t>
  </si>
  <si>
    <t>г. Белорецк, ул. 50 лет Октября, д.76</t>
  </si>
  <si>
    <t>с. Тирлянский, ул. Оглоблина, д.93</t>
  </si>
  <si>
    <t>с. Красноусольский, ул. Калмыкова, д.11</t>
  </si>
  <si>
    <t>с. Красноусольский, ул. К.Маркса, д.3</t>
  </si>
  <si>
    <t>г. Ишимбай, ул. Бульварная, д.32</t>
  </si>
  <si>
    <t>г. Ишимбай, ул. Бульварная, д.32а</t>
  </si>
  <si>
    <t>г. Ишимбай, ул. Бульварная, д.34</t>
  </si>
  <si>
    <t>г. Ишимбай, ул. Губкина, д.12</t>
  </si>
  <si>
    <t>г. Ишимбай, ул. Зеленая, д.15</t>
  </si>
  <si>
    <t>г. Ишимбай, ул. Докучаева, д.2</t>
  </si>
  <si>
    <t>г. Ишимбай, ул. Докучаева, д.4</t>
  </si>
  <si>
    <t>г. Ишимбай, ул. Докучаева, д.14</t>
  </si>
  <si>
    <t>г. Ишимбай, ул. Докучаева, д.17</t>
  </si>
  <si>
    <t>г. Ишимбай, пр-кт Ленина, д.31</t>
  </si>
  <si>
    <t>г. Ишимбай, пр-кт Ленина, д.51</t>
  </si>
  <si>
    <t>г. Ишимбай, ул. Мичурина, д.14</t>
  </si>
  <si>
    <t>г. Ишимбай, ул. Промысловая, д.3</t>
  </si>
  <si>
    <t>г. Ишимбай, ул. Промысловая, д.5</t>
  </si>
  <si>
    <t>г. Ишимбай, ул. Промысловая, д.9</t>
  </si>
  <si>
    <t>г. Ишимбай, ул. Стахановская, д.91</t>
  </si>
  <si>
    <t>г. Ишимбай, ул. Стахановская, д.108</t>
  </si>
  <si>
    <t>г. Ишимбай, ул. Чкалова, д.8</t>
  </si>
  <si>
    <t>г. Ишимбай, ул. Чкалова, д.17</t>
  </si>
  <si>
    <t>д. Кабаково, ул. Строителей, д.45</t>
  </si>
  <si>
    <t>д. Улукулево, ул. Строителей, д.17</t>
  </si>
  <si>
    <t>с. Кармаскалы, ул. Садовая, д.27</t>
  </si>
  <si>
    <t>с. Прибельский, ул. Ленина, д.20</t>
  </si>
  <si>
    <t>с. Ермолаево, ул. Советская, д.160</t>
  </si>
  <si>
    <t>с. Свобода, ул. Центральная, д.7а</t>
  </si>
  <si>
    <t>г. Мелеуз, мкр. 31-й, д.10</t>
  </si>
  <si>
    <t>г. Мелеуз, мкр. 32-й, д.10</t>
  </si>
  <si>
    <t>г. Мелеуз, мкр. 32-й, д.28</t>
  </si>
  <si>
    <t>г. Мелеуз, ул. Кочеткова, д.1а</t>
  </si>
  <si>
    <t>г. Мелеуз, ул. Ленина, д.135</t>
  </si>
  <si>
    <t>г. Мелеуз, ул. Ленина, д.150</t>
  </si>
  <si>
    <t>г. Мелеуз, ул. Метеорологическая, д.15</t>
  </si>
  <si>
    <t>г. Мелеуз, ул. Техническая, д.14</t>
  </si>
  <si>
    <t>г. Мелеуз, ул. Техническая, д.20</t>
  </si>
  <si>
    <t>с. Первомайский, ул. Молодежная, д.4</t>
  </si>
  <si>
    <t>с. Стерлибашево, ул. Ленина, д.102</t>
  </si>
  <si>
    <t>с. Стерлибашево, ул. Строителей, д.6</t>
  </si>
  <si>
    <t>с. Большой Куганак, ул. Мира, д.10</t>
  </si>
  <si>
    <t>с. Большой Куганак, ул. Фестивальная, д.3</t>
  </si>
  <si>
    <t>с. Большой Куганак, ул. Менделеева, д.2</t>
  </si>
  <si>
    <t>с. Верхние Услы, ул. 40 лет Победы, д.7</t>
  </si>
  <si>
    <t>с. Загородный, ул. Садовая, д.3</t>
  </si>
  <si>
    <t>с. Рощинский, ул. Майская, д.5</t>
  </si>
  <si>
    <t>с. Рощинский, ул. Майская, д.6</t>
  </si>
  <si>
    <t>с. Рощинский, ул. Северная, д.2</t>
  </si>
  <si>
    <t>с. Рощинский, ул. Северная, д.4</t>
  </si>
  <si>
    <t>г. Учалы, пер. Молодежный, д.4</t>
  </si>
  <si>
    <t>г. Учалы, ул. Ахметгалина, д.17</t>
  </si>
  <si>
    <t>г. Учалы, ул. Башкортостана, д.21</t>
  </si>
  <si>
    <t>г. Учалы, ул. Башкортостана, д.3а</t>
  </si>
  <si>
    <t>г. Учалы, ул. Горького, д.6б</t>
  </si>
  <si>
    <t>г. Учалы, ул. Горького, д.8 корп.1</t>
  </si>
  <si>
    <t>г. Учалы, ул. Горького, д.8а</t>
  </si>
  <si>
    <t>г. Учалы, ул. Горького, д.8б</t>
  </si>
  <si>
    <t>г. Учалы, ул. К.Маркса, д.13а</t>
  </si>
  <si>
    <t>г. Учалы, ул. Башкортостана, д.12</t>
  </si>
  <si>
    <t>г. Учалы, ул. Кирова, д.11</t>
  </si>
  <si>
    <t>г. Учалы, ул. Кирова, д.7</t>
  </si>
  <si>
    <t>г. Учалы, ул. Ленина, д.36</t>
  </si>
  <si>
    <t>г. Учалы, ул. Ленина, д.40</t>
  </si>
  <si>
    <t>г. Учалы, ул. Ленина, д.42</t>
  </si>
  <si>
    <t>г. Учалы, ул. Ленина, д.46</t>
  </si>
  <si>
    <t>г. Учалы, ул. Ленина, д.48</t>
  </si>
  <si>
    <t>г. Учалы, ул. Ленина, д.52а</t>
  </si>
  <si>
    <t>г. Учалы, ул. Мира, д.30</t>
  </si>
  <si>
    <t>г. Учалы, ул. Муртазина, д.28</t>
  </si>
  <si>
    <t>г. Учалы, ул. Первостроителей, д.36</t>
  </si>
  <si>
    <t>г. Учалы, ул. Первостроителей, д.26</t>
  </si>
  <si>
    <t>г. Учалы, ул. Первостроителей, д.30</t>
  </si>
  <si>
    <t>г. Учалы, ул. Строительная, д.9а</t>
  </si>
  <si>
    <t>д. Гончаровка, ул. Комсомольская, д.1</t>
  </si>
  <si>
    <t>д. Гончаровка, ул. Салавата Юлаева, д.7</t>
  </si>
  <si>
    <t>с. Бурибай, ул. Шаймуратова, д.15</t>
  </si>
  <si>
    <t>с. Целинное, ул. Салавата Юлаева, д.11</t>
  </si>
  <si>
    <t>г. Уфа, ул. Майская, д.1</t>
  </si>
  <si>
    <t>г. Уфа, ул. Майская, д.7</t>
  </si>
  <si>
    <t>г. Уфа, ул. Майская, д.7а</t>
  </si>
  <si>
    <t>г. Уфа, б-р Ибрагимова, д.37</t>
  </si>
  <si>
    <t>г. Уфа, б-р Славы, д.18</t>
  </si>
  <si>
    <t>г. Уфа, пер. Запорожский, д.1</t>
  </si>
  <si>
    <t>г. Уфа, пер. Запорожский, д.3</t>
  </si>
  <si>
    <t>г. Уфа, пр-кт Октября, д.113</t>
  </si>
  <si>
    <t>г. Уфа, пр-кт Октября, д.130</t>
  </si>
  <si>
    <t>г. Уфа, пр-кт Октября, д.83 корп.1</t>
  </si>
  <si>
    <t>г. Уфа, пр-кт Октября, д.89 корп.1</t>
  </si>
  <si>
    <t>г. Уфа, ул. Богдана Хмельницкого, д.114</t>
  </si>
  <si>
    <t>г. Уфа, ул. 50 лет СССР, д.42</t>
  </si>
  <si>
    <t>г. Уфа, ул. 50 лет СССР, д.47</t>
  </si>
  <si>
    <t>г. Уфа, ул. Ахметова, д.277а</t>
  </si>
  <si>
    <t>г. Уфа, ул. Ахметова, д.281</t>
  </si>
  <si>
    <t>г. Уфа, ул. Ахметова, д.293</t>
  </si>
  <si>
    <t>г. Уфа, ул. Ахметова, д.324</t>
  </si>
  <si>
    <t>г. Уфа, ул. Бабушкина, д.52</t>
  </si>
  <si>
    <t>г. Уфа, ул. Бакалинская, д.68 корп.1</t>
  </si>
  <si>
    <t>г. Уфа, ул. Братьев Кадомцевых, д.11</t>
  </si>
  <si>
    <t>г. Уфа, ул. Владивостокская, д.13</t>
  </si>
  <si>
    <t>г. Уфа, ул. Вокзальная, д.25б</t>
  </si>
  <si>
    <t>г. Уфа, ул. Добролетная, д.7 корп.3</t>
  </si>
  <si>
    <t>г. Уфа, ул. Добролетная, д.7 корп.4</t>
  </si>
  <si>
    <t>г. Уфа, ул. Достоевского, д.107</t>
  </si>
  <si>
    <t>г. Уфа, ул. Интернациональная, д.149</t>
  </si>
  <si>
    <t>г. Уфа, ул. Интернациональная, д.173</t>
  </si>
  <si>
    <t>г. Уфа, ул. Интернациональная, д.179</t>
  </si>
  <si>
    <t>г. Уфа, ул. Калинина, д.78</t>
  </si>
  <si>
    <t>г. Уфа, ул. Калинина, д.80</t>
  </si>
  <si>
    <t>г. Уфа, ул. Калинина, д.82</t>
  </si>
  <si>
    <t>г. Уфа, ул. Карима Хакимова, д.5</t>
  </si>
  <si>
    <t>г. Уфа, ул. Карла Маркса, д.57а</t>
  </si>
  <si>
    <t>г. Уфа, ул. Кигинская, д.2а</t>
  </si>
  <si>
    <t>г. Уфа, ул. Кольцевая, д.189</t>
  </si>
  <si>
    <t>г. Уфа, ул. Коммунальная, д.10 корп.1</t>
  </si>
  <si>
    <t>г. Уфа, ул. Коммунальная, д.5</t>
  </si>
  <si>
    <t>г. Уфа, ул. Коммунальная, д.6</t>
  </si>
  <si>
    <t>г. Уфа, ул. Коммунаров, д.52</t>
  </si>
  <si>
    <t>г. Уфа, ул. Комсомольская, д.100</t>
  </si>
  <si>
    <t>г. Уфа, ул. Комсомольская, д.141 корп.1</t>
  </si>
  <si>
    <t>г. Уфа, ул. Космонавтов, д.11</t>
  </si>
  <si>
    <t>г. Уфа, ул. Ленина, д.95</t>
  </si>
  <si>
    <t>г. Уфа, ул. Матвея Пинского, д.8</t>
  </si>
  <si>
    <t>г. Уфа, ул. Мубарякова, д.10 корп.1</t>
  </si>
  <si>
    <t>г. Уфа, ул. Нежинская, д.36</t>
  </si>
  <si>
    <t>г. Уфа, ул. Пархоменко, д.104</t>
  </si>
  <si>
    <t>г. Уфа, ул. Пархоменко, д.131</t>
  </si>
  <si>
    <t>г. Уфа, ул. Пекинская, д.24а</t>
  </si>
  <si>
    <t>г. Уфа, ул. Первомайская, д.71а</t>
  </si>
  <si>
    <t>г. Уфа, ул. Пионерская, д.16 корп.4</t>
  </si>
  <si>
    <t>г. Уфа, ул. Пожарского, д.243</t>
  </si>
  <si>
    <t>г. Уфа, ул. Пожарского, д.303</t>
  </si>
  <si>
    <t>г. Уфа, ул. Рабкоров, д.12</t>
  </si>
  <si>
    <t>г. Уфа, ул. Рижская, д.7</t>
  </si>
  <si>
    <t>г. Уфа, ул. Рычкова, д.16</t>
  </si>
  <si>
    <t>г. Уфа, ул. Сельская Богородская, д.17б</t>
  </si>
  <si>
    <t>г. Уфа, ул. Степана Халтурина, д.49 корп.1</t>
  </si>
  <si>
    <t>г. Уфа, ул. Судоремонтная, д.20</t>
  </si>
  <si>
    <t>г. Уфа, ул. Судоремонтная, д.32</t>
  </si>
  <si>
    <t>г. Уфа, ул. Таллинская, д.21б</t>
  </si>
  <si>
    <t>г. Уфа, ул. Черниковская, д.1</t>
  </si>
  <si>
    <t>г. Уфа, ул. Черниковская, д.27</t>
  </si>
  <si>
    <t>г. Уфа, ул. Черниковская, д.5</t>
  </si>
  <si>
    <t>г. Уфа, ул. Чернышевского, д.101а</t>
  </si>
  <si>
    <t>г. Уфа, ул. Шафиева, д.12 корп.1</t>
  </si>
  <si>
    <t>г. Уфа, ул. Шафиева, д.4</t>
  </si>
  <si>
    <t>г. Агидель, ул. Мира, д.14</t>
  </si>
  <si>
    <t>г. Нефтекамск, пер. Кувыкина, д.3а</t>
  </si>
  <si>
    <t>г. Нефтекамск, пр-кт Комсомольский, д.38</t>
  </si>
  <si>
    <t>г. Нефтекамск, пр-кт Комсомольский, д.40</t>
  </si>
  <si>
    <t>г. Нефтекамск, пр-кт Комсомольский, д.44а</t>
  </si>
  <si>
    <t>г. Нефтекамск, пр-кт Юбилейный, д.2</t>
  </si>
  <si>
    <t>г. Нефтекамск, пр-кт Юбилейный, д.9</t>
  </si>
  <si>
    <t>г. Нефтекамск, ш. Березовское, д.2</t>
  </si>
  <si>
    <t>г. Нефтекамск, ул. Дзержинского, д.10</t>
  </si>
  <si>
    <t>г. Нефтекамск, ул. Дзержинского, д.20</t>
  </si>
  <si>
    <t>г. Нефтекамск, ул. Карла Маркса, д.19</t>
  </si>
  <si>
    <t>г. Нефтекамск, ул. Победы, д.3а</t>
  </si>
  <si>
    <t>г. Нефтекамск, ул. Социалистическая, д.60</t>
  </si>
  <si>
    <t>г. Нефтекамск, ул. Социалистическая, д.62</t>
  </si>
  <si>
    <t>г. Нефтекамск, ул. Социалистическая, д.66</t>
  </si>
  <si>
    <t>г. Нефтекамск, ул. Социалистическая, д.77б</t>
  </si>
  <si>
    <t>г. Октябрьский, мкр. 25-й, д.12</t>
  </si>
  <si>
    <t>г. Октябрьский, мкр. 34-й, д.4а</t>
  </si>
  <si>
    <t>г. Октябрьский, пр-кт Ленина, д.22</t>
  </si>
  <si>
    <t>г. Октябрьский, ул. Островского, д.18</t>
  </si>
  <si>
    <t>г. Октябрьский, ул. Островского, д.72</t>
  </si>
  <si>
    <t>г. Октябрьский, ул. Свердлова, д.73</t>
  </si>
  <si>
    <t>г. Октябрьский, мкр. 34-й, д.4</t>
  </si>
  <si>
    <t>с. Бакалы, ул. Красных Партизан, д.59</t>
  </si>
  <si>
    <t>с. Старобалтачево, ул. Комсомольская, д.51</t>
  </si>
  <si>
    <t>г. Белебей, ул. Вахитова, д.71</t>
  </si>
  <si>
    <t>г. Белебей, ул. Площадка РТС, д.12</t>
  </si>
  <si>
    <t>г. Белебей, ул. Советская, д.59</t>
  </si>
  <si>
    <t>с. Новобелокатай, ул. Мира, д.1</t>
  </si>
  <si>
    <t>с. Новобелокатай, ул. Мира, д.7</t>
  </si>
  <si>
    <t>с. Новобелокатай, ул. Школьная, д.7</t>
  </si>
  <si>
    <t>с. Новобелокатай, ул. Школьная, д.9</t>
  </si>
  <si>
    <t>с. Бижбуляк, ул. Центральная, д.65</t>
  </si>
  <si>
    <t>с. Сухоречка, ул. Центральная, д.44</t>
  </si>
  <si>
    <t>г. Бирск, ул. Комарова, д.46</t>
  </si>
  <si>
    <t>г. Бирск, ул. Корочкина, д.1</t>
  </si>
  <si>
    <t>г. Бирск, ул. Пролетарская, д.103</t>
  </si>
  <si>
    <t>г. Бирск, ул. Пролетарская, д.120</t>
  </si>
  <si>
    <t>г. Бирск, ул. Пролетарская, д.138</t>
  </si>
  <si>
    <t>г. Бирск, ул. Революционная, д.40</t>
  </si>
  <si>
    <t>г. Бирск, ул. Советская, д.40а</t>
  </si>
  <si>
    <t>г. Бирск, ул. Фрунзе, д.25а</t>
  </si>
  <si>
    <t>с. Осиновка, ул. Овчинникова, д.1</t>
  </si>
  <si>
    <t>с. Осиновка, ул. Овчинникова, д.13</t>
  </si>
  <si>
    <t>с. Калинники, ул. Центральная, д.10</t>
  </si>
  <si>
    <t>с. Старобурново, ул. Мира, д.15</t>
  </si>
  <si>
    <t>с. Мирный, ул. Ленина, д.8</t>
  </si>
  <si>
    <t>г. Благовещенск, ул. Расковой, д.53 корп.1</t>
  </si>
  <si>
    <t>г. Благовещенск, ул. Расковой, д.57</t>
  </si>
  <si>
    <t>г. Благовещенск, ул. Социалистическая, д.6 корп.3</t>
  </si>
  <si>
    <t>г. Благовещенск, ул. Седова, д.113</t>
  </si>
  <si>
    <t>г. Благовещенск, ул. Трудовая, д.21</t>
  </si>
  <si>
    <t>г. Благовещенск, ул. Трудовая, д.8</t>
  </si>
  <si>
    <t>г. Благовещенск, ул. Чехова, д.12</t>
  </si>
  <si>
    <t>г. Благовещенск, ул. Чехова, д.5</t>
  </si>
  <si>
    <t>г. Благовещенск, ул. Худайбердина, д.18</t>
  </si>
  <si>
    <t>г. Благовещенск, ул. Щорса, д.9</t>
  </si>
  <si>
    <t>г. Благовещенск, ул. Щорса, д.11</t>
  </si>
  <si>
    <t>с. Ильино-Поляна, ул. Мира, д.14</t>
  </si>
  <si>
    <t>с. Ильино-Поляна, ул. Юбилейная, д.3</t>
  </si>
  <si>
    <t>с. Ильино-Поляна, ул. Юбилейная, д.5</t>
  </si>
  <si>
    <t>с. Ильино-Поляна, ул. Юбилейная, д.7</t>
  </si>
  <si>
    <t>с. Ильино-Поляна, ул. Юбилейная, д.9</t>
  </si>
  <si>
    <t>с. Буздяк, ул. Кирова, д.20</t>
  </si>
  <si>
    <t>с. Буздяк, ул. Вокзальная, д.8а</t>
  </si>
  <si>
    <t>с. Буздяк, ул. Ленина, д.8</t>
  </si>
  <si>
    <t>с. Буздяк, ул. Садовая, д.2 корп.1</t>
  </si>
  <si>
    <t>с. Буздяк, ул. Садовая, д.2 корп.2а</t>
  </si>
  <si>
    <t>с. Бураево, ул. Ленина, д.10 корп.1</t>
  </si>
  <si>
    <t>с. Бураево, ул. Строителей, д.10 корп.1</t>
  </si>
  <si>
    <t>с. Бураево, ул. Строителей, д.10 корп.2</t>
  </si>
  <si>
    <t>с. Бураево, ул. Энергетиков, д.2</t>
  </si>
  <si>
    <t>г. Давлеканово, пер. Каранский, д.42 корп.2</t>
  </si>
  <si>
    <t>г. Давлеканово, ул. Донская, д.16</t>
  </si>
  <si>
    <t>с. Месягутово, пер. Октябрьский, д.8 корп.1</t>
  </si>
  <si>
    <t>с. Месягутово, пер. Октябрьский, д.23</t>
  </si>
  <si>
    <t>с. Месягутово, ул. Октябрьская, д.15</t>
  </si>
  <si>
    <t>г. Дюртюли, ул. Василия Горшкова, д.19</t>
  </si>
  <si>
    <t>г. Дюртюли, ул. Первомайская, д.16</t>
  </si>
  <si>
    <t>с. Семилетка, ул. Коммунистическая, д.5</t>
  </si>
  <si>
    <t>с. им 8 Марта, ул. Школьная, д.3</t>
  </si>
  <si>
    <t>с. Спартак, ул. Комсомольская, д.4</t>
  </si>
  <si>
    <t>с. Алаторка, ул. ДРСУ-1, д.1</t>
  </si>
  <si>
    <t>с. Кудеевский, ул. Победы, д.7</t>
  </si>
  <si>
    <t>с. Иглино, пер. Почтовый, д.5</t>
  </si>
  <si>
    <t>с. Иглино, ул. Калинина, д.35</t>
  </si>
  <si>
    <t>с. Верхнеяркеево, ул. 50 лет Октября, д.10</t>
  </si>
  <si>
    <t>с. Верхнеяркеево, ул. Советская, д.14</t>
  </si>
  <si>
    <t>с. Верхнеяркеево, ул. Советская, д.29</t>
  </si>
  <si>
    <t>с. Краснохолмский, ул. Губкина, д.5</t>
  </si>
  <si>
    <t>с. Кутерем, ул. Нефтяников, д.19</t>
  </si>
  <si>
    <t>с. Куяново, ул. Лесная, д.16</t>
  </si>
  <si>
    <t>с. Николо-Березовка, ул. Камская, д.3</t>
  </si>
  <si>
    <t>с. Николо-Березовка, ул. Строителей, д.35</t>
  </si>
  <si>
    <t>с. Кушнаренково, ул. Октябрьская, д.28</t>
  </si>
  <si>
    <t>с. Кушнаренково, ул. Октябрьская, д.34</t>
  </si>
  <si>
    <t>с. Кушнаренково, ул. Октябрьская, д.75</t>
  </si>
  <si>
    <t>с. Большеустьикинское, ул. Строительная, д.2</t>
  </si>
  <si>
    <t>с. Большеустьикинское, ул. Трактовая, д.13</t>
  </si>
  <si>
    <t>с. Мишкино, ул. Мира, д.24</t>
  </si>
  <si>
    <t>с. Киргиз-Мияки, ул. Шоссейная, д.16</t>
  </si>
  <si>
    <t>с. Киргиз-Мияки, ул. Шоссейная, д.35</t>
  </si>
  <si>
    <t>с. Верхние Татышлы, ул. Ленина, д.83</t>
  </si>
  <si>
    <t>с. Верхние Татышлы, ул. Ленина, д.99</t>
  </si>
  <si>
    <t>г. Туймазы, ул. Комарова, д.31</t>
  </si>
  <si>
    <t>г. Туймазы, ул. Лесовода Морозова, д.7</t>
  </si>
  <si>
    <t>г. Туймазы, ул. Чапаева, д.22а</t>
  </si>
  <si>
    <t>д. Алексеевка, с.п. Алексеевский, ул. Интернациональная, д.52</t>
  </si>
  <si>
    <t>д. Алексеевка, с.п. Алексеевский, ул. Интернациональная, д.54</t>
  </si>
  <si>
    <t>д. Алексеевка, с.п. Алексеевский, ул. Центральная, д.65</t>
  </si>
  <si>
    <t>с. Михайловка, с.п. Михайловский, ул. Ленина, д.22</t>
  </si>
  <si>
    <t>с. Михайловка, с.п. Михайловский, ул. Школьная, д.5</t>
  </si>
  <si>
    <t>с. Старокалмашево, ул. Нефтяников, д.7</t>
  </si>
  <si>
    <t>рп Чишмы, пр-кт Дружбы, д.2</t>
  </si>
  <si>
    <t>рп Чишмы, ул. Кирова, д.7</t>
  </si>
  <si>
    <t>рп Чишмы, ул. Трактовая, д.17</t>
  </si>
  <si>
    <t>рп Чишмы, ул. Чернышевского, д.5</t>
  </si>
  <si>
    <t>с. Чишмы, ул. Колхозная, д.20а</t>
  </si>
  <si>
    <t>г. Янаул, ул. Юбилейная, д.11</t>
  </si>
  <si>
    <t>г. Кумертау, ул. Брикетная, д.8</t>
  </si>
  <si>
    <t>г. Кумертау, ул. Гафури, д.7</t>
  </si>
  <si>
    <t>г. Кумертау, ул. Дзержинского, д.6а</t>
  </si>
  <si>
    <t>г. Кумертау, ул. Логовая, д.38а</t>
  </si>
  <si>
    <t>г. Кумертау, ул. Окружная, д.10</t>
  </si>
  <si>
    <t>г. Кумертау, ул. Окружная, д.11</t>
  </si>
  <si>
    <t>г. Салават, б-р Юлаева, д.16а</t>
  </si>
  <si>
    <t>г. Салават, ул. Гагарина, д.6</t>
  </si>
  <si>
    <t>г. Салават, ул. Дзержинского, д.7</t>
  </si>
  <si>
    <t>г. Салават, б-р Космонавтов, д.34</t>
  </si>
  <si>
    <t>г. Салават, ул. Ленина, д.18</t>
  </si>
  <si>
    <t>г. Салават, ул. Ленина, д.1а</t>
  </si>
  <si>
    <t>г. Салават, ул. Островского, д.86</t>
  </si>
  <si>
    <t>г. Салават, ул. Островского, д.88</t>
  </si>
  <si>
    <t>г. Салават, ул. Первомайская, д.33а</t>
  </si>
  <si>
    <t>г. Стерлитамак, пр-кт Ленина, д.73а</t>
  </si>
  <si>
    <t>г. Стерлитамак, пр-кт Октября, д.71</t>
  </si>
  <si>
    <t>г. Стерлитамак, ул. Артема, д.135</t>
  </si>
  <si>
    <t>г. Стерлитамак, ул. Вокзальная, д.11</t>
  </si>
  <si>
    <t>г. Стерлитамак, ул. Дружбы, д.19</t>
  </si>
  <si>
    <t>г. Стерлитамак, ул. Карла Маркса, д.149б</t>
  </si>
  <si>
    <t>г. Стерлитамак, ул. Коммунистическая, д.24</t>
  </si>
  <si>
    <t>г. Стерлитамак, ул. Коммунистическая, д.35</t>
  </si>
  <si>
    <t>г. Стерлитамак, ул. Коммунистическая, д.43</t>
  </si>
  <si>
    <t>г. Стерлитамак, ул. Коммунистическая, д.76</t>
  </si>
  <si>
    <t>г. Стерлитамак, ул. Сазонова, д.10</t>
  </si>
  <si>
    <t>г. Стерлитамак, ул. Суханова, д.14</t>
  </si>
  <si>
    <t>г. Стерлитамак, ул. Фестивальная, д.11</t>
  </si>
  <si>
    <t>г. Стерлитамак, ул. Худайбердина, д.196б</t>
  </si>
  <si>
    <t>г. Стерлитамак, ул. Черноморская, д.14</t>
  </si>
  <si>
    <t>г. Стерлитамак, ул. Черноморская, д.8</t>
  </si>
  <si>
    <t>г. Стерлитамак, ул. Шаймуратова, д.17</t>
  </si>
  <si>
    <t>г. Стерлитамак, ул. Шафиева, д.21</t>
  </si>
  <si>
    <t>г. Межгорье, ул. Комсомольская, д.19</t>
  </si>
  <si>
    <t>г. Межгорье, ул. Садовая, д.3 корп.1</t>
  </si>
  <si>
    <t>г. Межгорье, ул. Ленина, д.10</t>
  </si>
  <si>
    <t>с. Толбазы, ул. Первомайская, д.19</t>
  </si>
  <si>
    <t>г. Белорецк, ул. Тюленина, д.40б</t>
  </si>
  <si>
    <t>с. Красноусольский, ул. Пугачева, д.45</t>
  </si>
  <si>
    <t>д. Кабаково, ул. Строителей, д.3</t>
  </si>
  <si>
    <t>с. Прибельский, ул. С.Юлаева, д.14</t>
  </si>
  <si>
    <t>г. Мелеуз, ул. Ленина, д.7а</t>
  </si>
  <si>
    <t>г. Мелеуз, ул. Московская, д.7</t>
  </si>
  <si>
    <t>г. Мелеуз, ул. Первомайская, д.20</t>
  </si>
  <si>
    <t>г. Мелеуз, ул. Смоленская, д.33</t>
  </si>
  <si>
    <t>г. Мелеуз, ул. Южная, д.1а</t>
  </si>
  <si>
    <t>г. Учалы, ул. Ленинского Комсомола, д.12а</t>
  </si>
  <si>
    <t>с. Учалы, ул. Железнодорожная, д.1</t>
  </si>
  <si>
    <t>с. Подольск, ул. Юбилейная, д.3</t>
  </si>
  <si>
    <t>г. Кумертау, ул. Искужина, д.1</t>
  </si>
  <si>
    <t>г. Кумертау, ул. Худайбердина, д.3</t>
  </si>
  <si>
    <t>увеличение СМР</t>
  </si>
  <si>
    <t>г. Стерлитамак, ул. Вокзальная, д.25</t>
  </si>
  <si>
    <t>г. Стерлитамак, ул. Дружбы, д.17а</t>
  </si>
  <si>
    <t>г. Стерлитамак, ул. Лесная, д.61а</t>
  </si>
  <si>
    <t xml:space="preserve">каменные, кирпичные
</t>
  </si>
  <si>
    <t>г. Стерлитамак, ул. Волочаевская, д.18а</t>
  </si>
  <si>
    <t>г. Мелеуз, мкр. 32-й, д.9</t>
  </si>
  <si>
    <t>г. Мелеуз, ул. Смоленская, д.39</t>
  </si>
  <si>
    <t>с. Старосубхангулово, ул. Ленина, д.51</t>
  </si>
  <si>
    <t>уменьшили ПСД</t>
  </si>
  <si>
    <t>г. Белорецк, ул. 50 лет Октября, д.48 корп.1</t>
  </si>
  <si>
    <t>добавили 2 лифта</t>
  </si>
  <si>
    <t>г. Нефтекамск, ул. Строителей, д.63</t>
  </si>
  <si>
    <t>п. Энергетик, ул. Высоковольтная, д.9</t>
  </si>
  <si>
    <t>г. Нефтекамск, ул. Дзержинского, д.1б</t>
  </si>
  <si>
    <t>с. Амзя, ул. Азина, д.1</t>
  </si>
  <si>
    <t>г. Нефтекамск, пр-кт Юбилейный, д.7</t>
  </si>
  <si>
    <t>замена вида КР на утепл фасада</t>
  </si>
  <si>
    <t>г. Октябрьский, ул. Губкина, д.29</t>
  </si>
  <si>
    <t>г. Октябрьский, ул. Губкина, д.31</t>
  </si>
  <si>
    <t>г. Бирск, ул. Интернациональная, д.120</t>
  </si>
  <si>
    <t>г. Бирск, ул. Комарова, д.38</t>
  </si>
  <si>
    <t>ПСД-2015г. Есть</t>
  </si>
  <si>
    <t>с. Андреевка, ул. Заводская, д.2</t>
  </si>
  <si>
    <t>рп Чишмы, ул. Мира, д.11</t>
  </si>
  <si>
    <t>г. Агидель, ул. Мира, д.8</t>
  </si>
  <si>
    <t>г. Благовещенск, ул. Братьев Першиных, д.7 корп.2</t>
  </si>
  <si>
    <t>г. Нефтекамск, ул. Победы, д.7</t>
  </si>
  <si>
    <t>г. Нефтекамск, ул. Ленина, д.66а</t>
  </si>
  <si>
    <t>г. Нефтекамск, пр-кт Юбилейный, д.12</t>
  </si>
  <si>
    <t>г. Нефтекамск, ул. Карла Маркса, д.16</t>
  </si>
  <si>
    <t xml:space="preserve">г. Нефтекамск, ш. Березовское, д.10г </t>
  </si>
  <si>
    <t>г. Нефтекамск, ул. Ленина, д.32</t>
  </si>
  <si>
    <t>г. Октябрьский, ул. Новоселов, д.12</t>
  </si>
  <si>
    <t>г. Октябрьский, ул. Новоселов, д.14</t>
  </si>
  <si>
    <t>г. Октябрьский, ул. Кортунова, д.4</t>
  </si>
  <si>
    <t>г. Октябрьский, ул. Садовое Кольцо, д.49</t>
  </si>
  <si>
    <t>с. Верхнеяркеево, ул. Коммунистическая, д.32</t>
  </si>
  <si>
    <t>г. Туймазы, ул. Комарова, д.29</t>
  </si>
  <si>
    <t>г. Агидель, ул. Первых Строителей, д.5а</t>
  </si>
  <si>
    <t>ремонт крыши (мягкая)</t>
  </si>
  <si>
    <t>г. Агидель, ул. Мира, д.12</t>
  </si>
  <si>
    <t>г. Агидель, ул. Академика Курчатова, д.16</t>
  </si>
  <si>
    <t>г. Нефтекамск, пр-кт Юбилейный, д.13в</t>
  </si>
  <si>
    <t>г. Нефтекамск, ул. Ленина, д.50</t>
  </si>
  <si>
    <t>г. Нефтекамск, ул. Ленина, д.34</t>
  </si>
  <si>
    <t>г. Нефтекамск, ул. Социалистическая, д.79а</t>
  </si>
  <si>
    <t>г. Нефтекамск, ул. Ленина, д.78</t>
  </si>
  <si>
    <t>с. Кандры, ул. Чапаева, д.61</t>
  </si>
  <si>
    <t xml:space="preserve">мягкая </t>
  </si>
  <si>
    <t>рп Чишмы, ул. Мира, д.14</t>
  </si>
  <si>
    <t>г. Агидель, ул. Молодежная, д.2а</t>
  </si>
  <si>
    <t>с. Шафраново, ул. Курортная, д.5б</t>
  </si>
  <si>
    <t>г. Давлеканово, ул. Карла Маркса, д.137</t>
  </si>
  <si>
    <t>г. Давлеканово, ул. Каранская, д.5</t>
  </si>
  <si>
    <t>с. Верхнеяркеево, ул. Советская, д.12</t>
  </si>
  <si>
    <t>с. Верхнеяркеево, ул. 50 лет Октября, д.6</t>
  </si>
  <si>
    <t>Муниципальный район Караидельский  район Республики Башкортостан</t>
  </si>
  <si>
    <t>с. Караидель, ул. Горького, д.9</t>
  </si>
  <si>
    <t>с. Шаран, ул. Гагарина, д.6</t>
  </si>
  <si>
    <t>с. Шаран, ул. Гагарина, д.8</t>
  </si>
  <si>
    <t>акт</t>
  </si>
  <si>
    <t>г. Агидель, ул. Первых Строителей, д.5 (7,8, 9 подъезды)</t>
  </si>
  <si>
    <t>г. Октябрьский, мкр. 24-й, д.4</t>
  </si>
  <si>
    <t>г. Белебей, ул. Войкова, д.105</t>
  </si>
  <si>
    <t>с. Анновка, ул. Советская, д.17</t>
  </si>
  <si>
    <t>г. Белебей, ул. им В.И.Ленина, д.38</t>
  </si>
  <si>
    <t>г. Белебей, ул. им В.И.Ленина, д.40</t>
  </si>
  <si>
    <t>г. Дюртюли, ул. Назара Наджми, д.25</t>
  </si>
  <si>
    <t>г. Дюртюли, ул. Назара Наджми, д.21</t>
  </si>
  <si>
    <t xml:space="preserve">рулонный </t>
  </si>
  <si>
    <t>г. Туймазы, ул. Южная, д.52а</t>
  </si>
  <si>
    <t>г. Туймазы, ул. Чапаева, д.6а</t>
  </si>
  <si>
    <t>г. Туймазы, ул. Комарова, д.23</t>
  </si>
  <si>
    <t>с. Субханкулово, ул. Черняева, д.5</t>
  </si>
  <si>
    <t>с. санаторий Юматово, с.п. Юматовский, ул. Кольцевая, д.9</t>
  </si>
  <si>
    <t>с. Чекмагуш, ул. Мира, д.23а</t>
  </si>
  <si>
    <t>ремонт электроснабжения (общежитие)</t>
  </si>
  <si>
    <t>г. Янаул, ул. К.Маркса, д.12</t>
  </si>
  <si>
    <t>г. Янаул, 52-й кв-л, д.10</t>
  </si>
  <si>
    <t>г. Благовещенск, ул. Комарова, д.23 корп.1</t>
  </si>
  <si>
    <t>г. Бирск, ул. Коммунистическая, д.72</t>
  </si>
  <si>
    <t>г. Благовещенск, ул. Седова, д.116</t>
  </si>
  <si>
    <t>с. Чекмагуш, ул. Мира, д.10</t>
  </si>
  <si>
    <t>с. Чекмагуш, ул. Гагарина, д.9</t>
  </si>
  <si>
    <t>г. Кумертау, ул. Энергетиков, д.13</t>
  </si>
  <si>
    <t>с. Маячный, ул. Ленина, д.9</t>
  </si>
  <si>
    <t xml:space="preserve">г. Сибай, пос.Туяляс, ул. Гаражная, д.2 </t>
  </si>
  <si>
    <t>шл/блочный</t>
  </si>
  <si>
    <t>г. Сибай, ул. Островского, д.2</t>
  </si>
  <si>
    <t>1968/кирпич</t>
  </si>
  <si>
    <t>скатная</t>
  </si>
  <si>
    <t>1971 / кирпич</t>
  </si>
  <si>
    <t>г. Белорецк, ул. Челябинская, д.7</t>
  </si>
  <si>
    <t>г. Белорецк, ул. Карла Маркса, д.47</t>
  </si>
  <si>
    <t>г. Белорецк, ул. Косоротова, д.10</t>
  </si>
  <si>
    <t xml:space="preserve">с. Железнодорожный, ул. Смежная д.3 </t>
  </si>
  <si>
    <t>Замена видов ремонта ВВ+ эл на кр+фасад</t>
  </si>
  <si>
    <t>добавлен вид ремонт КР</t>
  </si>
  <si>
    <t>увеличение ст-ти (грузоподъемность)</t>
  </si>
  <si>
    <t>добавлен вид ремонт переуст кр</t>
  </si>
  <si>
    <t>замена вида ремонт ВВ на лифт</t>
  </si>
  <si>
    <t>увелич ст-ти из-за грузопод</t>
  </si>
  <si>
    <t>увеличен ст-ти работ</t>
  </si>
  <si>
    <t>замена вида ВВ на элк</t>
  </si>
  <si>
    <t>добавлен вид ремонт лифт</t>
  </si>
  <si>
    <t xml:space="preserve">увеличение ст-ти </t>
  </si>
  <si>
    <t>увеличение ст-ти</t>
  </si>
  <si>
    <t>добавлен вид ремонта ВВ</t>
  </si>
  <si>
    <t>добавлен вид ремонта кр</t>
  </si>
  <si>
    <t>убран вид ремонт КР</t>
  </si>
  <si>
    <t>увеличение ст-ти СМР и ссметы (пристрой)</t>
  </si>
  <si>
    <t>замена вида ремонта ВВ на КР</t>
  </si>
  <si>
    <t xml:space="preserve">добавлен вид ремонта </t>
  </si>
  <si>
    <t>добавлен вид ремонта</t>
  </si>
  <si>
    <t>г. Уфа, ул. Степана Халтурина, д.41</t>
  </si>
  <si>
    <t>г. Уфа, ул. Коммунистическая, д.54</t>
  </si>
  <si>
    <t>г. Уфа, ул. Блюхера, д.6 корп.2</t>
  </si>
  <si>
    <t>г. Уфа, ул. Первомайская, д.98</t>
  </si>
  <si>
    <t>г. Уфа, ул. Братьев Кадомцевых, д.15</t>
  </si>
  <si>
    <t>ремонт крыши (полная замена свесов)</t>
  </si>
  <si>
    <t>г. Уфа, ул. Дорофеева, д.3 корп.1</t>
  </si>
  <si>
    <t>блок бессер</t>
  </si>
  <si>
    <t>комбинированная</t>
  </si>
  <si>
    <t>утепление чердачного перекрытия</t>
  </si>
  <si>
    <t>сбор.щитовые</t>
  </si>
  <si>
    <t>г. Салават, б-р Матросова, д.23</t>
  </si>
  <si>
    <t>г. Салават, ул. Гагарина, д.7</t>
  </si>
  <si>
    <t>г. Салават, ул. Гафури, д.13а</t>
  </si>
  <si>
    <t>г. Салават, ул. Горького, д.16</t>
  </si>
  <si>
    <t xml:space="preserve">г. Салават, ул. Горького, д.26а </t>
  </si>
  <si>
    <t>г. Салават, ул. Горького, д.39</t>
  </si>
  <si>
    <t>г. Салават, ул. Горького, д.44</t>
  </si>
  <si>
    <t>839</t>
  </si>
  <si>
    <t>г. Салават, ул. Первомайская, д.3а</t>
  </si>
  <si>
    <t>г. Салават, ул. Первомайская, д.6а</t>
  </si>
  <si>
    <t>г. Салават, ул. Первомайская, д.7а</t>
  </si>
  <si>
    <t>г. Салават, ул. Уфимская, д.34</t>
  </si>
  <si>
    <t>г. Салават, ул. Уфимская, д.42</t>
  </si>
  <si>
    <t>г. Салават, ул. Хмельницкого, д.48а</t>
  </si>
  <si>
    <t xml:space="preserve">г. Салават, ул. Чапаева, д.18 </t>
  </si>
  <si>
    <t>г. Ишимбай, ул. Зеленая, д.8</t>
  </si>
  <si>
    <t>ремонт холодного водоснабжения и водоотведения</t>
  </si>
  <si>
    <t>г. Ишимбай, ул. Олега Кошевого, д.2а</t>
  </si>
  <si>
    <t>г. Ишимбай, ул. Пролетарская, д.36</t>
  </si>
  <si>
    <t>г. Ишимбай, ул. Северная, д.23</t>
  </si>
  <si>
    <t>г. Ишимбай, ул. Советская, д.50</t>
  </si>
  <si>
    <t>с. Петровское, ул. Ленина, д.37</t>
  </si>
  <si>
    <t>с. Петровское, ул. Ленина, д.43</t>
  </si>
  <si>
    <t>с. Петровское, ул. Механизаторов, д.60</t>
  </si>
  <si>
    <t>с. Петровское, ул. Механизаторов, д.62</t>
  </si>
  <si>
    <t>с. Петровское, ул. Трудовая, д.2</t>
  </si>
  <si>
    <t>с. Петровское, ул. Трудовая, д.6</t>
  </si>
  <si>
    <t>с. Петровское, ул. Трудовая, д.8</t>
  </si>
  <si>
    <t>с. Петровское, ул. Школьная, д.16</t>
  </si>
  <si>
    <t>г. Ишимбай, пр-кт Ленина, д.49</t>
  </si>
  <si>
    <t>г. Уфа, б-р Хадии Давлетшиной, д.17 корп.1</t>
  </si>
  <si>
    <t>г. Уфа, ул. Ферина д.26</t>
  </si>
  <si>
    <t>г. Уфа, ул. Льва Толстого, д.3</t>
  </si>
  <si>
    <t>г. Уфа, ул. Российская, д.96 корп.2</t>
  </si>
  <si>
    <t>г. Уфа, ул. Баргузинская, д.19</t>
  </si>
  <si>
    <t>г. Уфа, ул. 50 лет СССР, д.46</t>
  </si>
  <si>
    <t>г. Уфа, ул. Маршала Жукова, д.4 корп.4</t>
  </si>
  <si>
    <t>г. Уфа, ул. Маршала Жукова, д.8</t>
  </si>
  <si>
    <t>г. Уфа, ул. Калинина, д.43</t>
  </si>
  <si>
    <t>г. Уфа, ул. Бабушкина, д.17а</t>
  </si>
  <si>
    <t>г. Уфа, ул. Рабкоров, д.2 корп.4</t>
  </si>
  <si>
    <t>г. Уфа, ул. Сун-Ян-Сена, д.9</t>
  </si>
  <si>
    <t>г. Уфа, ул. Ульяновых, д.25</t>
  </si>
  <si>
    <t>г. Уфа, ул. Комсомольская, д.127</t>
  </si>
  <si>
    <t>г. Уфа, пр-кт Октября, д.54</t>
  </si>
  <si>
    <t>г. Уфа, ул. Кольцевая, д.111 корп.1</t>
  </si>
  <si>
    <t>г. Уфа, ул. Степана Халтурина, д.50</t>
  </si>
  <si>
    <t>г. Уфа, ул. Рихарда Зорге, д.34 корп.1</t>
  </si>
  <si>
    <t>г. Уфа, пр-кт Октября, д.16</t>
  </si>
  <si>
    <t>г. Уфа, пр-кт Октября, д.172</t>
  </si>
  <si>
    <t>г. Уфа, ул. Айская, д.70</t>
  </si>
  <si>
    <t>г. Уфа, ул. Айская, д.72</t>
  </si>
  <si>
    <t>г. Уфа, ул. Айская, д.84</t>
  </si>
  <si>
    <t>г. Уфа, ул. Акназарова, д.18</t>
  </si>
  <si>
    <t>г. Уфа, ул. Бакалинская, д.36</t>
  </si>
  <si>
    <t>г. Уфа, ул. Бессонова, д.29</t>
  </si>
  <si>
    <t>г. Уфа, ул. Бессонова, д.31</t>
  </si>
  <si>
    <t>г. Уфа, ул. Достоевского, д.60</t>
  </si>
  <si>
    <t>г. Уфа, ул. Машиностроителей, д.7</t>
  </si>
  <si>
    <t>г. Уфа, ул. Мебельная, д.1</t>
  </si>
  <si>
    <t>г. Уфа, ул. Мебельная, д.2</t>
  </si>
  <si>
    <t>г. Уфа, ул. Мебельная, д.3</t>
  </si>
  <si>
    <t>г. Уфа, ул. Мебельная, д.4</t>
  </si>
  <si>
    <t>г. Бирск, ул. Комарова, д.44а</t>
  </si>
  <si>
    <t>г. Уфа, ул. Акназарова, д.25</t>
  </si>
  <si>
    <t>с. Энергетик, ул. Высоковольтная, д.7</t>
  </si>
  <si>
    <t>с. Энергетик, ул. Высоковольтная, д.12</t>
  </si>
  <si>
    <t>г. Янаул, ул. Победы, д.79 корп.2</t>
  </si>
  <si>
    <t>с. Зилаир, ул. Голубцова, д.108</t>
  </si>
  <si>
    <t xml:space="preserve">г. Уфа, пр-кт Октября, д.103 корп.1 </t>
  </si>
  <si>
    <t>г. Уфа, пр-кт Октября, д.89 корп.4</t>
  </si>
  <si>
    <t xml:space="preserve">г. Уфа, пр-кт Октября, д.132 корп.1 </t>
  </si>
  <si>
    <t>г. Уфа, ул. Строителей, д.1Б</t>
  </si>
  <si>
    <t>г. Уфа, ул. Достоевского, д.73</t>
  </si>
  <si>
    <t>г. Уфа, ул. Шота Руставели, д 23 корп.1</t>
  </si>
  <si>
    <t>с. Дмитриевка, с.п. Дмитриевский, ул. Трактовая, д.24</t>
  </si>
  <si>
    <t>д. Улянды, ул. Вокзальная, д.3</t>
  </si>
  <si>
    <t>с. Мраково, ул. Ленина, д.1б</t>
  </si>
  <si>
    <t>с. Верхние Услы, ул. 40 лет Победы, д.5</t>
  </si>
  <si>
    <t>с. Октябрьское, ул. Мира, д.1</t>
  </si>
  <si>
    <t>с. Рощинский, ул. Майская, д.9</t>
  </si>
  <si>
    <t xml:space="preserve">г. Уфа, ул. Ахметова, д.291 </t>
  </si>
  <si>
    <t xml:space="preserve">г. Уфа, ул. Интернациональная, д.149 </t>
  </si>
  <si>
    <t xml:space="preserve">г. Уфа, ул. Интернациональная, д.155 </t>
  </si>
  <si>
    <t>г. Уфа, ул. Октябрьской революции, д.40</t>
  </si>
  <si>
    <t>г. Уфа, ул. Георгия Мушникова, д.2</t>
  </si>
  <si>
    <t>г. Уфа, ул. Мелеузовская, д.15</t>
  </si>
  <si>
    <t>г. Уфа, ул. Калинина, д.82А</t>
  </si>
  <si>
    <t>г. Уфа, ул. Даута Юлтыя, д.4 корп.1</t>
  </si>
  <si>
    <t>г. Уфа, ул. Степана Халтурина, д.51</t>
  </si>
  <si>
    <t>г. Уфа, ул.Минигали Губайдуллина, д.23 корп.1</t>
  </si>
  <si>
    <t>г. Уфа, ул. 50-летия Октября, д.12</t>
  </si>
  <si>
    <t>рулонн</t>
  </si>
  <si>
    <t>шл.блочные</t>
  </si>
  <si>
    <t>ремонт фасада с утеплением торцов</t>
  </si>
  <si>
    <t>г. Уфа, ул. Революционная, д.92</t>
  </si>
  <si>
    <t>8/10</t>
  </si>
  <si>
    <t>ремонт фасада с заменой нижних венцов и фундаментов</t>
  </si>
  <si>
    <t>ремонт фасада с со вскрытием и  заполнением межпанельных швов</t>
  </si>
  <si>
    <t>с. Краснохолмский, ул. Стадионная, д.6</t>
  </si>
  <si>
    <t>6765 / 420</t>
  </si>
  <si>
    <t>г. Уфа, пр-кт Октября, д.117</t>
  </si>
  <si>
    <t>г. Уфа, пр-кт Октября, д.21 корп.3</t>
  </si>
  <si>
    <t>г. Уфа, ул. Свободы, д.36</t>
  </si>
  <si>
    <t>г. Уфа, ул. Правды, д.18 корп.2</t>
  </si>
  <si>
    <t>г. Уфа, ул. Менделеева, д.11 корп.1</t>
  </si>
  <si>
    <t>г. Уфа, ул. Уфимское шоссе, д.8</t>
  </si>
  <si>
    <t>г. Уфа, ул. Чудинова, д.2</t>
  </si>
  <si>
    <t>г. Уфа, пр-кт Октября, д.142 корп.1</t>
  </si>
  <si>
    <t>г. Уфа, ул. Российская, д.43 корп.14</t>
  </si>
  <si>
    <t>г. Уфа, пр-кт Октября, д.65 корп.3</t>
  </si>
  <si>
    <t xml:space="preserve">г. Уфа, ул. Сенная, д.3а </t>
  </si>
  <si>
    <t>г. Уфа, ул. Карла Маркса, д.83</t>
  </si>
  <si>
    <t>г. Уфа, ул. Рихарда Зорге, д.47 корп.1</t>
  </si>
  <si>
    <t>г. Уфа, ул. Рихарда Зорге, д.43 корп.1</t>
  </si>
  <si>
    <t>г. Уфа, ул. Богдана Хмельницкого, д.58</t>
  </si>
  <si>
    <t>г. Уфа, ул. Мечетлинская, д.2а</t>
  </si>
  <si>
    <t>г. Уфа, ул. Богдана Хмельницкого, д.112</t>
  </si>
  <si>
    <t xml:space="preserve">г. Уфа, ул. Ахметова, д.322 корп.2 </t>
  </si>
  <si>
    <t>г. Уфа, ул. Первомайская, д.6</t>
  </si>
  <si>
    <t>г. Уфа, ул. Ахметова, д.275 корп.1</t>
  </si>
  <si>
    <t>г. Уфа, ул. Антонова, д.4</t>
  </si>
  <si>
    <t>г. Уфа, ул. Карла Маркса, д.52</t>
  </si>
  <si>
    <t>г. Уфа, ул. Рихарда Зорге, д.44 корп.2</t>
  </si>
  <si>
    <t>г. Уфа, ул. Орджоникидзе, д.8</t>
  </si>
  <si>
    <t xml:space="preserve">г. Уфа, ул. Транспортная, д.34 </t>
  </si>
  <si>
    <t>г. Уфа, пр-кт Октября, д.92 корп.1</t>
  </si>
  <si>
    <t>г. Уфа, ул. Рабкоров, д.2 корп.1</t>
  </si>
  <si>
    <t>г. Уфа, ул. Даута Юлтыя, д.7</t>
  </si>
  <si>
    <t xml:space="preserve">г. Уфа, ул. Калинина, д.65 </t>
  </si>
  <si>
    <t>г. Уфа, ул. Калинина, д.39</t>
  </si>
  <si>
    <t>г. Уфа, ул. Пионерская, д.16 корп.3</t>
  </si>
  <si>
    <t>г. Уфа, ул. Степана Кувыкина, д.39</t>
  </si>
  <si>
    <t>г. Уфа, ул. Рабкоров, д.14</t>
  </si>
  <si>
    <t>г. Уфа, ул. Рабкоров, д.16</t>
  </si>
  <si>
    <t>г. Уфа, ул. Зайнуллы Расулева, д.8</t>
  </si>
  <si>
    <t xml:space="preserve">г. Уфа, ул. Гафури, д.19 корп.1 </t>
  </si>
  <si>
    <t>г. Уфа, ул. Гафури, д.29</t>
  </si>
  <si>
    <t>г. Уфа, ул. Первомайская, д.2А</t>
  </si>
  <si>
    <t>г. Уфа, ул. Богдана Хмельницкого, д.131</t>
  </si>
  <si>
    <t>г. Уфа, ул. Комарова, д.12</t>
  </si>
  <si>
    <t>г. Уфа, ул. Богдана Хмельницкого, д.54</t>
  </si>
  <si>
    <t>г. Уфа, пр-кт Салавата Юлаева, д.1</t>
  </si>
  <si>
    <t>г. Уфа, ул. Салавата, д.19 корп.1</t>
  </si>
  <si>
    <t>г. Уфа, ул. Юрия Гагарина, д.37 корп.2</t>
  </si>
  <si>
    <t xml:space="preserve">г. Уфа, ул. Гоголя, д.55 корп.1 </t>
  </si>
  <si>
    <t>г. Уфа, ул. Репина, д.11</t>
  </si>
  <si>
    <t>г. Уфа, ул. Александра Невского, д.33</t>
  </si>
  <si>
    <t>г. Уфа, ул. Юрия Гагарина, д.14</t>
  </si>
  <si>
    <t>г. Уфа, ул. Борисоглебская, д.5</t>
  </si>
  <si>
    <t>г. Уфа, ул. Первомайская, д.58 корп.1</t>
  </si>
  <si>
    <t>ремонт крыши (с шифера на профиль с утеплением)</t>
  </si>
  <si>
    <t>ремонт крыши (с металла на профнастил)</t>
  </si>
  <si>
    <t>ремонт фасада с утепление (дворовая часть)</t>
  </si>
  <si>
    <t>ремонт фасада (оштукатуривание, утепление швов и покраска)</t>
  </si>
  <si>
    <t>ремонт крыши (с шифера на профнастил без утепления)</t>
  </si>
  <si>
    <t>ремонт фасада с утеплением торцов, штукатурка по сетке фасад</t>
  </si>
  <si>
    <t xml:space="preserve">Городскоой округ город Сибай Республики Башкортостан </t>
  </si>
  <si>
    <t>ремонт лифтового оборудования  (замена лебедки)</t>
  </si>
  <si>
    <t>12</t>
  </si>
  <si>
    <t>г. Уфа, пр-кт Октября, д.45</t>
  </si>
  <si>
    <t>г. Уфа, ул. Степана Злобина, д.20 корп.1</t>
  </si>
  <si>
    <t>Утвержден</t>
  </si>
  <si>
    <t xml:space="preserve">Приказом Министерства жилищно-коммунального хозяйства Республики Башкортостан </t>
  </si>
  <si>
    <t>с. Ермолаево, ул. Зеленая, д.47</t>
  </si>
  <si>
    <t>с. Нижнетроицкий, ул. Ленина, д.61</t>
  </si>
  <si>
    <t>с. Верхнеяркеево, ул. Коммунистическая, д.11</t>
  </si>
  <si>
    <t>с. Верхнеяркеево, ул. Коммунистическая, д.36</t>
  </si>
  <si>
    <t>г. Стерлитамак, пр-кт Ленина, д.30а</t>
  </si>
  <si>
    <t>г. Стерлитамак, ул. Шафиева, д.25</t>
  </si>
  <si>
    <t>г. Стерлитамак, ул. Коммунистическая, д.34</t>
  </si>
  <si>
    <t>г. Стерлитамак, ул. Коммунистическая, д.32</t>
  </si>
  <si>
    <t>г. Стерлитамак, ул. Суханова, д.24</t>
  </si>
  <si>
    <t>г. Стерлитамак, ул. Артема, д.117</t>
  </si>
  <si>
    <t>г. Стерлитамак, ул. Артема, д.113</t>
  </si>
  <si>
    <t>г. Стерлитамак, ул. Артема, д.71</t>
  </si>
  <si>
    <t>г. Стерлитамак, ул. 7 ноября, д.103</t>
  </si>
  <si>
    <t>г. Стерлитамак, ул. Худайбердина, д.87</t>
  </si>
  <si>
    <t>г. Стерлитамак, ул. Худайбердина, д.89</t>
  </si>
  <si>
    <t>г. Стерлитамак, ул. Худайбердина, д.91</t>
  </si>
  <si>
    <t>г. Стерлитамак, ул .Заводская, д.25</t>
  </si>
  <si>
    <t>г. Стерлитамак, ул .Тукаева, д.15</t>
  </si>
  <si>
    <t>г. Белорецк, ул. Карла Маркса, д.53</t>
  </si>
  <si>
    <t>Обследование, составление дефектной ведомости</t>
  </si>
  <si>
    <t>г. Туймазы, пер. Луначарского, д.2</t>
  </si>
  <si>
    <t>г. Туймазы, пер. Первомайский, д.25</t>
  </si>
  <si>
    <t>д. Алексеевка, с.п. Алексеевский, ул. Центральная, д.58</t>
  </si>
  <si>
    <t>д. Алексеевка, с.п. Алексеевский, ул. Центральная, д.60</t>
  </si>
  <si>
    <t>ремонт водоснабжения, водоотведения (циркуляция в/сн)</t>
  </si>
  <si>
    <t>ремонт водоснабжения, водоотведения с установкой УУ</t>
  </si>
  <si>
    <t>г. Нефтекамск, ул. Социалистическая, д.66б</t>
  </si>
  <si>
    <t>смету исключили через доп.согласшение</t>
  </si>
  <si>
    <t>г. Октябрьский, мкр. 34-й, д.12 (корп.1 и корп.3)</t>
  </si>
  <si>
    <t>г. Агидель, ул. Молодежная, д.4, (подъезд 1,2,3,4,5,6,7,8)</t>
  </si>
  <si>
    <t>г. Нефтекамск, ул. Карла Маркса, д.6а</t>
  </si>
  <si>
    <t>с. Амзя, ул. Пионерская, д.6</t>
  </si>
  <si>
    <t>с. Амзя, ул. Лесохимическая, д.1а</t>
  </si>
  <si>
    <t>г. Нефтекамск, ул. Социалистическая, д.64б</t>
  </si>
  <si>
    <t>г. Нефтекамск, ул. Ленина, д.52б</t>
  </si>
  <si>
    <t>г. Октябрьский, мкр. 24-й, д.10,               п.1, п.2</t>
  </si>
  <si>
    <t>г. Октябрьский, мкр. 24-й, д.11,                     п.1, п.2</t>
  </si>
  <si>
    <t>г. Октябрьский, мкр. 24-й, д.27,           п.3, п.4</t>
  </si>
  <si>
    <t>г. Октябрьский, мкр. 34-й, д.19,            п1, п.2, п.3</t>
  </si>
  <si>
    <t>г. Октябрьский, мкр. 35-й, д.29,           п.3, п.4</t>
  </si>
  <si>
    <t>г. Октябрьский, мкр. 35-й, д.30б,              п.1, п.2</t>
  </si>
  <si>
    <t>г. Октябрьский, мкр. 35-й, д.37,               п.1,п.2, п.3, п.4</t>
  </si>
  <si>
    <t>с. Бакалы, ул. Октябрьская, д.15</t>
  </si>
  <si>
    <t>ремонт крыши         (1,2 подъезды)</t>
  </si>
  <si>
    <t>г. Благовещенск, ул. Комарова, д.17, (1п. 2 п.)</t>
  </si>
  <si>
    <t>г. Дюртюли, ул. Ленина, д.10</t>
  </si>
  <si>
    <t>г. Дюртюли, ул. Ленина, д.18</t>
  </si>
  <si>
    <t>г. Дюртюли, ул. Садовая, д.13</t>
  </si>
  <si>
    <t>с. Исмаилово, ул. 50 лет Волготанкер, д.2</t>
  </si>
  <si>
    <t>с. Москово, ул. Молодежная, д.7</t>
  </si>
  <si>
    <t>с. Суккулово, ул. Молодежная, д.1</t>
  </si>
  <si>
    <t>с. Кандры, ул. Чапаева, д.65</t>
  </si>
  <si>
    <t>г. Туймазы, ул. Мичурина, д.7а</t>
  </si>
  <si>
    <t>7/9</t>
  </si>
  <si>
    <t>г. Туймазы, ул. Приречная, д.4</t>
  </si>
  <si>
    <t>г. Агидель, ул. Молодежная, д.10 (подъезд 1,2,3)</t>
  </si>
  <si>
    <t>г. Дюртюли, ул. Пионерская, д.27 корп.1</t>
  </si>
  <si>
    <t>г. Нефтекамск, ул. Ленина, д.5</t>
  </si>
  <si>
    <t>г. Нефтекамск, пр-кт Комсомольский, д.31</t>
  </si>
  <si>
    <t>с. Иглино, пер. Чапаева, д.10</t>
  </si>
  <si>
    <t>замена лифтового оборудования, ремонт фасада</t>
  </si>
  <si>
    <t>с. Акмурун, ул. 1 мая, д.5</t>
  </si>
  <si>
    <t>г. Баймак, ул. С.Есенина, д.1</t>
  </si>
  <si>
    <t>г. Баймак, пр. С.Юлаева, д.15</t>
  </si>
  <si>
    <t>г. Баймак, ул. Мира, д.17</t>
  </si>
  <si>
    <t>железобетонные крупнопанельные</t>
  </si>
  <si>
    <t>г. Баймак, ул. Мира, д.23</t>
  </si>
  <si>
    <t>г. Баймак, ул. Чекмарева, д.7</t>
  </si>
  <si>
    <t>г. Баймак, пр. С.Юлаева, д.13</t>
  </si>
  <si>
    <t>г. Баймак, ул. Алибаева, д.55</t>
  </si>
  <si>
    <t>г. Баймак, ул. Мира, д.13</t>
  </si>
  <si>
    <t>г. Баймак, ул. Чекмарева, д.11</t>
  </si>
  <si>
    <t>ремонт  водоснабжения, водоотведения</t>
  </si>
  <si>
    <t>с. Серафимовский, 22-й кв-л, д.7</t>
  </si>
  <si>
    <t>нет сметы</t>
  </si>
  <si>
    <t>с. Маячный, ул. Гафури, д.20</t>
  </si>
  <si>
    <t>г. Кумертау, ул. Пушкина, д.21</t>
  </si>
  <si>
    <t>г. Кумертау, ул. Машиностроителей, д.4</t>
  </si>
  <si>
    <t>каменные/ кирпичные</t>
  </si>
  <si>
    <t xml:space="preserve">рулонная  </t>
  </si>
  <si>
    <t>г. Стерлитамак, пр-кт Октября, д.31</t>
  </si>
  <si>
    <t xml:space="preserve">г. Стерлитамак, пр-кт Октября, д.71 </t>
  </si>
  <si>
    <t>г. Стерлитамак, ул. Вокзальная, д.21</t>
  </si>
  <si>
    <t>г. Стерлитамак, ул. Вокзальная, д.23</t>
  </si>
  <si>
    <t>г. Стерлитамак, ул. Имая Насыри, д.2</t>
  </si>
  <si>
    <t>г. Сибай, ул. Булякова, д.9</t>
  </si>
  <si>
    <t>г. Сибай, ул. Булякова, д.15</t>
  </si>
  <si>
    <t>г. Стерлитамак, ул. Гоголя, д.123</t>
  </si>
  <si>
    <t xml:space="preserve">г. Стерлитамак, ул. Имая Насыри, д.4                                       </t>
  </si>
  <si>
    <t>г. Стерлитамак, ул. Имая Насыри, д.6</t>
  </si>
  <si>
    <t>г. Стерлитамак, ул. Суханова, д.12</t>
  </si>
  <si>
    <t>г. Стерлитамак, ул. Суханова, д.16</t>
  </si>
  <si>
    <t>г. Стерлитамак, ул. Суханова, д.18</t>
  </si>
  <si>
    <t>г. Стерлитамак, ул. Суханова, д.2</t>
  </si>
  <si>
    <t>г. Стерлитамак, ул. Худайбердина, д.54</t>
  </si>
  <si>
    <t>г. Стерлитамак, ул. Худайбердина, д.186</t>
  </si>
  <si>
    <t>г. Благовещенск, ул. Демьяна Бедного, д.66</t>
  </si>
  <si>
    <t>г. Уфа, ул. Первомайская, д.26</t>
  </si>
  <si>
    <t>ремонт крыши (архитектурные элементы)</t>
  </si>
  <si>
    <t>ремонт фасад (архитектурные элементы)</t>
  </si>
  <si>
    <t>г. Уфа, ул. Первомайская, д.27</t>
  </si>
  <si>
    <t>г. Уфа, ул. Степана Халтурина, д.55</t>
  </si>
  <si>
    <t>г. Уфа, пр-кт Октября, д.92</t>
  </si>
  <si>
    <t>г. Уфа, ул. Ферина, д.6</t>
  </si>
  <si>
    <t>ремонт крыши с мягкой на цельнометаллическую</t>
  </si>
  <si>
    <t>г. Уфа, ул. Правды, д.31 корп.2</t>
  </si>
  <si>
    <t>г. Уфа, ул. Цюрупы, д.151</t>
  </si>
  <si>
    <t>г. Уфа, ул. Комсомольская, д.37</t>
  </si>
  <si>
    <t>5</t>
  </si>
  <si>
    <t xml:space="preserve">г. Уфа, ул. Гафури д.25 корп.1   </t>
  </si>
  <si>
    <t xml:space="preserve">г. Уфа, ул. Ферина д.8 корп.1   </t>
  </si>
  <si>
    <t>г. Уфа, ул. Братьев Кадомцевых, д.4</t>
  </si>
  <si>
    <t>г. Уфа, ул. Натальи Ковшовой, д.6 корп.1</t>
  </si>
  <si>
    <t>г. Уфа, ул. Российская, д.167 корп.1</t>
  </si>
  <si>
    <t>г. Уфа, ул. Авиаторов, д.19</t>
  </si>
  <si>
    <t>г. Уфа, ул. Юрия Гагарина, д.35</t>
  </si>
  <si>
    <t>г. Уфа, ул. Мечетлинская, д.12</t>
  </si>
  <si>
    <t>г. Салават, ул. Бочкарева, д.11а</t>
  </si>
  <si>
    <t>мягкая, рулонная</t>
  </si>
  <si>
    <t>Ж/б</t>
  </si>
  <si>
    <t>г. Салават, ул. Октябрьская, д.70а</t>
  </si>
  <si>
    <t>г. Салават, ул. Октябрьская, д.72</t>
  </si>
  <si>
    <t>г. Салават, ул. Островского, д.69а</t>
  </si>
  <si>
    <t>г. Салават, ул. Островского, д.71</t>
  </si>
  <si>
    <t>г. Салават, ул. Островского, д.75</t>
  </si>
  <si>
    <t>г. Белорецк, ул. 50 лет Октября, д.50</t>
  </si>
  <si>
    <t>каменно-кирпичный</t>
  </si>
  <si>
    <t>г. Белорецк, ул. 50 лет Октября, д.52/1</t>
  </si>
  <si>
    <t>г. Белорецк, ул. Кирова, д.52</t>
  </si>
  <si>
    <t>г. Белорецк, ул. Кирова, д.60</t>
  </si>
  <si>
    <t>г. Белорецк, ул. Кирова, д.62</t>
  </si>
  <si>
    <t>г. Белорецк, ул. Кирова, д.64</t>
  </si>
  <si>
    <t>г. Белорецк, ул. Кирова, д.66</t>
  </si>
  <si>
    <t>г. Белорецк, ул. Крупской д.57А</t>
  </si>
  <si>
    <t>пенополиуретан</t>
  </si>
  <si>
    <t>г. Ишимбай, ул. Софьи Ковалевской, д.10</t>
  </si>
  <si>
    <t>г. Ишимбай, ул. Софьи Ковалевской, д.10а</t>
  </si>
  <si>
    <t>г. Ишимбай, ул. Софьи Ковалевской, д.13</t>
  </si>
  <si>
    <t>г. Ишимбай, ул. Софьи Ковалевской, д.15а</t>
  </si>
  <si>
    <t>г. Ишимбай, ул. Мира, д.9</t>
  </si>
  <si>
    <t>г. Ишимбай, ул. Советская, д.59</t>
  </si>
  <si>
    <t>г. Ишимбай, ул. Советская, д.63</t>
  </si>
  <si>
    <t>с. Новоаптиково, ул. Подгорная, д.1</t>
  </si>
  <si>
    <t>г. Ишимбай, пр-кт Ленина, д.4</t>
  </si>
  <si>
    <t>1977 / каменные, кирпичные</t>
  </si>
  <si>
    <t>1979/кирпич</t>
  </si>
  <si>
    <t>Замена лифтового оборудования</t>
  </si>
  <si>
    <t>г. Мелеуз, ул. Смоленская, д.43</t>
  </si>
  <si>
    <t>г. Салават, ул. Ленинградская, д.1</t>
  </si>
  <si>
    <t>г. Салават, ул. Ленинградская, д.25</t>
  </si>
  <si>
    <t>г. Салават, ул. Ленинградская, д.31</t>
  </si>
  <si>
    <t>г. Салават, ул. Ленинградская, д.37</t>
  </si>
  <si>
    <t>г. Салават, ул. Ленинградская, д.39</t>
  </si>
  <si>
    <t>г. Салават, ул. Ленинградская, д.45</t>
  </si>
  <si>
    <t>г. Салават, ул. Ленинградская, д.7</t>
  </si>
  <si>
    <t>2366</t>
  </si>
  <si>
    <t>г. Салават, ул. Ленинградская, д.91</t>
  </si>
  <si>
    <t>г. Салават, ул. Уфимская, д.124</t>
  </si>
  <si>
    <t>г. Салават, ул. Губайдуллина, д.4</t>
  </si>
  <si>
    <t>г. Белорецк, ул. 50 лет Октября, д.74</t>
  </si>
  <si>
    <t>г. Белорецк, ул. Кирова, д.58</t>
  </si>
  <si>
    <t>1980/панель</t>
  </si>
  <si>
    <t>г. Мелеуз, ул. Московская, д.3</t>
  </si>
  <si>
    <t>1989г/кирпич</t>
  </si>
  <si>
    <t>г. Мелеуз, ул. Октябрьская, д.18</t>
  </si>
  <si>
    <t>1990/кирпич</t>
  </si>
  <si>
    <t>г. Мелеуз, ул. Первомайская, д.10</t>
  </si>
  <si>
    <t>1991г/кирпич</t>
  </si>
  <si>
    <t>г. Мелеуз, ул. Первомайская, д.14</t>
  </si>
  <si>
    <t>г. Мелеуз, ул. Первомайская, д.16</t>
  </si>
  <si>
    <t>1992г/панель</t>
  </si>
  <si>
    <t>1986/панель</t>
  </si>
  <si>
    <t>г. Нефтекамск, ул. Нефтяников, д.15</t>
  </si>
  <si>
    <t>г. Стерлитамак, ул. Суханова, д.2а</t>
  </si>
  <si>
    <t>г. Стерлитамак, ул. Худайбердина, д.95</t>
  </si>
  <si>
    <t>г. Туймазы, ул. Гафурова, д.37а</t>
  </si>
  <si>
    <t>г. Уфа, ул. Бакалинская, д.60 корп.3</t>
  </si>
  <si>
    <t>Итого:</t>
  </si>
  <si>
    <t>г. Салават, ул. Губкина, д.2б</t>
  </si>
  <si>
    <t>г. Уфа, ул. Орджоникидзе, д.15</t>
  </si>
  <si>
    <t>г. Уфа, ул. Мечетлинская, д.3</t>
  </si>
  <si>
    <t>г. Уфа, ул. Александра Невского, д.38</t>
  </si>
  <si>
    <t xml:space="preserve">г. Уфа, ул. Минигали Губайдуллина, д.5  </t>
  </si>
  <si>
    <t xml:space="preserve">г. Уфа, ул. Менделеева, д.148 корп.3   </t>
  </si>
  <si>
    <t>г. Уфа, ул. Ухтомского, д.17 корп.2</t>
  </si>
  <si>
    <t>г. Янаул, ул. Маяковского, д.2</t>
  </si>
  <si>
    <t>г. Туймазы, мкр. Молодежный, д.10</t>
  </si>
  <si>
    <t>г. Нефтекамск, ул. Социалистическая, д.2</t>
  </si>
  <si>
    <t>г. Октябрьский, мкр. 35-й, д.33</t>
  </si>
  <si>
    <t>г. Октябрьский, ул. Садовое Кольцо, д.7</t>
  </si>
  <si>
    <t>с. Субханкулово, ул. Ленина, д.13</t>
  </si>
  <si>
    <t xml:space="preserve">с. Красноусольский, ул. Карла Маркса, д.2   </t>
  </si>
  <si>
    <t>с. Кушнаренково, ул. Большевистская, д.4</t>
  </si>
  <si>
    <t>с. Энергетик, ул. Высоковольтная, д.2</t>
  </si>
  <si>
    <t>с. Энергетик, ул. Высоковольтная, д.3</t>
  </si>
  <si>
    <t>с. Энергетик, ул. Высоковольтная, д.14</t>
  </si>
  <si>
    <t>с. Энергетик, ул. Высоковольтная, д.10</t>
  </si>
  <si>
    <t>с. Энергетик, ул. Высоковольтная, д.1</t>
  </si>
  <si>
    <t>с. Энергетик, ул. Высоковольтная, д.4</t>
  </si>
  <si>
    <t xml:space="preserve">с. Семилетка, ул. Губкина, д.10 </t>
  </si>
  <si>
    <t>с. Нижегородка, с.п. Зубовский, ул.Мира, д.24 корп.1</t>
  </si>
  <si>
    <t>рп Приютово, ул. 50 лет ВЛКСМ, д.15</t>
  </si>
  <si>
    <t>рп Приютово, ул. 50 лет ВЛКСМ, д.28</t>
  </si>
  <si>
    <t>рп Приютово, б-р Мира, д.9</t>
  </si>
  <si>
    <t>рп Приютово, б-р Мира, д.20 корп.1</t>
  </si>
  <si>
    <t>рп Приютово, б-р Мира, д.22</t>
  </si>
  <si>
    <t>рп Приютово, ул. Калинина, д.12</t>
  </si>
  <si>
    <t>рп Приютово, ул. Калинина, д.26а</t>
  </si>
  <si>
    <t>рп Приютово, ул. Карла Маркса, д.23а</t>
  </si>
  <si>
    <t>рп Приютово, ул. Карла Маркса, д.25</t>
  </si>
  <si>
    <t>рп Приютово, ул. Карла Маркса, д.27</t>
  </si>
  <si>
    <t>рп Приютово, ул. Карла Маркса, д.32</t>
  </si>
  <si>
    <t>рп Приютово, ул. Ленина, д.22</t>
  </si>
  <si>
    <t>рп Приютово, ул. Ленина, д.22а</t>
  </si>
  <si>
    <t>рп Приютово, ул. Магистральная, д.15</t>
  </si>
  <si>
    <t>рп Приютово, ул. Маяковского, д.8</t>
  </si>
  <si>
    <t>рп Приютово, ул. Парамонова, д.9</t>
  </si>
  <si>
    <t>рп Приютово, ул. Парамонова, д.18</t>
  </si>
  <si>
    <t>рп Приютово, ул. Парамонова, д.34</t>
  </si>
  <si>
    <t>рп Приютово, ул. Парамонова, д.38</t>
  </si>
  <si>
    <t>рп Приютово, ул. Первомайская, д.5а</t>
  </si>
  <si>
    <t>рп Приютово, ул. 50 лет ВЛКСМ, д.28а</t>
  </si>
  <si>
    <t>рп Приютово, ул. Калинина, д.14</t>
  </si>
  <si>
    <t>рп Приютово, ул. Калинина, д.16</t>
  </si>
  <si>
    <t>рп Приютово, ул. Карла Маркса, д.9</t>
  </si>
  <si>
    <t>рп Приютово, ул. Магистральная, д.7</t>
  </si>
  <si>
    <t>рп Приютово, ул. Островского, д.24</t>
  </si>
  <si>
    <t>рп Приютово, ул. Первомайская, д.5</t>
  </si>
  <si>
    <t>рп Приютово, ул. Первомайская, д.14</t>
  </si>
  <si>
    <t>рп Приютово, ул. Свердлова, д.4</t>
  </si>
  <si>
    <t>рп Приютово, ул. Свердлова, д.9</t>
  </si>
  <si>
    <t>рп Приютово, ул. Магистральная, д.13</t>
  </si>
  <si>
    <t>рп Приютово, ул. 50 лет ВЛКСМ, д.7</t>
  </si>
  <si>
    <t>рп Приютово, ул. Магистральная, д.1а</t>
  </si>
  <si>
    <t>рп Приютово, б-р Мира, д.2</t>
  </si>
  <si>
    <t>рп Приютово, ул. Карла Маркса, д.19</t>
  </si>
  <si>
    <t>рп Приютово, ул. Ленина, д.24</t>
  </si>
  <si>
    <t>рп Приютово, ул. Магистральная, д.9</t>
  </si>
  <si>
    <t>рп Приютово, ул. Парамонова, д.11</t>
  </si>
  <si>
    <t>рп Приютово, ул. Парамонова, д.20</t>
  </si>
  <si>
    <t>рп Приютово, ул. Первомайская, д.8</t>
  </si>
  <si>
    <t>рп Приютово, ул. Свердлова, д.8</t>
  </si>
  <si>
    <t>рп Приютово, ул. Карла Маркса, д.7</t>
  </si>
  <si>
    <t>рп Приютово, ул. 50 лет ВЛКСМ, д.23</t>
  </si>
  <si>
    <t>рп Приютово, ул. Парамонова, д.6</t>
  </si>
  <si>
    <t>рп Приютово, ул. Парамонова, д.34а</t>
  </si>
  <si>
    <t>рп Приютово, ул. Чехова, д.1</t>
  </si>
  <si>
    <t>г. Уфа, ул. 50-летия Октября, д.6 корп.8</t>
  </si>
  <si>
    <t>5/6</t>
  </si>
  <si>
    <t>г. Уфа, б-р Тухвата Янаби, д.45</t>
  </si>
  <si>
    <t>г. Уфа, б-р Тухвата Янаби, д. 49</t>
  </si>
  <si>
    <t>замена лифтового оборудоапнич</t>
  </si>
  <si>
    <t>г. Уфа, ул. Адмирала Ушакова, д.84</t>
  </si>
  <si>
    <t>Кирпич</t>
  </si>
  <si>
    <t>г. Уфа, ул. Адмирала Ушакова, д.86 корп.1</t>
  </si>
  <si>
    <t>г. Уфа, ул. Бабушкина, д.19</t>
  </si>
  <si>
    <t>г. Уфа, ул. Бессонова, д.21</t>
  </si>
  <si>
    <t>г. Уфа, ул. Бессонова, д.26</t>
  </si>
  <si>
    <t>г. Уфа, ул. Вологодская, д.13</t>
  </si>
  <si>
    <t>г. Уфа, ул. Вологодская, д.19</t>
  </si>
  <si>
    <t>г. Уфа, ул. Грозненская, д.71 корп.1</t>
  </si>
  <si>
    <t xml:space="preserve">рулонная </t>
  </si>
  <si>
    <t>г. Уфа, ул. Джалиля Киекбаева, д.17</t>
  </si>
  <si>
    <t>г. Уфа, ул. Заводская, д.8</t>
  </si>
  <si>
    <t>г. Уфа, ул. им Фронтовых Бригад, д.7</t>
  </si>
  <si>
    <t>г. Уфа, ул. Казанская, д.10</t>
  </si>
  <si>
    <t>г. Уфа, ул. Комсомольская, д.138</t>
  </si>
  <si>
    <t>г. Уфа, ул. Левитана, д.20</t>
  </si>
  <si>
    <t>г. Уфа, ул. Менделеева, д.1</t>
  </si>
  <si>
    <t>г. Уфа, ул. Менделеева, д.213</t>
  </si>
  <si>
    <t>г. Уфа, ул. Мингажева, д.127 корп.1</t>
  </si>
  <si>
    <t xml:space="preserve"> железные</t>
  </si>
  <si>
    <t>г. Уфа, ул. Николая Дмитриева, д.21</t>
  </si>
  <si>
    <t>г. Уфа, пр-кт Октября, д.65</t>
  </si>
  <si>
    <t>г. Уфа, ул. Рабкоров, д.5 корп.1</t>
  </si>
  <si>
    <t>г. Уфа, ул. Рихарда Зорге, д.10</t>
  </si>
  <si>
    <t>г. Уфа, ул. Российская, д.17</t>
  </si>
  <si>
    <t>г. Уфа, ул. Степана Кувыкина, д.18</t>
  </si>
  <si>
    <t>г. Уфа, ул. Ферина, д.12</t>
  </si>
  <si>
    <t>г. Уфа, ул. Ферина, д.16</t>
  </si>
  <si>
    <t>г. Уфа, ул. Ферина, д.19 корп.1</t>
  </si>
  <si>
    <t>г. Уфа, ул. Ферина, д.22</t>
  </si>
  <si>
    <t>г. Уфа, ул. Ферина, д.24 корп.3</t>
  </si>
  <si>
    <t>г. Уфа, ул. Ферина, д.28</t>
  </si>
  <si>
    <t>г. Уфа, ул. Шафиева, д.12</t>
  </si>
  <si>
    <t>г. Уфа, б-р Ибрагимова, д.35</t>
  </si>
  <si>
    <t>9/7/5</t>
  </si>
  <si>
    <t>г. Уфа, ул. Авроры, д.5 корп.12</t>
  </si>
  <si>
    <t>монолитный</t>
  </si>
  <si>
    <t>г. Уфа, ул. Максима Рыльского, д.4</t>
  </si>
  <si>
    <t>г. Уфа, ул. Комсомольская, д.161 корп.3</t>
  </si>
  <si>
    <t>г. Уфа, ул. Баязита Бикбая, д.24 корп.1</t>
  </si>
  <si>
    <t>г. Уфа, ул. Авроры, д.7</t>
  </si>
  <si>
    <t>г. Уфа, ул. Авроры, д.15</t>
  </si>
  <si>
    <t>г. Уфа, ул. Авроры, д.17</t>
  </si>
  <si>
    <t>г. Уфа, ул. Авроры, д.29</t>
  </si>
  <si>
    <t>г. Уфа, ул. Батырская, д.6</t>
  </si>
  <si>
    <t>г. Уфа, ул. Батырская, д.12</t>
  </si>
  <si>
    <t>г. Уфа, ул. Гафури, д.6</t>
  </si>
  <si>
    <t>г. Уфа, ул. Рабкоров, д.1</t>
  </si>
  <si>
    <t>г. Уфа, ул. Рабкоров, д.11</t>
  </si>
  <si>
    <t>г. Уфа, ул. Рабкоров, д.22</t>
  </si>
  <si>
    <t>г. Уфа, ул. Рабкоров, д.24</t>
  </si>
  <si>
    <t>г. Уфа, ул. Авроры, д.5 корп.3</t>
  </si>
  <si>
    <t>г. Уфа, ул. Авроры, д.7 корп.2</t>
  </si>
  <si>
    <t>г. Уфа, ул. Авроры, д.7 корп.3</t>
  </si>
  <si>
    <t>г. Уфа, ул. Авроры, д.7 корп.4</t>
  </si>
  <si>
    <t>г. Уфа, ул. Авроры, д.11 корп.2</t>
  </si>
  <si>
    <t>г. Уфа, ул. Батырская, д.8 корп.1</t>
  </si>
  <si>
    <t>г. Уфа, ул. Рабкоров, д.22 корп.2</t>
  </si>
  <si>
    <t>г. Уфа, ул. Рихарда Зорге, д.26 корп.2</t>
  </si>
  <si>
    <t>г. Уфа, ул. Баязит Бикбая, д.24 корп.3</t>
  </si>
  <si>
    <t>г. Дюртюли, ул. Назара Наджми, д.25 корп.1</t>
  </si>
  <si>
    <t>г. Октябрьский, мкр. 34-й, д.12 корп.2,   п.1</t>
  </si>
  <si>
    <t>утепление фасада (утепление сайдингом)</t>
  </si>
  <si>
    <t>г. Уфа, б-р Тухвата Янаби, д.47</t>
  </si>
  <si>
    <t>г. Уфа, ул. Адмирала Ушакова, д.86</t>
  </si>
  <si>
    <t>г. Уфа, ул. Менделеева, д.150</t>
  </si>
  <si>
    <t>г. Уфа, ул. им Фронтовых Бригад, д.5</t>
  </si>
  <si>
    <t>г. Уфа, б-р Ибрагимова, д.25</t>
  </si>
  <si>
    <t>г. Уфа, б-р Молодежный, д.7</t>
  </si>
  <si>
    <t>г. Уфа, б-р Тюлькина, д.7 корп.3</t>
  </si>
  <si>
    <t>г. Уфа, пр-кт Октября, д.18 корп.3</t>
  </si>
  <si>
    <t>г. Уфа, пр-кт Октября, д.70</t>
  </si>
  <si>
    <t>г. Уфа, пр-кт Октября, д.72</t>
  </si>
  <si>
    <t>г. Уфа, ул. Авроры, д.5 корп.7</t>
  </si>
  <si>
    <t>г. Уфа, ул. Авроры, д.9 корп.2</t>
  </si>
  <si>
    <t>г. Уфа, ул. Казанская, д.12</t>
  </si>
  <si>
    <t>г. Уфа, ул. Казанская, д.4</t>
  </si>
  <si>
    <t>г. Уфа, ул. Казанская, д.6</t>
  </si>
  <si>
    <t>г. Уфа, ул. Казанская, д.8</t>
  </si>
  <si>
    <t>г. Уфа, ул. Комсомольская, д.31</t>
  </si>
  <si>
    <t>г. Уфа, ул. Лесотехникума, д.28</t>
  </si>
  <si>
    <t>г. Уфа, ул. Лесотехникума, д.30</t>
  </si>
  <si>
    <t>г. Уфа, ул. Лесотехникума, д.32</t>
  </si>
  <si>
    <t>г. Уфа, ул. Лесотехникума, д.32 корп.1</t>
  </si>
  <si>
    <t>г. Уфа, ул. Мубарякова, д.11</t>
  </si>
  <si>
    <t>г. Уфа, ул. Мубарякова, д.11 корп.1</t>
  </si>
  <si>
    <t>г. Уфа, ул. Мубарякова, д.13</t>
  </si>
  <si>
    <t>г. Уфа, ул. Мубарякова, д.5</t>
  </si>
  <si>
    <t>г. Уфа, ул. Мубарякова, д.9</t>
  </si>
  <si>
    <t>г. Уфа, ул. Парковая, д.8 корп.1</t>
  </si>
  <si>
    <t>г. Уфа, ул. Рабкоров, д.6б</t>
  </si>
  <si>
    <t>г. Уфа, ул. Рихарда Зорге, д.47 корп.2</t>
  </si>
  <si>
    <t>г. Уфа, ул. Российская, д.41</t>
  </si>
  <si>
    <t>г. Уфа, ул. Российская, д.43</t>
  </si>
  <si>
    <t>г. Уфа, ул. Российская, д.45</t>
  </si>
  <si>
    <t>г. Уфа, ул. Российская, д.45 корп.1</t>
  </si>
  <si>
    <t>г. Уфа, ул. Софьи Перовской, д.13г</t>
  </si>
  <si>
    <t>г. Уфа, ул. Софьи Перовской, д.25</t>
  </si>
  <si>
    <t>г. Уфа, ул. Степана Кувыкина, д.1г</t>
  </si>
  <si>
    <t>г. Уфа, ул. Степана Кувыкина, д.13</t>
  </si>
  <si>
    <t>г. Уфа, ул. Степана Кувыкина, д.13а</t>
  </si>
  <si>
    <t>г. Уфа, ул. Степана Кувыкина, д.15</t>
  </si>
  <si>
    <t>г. Уфа, ул. Степана Кувыкина, д.15а</t>
  </si>
  <si>
    <t>г. Уфа, ул. Степана Кувыкина, д.17 корп.1</t>
  </si>
  <si>
    <t>г. Уфа, ул. Степана Кувыкина, д.19</t>
  </si>
  <si>
    <t>г. Уфа, ул. Степана Кувыкина, д.19а</t>
  </si>
  <si>
    <t>г. Уфа, ул. Степана Кувыкина, д.7а</t>
  </si>
  <si>
    <t>г. Уфа, ул. Степана Злобина, д.40</t>
  </si>
  <si>
    <t>г. Уфа, ул. Ухтомского, д.26</t>
  </si>
  <si>
    <t>г. Уфа, ул. Шафиева, д.28</t>
  </si>
  <si>
    <t>г. Уфа, ул. Шафиева, д.39</t>
  </si>
  <si>
    <t>г. Уфа, пр-кт Октября, д.23</t>
  </si>
  <si>
    <t>г. Уфа, пр-кт Октября, д.53</t>
  </si>
  <si>
    <t>ремонт системы газоснабжения</t>
  </si>
  <si>
    <t>г. Уфа, ул. Кольцевая, д.185</t>
  </si>
  <si>
    <t>с. Новоаптиково, ул. Строителей, д.19</t>
  </si>
  <si>
    <t>ПСД</t>
  </si>
  <si>
    <t>г. Уфа, ул. Генарала Горбатова, д.3</t>
  </si>
  <si>
    <t>г. Уфа, ул. Цюрупы, д.156 корп.1</t>
  </si>
  <si>
    <t xml:space="preserve">утепление фасада
</t>
  </si>
  <si>
    <t>г. Белорецк, ул. Куйбышева, д.4</t>
  </si>
  <si>
    <t>г. Нефтекамск, ул. Ленина, д.22а</t>
  </si>
  <si>
    <t>ремонт крыши (мяг.)</t>
  </si>
  <si>
    <t>г. Мелеуз, мкр. 32-й, д.13</t>
  </si>
  <si>
    <t>2000/каменные, каменные, кирпичныеные</t>
  </si>
  <si>
    <t>ремонт крыши  (мяг)</t>
  </si>
  <si>
    <t>г. Мелеуз, ул. Маяковского, д.13</t>
  </si>
  <si>
    <t>г. Стерлитамак, ул. Дружбы, д.23</t>
  </si>
  <si>
    <t>г. Стерлитамак, ул. Карла Либнехта, д.4б</t>
  </si>
  <si>
    <t>с. Толбазы, ул. Партизанская, д.2д</t>
  </si>
  <si>
    <t>г. Ишимбай, ул. Бульварная, д.13</t>
  </si>
  <si>
    <t>г. Ишимбай, ул. Вахитова, д.5</t>
  </si>
  <si>
    <t>г. Ишимбай, пр-кт Ленина, д.35</t>
  </si>
  <si>
    <t>г. Ишимбай, ул. Машиностроителей, д.63</t>
  </si>
  <si>
    <t>г. Ишимбай, ул. Молодёжная, д.6</t>
  </si>
  <si>
    <t>г. Ишимбай, ул. Уральская, д.58</t>
  </si>
  <si>
    <t>г. Ишимбай, ул. Машиностроителей, д.65</t>
  </si>
  <si>
    <t>с. Киргиз-Мияки, ул. Шоссейная, д.9</t>
  </si>
  <si>
    <t>с. Киргиз-Мияки, ул. Шоссейная, д.11</t>
  </si>
  <si>
    <t>с. Киргиз-Мияки, ул. Шоссейная, д.13</t>
  </si>
  <si>
    <t>с. Киргиз-Мияки, ул. Комарова, д.1</t>
  </si>
  <si>
    <t xml:space="preserve">ремонт газоснабжения </t>
  </si>
  <si>
    <t>Генеральный директор НОФ "Региональный оператор РБ"                                                                                                                            Б.П. Герасимов</t>
  </si>
  <si>
    <t>с. Кармаскалы ул. Ак-Куль, д.15 корп.1</t>
  </si>
  <si>
    <t>г. Ишимбай, ул. Гагарина, д.88</t>
  </si>
  <si>
    <t>г. Ишимбай, ул. Губкина, д.14</t>
  </si>
  <si>
    <t>г. Ишимбай, ул. Стахановская, д.12</t>
  </si>
  <si>
    <t>переустройство крыши (с мягкой на профиль с утеплением)</t>
  </si>
  <si>
    <t>г. Бирск, ул. Овчинникова, д.42а</t>
  </si>
  <si>
    <t xml:space="preserve">ремонт  водоотведения 
</t>
  </si>
  <si>
    <t>с. Старобалтачево, ул. Кирова, д.11</t>
  </si>
  <si>
    <t>г. Ишимбай, ул. Губкина, д.104</t>
  </si>
  <si>
    <t>г. Ишимбай, ул. Революционная, д.25</t>
  </si>
  <si>
    <t>ремонт фасада (утепление торцов, усиление лоджий )</t>
  </si>
  <si>
    <t>г. Уфа, ул. Сергея Вострецова, д.6</t>
  </si>
  <si>
    <t>г. Бирск, ул. Интернациональная, д.116в</t>
  </si>
  <si>
    <t>г. Агидель, ул. Первых Строителей, д.6</t>
  </si>
  <si>
    <t>мсетал</t>
  </si>
  <si>
    <t>ремонт  крыши с мягкой на цельнометаллическую</t>
  </si>
  <si>
    <t>234</t>
  </si>
  <si>
    <t>ремонт крыши с шиферной на цельнометаллическую</t>
  </si>
  <si>
    <t>с. Месягутово, ул. Электрическая, д.14</t>
  </si>
  <si>
    <t>682.5</t>
  </si>
  <si>
    <t>=N1434/G1434</t>
  </si>
  <si>
    <t>смету делает сам подрядчик</t>
  </si>
  <si>
    <t>подрядчик сам делает псд</t>
  </si>
  <si>
    <t>ПСД с 2016 г.</t>
  </si>
  <si>
    <t>г. Уфа, ул. Космонавтов, д.22</t>
  </si>
  <si>
    <t>г. Уфа, ул. Первомайская, д.9</t>
  </si>
  <si>
    <t>г. Уфа, ул. Первомайская, д.10</t>
  </si>
  <si>
    <t>г. Уфа, ул. Первомайская, д.11</t>
  </si>
  <si>
    <t>г. Уфа, ул. Первомайская, д.15</t>
  </si>
  <si>
    <t>г. Уфа, ул. Конституции, д.7</t>
  </si>
  <si>
    <t>г. Уфа, ул. Конституции, д.8</t>
  </si>
  <si>
    <t>г. Уфа, ул. Конституции, д.9а</t>
  </si>
  <si>
    <t>г. Уфа, ул. Свободы, д.41</t>
  </si>
  <si>
    <t>г. Уфа, ул. Свободы, д.43</t>
  </si>
  <si>
    <t>г. Уфа, ул. Свободы, д.45</t>
  </si>
  <si>
    <t>г. Уфа, ул. Свободы, д.47</t>
  </si>
  <si>
    <t>г. Уфа, ул. Свободы, д.49</t>
  </si>
  <si>
    <t>г. Уфа, ул. Свободы, д.51</t>
  </si>
  <si>
    <t>г. Уфа, ул. Свободы, д.53</t>
  </si>
  <si>
    <t>г. Уфа, ул. Первомайская, д.48</t>
  </si>
  <si>
    <t>г. Уфа, ул. Космонавтов,  д.5</t>
  </si>
  <si>
    <t>г. Уфа, ул. Космонавтов, д.7</t>
  </si>
  <si>
    <t>г. Уфа, ул. Первомайская, д.90</t>
  </si>
  <si>
    <t>г. Уфа, ул. Первомайская, д.85</t>
  </si>
  <si>
    <t>г. Уфа, ул. Первомайская, д.75</t>
  </si>
  <si>
    <t>г. Уфа, ул. Первомайская, д.73</t>
  </si>
  <si>
    <t>г. Уфа, ул. Первомайская, д.70</t>
  </si>
  <si>
    <t xml:space="preserve">г. Уфа, ул. Первомайская, д.66 </t>
  </si>
  <si>
    <t>г. Сибай, ул. Коммунистическая, д.1</t>
  </si>
  <si>
    <t>г. Сибай, ул. Ленина, д.2/2</t>
  </si>
  <si>
    <t>1989г/каменные кирпичные</t>
  </si>
  <si>
    <t>с. Верхнеяркеево, пер. Библиотечный, д.4</t>
  </si>
  <si>
    <t>с. Андреевка, ул. Заводская, д.3</t>
  </si>
  <si>
    <t>г. Октябрьский, пр-кт Ленина, д.51, п.1, п.2</t>
  </si>
  <si>
    <t>г. Октябрьский, пр-кт Ленина, д.55,     п.1, п.2</t>
  </si>
  <si>
    <t>г. Октябрьский, пр-кт Ленина, д.81,    п.1, п.2, п.3</t>
  </si>
  <si>
    <t>г. Октябрьский, ул. Горького, д.15,    п.3, п. 5</t>
  </si>
  <si>
    <t>г. Уфа, ул. Баязита Бикбая, д.2</t>
  </si>
  <si>
    <t>г. Уфа, ул. Баязита Бикбая, д.4</t>
  </si>
  <si>
    <t>г. Уфа, ул. Баязита Бикбая, д.6</t>
  </si>
  <si>
    <t>г. Уфа, ул. Баязита Бикбая, д.8</t>
  </si>
  <si>
    <t>г. Уфа, ул. Дмитрия Донского, д.89</t>
  </si>
  <si>
    <t>г. Уфа, ул. Союзная, д.35 корп.2</t>
  </si>
  <si>
    <t>утепление фасада торцы</t>
  </si>
  <si>
    <t>узла учета тепловой энергии</t>
  </si>
  <si>
    <t>шиферные</t>
  </si>
  <si>
    <t>рулоннык</t>
  </si>
  <si>
    <t>монолитные</t>
  </si>
  <si>
    <t>рулонные</t>
  </si>
  <si>
    <t>г. Уфа, ул. Менделеева, д.7</t>
  </si>
  <si>
    <t>г. Уфа, ул. Максима Рыльского, д.2</t>
  </si>
  <si>
    <t>г. Ишимбай, ул. Чкалова, 2а</t>
  </si>
  <si>
    <t>ремонт фассада</t>
  </si>
  <si>
    <t>г. Сибай, ул. Коммунистическая, д.3</t>
  </si>
  <si>
    <t>г. Салават, ул. Пушкина, д.22а</t>
  </si>
  <si>
    <t>г. Салават, ул. Горького, д.41</t>
  </si>
  <si>
    <t>г. Салават, ул. Гафури, д.10</t>
  </si>
  <si>
    <t>г. Салават, ул. Горького, д.18а</t>
  </si>
  <si>
    <t>г. Салават, ул. Горького, д.38</t>
  </si>
  <si>
    <t>г. Салават, ул. Пушкина, д.1</t>
  </si>
  <si>
    <t>г. Салават, ул. Ленина, д.15</t>
  </si>
  <si>
    <t>г. Салават, б-р Матросова, д.42</t>
  </si>
  <si>
    <t>г. Салават, б-р Матросова, д.7</t>
  </si>
  <si>
    <t>г. Салават, ул. Островского, д.17а</t>
  </si>
  <si>
    <t xml:space="preserve">г. Салават, ул. Гафури, д.8 </t>
  </si>
  <si>
    <t>2</t>
  </si>
  <si>
    <t>ремонт водоснабжения и водоотведения</t>
  </si>
  <si>
    <t>г. Салават, ул. Маркса, д.13а</t>
  </si>
  <si>
    <t>с. Толбазы, ул. Матросова, д.43</t>
  </si>
  <si>
    <t>с. Толбазы, ул. Первомайская, д.14</t>
  </si>
  <si>
    <t>г. Белорецк, ул. Косоротова, д.12</t>
  </si>
  <si>
    <t>г. Белорецк, ул. Карла Маркса, д.45</t>
  </si>
  <si>
    <t>г. Белорецк, ул. Карла Маркса, д.56</t>
  </si>
  <si>
    <t>г. Белорецк, ул. Карла Маркса, д.71</t>
  </si>
  <si>
    <t>г. Белорецк, ул. Карла Маркса, д.73</t>
  </si>
  <si>
    <t>с. Зилаир, ул. Красных партизан, д. 96б</t>
  </si>
  <si>
    <t>Профлист</t>
  </si>
  <si>
    <t>1977/каменно кирпичная</t>
  </si>
  <si>
    <t>ремонт  водоснабжения и водоотведения</t>
  </si>
  <si>
    <t>ремонт фасада (сайдинг)</t>
  </si>
  <si>
    <t>п. Зирган, ул. Советская, д.79</t>
  </si>
  <si>
    <t>п. Зирган, ул. Советская, д.83</t>
  </si>
  <si>
    <t xml:space="preserve">ремонт крыши с мягкой на цельнометаллическую </t>
  </si>
  <si>
    <t>1980г/кирпич</t>
  </si>
  <si>
    <t>г. Мелеуз, мкр.  31-й, д.9</t>
  </si>
  <si>
    <t>с. Калтасы, ул. Карла Маркса, д.47</t>
  </si>
  <si>
    <t>с. Краснохолмский, ул. Губкина, д.10</t>
  </si>
  <si>
    <t>680</t>
  </si>
  <si>
    <t>г. Уфа, ул. Братьев Кадомцевых, д.10</t>
  </si>
  <si>
    <t>г. Уфа, ул. Юрия Гагарина, д.33</t>
  </si>
  <si>
    <t xml:space="preserve">г. Уфа, пр-кт Октября, д.57 </t>
  </si>
  <si>
    <t xml:space="preserve">г. Уфа, пр-кт Октября, д.63 </t>
  </si>
  <si>
    <t xml:space="preserve">г. Уфа, пр-кт Октября, д.78 </t>
  </si>
  <si>
    <t>ремонт крыши
(с шифера на профнастил без утепления)</t>
  </si>
  <si>
    <t>с. Верхнеяркеево, ул. Свердлова, д.62</t>
  </si>
  <si>
    <t>с. Верхнеяркеево, пер. Библиотечный, д.5</t>
  </si>
  <si>
    <t>ремонт фасада (усилением несущей способности)</t>
  </si>
  <si>
    <t>г. Нефтекамск, ул. Ленина д.7а</t>
  </si>
  <si>
    <t>г. Нефтекамск, ул. Ленина, д.62</t>
  </si>
  <si>
    <t>г. Дюртюли, ул. Матросова, д.10</t>
  </si>
  <si>
    <t>с. Асяново, ул. Трактовая, д.12</t>
  </si>
  <si>
    <t>с. Исмаилово, ул. 50 лет Волготанкер, д.1</t>
  </si>
  <si>
    <t>с. Верхние Киги, ул. Ленина, д.112</t>
  </si>
  <si>
    <t>г. Туймазы,  ул. Луначарского, д.28а</t>
  </si>
  <si>
    <t>г. Бирск, ул. Интернациональная, д.118</t>
  </si>
  <si>
    <t>г. Бирск, ул. Луговая, д.30в</t>
  </si>
  <si>
    <t>г. Уфа, ул. Энгельса, д.5</t>
  </si>
  <si>
    <t>г. Уфа, ул. Максима Рыльского, д.6 корп.1</t>
  </si>
  <si>
    <t>г. Уфа, ул. Парковая, д.18 корп.2</t>
  </si>
  <si>
    <t>г. Уфа, ул. Баязита Бикбая, д.25 корп.1</t>
  </si>
  <si>
    <t>монолит</t>
  </si>
  <si>
    <t>г. Уфа, ул. Максима Рыльского, д.24</t>
  </si>
  <si>
    <t>г. Уфа, ул. Баязита Бикбая, д.31</t>
  </si>
  <si>
    <t>г. Уфа, ул. Баязита Бикбая, д.32</t>
  </si>
  <si>
    <t>г. Уфа, ул. Рихарда Зорге, д.34</t>
  </si>
  <si>
    <t>г. Уфа, пр-кт Октября, д.107</t>
  </si>
  <si>
    <t>г. Уфа, ул. Кирова, д.99, корп.3</t>
  </si>
  <si>
    <t>г. Уфа, ул. Степана Кувыкина, д.21</t>
  </si>
  <si>
    <t>г. Уфа, ул. Степана Кувыкина, д.3</t>
  </si>
  <si>
    <t>железная</t>
  </si>
  <si>
    <t>г. Уфа, б-р Славы, д.1а</t>
  </si>
  <si>
    <t>г. Уфа, ул. Кирова, д.5</t>
  </si>
  <si>
    <t>г. Уфа, ул. Маршала Жукова, д.7</t>
  </si>
  <si>
    <t>г.Уфа, ул.Степана Халтурина, д.40</t>
  </si>
  <si>
    <t>Единица измерения</t>
  </si>
  <si>
    <t>г. Уфа, ул. Авроры, д.5 корп.1а</t>
  </si>
  <si>
    <t>г. Уфа, ул. Авроры, д.5 корп.1в</t>
  </si>
  <si>
    <t>г. Уфа, ул. Авроры, д.7 корп.1а</t>
  </si>
  <si>
    <t>г. Уфа, ул. Авроры, д.7 корп.1б</t>
  </si>
  <si>
    <t>г. Уфа, ул. Авроры, д.7 корп.1в</t>
  </si>
  <si>
    <t>г. Уфа, ул. Авроры, д.11/1в</t>
  </si>
  <si>
    <t>с. Мирный, ул. Ленина, д.10</t>
  </si>
  <si>
    <t>ремонт крыши
(с шифера на профнастил, без утепления)</t>
  </si>
  <si>
    <t>г. Салават, ул. Гагарина, д.9</t>
  </si>
  <si>
    <t>г. Салават, ул. Матросова, д.16</t>
  </si>
  <si>
    <t>г. Салават, ул. Космонавтов, д.7</t>
  </si>
  <si>
    <t>г. Сибай, пр-кт Горняков, д.38</t>
  </si>
  <si>
    <t>г. Сибай, пр-кт Горняков, д.63</t>
  </si>
  <si>
    <t>шлакоблочные</t>
  </si>
  <si>
    <t>г. Сибай, ул. Островского, д.21</t>
  </si>
  <si>
    <t>г. Сибай, ул. Коммунистическая, д.30</t>
  </si>
  <si>
    <t>г. Сибай, ул. Заки Валиди, д.55/2</t>
  </si>
  <si>
    <t>г. Сибай, ул. Пионерская, д.22</t>
  </si>
  <si>
    <t>г. Сибай, ул. Чайковского, д.6</t>
  </si>
  <si>
    <t>г. Белорецк, ул. Точисского, д.24</t>
  </si>
  <si>
    <t>металлическая-скатная</t>
  </si>
  <si>
    <t>с. Тирлянский, ул. Коммунистическая, д.67</t>
  </si>
  <si>
    <t>г. Белорецк, ул. Точисского, д.19</t>
  </si>
  <si>
    <t>г. Белорецк, ул. Точисского, д.21</t>
  </si>
  <si>
    <t>с. Исянгулово, ул. Советская, д.8</t>
  </si>
  <si>
    <t>с. Исянгулово, ул. Чекмарева, д.8</t>
  </si>
  <si>
    <t>с. Исянгулово, ул. К. Маркса, д.3</t>
  </si>
  <si>
    <t>г. Ишимбай, пр-кт Ленина, д.57</t>
  </si>
  <si>
    <t>г .Ишимбай, пр-кт Ленина, д.42</t>
  </si>
  <si>
    <t>г. Ишимбай, пр-кт Ленина, д.59</t>
  </si>
  <si>
    <t>г. Ишимбай, ул. Губкина, д.106</t>
  </si>
  <si>
    <t>г. Ишимбай, ул. Стахановская, д.38</t>
  </si>
  <si>
    <t>г. Ишимбай, ул. Бульварная, д.37</t>
  </si>
  <si>
    <t>с. Юмагузино, ул. Школьная, д.19</t>
  </si>
  <si>
    <t xml:space="preserve"> бикрост</t>
  </si>
  <si>
    <t>с. Ермолаево, ул. Калинина, д.12</t>
  </si>
  <si>
    <t>с. Первомайский, ул. Молодежная, д.8/1</t>
  </si>
  <si>
    <t>с. Первомайский, ул. Молодежная, д.8/2</t>
  </si>
  <si>
    <t>1994/каменные, кирпичные</t>
  </si>
  <si>
    <t>г. Мелеуз, ул. Смоленская, д.35а</t>
  </si>
  <si>
    <t>г. Мелеуз, ул. Техническая, д.22</t>
  </si>
  <si>
    <t>с. Акъяр, ул. Юбилейная, д.12</t>
  </si>
  <si>
    <t>410</t>
  </si>
  <si>
    <t>665</t>
  </si>
  <si>
    <t>ремонт мягкой на цельнометаллическую крыши</t>
  </si>
  <si>
    <t>г. Ишимбай, ул. Чкалова, д.4</t>
  </si>
  <si>
    <t>г. Октябрьский, мкр. 35-й, д.30в,             (2 п.)</t>
  </si>
  <si>
    <t>кв.м., ед., п.м.</t>
  </si>
  <si>
    <t>руб./кв.м, ед., п.м.</t>
  </si>
  <si>
    <t>оценка технического состояния фасада</t>
  </si>
  <si>
    <t>с. Мишкино, ул. Мира, д.16а</t>
  </si>
  <si>
    <t>г. Уфа, ул. Загира Исмагилова, 15</t>
  </si>
  <si>
    <t>оценка технического состояния крыши</t>
  </si>
  <si>
    <t xml:space="preserve"> оценка технического состояния водоснабжения, водоотведения</t>
  </si>
  <si>
    <t>оценка технического состояния водоснабжения, водоотведения</t>
  </si>
  <si>
    <t>г. Салават, ул. Бочкарева, д.7а</t>
  </si>
  <si>
    <t>г. Салават, ул. Ленина, д.22</t>
  </si>
  <si>
    <t>г. Салават, ул. Островского, д.67</t>
  </si>
  <si>
    <t>г. Салават, ул. Строителей, д.23</t>
  </si>
  <si>
    <t>г. Салават, ул. Колхозная, д.26</t>
  </si>
  <si>
    <t>с. Стерлибашево, ул. Ахметова, д.15а</t>
  </si>
  <si>
    <t>крупно панель.</t>
  </si>
  <si>
    <t>оценка технического состояния электроснабжения</t>
  </si>
  <si>
    <t>разработка проектно-сметной документации на ремонт крыши</t>
  </si>
  <si>
    <t xml:space="preserve">разработка проектно-сметной документации на ремонт крыши </t>
  </si>
  <si>
    <t>разработка проектно-сметной документации на ремонт теплоснабжения</t>
  </si>
  <si>
    <t>разработка проектно-сметной документации на ремонт электроснабжения</t>
  </si>
  <si>
    <t>разработка сметной документации на ремонт водоснабжения, водоотведения</t>
  </si>
  <si>
    <t>разработка сметной документации на ремонт крыши</t>
  </si>
  <si>
    <t>г. Уфа, пр-кт Октября, д.60</t>
  </si>
  <si>
    <r>
      <t>от «</t>
    </r>
    <r>
      <rPr>
        <u/>
        <sz val="14"/>
        <rFont val="Times New Roman"/>
        <family val="1"/>
        <charset val="204"/>
      </rPr>
      <t xml:space="preserve">23 </t>
    </r>
    <r>
      <rPr>
        <sz val="14"/>
        <rFont val="Times New Roman"/>
        <family val="1"/>
        <charset val="204"/>
      </rPr>
      <t>»</t>
    </r>
    <r>
      <rPr>
        <u/>
        <sz val="14"/>
        <rFont val="Times New Roman"/>
        <family val="1"/>
        <charset val="204"/>
      </rPr>
      <t xml:space="preserve"> марта 2018</t>
    </r>
    <r>
      <rPr>
        <sz val="14"/>
        <rFont val="Times New Roman"/>
        <family val="1"/>
        <charset val="204"/>
      </rPr>
      <t xml:space="preserve"> года</t>
    </r>
  </si>
  <si>
    <r>
      <t xml:space="preserve">№ </t>
    </r>
    <r>
      <rPr>
        <u/>
        <sz val="14"/>
        <rFont val="Times New Roman"/>
        <family val="1"/>
        <charset val="204"/>
      </rPr>
      <t>06/06-131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</si>
</sst>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 _₽_-;\-* #,##0.00\ _₽_-;_-* &quot;-&quot;??\ _₽_-;_-@_-"/>
    <numFmt numFmtId="164" formatCode="_-* #,##0.00&quot;р.&quot;_-;\-* #,##0.00&quot;р.&quot;_-;_-* &quot;-&quot;??&quot;р.&quot;_-;_-@_-"/>
    <numFmt numFmtId="165" formatCode="_-* #,##0.00_р_._-;\-* #,##0.00_р_._-;_-* &quot;-&quot;??_р_._-;_-@_-"/>
    <numFmt numFmtId="166" formatCode="_-* #,##0.00&quot;р.&quot;_-;\-* #,##0.00&quot;р.&quot;_-;_-* \-??&quot;р.&quot;_-;_-@_-"/>
    <numFmt numFmtId="167" formatCode="_-* #,##0.00_р_._-;\-* #,##0.00_р_._-;_-* \-??_р_._-;_-@_-"/>
    <numFmt numFmtId="168" formatCode="#,##0.0"/>
    <numFmt numFmtId="169" formatCode="#,##0_р_."/>
    <numFmt numFmtId="170" formatCode="#,##0;\(#,##0\)"/>
    <numFmt numFmtId="171" formatCode="[$-419]General"/>
    <numFmt numFmtId="172" formatCode="_(* #,##0.00_);_(* \(#,##0.00\);_(* &quot;-&quot;??_);_(@_)"/>
    <numFmt numFmtId="173" formatCode="[$-419]0"/>
    <numFmt numFmtId="174" formatCode="#,##0_ ;\-#,##0\ "/>
    <numFmt numFmtId="175" formatCode="0.0"/>
    <numFmt numFmtId="176" formatCode="#,##0.000000"/>
    <numFmt numFmtId="177" formatCode="#,##0.0_ ;\-#,##0.0\ "/>
    <numFmt numFmtId="178" formatCode="#,##0.000"/>
    <numFmt numFmtId="179" formatCode="#,##0\ _₽"/>
    <numFmt numFmtId="180" formatCode="[$-419]#,##0.00"/>
    <numFmt numFmtId="181" formatCode="#,##0;[Red]\-#,##0"/>
    <numFmt numFmtId="183" formatCode="#,###,##0"/>
    <numFmt numFmtId="184" formatCode="#,###,##0.00"/>
    <numFmt numFmtId="185" formatCode="[$-419]#,##0"/>
    <numFmt numFmtId="186" formatCode="#,##0.0000"/>
    <numFmt numFmtId="188" formatCode="0.00;[Red]0.00"/>
    <numFmt numFmtId="189" formatCode="#,##0.00000"/>
    <numFmt numFmtId="190" formatCode="#,##0;[Red]#,##0"/>
  </numFmts>
  <fonts count="124">
    <font>
      <sz val="10"/>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Arial"/>
      <family val="2"/>
      <charset val="204"/>
    </font>
    <font>
      <sz val="11"/>
      <color indexed="8"/>
      <name val="Calibri"/>
      <family val="2"/>
      <charset val="204"/>
    </font>
    <font>
      <sz val="10"/>
      <color indexed="9"/>
      <name val="Arial"/>
      <family val="2"/>
      <charset val="204"/>
    </font>
    <font>
      <sz val="11"/>
      <color indexed="9"/>
      <name val="Calibri"/>
      <family val="2"/>
      <charset val="204"/>
    </font>
    <font>
      <u/>
      <sz val="10"/>
      <color indexed="12"/>
      <name val="Arial"/>
      <family val="2"/>
      <charset val="204"/>
    </font>
    <font>
      <sz val="10"/>
      <color indexed="24"/>
      <name val="Arial"/>
      <family val="2"/>
      <charset val="1"/>
    </font>
    <font>
      <sz val="8"/>
      <name val="Arial"/>
      <family val="2"/>
      <charset val="204"/>
    </font>
    <font>
      <b/>
      <sz val="14"/>
      <name val="Arial"/>
      <family val="2"/>
      <charset val="1"/>
    </font>
    <font>
      <b/>
      <sz val="11"/>
      <name val="Arial"/>
      <family val="2"/>
      <charset val="1"/>
    </font>
    <font>
      <sz val="10"/>
      <color indexed="62"/>
      <name val="Arial"/>
      <family val="2"/>
      <charset val="204"/>
    </font>
    <font>
      <sz val="11"/>
      <color indexed="62"/>
      <name val="Calibri"/>
      <family val="2"/>
      <charset val="204"/>
    </font>
    <font>
      <b/>
      <sz val="10"/>
      <color indexed="59"/>
      <name val="Arial"/>
      <family val="2"/>
      <charset val="204"/>
    </font>
    <font>
      <b/>
      <sz val="11"/>
      <color indexed="63"/>
      <name val="Calibri"/>
      <family val="2"/>
      <charset val="204"/>
    </font>
    <font>
      <b/>
      <sz val="10"/>
      <color indexed="53"/>
      <name val="Arial"/>
      <family val="2"/>
      <charset val="204"/>
    </font>
    <font>
      <b/>
      <sz val="11"/>
      <color indexed="52"/>
      <name val="Calibri"/>
      <family val="2"/>
      <charset val="204"/>
    </font>
    <font>
      <b/>
      <sz val="15"/>
      <color indexed="21"/>
      <name val="Arial"/>
      <family val="2"/>
      <charset val="204"/>
    </font>
    <font>
      <b/>
      <sz val="15"/>
      <color indexed="63"/>
      <name val="Calibri"/>
      <family val="2"/>
      <charset val="204"/>
    </font>
    <font>
      <b/>
      <sz val="13"/>
      <color indexed="21"/>
      <name val="Arial"/>
      <family val="2"/>
      <charset val="204"/>
    </font>
    <font>
      <b/>
      <sz val="13"/>
      <color indexed="63"/>
      <name val="Calibri"/>
      <family val="2"/>
      <charset val="204"/>
    </font>
    <font>
      <b/>
      <sz val="11"/>
      <color indexed="21"/>
      <name val="Arial"/>
      <family val="2"/>
      <charset val="204"/>
    </font>
    <font>
      <b/>
      <sz val="11"/>
      <color indexed="63"/>
      <name val="Calibri"/>
      <family val="2"/>
      <charset val="204"/>
    </font>
    <font>
      <b/>
      <sz val="10"/>
      <color indexed="8"/>
      <name val="Arial"/>
      <family val="2"/>
      <charset val="204"/>
    </font>
    <font>
      <b/>
      <sz val="11"/>
      <color indexed="8"/>
      <name val="Calibri"/>
      <family val="2"/>
      <charset val="204"/>
    </font>
    <font>
      <b/>
      <sz val="10"/>
      <color indexed="9"/>
      <name val="Arial"/>
      <family val="2"/>
      <charset val="204"/>
    </font>
    <font>
      <b/>
      <sz val="11"/>
      <color indexed="9"/>
      <name val="Calibri"/>
      <family val="2"/>
      <charset val="204"/>
    </font>
    <font>
      <b/>
      <sz val="18"/>
      <color indexed="63"/>
      <name val="Cambria"/>
      <family val="2"/>
      <charset val="204"/>
    </font>
    <font>
      <sz val="10"/>
      <color indexed="60"/>
      <name val="Arial"/>
      <family val="2"/>
      <charset val="204"/>
    </font>
    <font>
      <sz val="11"/>
      <color indexed="60"/>
      <name val="Calibri"/>
      <family val="2"/>
      <charset val="204"/>
    </font>
    <font>
      <sz val="14"/>
      <name val="Times New Roman"/>
      <family val="1"/>
      <charset val="204"/>
    </font>
    <font>
      <b/>
      <sz val="14"/>
      <name val="Times New Roman"/>
      <family val="1"/>
      <charset val="204"/>
    </font>
    <font>
      <sz val="10"/>
      <name val="Arial"/>
      <family val="2"/>
      <charset val="204"/>
    </font>
    <font>
      <sz val="10"/>
      <color theme="1"/>
      <name val="Arial"/>
      <family val="2"/>
      <charset val="204"/>
    </font>
    <font>
      <sz val="11"/>
      <color theme="1"/>
      <name val="Calibri"/>
      <family val="2"/>
      <scheme val="minor"/>
    </font>
    <font>
      <sz val="11"/>
      <color indexed="8"/>
      <name val="Calibri"/>
      <family val="2"/>
    </font>
    <font>
      <sz val="10"/>
      <name val="Arial Cyr"/>
      <charset val="204"/>
    </font>
    <font>
      <b/>
      <sz val="14"/>
      <name val="Arial"/>
      <family val="2"/>
    </font>
    <font>
      <sz val="10"/>
      <color indexed="24"/>
      <name val="Arial"/>
      <family val="2"/>
    </font>
    <font>
      <b/>
      <sz val="11"/>
      <name val="Arial"/>
      <family val="2"/>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0"/>
      <name val="Arial"/>
      <family val="2"/>
      <charset val="204"/>
    </font>
    <font>
      <sz val="10"/>
      <color rgb="FF000000"/>
      <name val="Arial Cyr"/>
      <charset val="204"/>
    </font>
    <font>
      <sz val="11"/>
      <color rgb="FF000000"/>
      <name val="Arial"/>
      <family val="2"/>
      <charset val="204"/>
    </font>
    <font>
      <sz val="11"/>
      <color rgb="FF000000"/>
      <name val="Calibri"/>
      <family val="2"/>
      <charset val="204"/>
    </font>
    <font>
      <sz val="10"/>
      <color rgb="FF3F3F76"/>
      <name val="Arial"/>
      <family val="2"/>
      <charset val="204"/>
    </font>
    <font>
      <b/>
      <sz val="10"/>
      <color rgb="FF3F3F3F"/>
      <name val="Arial"/>
      <family val="2"/>
      <charset val="204"/>
    </font>
    <font>
      <b/>
      <sz val="10"/>
      <color rgb="FFFA7D00"/>
      <name val="Arial"/>
      <family val="2"/>
      <charset val="204"/>
    </font>
    <font>
      <b/>
      <sz val="15"/>
      <color theme="3"/>
      <name val="Arial"/>
      <family val="2"/>
      <charset val="204"/>
    </font>
    <font>
      <b/>
      <sz val="13"/>
      <color theme="3"/>
      <name val="Arial"/>
      <family val="2"/>
      <charset val="204"/>
    </font>
    <font>
      <b/>
      <sz val="11"/>
      <color theme="3"/>
      <name val="Arial"/>
      <family val="2"/>
      <charset val="204"/>
    </font>
    <font>
      <b/>
      <sz val="10"/>
      <color theme="1"/>
      <name val="Arial"/>
      <family val="2"/>
      <charset val="204"/>
    </font>
    <font>
      <b/>
      <sz val="10"/>
      <color theme="0"/>
      <name val="Arial"/>
      <family val="2"/>
      <charset val="204"/>
    </font>
    <font>
      <b/>
      <sz val="18"/>
      <color theme="3"/>
      <name val="Cambria"/>
      <family val="2"/>
      <charset val="204"/>
    </font>
    <font>
      <sz val="10"/>
      <color rgb="FF9C6500"/>
      <name val="Arial"/>
      <family val="2"/>
      <charset val="204"/>
    </font>
    <font>
      <sz val="14"/>
      <color theme="1"/>
      <name val="Times New Roman"/>
      <family val="2"/>
      <charset val="204"/>
    </font>
    <font>
      <sz val="11"/>
      <color theme="1"/>
      <name val="Times New Roman"/>
      <family val="2"/>
      <charset val="204"/>
    </font>
    <font>
      <sz val="10"/>
      <color rgb="FF9C0006"/>
      <name val="Arial"/>
      <family val="2"/>
      <charset val="204"/>
    </font>
    <font>
      <i/>
      <sz val="10"/>
      <color rgb="FF7F7F7F"/>
      <name val="Arial"/>
      <family val="2"/>
      <charset val="204"/>
    </font>
    <font>
      <sz val="10"/>
      <color rgb="FFFA7D00"/>
      <name val="Arial"/>
      <family val="2"/>
      <charset val="204"/>
    </font>
    <font>
      <sz val="10"/>
      <color rgb="FFFF0000"/>
      <name val="Arial"/>
      <family val="2"/>
      <charset val="204"/>
    </font>
    <font>
      <sz val="10"/>
      <color rgb="FF006100"/>
      <name val="Arial"/>
      <family val="2"/>
      <charset val="204"/>
    </font>
    <font>
      <b/>
      <sz val="18"/>
      <color theme="3"/>
      <name val="Calibri Light"/>
      <family val="2"/>
      <charset val="204"/>
      <scheme val="major"/>
    </font>
    <font>
      <sz val="12"/>
      <name val="Times New Roman"/>
      <family val="1"/>
      <charset val="204"/>
    </font>
    <font>
      <sz val="14"/>
      <name val="Arial"/>
      <family val="2"/>
      <charset val="204"/>
    </font>
    <font>
      <sz val="9"/>
      <color indexed="81"/>
      <name val="Tahoma"/>
      <family val="2"/>
      <charset val="204"/>
    </font>
    <font>
      <b/>
      <i/>
      <sz val="9"/>
      <color indexed="81"/>
      <name val="Tahoma"/>
      <family val="2"/>
      <charset val="204"/>
    </font>
    <font>
      <sz val="11"/>
      <name val="Times New Roman"/>
      <family val="1"/>
      <charset val="204"/>
    </font>
    <font>
      <i/>
      <sz val="11"/>
      <color rgb="FF7F7F7F"/>
      <name val="Calibri"/>
      <family val="2"/>
      <charset val="204"/>
      <scheme val="minor"/>
    </font>
    <font>
      <b/>
      <sz val="9"/>
      <color indexed="81"/>
      <name val="Tahoma"/>
      <family val="2"/>
      <charset val="204"/>
    </font>
    <font>
      <u/>
      <sz val="10"/>
      <color theme="10"/>
      <name val="Arial"/>
      <family val="2"/>
      <charset val="204"/>
    </font>
    <font>
      <b/>
      <sz val="11"/>
      <color theme="0"/>
      <name val="Calibri"/>
      <family val="2"/>
      <charset val="204"/>
      <scheme val="minor"/>
    </font>
    <font>
      <sz val="11"/>
      <color theme="0"/>
      <name val="Calibri"/>
      <family val="2"/>
      <charset val="204"/>
      <scheme val="minor"/>
    </font>
    <font>
      <sz val="14"/>
      <color theme="0"/>
      <name val="Times New Roman"/>
      <family val="1"/>
      <charset val="204"/>
    </font>
    <font>
      <b/>
      <sz val="14"/>
      <color theme="0"/>
      <name val="Times New Roman"/>
      <family val="1"/>
      <charset val="204"/>
    </font>
    <font>
      <b/>
      <u/>
      <sz val="14"/>
      <color theme="0"/>
      <name val="Times New Roman"/>
      <family val="1"/>
      <charset val="204"/>
    </font>
    <font>
      <sz val="14"/>
      <color theme="0"/>
      <name val="Calibri"/>
      <family val="2"/>
      <scheme val="minor"/>
    </font>
    <font>
      <b/>
      <sz val="10"/>
      <color theme="0"/>
      <name val="Times New Roman"/>
      <family val="1"/>
      <charset val="204"/>
    </font>
    <font>
      <b/>
      <sz val="14"/>
      <color theme="0"/>
      <name val="Calibri"/>
      <family val="2"/>
      <scheme val="minor"/>
    </font>
    <font>
      <b/>
      <sz val="14"/>
      <color theme="0"/>
      <name val="Calibri"/>
      <family val="2"/>
      <charset val="204"/>
      <scheme val="minor"/>
    </font>
    <font>
      <sz val="8"/>
      <color theme="0"/>
      <name val="Times New Roman"/>
      <family val="1"/>
      <charset val="204"/>
    </font>
    <font>
      <sz val="9"/>
      <color theme="0"/>
      <name val="Times New Roman"/>
      <family val="1"/>
      <charset val="204"/>
    </font>
    <font>
      <sz val="12"/>
      <color theme="0"/>
      <name val="Times New Roman"/>
      <family val="1"/>
      <charset val="204"/>
    </font>
    <font>
      <sz val="14"/>
      <color theme="0"/>
      <name val="Calibri"/>
      <family val="2"/>
      <charset val="1"/>
    </font>
    <font>
      <sz val="14"/>
      <color theme="0"/>
      <name val="Calibri"/>
      <family val="2"/>
      <charset val="204"/>
    </font>
    <font>
      <b/>
      <sz val="14"/>
      <color theme="0"/>
      <name val="Calibri"/>
      <family val="2"/>
      <charset val="204"/>
    </font>
    <font>
      <sz val="10"/>
      <color theme="0"/>
      <name val="Times New Roman"/>
      <family val="1"/>
      <charset val="204"/>
    </font>
    <font>
      <sz val="11"/>
      <color theme="0"/>
      <name val="Calibri"/>
      <family val="2"/>
      <scheme val="minor"/>
    </font>
    <font>
      <i/>
      <sz val="14"/>
      <color theme="0"/>
      <name val="Times New Roman"/>
      <family val="1"/>
      <charset val="204"/>
    </font>
    <font>
      <sz val="14"/>
      <color theme="0"/>
      <name val="Arial"/>
      <family val="2"/>
      <charset val="204"/>
    </font>
    <font>
      <sz val="12"/>
      <color theme="0"/>
      <name val="Calibri"/>
      <family val="2"/>
      <scheme val="minor"/>
    </font>
    <font>
      <sz val="12"/>
      <color theme="0"/>
      <name val="Calibri"/>
      <family val="2"/>
      <charset val="204"/>
    </font>
    <font>
      <sz val="16"/>
      <color theme="0"/>
      <name val="Calibri"/>
      <family val="2"/>
      <scheme val="minor"/>
    </font>
    <font>
      <sz val="18"/>
      <color theme="0"/>
      <name val="Calibri"/>
      <family val="2"/>
      <charset val="204"/>
      <scheme val="minor"/>
    </font>
    <font>
      <sz val="26"/>
      <color theme="0"/>
      <name val="Calibri"/>
      <family val="2"/>
      <scheme val="minor"/>
    </font>
    <font>
      <sz val="11"/>
      <color theme="0"/>
      <name val="Times New Roman"/>
      <family val="1"/>
      <charset val="204"/>
    </font>
    <font>
      <sz val="14"/>
      <color theme="0"/>
      <name val="Times New Roman"/>
      <family val="1"/>
      <charset val="1"/>
    </font>
    <font>
      <sz val="14"/>
      <color theme="0"/>
      <name val="Times New Roman1"/>
      <charset val="204"/>
    </font>
    <font>
      <sz val="14"/>
      <color theme="0"/>
      <name val="ахметова*322"/>
      <charset val="204"/>
    </font>
    <font>
      <sz val="16"/>
      <color theme="0"/>
      <name val="Times New Roman"/>
      <family val="1"/>
      <charset val="204"/>
    </font>
    <font>
      <b/>
      <u/>
      <sz val="14"/>
      <color theme="0"/>
      <name val="Calibri"/>
      <family val="2"/>
      <scheme val="minor"/>
    </font>
    <font>
      <b/>
      <sz val="8"/>
      <color theme="0"/>
      <name val="Times New Roman"/>
      <family val="1"/>
      <charset val="204"/>
    </font>
    <font>
      <sz val="14"/>
      <color theme="0"/>
      <name val="Calibri"/>
      <family val="2"/>
      <charset val="204"/>
      <scheme val="minor"/>
    </font>
    <font>
      <b/>
      <sz val="12"/>
      <color theme="0"/>
      <name val="Calibri"/>
      <family val="2"/>
      <charset val="204"/>
    </font>
    <font>
      <sz val="10"/>
      <color theme="0"/>
      <name val="Calibri"/>
      <family val="2"/>
      <charset val="204"/>
    </font>
    <font>
      <u/>
      <sz val="10"/>
      <color theme="0"/>
      <name val="Arial"/>
      <family val="2"/>
      <charset val="204"/>
    </font>
    <font>
      <sz val="11"/>
      <color theme="0"/>
      <name val="Calibri"/>
      <family val="2"/>
      <charset val="204"/>
    </font>
    <font>
      <sz val="24"/>
      <color theme="0"/>
      <name val="Times New Roman"/>
      <family val="1"/>
      <charset val="204"/>
    </font>
    <font>
      <sz val="28"/>
      <color theme="0"/>
      <name val="Times New Roman"/>
      <family val="1"/>
      <charset val="204"/>
    </font>
    <font>
      <b/>
      <sz val="11"/>
      <color theme="0"/>
      <name val="Calibri"/>
      <family val="2"/>
      <charset val="204"/>
    </font>
    <font>
      <u/>
      <sz val="14"/>
      <name val="Times New Roman"/>
      <family val="1"/>
      <charset val="204"/>
    </font>
  </fonts>
  <fills count="110">
    <fill>
      <patternFill patternType="none"/>
    </fill>
    <fill>
      <patternFill patternType="gray125"/>
    </fill>
    <fill>
      <patternFill patternType="solid">
        <fgColor indexed="58"/>
        <bgColor indexed="56"/>
      </patternFill>
    </fill>
    <fill>
      <patternFill patternType="solid">
        <fgColor indexed="31"/>
        <bgColor indexed="38"/>
      </patternFill>
    </fill>
    <fill>
      <patternFill patternType="solid">
        <fgColor indexed="28"/>
        <bgColor indexed="56"/>
      </patternFill>
    </fill>
    <fill>
      <patternFill patternType="solid">
        <fgColor indexed="45"/>
        <bgColor indexed="19"/>
      </patternFill>
    </fill>
    <fill>
      <patternFill patternType="solid">
        <fgColor indexed="39"/>
        <bgColor indexed="32"/>
      </patternFill>
    </fill>
    <fill>
      <patternFill patternType="solid">
        <fgColor indexed="42"/>
        <bgColor indexed="41"/>
      </patternFill>
    </fill>
    <fill>
      <patternFill patternType="solid">
        <fgColor indexed="56"/>
        <bgColor indexed="58"/>
      </patternFill>
    </fill>
    <fill>
      <patternFill patternType="solid">
        <fgColor indexed="46"/>
        <bgColor indexed="24"/>
      </patternFill>
    </fill>
    <fill>
      <patternFill patternType="mediumGray">
        <fgColor indexed="58"/>
        <bgColor indexed="27"/>
      </patternFill>
    </fill>
    <fill>
      <patternFill patternType="darkGray">
        <fgColor indexed="27"/>
        <bgColor indexed="42"/>
      </patternFill>
    </fill>
    <fill>
      <patternFill patternType="solid">
        <fgColor indexed="18"/>
        <bgColor indexed="39"/>
      </patternFill>
    </fill>
    <fill>
      <patternFill patternType="solid">
        <fgColor indexed="47"/>
        <bgColor indexed="14"/>
      </patternFill>
    </fill>
    <fill>
      <patternFill patternType="darkGray">
        <fgColor indexed="31"/>
        <bgColor indexed="15"/>
      </patternFill>
    </fill>
    <fill>
      <patternFill patternType="solid">
        <fgColor indexed="44"/>
        <bgColor indexed="57"/>
      </patternFill>
    </fill>
    <fill>
      <patternFill patternType="solid">
        <fgColor indexed="61"/>
        <bgColor indexed="14"/>
      </patternFill>
    </fill>
    <fill>
      <patternFill patternType="solid">
        <fgColor indexed="29"/>
        <bgColor indexed="25"/>
      </patternFill>
    </fill>
    <fill>
      <patternFill patternType="solid">
        <fgColor indexed="30"/>
        <bgColor indexed="41"/>
      </patternFill>
    </fill>
    <fill>
      <patternFill patternType="solid">
        <fgColor indexed="11"/>
        <bgColor indexed="49"/>
      </patternFill>
    </fill>
    <fill>
      <patternFill patternType="solid">
        <fgColor indexed="38"/>
        <bgColor indexed="22"/>
      </patternFill>
    </fill>
    <fill>
      <patternFill patternType="solid">
        <fgColor indexed="15"/>
        <bgColor indexed="31"/>
      </patternFill>
    </fill>
    <fill>
      <patternFill patternType="solid">
        <fgColor indexed="17"/>
        <bgColor indexed="47"/>
      </patternFill>
    </fill>
    <fill>
      <patternFill patternType="darkGray">
        <fgColor indexed="51"/>
        <bgColor indexed="13"/>
      </patternFill>
    </fill>
    <fill>
      <patternFill patternType="solid">
        <fgColor indexed="57"/>
        <bgColor indexed="24"/>
      </patternFill>
    </fill>
    <fill>
      <patternFill patternType="mediumGray">
        <fgColor indexed="21"/>
        <bgColor indexed="48"/>
      </patternFill>
    </fill>
    <fill>
      <patternFill patternType="solid">
        <fgColor indexed="19"/>
        <bgColor indexed="29"/>
      </patternFill>
    </fill>
    <fill>
      <patternFill patternType="solid">
        <fgColor indexed="35"/>
        <bgColor indexed="30"/>
      </patternFill>
    </fill>
    <fill>
      <patternFill patternType="darkGray">
        <fgColor indexed="24"/>
        <bgColor indexed="55"/>
      </patternFill>
    </fill>
    <fill>
      <patternFill patternType="solid">
        <fgColor indexed="20"/>
        <bgColor indexed="16"/>
      </patternFill>
    </fill>
    <fill>
      <patternFill patternType="darkGray">
        <fgColor indexed="44"/>
        <bgColor indexed="57"/>
      </patternFill>
    </fill>
    <fill>
      <patternFill patternType="solid">
        <fgColor indexed="49"/>
        <bgColor indexed="40"/>
      </patternFill>
    </fill>
    <fill>
      <patternFill patternType="solid">
        <fgColor indexed="14"/>
        <bgColor indexed="47"/>
      </patternFill>
    </fill>
    <fill>
      <patternFill patternType="solid">
        <fgColor indexed="52"/>
        <bgColor indexed="25"/>
      </patternFill>
    </fill>
    <fill>
      <patternFill patternType="solid">
        <fgColor indexed="43"/>
        <bgColor indexed="34"/>
      </patternFill>
    </fill>
    <fill>
      <patternFill patternType="solid">
        <fgColor indexed="48"/>
        <bgColor indexed="54"/>
      </patternFill>
    </fill>
    <fill>
      <patternFill patternType="solid">
        <fgColor indexed="62"/>
        <bgColor indexed="59"/>
      </patternFill>
    </fill>
    <fill>
      <patternFill patternType="darkGray">
        <fgColor indexed="60"/>
        <bgColor indexed="54"/>
      </patternFill>
    </fill>
    <fill>
      <patternFill patternType="solid">
        <fgColor indexed="10"/>
        <bgColor indexed="36"/>
      </patternFill>
    </fill>
    <fill>
      <patternFill patternType="darkGray">
        <fgColor indexed="50"/>
        <bgColor indexed="55"/>
      </patternFill>
    </fill>
    <fill>
      <patternFill patternType="mediumGray">
        <fgColor indexed="48"/>
        <bgColor indexed="21"/>
      </patternFill>
    </fill>
    <fill>
      <patternFill patternType="solid">
        <fgColor indexed="54"/>
        <bgColor indexed="23"/>
      </patternFill>
    </fill>
    <fill>
      <patternFill patternType="darkGray">
        <fgColor indexed="49"/>
        <bgColor indexed="48"/>
      </patternFill>
    </fill>
    <fill>
      <patternFill patternType="solid">
        <fgColor indexed="25"/>
        <bgColor indexed="52"/>
      </patternFill>
    </fill>
    <fill>
      <patternFill patternType="solid">
        <fgColor indexed="53"/>
        <bgColor indexed="52"/>
      </patternFill>
    </fill>
    <fill>
      <patternFill patternType="solid">
        <fgColor indexed="32"/>
        <bgColor indexed="39"/>
      </patternFill>
    </fill>
    <fill>
      <patternFill patternType="solid">
        <fgColor indexed="22"/>
        <bgColor indexed="38"/>
      </patternFill>
    </fill>
    <fill>
      <patternFill patternType="solid">
        <fgColor indexed="55"/>
        <bgColor indexed="24"/>
      </patternFill>
    </fill>
    <fill>
      <patternFill patternType="darkGray">
        <fgColor indexed="55"/>
        <bgColor indexed="23"/>
      </patternFill>
    </fill>
    <fill>
      <patternFill patternType="solid">
        <fgColor indexed="34"/>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00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F99CC"/>
        <bgColor indexed="64"/>
      </patternFill>
    </fill>
    <fill>
      <patternFill patternType="solid">
        <fgColor rgb="FFFFFFCC"/>
        <bgColor indexed="64"/>
      </patternFill>
    </fill>
    <fill>
      <patternFill patternType="solid">
        <fgColor rgb="FFCCFFCC"/>
        <bgColor indexed="64"/>
      </patternFill>
    </fill>
    <fill>
      <patternFill patternType="solid">
        <fgColor rgb="FFCCECFF"/>
        <bgColor indexed="64"/>
      </patternFill>
    </fill>
    <fill>
      <patternFill patternType="solid">
        <fgColor rgb="FF33CCFF"/>
        <bgColor indexed="64"/>
      </patternFill>
    </fill>
  </fills>
  <borders count="84">
    <border>
      <left/>
      <right/>
      <top/>
      <bottom/>
      <diagonal/>
    </border>
    <border>
      <left style="thin">
        <color indexed="20"/>
      </left>
      <right style="thin">
        <color indexed="20"/>
      </right>
      <top style="thin">
        <color indexed="20"/>
      </top>
      <bottom style="thin">
        <color indexed="20"/>
      </bottom>
      <diagonal/>
    </border>
    <border>
      <left style="thin">
        <color indexed="54"/>
      </left>
      <right style="thin">
        <color indexed="54"/>
      </right>
      <top style="thin">
        <color indexed="54"/>
      </top>
      <bottom style="thin">
        <color indexed="54"/>
      </bottom>
      <diagonal/>
    </border>
    <border>
      <left style="thin">
        <color indexed="23"/>
      </left>
      <right style="thin">
        <color indexed="23"/>
      </right>
      <top style="thin">
        <color indexed="23"/>
      </top>
      <bottom style="thin">
        <color indexed="23"/>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right/>
      <top/>
      <bottom style="thick">
        <color indexed="48"/>
      </bottom>
      <diagonal/>
    </border>
    <border>
      <left/>
      <right/>
      <top/>
      <bottom style="thick">
        <color indexed="62"/>
      </bottom>
      <diagonal/>
    </border>
    <border>
      <left/>
      <right/>
      <top/>
      <bottom style="thick">
        <color indexed="57"/>
      </bottom>
      <diagonal/>
    </border>
    <border>
      <left/>
      <right/>
      <top/>
      <bottom style="thick">
        <color indexed="22"/>
      </bottom>
      <diagonal/>
    </border>
    <border>
      <left/>
      <right/>
      <top/>
      <bottom style="medium">
        <color indexed="57"/>
      </bottom>
      <diagonal/>
    </border>
    <border>
      <left/>
      <right/>
      <top/>
      <bottom style="medium">
        <color indexed="21"/>
      </bottom>
      <diagonal/>
    </border>
    <border>
      <left/>
      <right/>
      <top style="thin">
        <color indexed="48"/>
      </top>
      <bottom style="double">
        <color indexed="48"/>
      </bottom>
      <diagonal/>
    </border>
    <border>
      <left/>
      <right/>
      <top style="thin">
        <color indexed="62"/>
      </top>
      <bottom style="double">
        <color indexed="62"/>
      </bottom>
      <diagonal/>
    </border>
    <border>
      <left style="double">
        <color indexed="59"/>
      </left>
      <right style="double">
        <color indexed="59"/>
      </right>
      <top style="double">
        <color indexed="59"/>
      </top>
      <bottom style="double">
        <color indexed="59"/>
      </bottom>
      <diagonal/>
    </border>
    <border>
      <left style="double">
        <color indexed="63"/>
      </left>
      <right style="double">
        <color indexed="63"/>
      </right>
      <top style="double">
        <color indexed="63"/>
      </top>
      <bottom style="double">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ashed">
        <color indexed="28"/>
      </left>
      <right style="dashed">
        <color indexed="28"/>
      </right>
      <top style="dashed">
        <color indexed="28"/>
      </top>
      <bottom style="dashed">
        <color indexed="28"/>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22894">
    <xf numFmtId="0" fontId="0" fillId="0" borderId="0"/>
    <xf numFmtId="166" fontId="37" fillId="0" borderId="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8"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8" fillId="9"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8" fillId="11"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8" fillId="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15"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3" borderId="0" applyNumberFormat="0" applyBorder="0" applyAlignment="0" applyProtection="0"/>
    <xf numFmtId="0" fontId="7" fillId="22" borderId="0" applyNumberFormat="0" applyBorder="0" applyAlignment="0" applyProtection="0"/>
    <xf numFmtId="0" fontId="9" fillId="24" borderId="0" applyNumberFormat="0" applyBorder="0" applyAlignment="0" applyProtection="0"/>
    <xf numFmtId="0" fontId="10" fillId="25"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10" fillId="1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0" fillId="19"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0" fillId="29"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10" fillId="31"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10" fillId="33" borderId="0" applyNumberFormat="0" applyBorder="0" applyAlignment="0" applyProtection="0"/>
    <xf numFmtId="0" fontId="9" fillId="32" borderId="0" applyNumberFormat="0" applyBorder="0" applyAlignment="0" applyProtection="0"/>
    <xf numFmtId="0" fontId="11" fillId="0" borderId="0" applyNumberFormat="0" applyFill="0" applyBorder="0" applyAlignment="0" applyProtection="0"/>
    <xf numFmtId="0" fontId="12" fillId="34" borderId="1" applyNumberFormat="0">
      <alignment vertical="center"/>
      <protection locked="0"/>
    </xf>
    <xf numFmtId="0" fontId="13" fillId="0" borderId="0"/>
    <xf numFmtId="0" fontId="8" fillId="0" borderId="0"/>
    <xf numFmtId="0" fontId="14" fillId="0" borderId="0" applyNumberFormat="0">
      <alignment vertical="center"/>
    </xf>
    <xf numFmtId="0" fontId="15" fillId="0" borderId="0" applyNumberFormat="0">
      <alignment vertical="center"/>
    </xf>
    <xf numFmtId="0" fontId="9" fillId="35" borderId="0" applyNumberFormat="0" applyBorder="0" applyAlignment="0" applyProtection="0"/>
    <xf numFmtId="0" fontId="10" fillId="36"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10" fillId="38"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10" fillId="40"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29"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10" fillId="3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10" fillId="44" borderId="0" applyNumberFormat="0" applyBorder="0" applyAlignment="0" applyProtection="0"/>
    <xf numFmtId="0" fontId="9" fillId="43" borderId="0" applyNumberFormat="0" applyBorder="0" applyAlignment="0" applyProtection="0"/>
    <xf numFmtId="0" fontId="16" fillId="13" borderId="2"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7" fillId="13" borderId="3" applyNumberFormat="0" applyAlignment="0" applyProtection="0"/>
    <xf numFmtId="0" fontId="16" fillId="13" borderId="2" applyNumberFormat="0" applyAlignment="0" applyProtection="0"/>
    <xf numFmtId="0" fontId="18" fillId="45" borderId="4"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9" fillId="46" borderId="5" applyNumberFormat="0" applyAlignment="0" applyProtection="0"/>
    <xf numFmtId="0" fontId="18" fillId="45" borderId="4" applyNumberFormat="0" applyAlignment="0" applyProtection="0"/>
    <xf numFmtId="0" fontId="20" fillId="45" borderId="2"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1" fillId="46" borderId="3" applyNumberFormat="0" applyAlignment="0" applyProtection="0"/>
    <xf numFmtId="0" fontId="20" fillId="45" borderId="2" applyNumberFormat="0" applyAlignment="0" applyProtection="0"/>
    <xf numFmtId="166" fontId="37" fillId="0" borderId="0" applyFill="0" applyBorder="0" applyAlignment="0" applyProtection="0"/>
    <xf numFmtId="0" fontId="22" fillId="0" borderId="6" applyNumberFormat="0" applyFill="0" applyAlignment="0" applyProtection="0"/>
    <xf numFmtId="0" fontId="23" fillId="0" borderId="7" applyNumberFormat="0" applyFill="0" applyAlignment="0" applyProtection="0"/>
    <xf numFmtId="0" fontId="22" fillId="0" borderId="6"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30" fillId="47" borderId="14" applyNumberFormat="0" applyAlignment="0" applyProtection="0"/>
    <xf numFmtId="0" fontId="31" fillId="48" borderId="15" applyNumberFormat="0" applyAlignment="0" applyProtection="0"/>
    <xf numFmtId="0" fontId="30" fillId="47" borderId="14" applyNumberFormat="0" applyAlignment="0" applyProtection="0"/>
    <xf numFmtId="0" fontId="32" fillId="0" borderId="0" applyNumberFormat="0" applyFill="0" applyBorder="0" applyAlignment="0" applyProtection="0"/>
    <xf numFmtId="0" fontId="33" fillId="49" borderId="0" applyNumberFormat="0" applyBorder="0" applyAlignment="0" applyProtection="0"/>
    <xf numFmtId="0" fontId="34" fillId="34" borderId="0" applyNumberFormat="0" applyBorder="0" applyAlignment="0" applyProtection="0"/>
    <xf numFmtId="0" fontId="33" fillId="4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38" fillId="73" borderId="0" applyNumberFormat="0" applyBorder="0" applyAlignment="0" applyProtection="0"/>
    <xf numFmtId="0" fontId="8" fillId="73"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8" fillId="74"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8" fillId="75" borderId="0" applyNumberFormat="0" applyBorder="0" applyAlignment="0" applyProtection="0"/>
    <xf numFmtId="0" fontId="38" fillId="75" borderId="0" applyNumberFormat="0" applyBorder="0" applyAlignment="0" applyProtection="0"/>
    <xf numFmtId="0" fontId="38" fillId="76" borderId="0" applyNumberFormat="0" applyBorder="0" applyAlignment="0" applyProtection="0"/>
    <xf numFmtId="0" fontId="8" fillId="76" borderId="0" applyNumberFormat="0" applyBorder="0" applyAlignment="0" applyProtection="0"/>
    <xf numFmtId="0" fontId="38" fillId="76" borderId="0" applyNumberFormat="0" applyBorder="0" applyAlignment="0" applyProtection="0"/>
    <xf numFmtId="0" fontId="38" fillId="67" borderId="0" applyNumberFormat="0" applyBorder="0" applyAlignment="0" applyProtection="0"/>
    <xf numFmtId="0" fontId="8" fillId="77" borderId="0" applyNumberFormat="0" applyBorder="0" applyAlignment="0" applyProtection="0"/>
    <xf numFmtId="0" fontId="38" fillId="67" borderId="0" applyNumberFormat="0" applyBorder="0" applyAlignment="0" applyProtection="0"/>
    <xf numFmtId="0" fontId="38" fillId="71" borderId="0" applyNumberFormat="0" applyBorder="0" applyAlignment="0" applyProtection="0"/>
    <xf numFmtId="0" fontId="8" fillId="78" borderId="0" applyNumberFormat="0" applyBorder="0" applyAlignment="0" applyProtection="0"/>
    <xf numFmtId="0" fontId="38" fillId="71" borderId="0" applyNumberFormat="0" applyBorder="0" applyAlignment="0" applyProtection="0"/>
    <xf numFmtId="0" fontId="38" fillId="58" borderId="0" applyNumberFormat="0" applyBorder="0" applyAlignment="0" applyProtection="0"/>
    <xf numFmtId="0" fontId="8" fillId="79" borderId="0" applyNumberFormat="0" applyBorder="0" applyAlignment="0" applyProtection="0"/>
    <xf numFmtId="0" fontId="38" fillId="58" borderId="0" applyNumberFormat="0" applyBorder="0" applyAlignment="0" applyProtection="0"/>
    <xf numFmtId="0" fontId="38" fillId="61" borderId="0" applyNumberFormat="0" applyBorder="0" applyAlignment="0" applyProtection="0"/>
    <xf numFmtId="0" fontId="8" fillId="80" borderId="0" applyNumberFormat="0" applyBorder="0" applyAlignment="0" applyProtection="0"/>
    <xf numFmtId="0" fontId="38" fillId="61" borderId="0" applyNumberFormat="0" applyBorder="0" applyAlignment="0" applyProtection="0"/>
    <xf numFmtId="0" fontId="38" fillId="81" borderId="0" applyNumberFormat="0" applyBorder="0" applyAlignment="0" applyProtection="0"/>
    <xf numFmtId="0" fontId="8" fillId="81" borderId="0" applyNumberFormat="0" applyBorder="0" applyAlignment="0" applyProtection="0"/>
    <xf numFmtId="0" fontId="38" fillId="81" borderId="0" applyNumberFormat="0" applyBorder="0" applyAlignment="0" applyProtection="0"/>
    <xf numFmtId="0" fontId="38" fillId="65" borderId="0" applyNumberFormat="0" applyBorder="0" applyAlignment="0" applyProtection="0"/>
    <xf numFmtId="0" fontId="8" fillId="76" borderId="0" applyNumberFormat="0" applyBorder="0" applyAlignment="0" applyProtection="0"/>
    <xf numFmtId="0" fontId="38" fillId="65" borderId="0" applyNumberFormat="0" applyBorder="0" applyAlignment="0" applyProtection="0"/>
    <xf numFmtId="0" fontId="38" fillId="68" borderId="0" applyNumberFormat="0" applyBorder="0" applyAlignment="0" applyProtection="0"/>
    <xf numFmtId="0" fontId="8" fillId="79" borderId="0" applyNumberFormat="0" applyBorder="0" applyAlignment="0" applyProtection="0"/>
    <xf numFmtId="0" fontId="38" fillId="68" borderId="0" applyNumberFormat="0" applyBorder="0" applyAlignment="0" applyProtection="0"/>
    <xf numFmtId="0" fontId="38" fillId="72" borderId="0" applyNumberFormat="0" applyBorder="0" applyAlignment="0" applyProtection="0"/>
    <xf numFmtId="0" fontId="8" fillId="82" borderId="0" applyNumberFormat="0" applyBorder="0" applyAlignment="0" applyProtection="0"/>
    <xf numFmtId="0" fontId="38" fillId="72" borderId="0" applyNumberFormat="0" applyBorder="0" applyAlignment="0" applyProtection="0"/>
    <xf numFmtId="0" fontId="54" fillId="59" borderId="0" applyNumberFormat="0" applyBorder="0" applyAlignment="0" applyProtection="0"/>
    <xf numFmtId="0" fontId="10" fillId="83" borderId="0" applyNumberFormat="0" applyBorder="0" applyAlignment="0" applyProtection="0"/>
    <xf numFmtId="0" fontId="54" fillId="59" borderId="0" applyNumberFormat="0" applyBorder="0" applyAlignment="0" applyProtection="0"/>
    <xf numFmtId="0" fontId="54" fillId="62" borderId="0" applyNumberFormat="0" applyBorder="0" applyAlignment="0" applyProtection="0"/>
    <xf numFmtId="0" fontId="10" fillId="80" borderId="0" applyNumberFormat="0" applyBorder="0" applyAlignment="0" applyProtection="0"/>
    <xf numFmtId="0" fontId="54" fillId="62" borderId="0" applyNumberFormat="0" applyBorder="0" applyAlignment="0" applyProtection="0"/>
    <xf numFmtId="0" fontId="54" fillId="81" borderId="0" applyNumberFormat="0" applyBorder="0" applyAlignment="0" applyProtection="0"/>
    <xf numFmtId="0" fontId="10" fillId="81" borderId="0" applyNumberFormat="0" applyBorder="0" applyAlignment="0" applyProtection="0"/>
    <xf numFmtId="0" fontId="54" fillId="81" borderId="0" applyNumberFormat="0" applyBorder="0" applyAlignment="0" applyProtection="0"/>
    <xf numFmtId="0" fontId="54" fillId="84" borderId="0" applyNumberFormat="0" applyBorder="0" applyAlignment="0" applyProtection="0"/>
    <xf numFmtId="0" fontId="10" fillId="84" borderId="0" applyNumberFormat="0" applyBorder="0" applyAlignment="0" applyProtection="0"/>
    <xf numFmtId="0" fontId="54" fillId="84" borderId="0" applyNumberFormat="0" applyBorder="0" applyAlignment="0" applyProtection="0"/>
    <xf numFmtId="0" fontId="54" fillId="69" borderId="0" applyNumberFormat="0" applyBorder="0" applyAlignment="0" applyProtection="0"/>
    <xf numFmtId="0" fontId="10" fillId="85" borderId="0" applyNumberFormat="0" applyBorder="0" applyAlignment="0" applyProtection="0"/>
    <xf numFmtId="0" fontId="54" fillId="69" borderId="0" applyNumberFormat="0" applyBorder="0" applyAlignment="0" applyProtection="0"/>
    <xf numFmtId="0" fontId="54" fillId="86" borderId="0" applyNumberFormat="0" applyBorder="0" applyAlignment="0" applyProtection="0"/>
    <xf numFmtId="0" fontId="10" fillId="86" borderId="0" applyNumberFormat="0" applyBorder="0" applyAlignment="0" applyProtection="0"/>
    <xf numFmtId="0" fontId="54" fillId="86" borderId="0" applyNumberFormat="0" applyBorder="0" applyAlignment="0" applyProtection="0"/>
    <xf numFmtId="0" fontId="8" fillId="0" borderId="0"/>
    <xf numFmtId="0" fontId="8" fillId="0" borderId="0"/>
    <xf numFmtId="0" fontId="8" fillId="0" borderId="0"/>
    <xf numFmtId="0" fontId="8" fillId="0" borderId="0"/>
    <xf numFmtId="171" fontId="55" fillId="0" borderId="0"/>
    <xf numFmtId="171" fontId="56" fillId="0" borderId="0"/>
    <xf numFmtId="170" fontId="43" fillId="87" borderId="25" applyNumberFormat="0">
      <alignment vertical="center"/>
      <protection locked="0"/>
    </xf>
    <xf numFmtId="0" fontId="57" fillId="0" borderId="0"/>
    <xf numFmtId="170" fontId="42" fillId="0" borderId="0" applyNumberFormat="0">
      <alignment vertical="center"/>
    </xf>
    <xf numFmtId="170" fontId="44" fillId="0" borderId="0" applyNumberFormat="0">
      <alignment vertical="center"/>
    </xf>
    <xf numFmtId="0" fontId="54" fillId="57" borderId="0" applyNumberFormat="0" applyBorder="0" applyAlignment="0" applyProtection="0"/>
    <xf numFmtId="0" fontId="10" fillId="88" borderId="0" applyNumberFormat="0" applyBorder="0" applyAlignment="0" applyProtection="0"/>
    <xf numFmtId="0" fontId="54" fillId="57" borderId="0" applyNumberFormat="0" applyBorder="0" applyAlignment="0" applyProtection="0"/>
    <xf numFmtId="0" fontId="54" fillId="60" borderId="0" applyNumberFormat="0" applyBorder="0" applyAlignment="0" applyProtection="0"/>
    <xf numFmtId="0" fontId="10" fillId="89"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10" fillId="90"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10" fillId="84" borderId="0" applyNumberFormat="0" applyBorder="0" applyAlignment="0" applyProtection="0"/>
    <xf numFmtId="0" fontId="54" fillId="64" borderId="0" applyNumberFormat="0" applyBorder="0" applyAlignment="0" applyProtection="0"/>
    <xf numFmtId="0" fontId="54" fillId="66" borderId="0" applyNumberFormat="0" applyBorder="0" applyAlignment="0" applyProtection="0"/>
    <xf numFmtId="0" fontId="10" fillId="85" borderId="0" applyNumberFormat="0" applyBorder="0" applyAlignment="0" applyProtection="0"/>
    <xf numFmtId="0" fontId="54" fillId="66" borderId="0" applyNumberFormat="0" applyBorder="0" applyAlignment="0" applyProtection="0"/>
    <xf numFmtId="0" fontId="54" fillId="70" borderId="0" applyNumberFormat="0" applyBorder="0" applyAlignment="0" applyProtection="0"/>
    <xf numFmtId="0" fontId="10" fillId="91" borderId="0" applyNumberFormat="0" applyBorder="0" applyAlignment="0" applyProtection="0"/>
    <xf numFmtId="0" fontId="54" fillId="70" borderId="0" applyNumberFormat="0" applyBorder="0" applyAlignment="0" applyProtection="0"/>
    <xf numFmtId="0" fontId="58" fillId="53" borderId="19" applyNumberFormat="0" applyAlignment="0" applyProtection="0"/>
    <xf numFmtId="0" fontId="17" fillId="78" borderId="3" applyNumberFormat="0" applyAlignment="0" applyProtection="0"/>
    <xf numFmtId="0" fontId="17" fillId="78" borderId="3" applyNumberFormat="0" applyAlignment="0" applyProtection="0"/>
    <xf numFmtId="0" fontId="58" fillId="53" borderId="19" applyNumberFormat="0" applyAlignment="0" applyProtection="0"/>
    <xf numFmtId="0" fontId="59" fillId="54" borderId="20" applyNumberFormat="0" applyAlignment="0" applyProtection="0"/>
    <xf numFmtId="0" fontId="19" fillId="92" borderId="5" applyNumberFormat="0" applyAlignment="0" applyProtection="0"/>
    <xf numFmtId="0" fontId="19" fillId="92" borderId="5" applyNumberFormat="0" applyAlignment="0" applyProtection="0"/>
    <xf numFmtId="0" fontId="59" fillId="54" borderId="20" applyNumberFormat="0" applyAlignment="0" applyProtection="0"/>
    <xf numFmtId="0" fontId="60" fillId="54" borderId="19" applyNumberFormat="0" applyAlignment="0" applyProtection="0"/>
    <xf numFmtId="0" fontId="21" fillId="92" borderId="3" applyNumberFormat="0" applyAlignment="0" applyProtection="0"/>
    <xf numFmtId="0" fontId="21" fillId="92" borderId="3" applyNumberFormat="0" applyAlignment="0" applyProtection="0"/>
    <xf numFmtId="0" fontId="60" fillId="54" borderId="19" applyNumberFormat="0" applyAlignment="0" applyProtection="0"/>
    <xf numFmtId="164" fontId="40" fillId="0" borderId="0" applyFont="0" applyFill="0" applyBorder="0" applyAlignment="0" applyProtection="0"/>
    <xf numFmtId="164" fontId="40" fillId="0" borderId="0" applyFont="0" applyFill="0" applyBorder="0" applyAlignment="0" applyProtection="0"/>
    <xf numFmtId="0" fontId="61" fillId="0" borderId="16" applyNumberFormat="0" applyFill="0" applyAlignment="0" applyProtection="0"/>
    <xf numFmtId="0" fontId="45" fillId="0" borderId="7" applyNumberFormat="0" applyFill="0" applyAlignment="0" applyProtection="0"/>
    <xf numFmtId="0" fontId="61" fillId="0" borderId="16" applyNumberFormat="0" applyFill="0" applyAlignment="0" applyProtection="0"/>
    <xf numFmtId="0" fontId="62" fillId="0" borderId="17" applyNumberFormat="0" applyFill="0" applyAlignment="0" applyProtection="0"/>
    <xf numFmtId="0" fontId="46" fillId="0" borderId="9" applyNumberFormat="0" applyFill="0" applyAlignment="0" applyProtection="0"/>
    <xf numFmtId="0" fontId="62" fillId="0" borderId="17" applyNumberFormat="0" applyFill="0" applyAlignment="0" applyProtection="0"/>
    <xf numFmtId="0" fontId="63" fillId="0" borderId="18" applyNumberFormat="0" applyFill="0" applyAlignment="0" applyProtection="0"/>
    <xf numFmtId="0" fontId="47" fillId="0" borderId="26" applyNumberFormat="0" applyFill="0" applyAlignment="0" applyProtection="0"/>
    <xf numFmtId="0" fontId="63" fillId="0" borderId="18" applyNumberFormat="0" applyFill="0" applyAlignment="0" applyProtection="0"/>
    <xf numFmtId="0" fontId="63" fillId="0" borderId="0" applyNumberFormat="0" applyFill="0" applyBorder="0" applyAlignment="0" applyProtection="0"/>
    <xf numFmtId="0" fontId="47" fillId="0" borderId="0" applyNumberFormat="0" applyFill="0" applyBorder="0" applyAlignment="0" applyProtection="0"/>
    <xf numFmtId="0" fontId="63" fillId="0" borderId="0" applyNumberFormat="0" applyFill="0" applyBorder="0" applyAlignment="0" applyProtection="0"/>
    <xf numFmtId="0" fontId="64" fillId="0" borderId="24" applyNumberFormat="0" applyFill="0" applyAlignment="0" applyProtection="0"/>
    <xf numFmtId="0" fontId="64" fillId="0" borderId="24" applyNumberFormat="0" applyFill="0" applyAlignment="0" applyProtection="0"/>
    <xf numFmtId="0" fontId="65" fillId="55" borderId="22" applyNumberFormat="0" applyAlignment="0" applyProtection="0"/>
    <xf numFmtId="0" fontId="31" fillId="93" borderId="15" applyNumberFormat="0" applyAlignment="0" applyProtection="0"/>
    <xf numFmtId="0" fontId="65" fillId="55" borderId="22" applyNumberFormat="0" applyAlignment="0" applyProtection="0"/>
    <xf numFmtId="0" fontId="66" fillId="0" borderId="0" applyNumberFormat="0" applyFill="0" applyBorder="0" applyAlignment="0" applyProtection="0"/>
    <xf numFmtId="0" fontId="48" fillId="0" borderId="0" applyNumberFormat="0" applyFill="0" applyBorder="0" applyAlignment="0" applyProtection="0"/>
    <xf numFmtId="0" fontId="67" fillId="52" borderId="0" applyNumberFormat="0" applyBorder="0" applyAlignment="0" applyProtection="0"/>
    <xf numFmtId="0" fontId="34" fillId="94" borderId="0" applyNumberFormat="0" applyBorder="0" applyAlignment="0" applyProtection="0"/>
    <xf numFmtId="0" fontId="67"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41" fillId="0" borderId="0"/>
    <xf numFmtId="0" fontId="7" fillId="0" borderId="0"/>
    <xf numFmtId="0" fontId="7"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xf numFmtId="0" fontId="8" fillId="0" borderId="0"/>
    <xf numFmtId="0" fontId="39" fillId="0" borderId="0"/>
    <xf numFmtId="0" fontId="70" fillId="51" borderId="0" applyNumberFormat="0" applyBorder="0" applyAlignment="0" applyProtection="0"/>
    <xf numFmtId="0" fontId="49" fillId="74" borderId="0" applyNumberFormat="0" applyBorder="0" applyAlignment="0" applyProtection="0"/>
    <xf numFmtId="0" fontId="70" fillId="51" borderId="0" applyNumberFormat="0" applyBorder="0" applyAlignment="0" applyProtection="0"/>
    <xf numFmtId="0" fontId="71" fillId="0" borderId="0" applyNumberFormat="0" applyFill="0" applyBorder="0" applyAlignment="0" applyProtection="0"/>
    <xf numFmtId="0" fontId="50" fillId="0" borderId="0" applyNumberFormat="0" applyFill="0" applyBorder="0" applyAlignment="0" applyProtection="0"/>
    <xf numFmtId="0" fontId="71" fillId="0" borderId="0" applyNumberFormat="0" applyFill="0" applyBorder="0" applyAlignment="0" applyProtection="0"/>
    <xf numFmtId="0" fontId="7" fillId="56" borderId="23" applyNumberFormat="0" applyFont="0" applyAlignment="0" applyProtection="0"/>
    <xf numFmtId="0" fontId="8" fillId="95" borderId="27" applyNumberFormat="0" applyFont="0" applyAlignment="0" applyProtection="0"/>
    <xf numFmtId="0" fontId="7" fillId="56" borderId="23" applyNumberFormat="0" applyFont="0" applyAlignment="0" applyProtection="0"/>
    <xf numFmtId="0" fontId="8" fillId="95" borderId="27" applyNumberFormat="0" applyFont="0" applyAlignment="0" applyProtection="0"/>
    <xf numFmtId="0" fontId="7" fillId="56" borderId="23" applyNumberFormat="0" applyFont="0" applyAlignment="0" applyProtection="0"/>
    <xf numFmtId="0" fontId="7" fillId="56" borderId="23"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72" fillId="0" borderId="21" applyNumberFormat="0" applyFill="0" applyAlignment="0" applyProtection="0"/>
    <xf numFmtId="0" fontId="51" fillId="0" borderId="28" applyNumberFormat="0" applyFill="0" applyAlignment="0" applyProtection="0"/>
    <xf numFmtId="0" fontId="72" fillId="0" borderId="21" applyNumberFormat="0" applyFill="0" applyAlignment="0" applyProtection="0"/>
    <xf numFmtId="0" fontId="73" fillId="0" borderId="0" applyNumberFormat="0" applyFill="0" applyBorder="0" applyAlignment="0" applyProtection="0"/>
    <xf numFmtId="0" fontId="52" fillId="0" borderId="0" applyNumberFormat="0" applyFill="0" applyBorder="0" applyAlignment="0" applyProtection="0"/>
    <xf numFmtId="0" fontId="73" fillId="0" borderId="0" applyNumberForma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74" fillId="50" borderId="0" applyNumberFormat="0" applyBorder="0" applyAlignment="0" applyProtection="0"/>
    <xf numFmtId="0" fontId="53" fillId="75" borderId="0" applyNumberFormat="0" applyBorder="0" applyAlignment="0" applyProtection="0"/>
    <xf numFmtId="0" fontId="74" fillId="50" borderId="0" applyNumberFormat="0" applyBorder="0" applyAlignment="0" applyProtection="0"/>
    <xf numFmtId="0" fontId="75" fillId="0" borderId="0" applyNumberFormat="0" applyFill="0" applyBorder="0" applyAlignment="0" applyProtection="0"/>
    <xf numFmtId="0" fontId="39" fillId="0" borderId="0"/>
    <xf numFmtId="0" fontId="38" fillId="97" borderId="0" applyNumberFormat="0" applyBorder="0" applyAlignment="0" applyProtection="0"/>
    <xf numFmtId="0" fontId="38" fillId="97" borderId="0" applyNumberFormat="0" applyBorder="0" applyAlignment="0" applyProtection="0"/>
    <xf numFmtId="0" fontId="38" fillId="98"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9"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100" borderId="0" applyNumberFormat="0" applyBorder="0" applyAlignment="0" applyProtection="0"/>
    <xf numFmtId="0" fontId="38" fillId="100" borderId="0" applyNumberFormat="0" applyBorder="0" applyAlignment="0" applyProtection="0"/>
    <xf numFmtId="0" fontId="54" fillId="101" borderId="0" applyNumberFormat="0" applyBorder="0" applyAlignment="0" applyProtection="0"/>
    <xf numFmtId="0" fontId="54" fillId="101" borderId="0" applyNumberFormat="0" applyBorder="0" applyAlignment="0" applyProtection="0"/>
    <xf numFmtId="0" fontId="54" fillId="103" borderId="0" applyNumberFormat="0" applyBorder="0" applyAlignment="0" applyProtection="0"/>
    <xf numFmtId="0" fontId="54" fillId="103" borderId="0" applyNumberFormat="0" applyBorder="0" applyAlignment="0" applyProtection="0"/>
    <xf numFmtId="0" fontId="54" fillId="104" borderId="0" applyNumberFormat="0" applyBorder="0" applyAlignment="0" applyProtection="0"/>
    <xf numFmtId="0" fontId="54" fillId="104"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68"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 fillId="0" borderId="0" applyFont="0" applyFill="0" applyBorder="0" applyAlignment="0" applyProtection="0"/>
    <xf numFmtId="0" fontId="68" fillId="0" borderId="0"/>
    <xf numFmtId="0" fontId="41" fillId="0" borderId="0"/>
    <xf numFmtId="0" fontId="39" fillId="0" borderId="0"/>
    <xf numFmtId="0" fontId="17" fillId="78" borderId="30" applyNumberFormat="0" applyAlignment="0" applyProtection="0"/>
    <xf numFmtId="0" fontId="17" fillId="78" borderId="30" applyNumberFormat="0" applyAlignment="0" applyProtection="0"/>
    <xf numFmtId="0" fontId="19" fillId="92" borderId="31" applyNumberFormat="0" applyAlignment="0" applyProtection="0"/>
    <xf numFmtId="0" fontId="19" fillId="92" borderId="31" applyNumberFormat="0" applyAlignment="0" applyProtection="0"/>
    <xf numFmtId="0" fontId="21" fillId="92" borderId="30" applyNumberFormat="0" applyAlignment="0" applyProtection="0"/>
    <xf numFmtId="0" fontId="21" fillId="92" borderId="30" applyNumberFormat="0" applyAlignment="0" applyProtection="0"/>
    <xf numFmtId="0" fontId="39" fillId="0" borderId="0"/>
    <xf numFmtId="0" fontId="29" fillId="0" borderId="32" applyNumberFormat="0" applyFill="0" applyAlignment="0" applyProtection="0"/>
    <xf numFmtId="0" fontId="29" fillId="0" borderId="3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95" borderId="33" applyNumberFormat="0" applyFont="0" applyAlignment="0" applyProtection="0"/>
    <xf numFmtId="0" fontId="8" fillId="95" borderId="33" applyNumberFormat="0" applyFont="0" applyAlignment="0" applyProtection="0"/>
    <xf numFmtId="172" fontId="37" fillId="0" borderId="0" applyFont="0" applyFill="0" applyBorder="0" applyAlignment="0" applyProtection="0"/>
    <xf numFmtId="0" fontId="41" fillId="0" borderId="0"/>
    <xf numFmtId="0" fontId="68"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8" fillId="0" borderId="0"/>
    <xf numFmtId="0" fontId="8" fillId="0" borderId="0"/>
    <xf numFmtId="165" fontId="39" fillId="0" borderId="0" applyFont="0" applyFill="0" applyBorder="0" applyAlignment="0" applyProtection="0"/>
    <xf numFmtId="167" fontId="37" fillId="0" borderId="0" applyFill="0" applyBorder="0" applyAlignment="0" applyProtection="0"/>
    <xf numFmtId="0" fontId="8" fillId="0" borderId="0"/>
    <xf numFmtId="0" fontId="8" fillId="0" borderId="0"/>
    <xf numFmtId="167" fontId="8" fillId="0" borderId="0"/>
    <xf numFmtId="171" fontId="57" fillId="0" borderId="0"/>
    <xf numFmtId="0" fontId="8" fillId="0" borderId="0"/>
    <xf numFmtId="0" fontId="2" fillId="0" borderId="0"/>
    <xf numFmtId="0" fontId="39" fillId="0" borderId="0"/>
    <xf numFmtId="0" fontId="13" fillId="0" borderId="0">
      <alignment horizontal="left"/>
    </xf>
    <xf numFmtId="0" fontId="7" fillId="0" borderId="0"/>
    <xf numFmtId="0" fontId="40" fillId="0" borderId="0"/>
    <xf numFmtId="0" fontId="1" fillId="0" borderId="0"/>
    <xf numFmtId="0" fontId="41" fillId="0" borderId="0"/>
    <xf numFmtId="0" fontId="81" fillId="0" borderId="0" applyNumberFormat="0" applyFill="0" applyBorder="0" applyAlignment="0" applyProtection="0"/>
    <xf numFmtId="0" fontId="39" fillId="0" borderId="0"/>
    <xf numFmtId="0" fontId="83" fillId="0" borderId="0" applyNumberFormat="0" applyFill="0" applyBorder="0" applyAlignment="0" applyProtection="0"/>
    <xf numFmtId="0" fontId="37" fillId="0" borderId="0"/>
  </cellStyleXfs>
  <cellXfs count="1174">
    <xf numFmtId="0" fontId="0" fillId="0" borderId="0" xfId="0"/>
    <xf numFmtId="0" fontId="35" fillId="0" borderId="0" xfId="1538" applyFont="1" applyFill="1" applyAlignment="1">
      <alignment horizontal="left" vertical="top" wrapText="1"/>
    </xf>
    <xf numFmtId="4" fontId="35" fillId="0" borderId="29" xfId="0" applyNumberFormat="1" applyFont="1" applyFill="1" applyBorder="1" applyAlignment="1">
      <alignment horizontal="right" vertical="top" wrapText="1"/>
    </xf>
    <xf numFmtId="0" fontId="35" fillId="0" borderId="0" xfId="0" applyFont="1" applyFill="1" applyAlignment="1">
      <alignment horizontal="center" vertical="top" wrapText="1"/>
    </xf>
    <xf numFmtId="0" fontId="35" fillId="0" borderId="0" xfId="1538" applyFont="1" applyFill="1" applyAlignment="1">
      <alignment horizontal="center" vertical="top" wrapText="1"/>
    </xf>
    <xf numFmtId="4" fontId="35" fillId="0" borderId="0" xfId="0" applyNumberFormat="1" applyFont="1" applyFill="1" applyAlignment="1">
      <alignment horizontal="right" vertical="top" wrapText="1"/>
    </xf>
    <xf numFmtId="4" fontId="35" fillId="0" borderId="0" xfId="1538" applyNumberFormat="1" applyFont="1" applyFill="1" applyAlignment="1">
      <alignment horizontal="left" vertical="top" wrapText="1"/>
    </xf>
    <xf numFmtId="3" fontId="35" fillId="0" borderId="0" xfId="1538" applyNumberFormat="1" applyFont="1" applyFill="1" applyAlignment="1">
      <alignment horizontal="left" vertical="top" wrapText="1"/>
    </xf>
    <xf numFmtId="3" fontId="35" fillId="0" borderId="0" xfId="1538" applyNumberFormat="1" applyFont="1" applyFill="1" applyAlignment="1">
      <alignment horizontal="center" vertical="top" wrapText="1"/>
    </xf>
    <xf numFmtId="0" fontId="35" fillId="0" borderId="0" xfId="1538" applyFont="1" applyFill="1" applyAlignment="1">
      <alignment horizontal="right" vertical="top" wrapText="1"/>
    </xf>
    <xf numFmtId="168" fontId="35" fillId="0" borderId="0" xfId="1538" applyNumberFormat="1" applyFont="1" applyFill="1" applyAlignment="1">
      <alignment horizontal="right" vertical="top" wrapText="1"/>
    </xf>
    <xf numFmtId="3" fontId="35" fillId="0" borderId="0" xfId="1538" applyNumberFormat="1" applyFont="1" applyFill="1" applyAlignment="1">
      <alignment horizontal="right" vertical="top" wrapText="1"/>
    </xf>
    <xf numFmtId="4" fontId="35" fillId="0" borderId="0" xfId="1538" applyNumberFormat="1" applyFont="1" applyFill="1" applyAlignment="1">
      <alignment horizontal="right" vertical="top" wrapText="1"/>
    </xf>
    <xf numFmtId="4" fontId="36" fillId="0" borderId="0" xfId="1538" applyNumberFormat="1" applyFont="1" applyFill="1" applyAlignment="1">
      <alignment horizontal="center" vertical="top" wrapText="1"/>
    </xf>
    <xf numFmtId="4" fontId="35" fillId="0" borderId="0" xfId="1538" applyNumberFormat="1" applyFont="1" applyFill="1" applyAlignment="1">
      <alignment horizontal="center" vertical="top" wrapText="1"/>
    </xf>
    <xf numFmtId="0" fontId="35" fillId="96" borderId="0" xfId="1538" applyFont="1" applyFill="1" applyAlignment="1">
      <alignment vertical="top" wrapText="1"/>
    </xf>
    <xf numFmtId="4" fontId="35" fillId="96" borderId="0" xfId="1538" applyNumberFormat="1" applyFont="1" applyFill="1" applyAlignment="1">
      <alignment horizontal="left" vertical="top" wrapText="1"/>
    </xf>
    <xf numFmtId="4" fontId="35" fillId="0" borderId="0" xfId="0" applyNumberFormat="1" applyFont="1" applyFill="1" applyBorder="1" applyAlignment="1">
      <alignment horizontal="right" vertical="top" wrapText="1"/>
    </xf>
    <xf numFmtId="0" fontId="35" fillId="96" borderId="0" xfId="0" applyFont="1" applyFill="1" applyAlignment="1">
      <alignment horizontal="center" vertical="top" wrapText="1"/>
    </xf>
    <xf numFmtId="4" fontId="36" fillId="0" borderId="0" xfId="1538" applyNumberFormat="1" applyFont="1" applyFill="1" applyAlignment="1">
      <alignment horizontal="left" vertical="top" wrapText="1"/>
    </xf>
    <xf numFmtId="3" fontId="35" fillId="0" borderId="0" xfId="0" applyNumberFormat="1" applyFont="1" applyFill="1" applyAlignment="1">
      <alignment horizontal="center" vertical="top" wrapText="1"/>
    </xf>
    <xf numFmtId="4" fontId="35" fillId="0" borderId="0" xfId="1538" applyNumberFormat="1" applyFont="1" applyFill="1" applyBorder="1" applyAlignment="1">
      <alignment horizontal="right" vertical="top" wrapText="1"/>
    </xf>
    <xf numFmtId="4" fontId="35" fillId="0" borderId="0" xfId="1538" applyNumberFormat="1" applyFont="1" applyFill="1" applyBorder="1" applyAlignment="1">
      <alignment horizontal="center" vertical="center" wrapText="1"/>
    </xf>
    <xf numFmtId="0" fontId="35" fillId="105" borderId="0" xfId="0" applyFont="1" applyFill="1" applyAlignment="1">
      <alignment horizontal="left" vertical="top" wrapText="1"/>
    </xf>
    <xf numFmtId="4" fontId="36" fillId="96" borderId="0" xfId="1538" applyNumberFormat="1" applyFont="1" applyFill="1" applyAlignment="1">
      <alignment horizontal="center" vertical="top" wrapText="1"/>
    </xf>
    <xf numFmtId="4" fontId="35" fillId="96" borderId="0" xfId="0" applyNumberFormat="1" applyFont="1" applyFill="1" applyAlignment="1">
      <alignment horizontal="right" vertical="top" wrapText="1"/>
    </xf>
    <xf numFmtId="4" fontId="35" fillId="0" borderId="66" xfId="0" applyNumberFormat="1" applyFont="1" applyFill="1" applyBorder="1" applyAlignment="1">
      <alignment horizontal="right" vertical="top" wrapText="1"/>
    </xf>
    <xf numFmtId="4" fontId="35" fillId="0" borderId="0" xfId="0" applyNumberFormat="1" applyFont="1" applyFill="1" applyBorder="1" applyAlignment="1">
      <alignment horizontal="left" vertical="top" wrapText="1"/>
    </xf>
    <xf numFmtId="0" fontId="35" fillId="0" borderId="0" xfId="0" applyFont="1" applyFill="1" applyAlignment="1">
      <alignment vertical="top"/>
    </xf>
    <xf numFmtId="4" fontId="35" fillId="0" borderId="64" xfId="0" applyNumberFormat="1" applyFont="1" applyFill="1" applyBorder="1" applyAlignment="1">
      <alignment horizontal="right" vertical="top" wrapText="1"/>
    </xf>
    <xf numFmtId="0" fontId="35" fillId="0" borderId="0" xfId="0" applyFont="1" applyFill="1" applyAlignment="1">
      <alignment horizontal="center" vertical="top"/>
    </xf>
    <xf numFmtId="0" fontId="35" fillId="0" borderId="0" xfId="0" applyFont="1" applyFill="1" applyAlignment="1">
      <alignment horizontal="left" vertical="top" wrapText="1"/>
    </xf>
    <xf numFmtId="4" fontId="35" fillId="96" borderId="52" xfId="1538" applyNumberFormat="1" applyFont="1" applyFill="1" applyBorder="1" applyAlignment="1">
      <alignment horizontal="right" vertical="top" wrapText="1"/>
    </xf>
    <xf numFmtId="4" fontId="35" fillId="96" borderId="29" xfId="1538" applyNumberFormat="1" applyFont="1" applyFill="1" applyBorder="1" applyAlignment="1">
      <alignment horizontal="right" vertical="top" wrapText="1"/>
    </xf>
    <xf numFmtId="1" fontId="35" fillId="0" borderId="0" xfId="1538" applyNumberFormat="1" applyFont="1" applyFill="1" applyAlignment="1">
      <alignment horizontal="left" vertical="top" wrapText="1"/>
    </xf>
    <xf numFmtId="3" fontId="35" fillId="0" borderId="0" xfId="0" applyNumberFormat="1" applyFont="1" applyFill="1" applyAlignment="1">
      <alignment horizontal="right" vertical="top" wrapText="1"/>
    </xf>
    <xf numFmtId="3" fontId="35" fillId="0" borderId="73" xfId="1538" applyNumberFormat="1" applyFont="1" applyFill="1" applyBorder="1" applyAlignment="1">
      <alignment horizontal="center" vertical="top" wrapText="1"/>
    </xf>
    <xf numFmtId="4" fontId="35" fillId="0" borderId="73" xfId="1538" applyNumberFormat="1" applyFont="1" applyFill="1" applyBorder="1" applyAlignment="1">
      <alignment horizontal="center" vertical="top" wrapText="1"/>
    </xf>
    <xf numFmtId="0" fontId="35" fillId="0" borderId="0" xfId="0" applyFont="1" applyFill="1" applyAlignment="1">
      <alignment horizontal="center" vertical="top" wrapText="1"/>
    </xf>
    <xf numFmtId="4" fontId="35" fillId="0" borderId="0" xfId="0" applyNumberFormat="1" applyFont="1" applyFill="1" applyAlignment="1">
      <alignment horizontal="left" vertical="top" wrapText="1"/>
    </xf>
    <xf numFmtId="4" fontId="35" fillId="0" borderId="0" xfId="1538" applyNumberFormat="1" applyFont="1" applyFill="1" applyBorder="1" applyAlignment="1">
      <alignment horizontal="right" vertical="top" wrapText="1"/>
    </xf>
    <xf numFmtId="0" fontId="35" fillId="0" borderId="0" xfId="1538" applyFont="1" applyFill="1" applyAlignment="1">
      <alignment horizontal="center" vertical="top" wrapText="1"/>
    </xf>
    <xf numFmtId="0" fontId="35" fillId="0" borderId="0" xfId="0" applyFont="1" applyFill="1" applyBorder="1" applyAlignment="1">
      <alignment horizontal="left" vertical="top" wrapText="1"/>
    </xf>
    <xf numFmtId="4" fontId="35" fillId="106" borderId="0" xfId="1538" applyNumberFormat="1" applyFont="1" applyFill="1" applyAlignment="1">
      <alignment horizontal="left" vertical="top" wrapText="1"/>
    </xf>
    <xf numFmtId="0" fontId="35" fillId="106" borderId="0" xfId="0" applyFont="1" applyFill="1" applyAlignment="1">
      <alignment vertical="top"/>
    </xf>
    <xf numFmtId="3" fontId="35" fillId="106" borderId="0" xfId="1538" applyNumberFormat="1" applyFont="1" applyFill="1" applyAlignment="1">
      <alignment horizontal="center" vertical="top" wrapText="1"/>
    </xf>
    <xf numFmtId="168" fontId="35" fillId="106" borderId="0" xfId="0" applyNumberFormat="1" applyFont="1" applyFill="1" applyAlignment="1">
      <alignment horizontal="right" vertical="top"/>
    </xf>
    <xf numFmtId="4" fontId="35" fillId="106" borderId="0" xfId="0" quotePrefix="1" applyNumberFormat="1" applyFont="1" applyFill="1" applyBorder="1" applyAlignment="1">
      <alignment horizontal="right" vertical="top" wrapText="1"/>
    </xf>
    <xf numFmtId="168" fontId="35" fillId="106" borderId="0" xfId="0" applyNumberFormat="1" applyFont="1" applyFill="1" applyAlignment="1">
      <alignment vertical="top"/>
    </xf>
    <xf numFmtId="0" fontId="35" fillId="106" borderId="0" xfId="1538" applyFont="1" applyFill="1" applyAlignment="1">
      <alignment horizontal="left" vertical="top" wrapText="1"/>
    </xf>
    <xf numFmtId="0" fontId="35" fillId="106" borderId="0" xfId="0" applyFont="1" applyFill="1" applyAlignment="1">
      <alignment horizontal="left" vertical="top" wrapText="1"/>
    </xf>
    <xf numFmtId="1" fontId="35" fillId="106" borderId="60" xfId="0" applyNumberFormat="1" applyFont="1" applyFill="1" applyBorder="1" applyAlignment="1">
      <alignment horizontal="left" vertical="top" wrapText="1"/>
    </xf>
    <xf numFmtId="3" fontId="35" fillId="106" borderId="60" xfId="0" applyNumberFormat="1" applyFont="1" applyFill="1" applyBorder="1" applyAlignment="1">
      <alignment horizontal="left" vertical="top" wrapText="1"/>
    </xf>
    <xf numFmtId="3" fontId="35" fillId="106" borderId="60" xfId="0" applyNumberFormat="1" applyFont="1" applyFill="1" applyBorder="1" applyAlignment="1">
      <alignment horizontal="right" vertical="top" wrapText="1"/>
    </xf>
    <xf numFmtId="0" fontId="35" fillId="106" borderId="0" xfId="0" applyFont="1" applyFill="1" applyBorder="1" applyAlignment="1">
      <alignment horizontal="center" vertical="top"/>
    </xf>
    <xf numFmtId="0" fontId="35" fillId="106" borderId="60" xfId="0" applyFont="1" applyFill="1" applyBorder="1" applyAlignment="1">
      <alignment horizontal="center" vertical="top" wrapText="1"/>
    </xf>
    <xf numFmtId="0" fontId="35" fillId="106" borderId="60" xfId="0" applyFont="1" applyFill="1" applyBorder="1" applyAlignment="1">
      <alignment horizontal="left" vertical="top" wrapText="1"/>
    </xf>
    <xf numFmtId="0" fontId="35" fillId="106" borderId="0" xfId="1538" applyFont="1" applyFill="1" applyAlignment="1">
      <alignment horizontal="center" vertical="top" wrapText="1"/>
    </xf>
    <xf numFmtId="4" fontId="35" fillId="106" borderId="0" xfId="0" applyNumberFormat="1" applyFont="1" applyFill="1" applyAlignment="1">
      <alignment horizontal="center" vertical="top" wrapText="1"/>
    </xf>
    <xf numFmtId="4" fontId="35" fillId="106" borderId="75" xfId="0" applyNumberFormat="1" applyFont="1" applyFill="1" applyBorder="1" applyAlignment="1">
      <alignment horizontal="right" vertical="top" wrapText="1"/>
    </xf>
    <xf numFmtId="0" fontId="35" fillId="106" borderId="0" xfId="0" applyFont="1" applyFill="1" applyAlignment="1">
      <alignment horizontal="right" vertical="top" wrapText="1"/>
    </xf>
    <xf numFmtId="0" fontId="35" fillId="106" borderId="45" xfId="0" applyFont="1" applyFill="1" applyBorder="1" applyAlignment="1">
      <alignment horizontal="center" vertical="top" wrapText="1"/>
    </xf>
    <xf numFmtId="4" fontId="35" fillId="107" borderId="0" xfId="1538" applyNumberFormat="1" applyFont="1" applyFill="1" applyAlignment="1">
      <alignment horizontal="left" vertical="top" wrapText="1"/>
    </xf>
    <xf numFmtId="0" fontId="35" fillId="107" borderId="0" xfId="0" applyFont="1" applyFill="1" applyAlignment="1">
      <alignment vertical="top"/>
    </xf>
    <xf numFmtId="4" fontId="35" fillId="107" borderId="0" xfId="0" applyNumberFormat="1" applyFont="1" applyFill="1" applyAlignment="1">
      <alignment horizontal="right" vertical="top" wrapText="1"/>
    </xf>
    <xf numFmtId="4" fontId="35" fillId="107" borderId="0" xfId="0" applyNumberFormat="1" applyFont="1" applyFill="1" applyBorder="1" applyAlignment="1">
      <alignment horizontal="right" vertical="top" wrapText="1"/>
    </xf>
    <xf numFmtId="0" fontId="35" fillId="107" borderId="0" xfId="0" applyFont="1" applyFill="1" applyAlignment="1">
      <alignment horizontal="left" vertical="top"/>
    </xf>
    <xf numFmtId="168" fontId="35" fillId="107" borderId="0" xfId="0" applyNumberFormat="1" applyFont="1" applyFill="1" applyAlignment="1">
      <alignment vertical="top"/>
    </xf>
    <xf numFmtId="0" fontId="35" fillId="107" borderId="0" xfId="0" applyFont="1" applyFill="1" applyAlignment="1">
      <alignment horizontal="left" vertical="top" wrapText="1"/>
    </xf>
    <xf numFmtId="0" fontId="35" fillId="107" borderId="0" xfId="0" applyFont="1" applyFill="1" applyBorder="1" applyAlignment="1">
      <alignment horizontal="left" vertical="top"/>
    </xf>
    <xf numFmtId="168" fontId="35" fillId="107" borderId="0" xfId="0" applyNumberFormat="1" applyFont="1" applyFill="1" applyBorder="1" applyAlignment="1">
      <alignment vertical="top"/>
    </xf>
    <xf numFmtId="0" fontId="35" fillId="107" borderId="0" xfId="0" applyFont="1" applyFill="1" applyBorder="1" applyAlignment="1">
      <alignment horizontal="left" vertical="top" wrapText="1"/>
    </xf>
    <xf numFmtId="0" fontId="35" fillId="107" borderId="35" xfId="0" applyFont="1" applyFill="1" applyBorder="1" applyAlignment="1">
      <alignment horizontal="center" vertical="top" wrapText="1"/>
    </xf>
    <xf numFmtId="4" fontId="35" fillId="107" borderId="0" xfId="0" applyNumberFormat="1" applyFont="1" applyFill="1" applyBorder="1" applyAlignment="1">
      <alignment horizontal="center" vertical="top" wrapText="1"/>
    </xf>
    <xf numFmtId="4" fontId="35" fillId="107" borderId="0" xfId="0" applyNumberFormat="1" applyFont="1" applyFill="1" applyAlignment="1">
      <alignment horizontal="center" vertical="top" wrapText="1"/>
    </xf>
    <xf numFmtId="0" fontId="35" fillId="107" borderId="78" xfId="0" applyFont="1" applyFill="1" applyBorder="1" applyAlignment="1">
      <alignment horizontal="center" vertical="top" wrapText="1"/>
    </xf>
    <xf numFmtId="0" fontId="35" fillId="107" borderId="0" xfId="0" applyFont="1" applyFill="1" applyAlignment="1">
      <alignment horizontal="center" vertical="top" wrapText="1"/>
    </xf>
    <xf numFmtId="0" fontId="35" fillId="107" borderId="78" xfId="0" applyFont="1" applyFill="1" applyBorder="1" applyAlignment="1">
      <alignment horizontal="left" vertical="top" wrapText="1"/>
    </xf>
    <xf numFmtId="4" fontId="35" fillId="108" borderId="0" xfId="1538" applyNumberFormat="1" applyFont="1" applyFill="1" applyAlignment="1">
      <alignment horizontal="left" vertical="top" wrapText="1"/>
    </xf>
    <xf numFmtId="0" fontId="35" fillId="108" borderId="0" xfId="0" applyFont="1" applyFill="1" applyAlignment="1">
      <alignment vertical="top"/>
    </xf>
    <xf numFmtId="4" fontId="35" fillId="108" borderId="0" xfId="0" applyNumberFormat="1" applyFont="1" applyFill="1" applyAlignment="1">
      <alignment horizontal="right" vertical="top" wrapText="1"/>
    </xf>
    <xf numFmtId="4" fontId="35" fillId="108" borderId="0" xfId="0" applyNumberFormat="1" applyFont="1" applyFill="1" applyBorder="1" applyAlignment="1">
      <alignment horizontal="right" vertical="top" wrapText="1"/>
    </xf>
    <xf numFmtId="0" fontId="35" fillId="108" borderId="0" xfId="0" applyFont="1" applyFill="1" applyAlignment="1">
      <alignment horizontal="left" vertical="top" wrapText="1"/>
    </xf>
    <xf numFmtId="0" fontId="35" fillId="108" borderId="0" xfId="0" applyFont="1" applyFill="1" applyAlignment="1">
      <alignment horizontal="left" vertical="top"/>
    </xf>
    <xf numFmtId="168" fontId="35" fillId="108" borderId="0" xfId="0" applyNumberFormat="1" applyFont="1" applyFill="1" applyAlignment="1">
      <alignment vertical="top"/>
    </xf>
    <xf numFmtId="0" fontId="35" fillId="108" borderId="47" xfId="0" applyFont="1" applyFill="1" applyBorder="1" applyAlignment="1">
      <alignment horizontal="center" vertical="top" wrapText="1"/>
    </xf>
    <xf numFmtId="3" fontId="35" fillId="108" borderId="75" xfId="0" applyNumberFormat="1" applyFont="1" applyFill="1" applyBorder="1" applyAlignment="1">
      <alignment horizontal="right" vertical="top" wrapText="1"/>
    </xf>
    <xf numFmtId="4" fontId="35" fillId="108" borderId="0" xfId="0" applyNumberFormat="1" applyFont="1" applyFill="1" applyAlignment="1">
      <alignment horizontal="center" vertical="top" wrapText="1"/>
    </xf>
    <xf numFmtId="0" fontId="35" fillId="108" borderId="0" xfId="0" applyFont="1" applyFill="1" applyAlignment="1">
      <alignment horizontal="center" vertical="top" wrapText="1"/>
    </xf>
    <xf numFmtId="4" fontId="35" fillId="106" borderId="0" xfId="1538" applyNumberFormat="1" applyFont="1" applyFill="1" applyAlignment="1">
      <alignment horizontal="center" vertical="top" wrapText="1"/>
    </xf>
    <xf numFmtId="0" fontId="35" fillId="106" borderId="0" xfId="0" applyFont="1" applyFill="1" applyAlignment="1">
      <alignment horizontal="center" vertical="top"/>
    </xf>
    <xf numFmtId="4" fontId="35" fillId="106" borderId="52" xfId="0" applyNumberFormat="1" applyFont="1" applyFill="1" applyBorder="1" applyAlignment="1">
      <alignment horizontal="right" vertical="top" wrapText="1"/>
    </xf>
    <xf numFmtId="4" fontId="35" fillId="106" borderId="29" xfId="0" applyNumberFormat="1" applyFont="1" applyFill="1" applyBorder="1" applyAlignment="1">
      <alignment horizontal="right" vertical="top" wrapText="1"/>
    </xf>
    <xf numFmtId="4" fontId="35" fillId="106" borderId="64" xfId="0" applyNumberFormat="1" applyFont="1" applyFill="1" applyBorder="1" applyAlignment="1">
      <alignment horizontal="right" vertical="top"/>
    </xf>
    <xf numFmtId="4" fontId="35" fillId="106" borderId="60" xfId="0" applyNumberFormat="1" applyFont="1" applyFill="1" applyBorder="1" applyAlignment="1">
      <alignment horizontal="right" vertical="top" wrapText="1"/>
    </xf>
    <xf numFmtId="4" fontId="35" fillId="106" borderId="63" xfId="0" applyNumberFormat="1" applyFont="1" applyFill="1" applyBorder="1" applyAlignment="1">
      <alignment horizontal="right" vertical="top" wrapText="1"/>
    </xf>
    <xf numFmtId="4" fontId="35" fillId="106" borderId="53" xfId="0" applyNumberFormat="1" applyFont="1" applyFill="1" applyBorder="1" applyAlignment="1">
      <alignment horizontal="right" vertical="top" wrapText="1"/>
    </xf>
    <xf numFmtId="4" fontId="35" fillId="106" borderId="76" xfId="0" applyNumberFormat="1" applyFont="1" applyFill="1" applyBorder="1" applyAlignment="1">
      <alignment horizontal="right" vertical="top" wrapText="1"/>
    </xf>
    <xf numFmtId="4" fontId="35" fillId="106" borderId="45" xfId="0" applyNumberFormat="1" applyFont="1" applyFill="1" applyBorder="1" applyAlignment="1">
      <alignment horizontal="right" vertical="top" wrapText="1"/>
    </xf>
    <xf numFmtId="3" fontId="35" fillId="106" borderId="45" xfId="0" applyNumberFormat="1" applyFont="1" applyFill="1" applyBorder="1" applyAlignment="1">
      <alignment horizontal="right" vertical="top" wrapText="1"/>
    </xf>
    <xf numFmtId="4" fontId="35" fillId="106" borderId="45" xfId="19566" applyNumberFormat="1" applyFont="1" applyFill="1" applyBorder="1" applyAlignment="1">
      <alignment horizontal="right" vertical="top" wrapText="1"/>
    </xf>
    <xf numFmtId="0" fontId="35" fillId="106" borderId="60" xfId="1538" applyFont="1" applyFill="1" applyBorder="1" applyAlignment="1">
      <alignment horizontal="left" vertical="top" wrapText="1"/>
    </xf>
    <xf numFmtId="1" fontId="35" fillId="106" borderId="45" xfId="0" applyNumberFormat="1" applyFont="1" applyFill="1" applyBorder="1" applyAlignment="1">
      <alignment horizontal="left" vertical="top" wrapText="1" shrinkToFit="1"/>
    </xf>
    <xf numFmtId="4" fontId="35" fillId="106" borderId="45" xfId="0" applyNumberFormat="1" applyFont="1" applyFill="1" applyBorder="1" applyAlignment="1">
      <alignment horizontal="right" vertical="top" wrapText="1" shrinkToFit="1"/>
    </xf>
    <xf numFmtId="3" fontId="35" fillId="106" borderId="45" xfId="0" applyNumberFormat="1" applyFont="1" applyFill="1" applyBorder="1" applyAlignment="1">
      <alignment horizontal="right" vertical="top" wrapText="1" shrinkToFit="1"/>
    </xf>
    <xf numFmtId="0" fontId="35" fillId="106" borderId="45" xfId="0" applyFont="1" applyFill="1" applyBorder="1" applyAlignment="1">
      <alignment horizontal="left" vertical="top" wrapText="1" shrinkToFit="1"/>
    </xf>
    <xf numFmtId="0" fontId="35" fillId="106" borderId="42" xfId="0" applyFont="1" applyFill="1" applyBorder="1" applyAlignment="1">
      <alignment horizontal="left" vertical="top" wrapText="1" shrinkToFit="1"/>
    </xf>
    <xf numFmtId="0" fontId="35" fillId="106" borderId="45" xfId="17891" applyFont="1" applyFill="1" applyBorder="1" applyAlignment="1">
      <alignment horizontal="left" vertical="top" wrapText="1" shrinkToFit="1"/>
    </xf>
    <xf numFmtId="0" fontId="35" fillId="106" borderId="75" xfId="0" applyFont="1" applyFill="1" applyBorder="1" applyAlignment="1">
      <alignment horizontal="left" vertical="top" wrapText="1" shrinkToFit="1"/>
    </xf>
    <xf numFmtId="4" fontId="35" fillId="106" borderId="75" xfId="19566" applyNumberFormat="1" applyFont="1" applyFill="1" applyBorder="1" applyAlignment="1">
      <alignment horizontal="right" vertical="top" wrapText="1"/>
    </xf>
    <xf numFmtId="4" fontId="35" fillId="106" borderId="75" xfId="0" applyNumberFormat="1" applyFont="1" applyFill="1" applyBorder="1" applyAlignment="1">
      <alignment horizontal="right" vertical="top" wrapText="1" shrinkToFit="1"/>
    </xf>
    <xf numFmtId="3" fontId="35" fillId="106" borderId="75" xfId="0" applyNumberFormat="1" applyFont="1" applyFill="1" applyBorder="1" applyAlignment="1">
      <alignment horizontal="right" vertical="top" wrapText="1" shrinkToFit="1"/>
    </xf>
    <xf numFmtId="0" fontId="35" fillId="106" borderId="41" xfId="0" applyFont="1" applyFill="1" applyBorder="1" applyAlignment="1">
      <alignment horizontal="left" vertical="top" wrapText="1" shrinkToFit="1"/>
    </xf>
    <xf numFmtId="4" fontId="35" fillId="106" borderId="72" xfId="0" applyNumberFormat="1" applyFont="1" applyFill="1" applyBorder="1" applyAlignment="1">
      <alignment horizontal="right" vertical="top" wrapText="1" shrinkToFit="1"/>
    </xf>
    <xf numFmtId="0" fontId="35" fillId="106" borderId="29" xfId="0" applyFont="1" applyFill="1" applyBorder="1" applyAlignment="1">
      <alignment horizontal="left" vertical="top" wrapText="1" shrinkToFit="1"/>
    </xf>
    <xf numFmtId="4" fontId="35" fillId="106" borderId="29" xfId="0" applyNumberFormat="1" applyFont="1" applyFill="1" applyBorder="1" applyAlignment="1">
      <alignment horizontal="right" vertical="top" wrapText="1" shrinkToFit="1"/>
    </xf>
    <xf numFmtId="3" fontId="35" fillId="106" borderId="29" xfId="0" applyNumberFormat="1" applyFont="1" applyFill="1" applyBorder="1" applyAlignment="1">
      <alignment horizontal="right" vertical="top" wrapText="1" shrinkToFit="1"/>
    </xf>
    <xf numFmtId="4" fontId="35" fillId="107" borderId="0" xfId="1538" applyNumberFormat="1" applyFont="1" applyFill="1" applyAlignment="1">
      <alignment horizontal="center" vertical="top" wrapText="1"/>
    </xf>
    <xf numFmtId="0" fontId="35" fillId="107" borderId="0" xfId="0" applyFont="1" applyFill="1" applyAlignment="1">
      <alignment horizontal="center" vertical="top"/>
    </xf>
    <xf numFmtId="4" fontId="35" fillId="107" borderId="35" xfId="0" applyNumberFormat="1" applyFont="1" applyFill="1" applyBorder="1" applyAlignment="1">
      <alignment horizontal="right" vertical="top" wrapText="1"/>
    </xf>
    <xf numFmtId="3" fontId="35" fillId="107" borderId="35" xfId="0" applyNumberFormat="1" applyFont="1" applyFill="1" applyBorder="1" applyAlignment="1">
      <alignment horizontal="right" vertical="top" wrapText="1"/>
    </xf>
    <xf numFmtId="4" fontId="35" fillId="107" borderId="52" xfId="0" applyNumberFormat="1" applyFont="1" applyFill="1" applyBorder="1" applyAlignment="1">
      <alignment horizontal="right" vertical="top" wrapText="1"/>
    </xf>
    <xf numFmtId="4" fontId="35" fillId="107" borderId="29" xfId="0" applyNumberFormat="1" applyFont="1" applyFill="1" applyBorder="1" applyAlignment="1">
      <alignment horizontal="right" vertical="top" wrapText="1"/>
    </xf>
    <xf numFmtId="0" fontId="35" fillId="107" borderId="35" xfId="0" applyFont="1" applyFill="1" applyBorder="1" applyAlignment="1">
      <alignment horizontal="left" vertical="top" wrapText="1"/>
    </xf>
    <xf numFmtId="4" fontId="35" fillId="107" borderId="53" xfId="0" applyNumberFormat="1" applyFont="1" applyFill="1" applyBorder="1" applyAlignment="1">
      <alignment horizontal="right" vertical="top" wrapText="1"/>
    </xf>
    <xf numFmtId="4" fontId="35" fillId="107" borderId="78" xfId="0" applyNumberFormat="1" applyFont="1" applyFill="1" applyBorder="1" applyAlignment="1">
      <alignment horizontal="right" vertical="top" wrapText="1"/>
    </xf>
    <xf numFmtId="4" fontId="35" fillId="107" borderId="77" xfId="0" applyNumberFormat="1" applyFont="1" applyFill="1" applyBorder="1" applyAlignment="1">
      <alignment horizontal="right" vertical="top" wrapText="1"/>
    </xf>
    <xf numFmtId="4" fontId="35" fillId="107" borderId="66" xfId="0" applyNumberFormat="1" applyFont="1" applyFill="1" applyBorder="1" applyAlignment="1">
      <alignment horizontal="right" vertical="top" wrapText="1"/>
    </xf>
    <xf numFmtId="4" fontId="35" fillId="107" borderId="67" xfId="0" applyNumberFormat="1" applyFont="1" applyFill="1" applyBorder="1" applyAlignment="1">
      <alignment horizontal="right" vertical="top" wrapText="1"/>
    </xf>
    <xf numFmtId="4" fontId="35" fillId="107" borderId="35" xfId="19566" applyNumberFormat="1" applyFont="1" applyFill="1" applyBorder="1" applyAlignment="1">
      <alignment horizontal="right" vertical="top" wrapText="1"/>
    </xf>
    <xf numFmtId="4" fontId="35" fillId="107" borderId="35" xfId="0" applyNumberFormat="1" applyFont="1" applyFill="1" applyBorder="1" applyAlignment="1">
      <alignment horizontal="right" vertical="top" wrapText="1" shrinkToFit="1"/>
    </xf>
    <xf numFmtId="3" fontId="35" fillId="107" borderId="35" xfId="0" applyNumberFormat="1" applyFont="1" applyFill="1" applyBorder="1" applyAlignment="1">
      <alignment horizontal="right" vertical="top" wrapText="1" shrinkToFit="1"/>
    </xf>
    <xf numFmtId="4" fontId="35" fillId="107" borderId="66" xfId="0" applyNumberFormat="1" applyFont="1" applyFill="1" applyBorder="1" applyAlignment="1">
      <alignment horizontal="right" vertical="top" wrapText="1" shrinkToFit="1"/>
    </xf>
    <xf numFmtId="3" fontId="35" fillId="107" borderId="66" xfId="0" applyNumberFormat="1" applyFont="1" applyFill="1" applyBorder="1" applyAlignment="1">
      <alignment horizontal="right" vertical="top" wrapText="1" shrinkToFit="1"/>
    </xf>
    <xf numFmtId="4" fontId="35" fillId="107" borderId="78" xfId="0" applyNumberFormat="1" applyFont="1" applyFill="1" applyBorder="1" applyAlignment="1">
      <alignment horizontal="right" vertical="top" wrapText="1" shrinkToFit="1"/>
    </xf>
    <xf numFmtId="3" fontId="35" fillId="107" borderId="78" xfId="0" applyNumberFormat="1" applyFont="1" applyFill="1" applyBorder="1" applyAlignment="1">
      <alignment horizontal="right" vertical="top" wrapText="1" shrinkToFit="1"/>
    </xf>
    <xf numFmtId="4" fontId="35" fillId="108" borderId="0" xfId="1538" applyNumberFormat="1" applyFont="1" applyFill="1" applyAlignment="1">
      <alignment horizontal="center" vertical="top" wrapText="1"/>
    </xf>
    <xf numFmtId="4" fontId="35" fillId="108" borderId="52" xfId="0" applyNumberFormat="1" applyFont="1" applyFill="1" applyBorder="1" applyAlignment="1">
      <alignment horizontal="right" vertical="top" wrapText="1"/>
    </xf>
    <xf numFmtId="4" fontId="35" fillId="108" borderId="29" xfId="0" applyNumberFormat="1" applyFont="1" applyFill="1" applyBorder="1" applyAlignment="1">
      <alignment horizontal="right" vertical="top" wrapText="1"/>
    </xf>
    <xf numFmtId="4" fontId="35" fillId="108" borderId="75" xfId="0" applyNumberFormat="1" applyFont="1" applyFill="1" applyBorder="1" applyAlignment="1">
      <alignment horizontal="right" vertical="top" wrapText="1"/>
    </xf>
    <xf numFmtId="4" fontId="35" fillId="108" borderId="53" xfId="0" applyNumberFormat="1" applyFont="1" applyFill="1" applyBorder="1" applyAlignment="1">
      <alignment horizontal="right" vertical="top" wrapText="1"/>
    </xf>
    <xf numFmtId="4" fontId="35" fillId="108" borderId="76" xfId="0" applyNumberFormat="1" applyFont="1" applyFill="1" applyBorder="1" applyAlignment="1">
      <alignment horizontal="right" vertical="top" wrapText="1"/>
    </xf>
    <xf numFmtId="4" fontId="35" fillId="108" borderId="35" xfId="0" applyNumberFormat="1" applyFont="1" applyFill="1" applyBorder="1" applyAlignment="1">
      <alignment horizontal="right" vertical="top" wrapText="1"/>
    </xf>
    <xf numFmtId="3" fontId="35" fillId="108" borderId="35" xfId="0" applyNumberFormat="1" applyFont="1" applyFill="1" applyBorder="1" applyAlignment="1">
      <alignment horizontal="right" vertical="top" wrapText="1"/>
    </xf>
    <xf numFmtId="4" fontId="35" fillId="108" borderId="47" xfId="19566" applyNumberFormat="1" applyFont="1" applyFill="1" applyBorder="1" applyAlignment="1">
      <alignment horizontal="right" vertical="top" wrapText="1"/>
    </xf>
    <xf numFmtId="4" fontId="35" fillId="108" borderId="47" xfId="19568" applyNumberFormat="1" applyFont="1" applyFill="1" applyBorder="1" applyAlignment="1">
      <alignment horizontal="right" vertical="top"/>
    </xf>
    <xf numFmtId="1" fontId="35" fillId="108" borderId="47" xfId="0" applyNumberFormat="1" applyFont="1" applyFill="1" applyBorder="1" applyAlignment="1">
      <alignment horizontal="left" vertical="top" wrapText="1"/>
    </xf>
    <xf numFmtId="4" fontId="35" fillId="108" borderId="47" xfId="0" applyNumberFormat="1" applyFont="1" applyFill="1" applyBorder="1" applyAlignment="1">
      <alignment horizontal="right" vertical="top" wrapText="1"/>
    </xf>
    <xf numFmtId="3" fontId="35" fillId="108" borderId="47" xfId="0" applyNumberFormat="1" applyFont="1" applyFill="1" applyBorder="1" applyAlignment="1">
      <alignment horizontal="right" vertical="top" wrapText="1"/>
    </xf>
    <xf numFmtId="0" fontId="35" fillId="108" borderId="47" xfId="0" applyFont="1" applyFill="1" applyBorder="1" applyAlignment="1">
      <alignment horizontal="left" vertical="top" wrapText="1" shrinkToFit="1"/>
    </xf>
    <xf numFmtId="0" fontId="35" fillId="108" borderId="47" xfId="0" applyFont="1" applyFill="1" applyBorder="1" applyAlignment="1">
      <alignment horizontal="left" vertical="top" wrapText="1"/>
    </xf>
    <xf numFmtId="0" fontId="35" fillId="108" borderId="47" xfId="17891" applyFont="1" applyFill="1" applyBorder="1" applyAlignment="1">
      <alignment horizontal="left" vertical="top" wrapText="1"/>
    </xf>
    <xf numFmtId="1" fontId="35" fillId="108" borderId="75" xfId="0" applyNumberFormat="1" applyFont="1" applyFill="1" applyBorder="1" applyAlignment="1">
      <alignment horizontal="left" vertical="top" wrapText="1"/>
    </xf>
    <xf numFmtId="4" fontId="35" fillId="108" borderId="75" xfId="19568" applyNumberFormat="1" applyFont="1" applyFill="1" applyBorder="1" applyAlignment="1">
      <alignment horizontal="right" vertical="top"/>
    </xf>
    <xf numFmtId="49" fontId="35" fillId="106" borderId="79" xfId="0" applyNumberFormat="1" applyFont="1" applyFill="1" applyBorder="1" applyAlignment="1">
      <alignment horizontal="right" vertical="top" wrapText="1"/>
    </xf>
    <xf numFmtId="4" fontId="35" fillId="0" borderId="79" xfId="0" applyNumberFormat="1" applyFont="1" applyFill="1" applyBorder="1" applyAlignment="1">
      <alignment horizontal="right" vertical="top" wrapText="1"/>
    </xf>
    <xf numFmtId="4" fontId="35" fillId="106" borderId="80" xfId="0" applyNumberFormat="1" applyFont="1" applyFill="1" applyBorder="1" applyAlignment="1">
      <alignment horizontal="right" vertical="top"/>
    </xf>
    <xf numFmtId="4" fontId="35" fillId="106" borderId="80" xfId="0" applyNumberFormat="1" applyFont="1" applyFill="1" applyBorder="1" applyAlignment="1">
      <alignment horizontal="right" vertical="top" wrapText="1"/>
    </xf>
    <xf numFmtId="3" fontId="35" fillId="106" borderId="80" xfId="0" applyNumberFormat="1" applyFont="1" applyFill="1" applyBorder="1" applyAlignment="1">
      <alignment horizontal="right" vertical="top"/>
    </xf>
    <xf numFmtId="0" fontId="35" fillId="106" borderId="0" xfId="0" applyFont="1" applyFill="1" applyAlignment="1">
      <alignment horizontal="center" vertical="top" wrapText="1"/>
    </xf>
    <xf numFmtId="3" fontId="76" fillId="106" borderId="79" xfId="0" applyNumberFormat="1" applyFont="1" applyFill="1" applyBorder="1" applyAlignment="1">
      <alignment horizontal="right" vertical="top"/>
    </xf>
    <xf numFmtId="4" fontId="35" fillId="106" borderId="79" xfId="17893" applyNumberFormat="1" applyFont="1" applyFill="1" applyBorder="1" applyAlignment="1" applyProtection="1">
      <alignment horizontal="right" vertical="top" wrapText="1"/>
    </xf>
    <xf numFmtId="4" fontId="35" fillId="106" borderId="79" xfId="17896" applyNumberFormat="1" applyFont="1" applyFill="1" applyBorder="1" applyAlignment="1">
      <alignment horizontal="right" vertical="top" wrapText="1"/>
    </xf>
    <xf numFmtId="4" fontId="35" fillId="107" borderId="79" xfId="0" applyNumberFormat="1" applyFont="1" applyFill="1" applyBorder="1" applyAlignment="1">
      <alignment horizontal="center" vertical="top" wrapText="1"/>
    </xf>
    <xf numFmtId="4" fontId="35" fillId="107" borderId="79" xfId="1538" applyNumberFormat="1" applyFont="1" applyFill="1" applyBorder="1" applyAlignment="1">
      <alignment horizontal="right" vertical="top" wrapText="1"/>
    </xf>
    <xf numFmtId="49" fontId="35" fillId="107" borderId="79" xfId="0" applyNumberFormat="1" applyFont="1" applyFill="1" applyBorder="1" applyAlignment="1">
      <alignment horizontal="right" vertical="top" wrapText="1"/>
    </xf>
    <xf numFmtId="3" fontId="76" fillId="107" borderId="79" xfId="0" applyNumberFormat="1" applyFont="1" applyFill="1" applyBorder="1" applyAlignment="1">
      <alignment horizontal="right" vertical="top"/>
    </xf>
    <xf numFmtId="0" fontId="35" fillId="107" borderId="79" xfId="0" applyNumberFormat="1" applyFont="1" applyFill="1" applyBorder="1" applyAlignment="1">
      <alignment horizontal="left" vertical="top" wrapText="1"/>
    </xf>
    <xf numFmtId="4" fontId="35" fillId="0" borderId="0" xfId="1538" applyNumberFormat="1" applyFont="1" applyFill="1" applyBorder="1" applyAlignment="1">
      <alignment horizontal="center" vertical="center" textRotation="90" wrapText="1"/>
    </xf>
    <xf numFmtId="4" fontId="35" fillId="0" borderId="0" xfId="1538" applyNumberFormat="1" applyFont="1" applyFill="1" applyBorder="1" applyAlignment="1">
      <alignment horizontal="right" vertical="top" wrapText="1"/>
    </xf>
    <xf numFmtId="0" fontId="35" fillId="0" borderId="0" xfId="1538" applyFont="1" applyFill="1" applyAlignment="1">
      <alignment horizontal="center" vertical="top" wrapText="1"/>
    </xf>
    <xf numFmtId="0" fontId="35" fillId="0" borderId="0" xfId="1538" applyFont="1" applyFill="1" applyBorder="1" applyAlignment="1">
      <alignment horizontal="center" vertical="top" wrapText="1"/>
    </xf>
    <xf numFmtId="3" fontId="35" fillId="107" borderId="79" xfId="1538" applyNumberFormat="1" applyFont="1" applyFill="1" applyBorder="1" applyAlignment="1">
      <alignment horizontal="right" vertical="top"/>
    </xf>
    <xf numFmtId="4" fontId="35" fillId="108" borderId="79" xfId="1538" applyNumberFormat="1" applyFont="1" applyFill="1" applyBorder="1" applyAlignment="1">
      <alignment horizontal="right" vertical="top" wrapText="1"/>
    </xf>
    <xf numFmtId="4" fontId="35" fillId="0" borderId="79" xfId="0" applyNumberFormat="1" applyFont="1" applyFill="1" applyBorder="1" applyAlignment="1">
      <alignment horizontal="right" vertical="top"/>
    </xf>
    <xf numFmtId="1" fontId="35" fillId="0" borderId="79" xfId="0" applyNumberFormat="1" applyFont="1" applyFill="1" applyBorder="1" applyAlignment="1">
      <alignment horizontal="center" vertical="top" wrapText="1"/>
    </xf>
    <xf numFmtId="4" fontId="35" fillId="0" borderId="79" xfId="1538" applyNumberFormat="1" applyFont="1" applyFill="1" applyBorder="1" applyAlignment="1">
      <alignment horizontal="center" vertical="center" textRotation="90" wrapText="1"/>
    </xf>
    <xf numFmtId="168" fontId="35" fillId="0" borderId="79" xfId="1538" applyNumberFormat="1" applyFont="1" applyFill="1" applyBorder="1" applyAlignment="1">
      <alignment horizontal="center" vertical="center" wrapText="1"/>
    </xf>
    <xf numFmtId="3" fontId="35" fillId="0" borderId="79" xfId="1538" applyNumberFormat="1" applyFont="1" applyFill="1" applyBorder="1" applyAlignment="1">
      <alignment horizontal="center" vertical="center" wrapText="1"/>
    </xf>
    <xf numFmtId="4" fontId="35" fillId="0" borderId="79" xfId="1538" applyNumberFormat="1" applyFont="1" applyFill="1" applyBorder="1" applyAlignment="1">
      <alignment horizontal="center" vertical="center" wrapText="1"/>
    </xf>
    <xf numFmtId="3" fontId="35" fillId="0" borderId="79" xfId="1538" applyNumberFormat="1" applyFont="1" applyFill="1" applyBorder="1" applyAlignment="1">
      <alignment horizontal="center" vertical="top" wrapText="1"/>
    </xf>
    <xf numFmtId="1" fontId="35" fillId="106" borderId="79" xfId="17891" applyNumberFormat="1" applyFont="1" applyFill="1" applyBorder="1" applyAlignment="1">
      <alignment horizontal="left" vertical="top" wrapText="1"/>
    </xf>
    <xf numFmtId="0" fontId="80" fillId="106" borderId="79" xfId="0" applyFont="1" applyFill="1" applyBorder="1" applyAlignment="1">
      <alignment horizontal="right" vertical="top"/>
    </xf>
    <xf numFmtId="1" fontId="80" fillId="106" borderId="79" xfId="0" applyNumberFormat="1" applyFont="1" applyFill="1" applyBorder="1" applyAlignment="1">
      <alignment horizontal="right" vertical="top" wrapText="1"/>
    </xf>
    <xf numFmtId="0" fontId="76" fillId="106" borderId="79" xfId="0" applyFont="1" applyFill="1" applyBorder="1" applyAlignment="1">
      <alignment horizontal="right" vertical="top"/>
    </xf>
    <xf numFmtId="0" fontId="35" fillId="106" borderId="79" xfId="0" applyFont="1" applyFill="1" applyBorder="1" applyAlignment="1">
      <alignment horizontal="left" vertical="top" wrapText="1" shrinkToFit="1"/>
    </xf>
    <xf numFmtId="0" fontId="35" fillId="106" borderId="79" xfId="17891" applyFont="1" applyFill="1" applyBorder="1" applyAlignment="1">
      <alignment horizontal="left" vertical="top" wrapText="1" shrinkToFit="1"/>
    </xf>
    <xf numFmtId="0" fontId="35" fillId="106" borderId="79" xfId="17891" applyFont="1" applyFill="1" applyBorder="1" applyAlignment="1">
      <alignment horizontal="left" vertical="top" wrapText="1"/>
    </xf>
    <xf numFmtId="3" fontId="35" fillId="106" borderId="79" xfId="17891" applyNumberFormat="1" applyFont="1" applyFill="1" applyBorder="1" applyAlignment="1">
      <alignment horizontal="left" vertical="top" wrapText="1"/>
    </xf>
    <xf numFmtId="3" fontId="35" fillId="106" borderId="79" xfId="17891" applyNumberFormat="1" applyFont="1" applyFill="1" applyBorder="1" applyAlignment="1">
      <alignment horizontal="right" vertical="top" wrapText="1"/>
    </xf>
    <xf numFmtId="168" fontId="35" fillId="106" borderId="79" xfId="17891" applyNumberFormat="1" applyFont="1" applyFill="1" applyBorder="1" applyAlignment="1">
      <alignment horizontal="right" vertical="top" wrapText="1"/>
    </xf>
    <xf numFmtId="169" fontId="35" fillId="106" borderId="79" xfId="0" applyNumberFormat="1" applyFont="1" applyFill="1" applyBorder="1" applyAlignment="1">
      <alignment horizontal="center" vertical="top" wrapText="1"/>
    </xf>
    <xf numFmtId="1" fontId="35" fillId="106" borderId="79" xfId="0" applyNumberFormat="1" applyFont="1" applyFill="1" applyBorder="1" applyAlignment="1">
      <alignment horizontal="left" vertical="top" wrapText="1" shrinkToFit="1"/>
    </xf>
    <xf numFmtId="4" fontId="77" fillId="106" borderId="79" xfId="0" applyNumberFormat="1" applyFont="1" applyFill="1" applyBorder="1" applyAlignment="1">
      <alignment horizontal="right" vertical="top"/>
    </xf>
    <xf numFmtId="2" fontId="35" fillId="107" borderId="79" xfId="0" applyNumberFormat="1" applyFont="1" applyFill="1" applyBorder="1" applyAlignment="1">
      <alignment horizontal="center" vertical="top" wrapText="1"/>
    </xf>
    <xf numFmtId="49" fontId="35" fillId="108" borderId="79" xfId="0" applyNumberFormat="1" applyFont="1" applyFill="1" applyBorder="1" applyAlignment="1">
      <alignment horizontal="right" vertical="top" wrapText="1"/>
    </xf>
    <xf numFmtId="0" fontId="35" fillId="108" borderId="79" xfId="0" applyFont="1" applyFill="1" applyBorder="1" applyAlignment="1">
      <alignment horizontal="right" vertical="top" wrapText="1"/>
    </xf>
    <xf numFmtId="3" fontId="76" fillId="108" borderId="79" xfId="0" applyNumberFormat="1" applyFont="1" applyFill="1" applyBorder="1" applyAlignment="1">
      <alignment horizontal="right" vertical="top"/>
    </xf>
    <xf numFmtId="3" fontId="35" fillId="108" borderId="79" xfId="22875" applyNumberFormat="1" applyFont="1" applyFill="1" applyBorder="1" applyAlignment="1">
      <alignment horizontal="right" vertical="top" wrapText="1"/>
    </xf>
    <xf numFmtId="0" fontId="35" fillId="108" borderId="79" xfId="19566" applyFont="1" applyFill="1" applyBorder="1" applyAlignment="1">
      <alignment horizontal="left" vertical="top" wrapText="1"/>
    </xf>
    <xf numFmtId="4" fontId="35" fillId="108" borderId="79" xfId="17893" applyNumberFormat="1" applyFont="1" applyFill="1" applyBorder="1" applyAlignment="1" applyProtection="1">
      <alignment horizontal="right" vertical="top" wrapText="1"/>
    </xf>
    <xf numFmtId="168" fontId="35" fillId="108" borderId="79" xfId="19591" applyNumberFormat="1" applyFont="1" applyFill="1" applyBorder="1" applyAlignment="1">
      <alignment horizontal="right" vertical="top" wrapText="1"/>
    </xf>
    <xf numFmtId="4" fontId="35" fillId="108" borderId="79" xfId="22876" applyNumberFormat="1" applyFont="1" applyFill="1" applyBorder="1" applyAlignment="1">
      <alignment horizontal="right" vertical="top" wrapText="1"/>
    </xf>
    <xf numFmtId="0" fontId="35" fillId="108" borderId="79" xfId="5507" applyFont="1" applyFill="1" applyBorder="1" applyAlignment="1">
      <alignment horizontal="left" vertical="top" wrapText="1"/>
    </xf>
    <xf numFmtId="3" fontId="35" fillId="108" borderId="79" xfId="5507" applyNumberFormat="1" applyFont="1" applyFill="1" applyBorder="1" applyAlignment="1">
      <alignment horizontal="right" vertical="top" wrapText="1"/>
    </xf>
    <xf numFmtId="2" fontId="35" fillId="108" borderId="79" xfId="0" applyNumberFormat="1" applyFont="1" applyFill="1" applyBorder="1" applyAlignment="1">
      <alignment horizontal="center" vertical="top" wrapText="1"/>
    </xf>
    <xf numFmtId="0" fontId="35" fillId="108" borderId="79" xfId="0" applyFont="1" applyFill="1" applyBorder="1" applyAlignment="1">
      <alignment horizontal="left" vertical="top" wrapText="1" shrinkToFit="1"/>
    </xf>
    <xf numFmtId="1" fontId="35" fillId="0" borderId="79" xfId="1538" applyNumberFormat="1" applyFont="1" applyFill="1" applyBorder="1" applyAlignment="1">
      <alignment horizontal="center" vertical="top" wrapText="1"/>
    </xf>
    <xf numFmtId="3" fontId="35" fillId="0" borderId="79" xfId="1538" applyNumberFormat="1" applyFont="1" applyFill="1" applyBorder="1" applyAlignment="1">
      <alignment horizontal="center" vertical="center" wrapText="1"/>
    </xf>
    <xf numFmtId="4" fontId="35" fillId="107" borderId="79" xfId="0" applyNumberFormat="1" applyFont="1" applyFill="1" applyBorder="1" applyAlignment="1">
      <alignment horizontal="left" vertical="top" wrapText="1" shrinkToFit="1"/>
    </xf>
    <xf numFmtId="4" fontId="35" fillId="0" borderId="79" xfId="1538" applyNumberFormat="1" applyFont="1" applyFill="1" applyBorder="1" applyAlignment="1">
      <alignment horizontal="center" vertical="center" wrapText="1"/>
    </xf>
    <xf numFmtId="49" fontId="35" fillId="106" borderId="80" xfId="0" applyNumberFormat="1" applyFont="1" applyFill="1" applyBorder="1" applyAlignment="1">
      <alignment horizontal="right" vertical="top" wrapText="1"/>
    </xf>
    <xf numFmtId="4" fontId="35" fillId="106" borderId="79" xfId="17891" applyNumberFormat="1" applyFont="1" applyFill="1" applyBorder="1" applyAlignment="1">
      <alignment horizontal="right" vertical="top" wrapText="1"/>
    </xf>
    <xf numFmtId="4" fontId="35" fillId="109" borderId="0" xfId="1538" applyNumberFormat="1" applyFont="1" applyFill="1" applyAlignment="1">
      <alignment horizontal="right" vertical="top" wrapText="1"/>
    </xf>
    <xf numFmtId="1" fontId="35" fillId="106" borderId="79" xfId="0" applyNumberFormat="1" applyFont="1" applyFill="1" applyBorder="1" applyAlignment="1">
      <alignment horizontal="right" vertical="top"/>
    </xf>
    <xf numFmtId="0" fontId="35" fillId="107" borderId="79" xfId="0" applyFont="1" applyFill="1" applyBorder="1" applyAlignment="1">
      <alignment horizontal="center" vertical="top" wrapText="1"/>
    </xf>
    <xf numFmtId="1" fontId="35" fillId="107" borderId="79" xfId="0" applyNumberFormat="1" applyFont="1" applyFill="1" applyBorder="1" applyAlignment="1">
      <alignment horizontal="left" vertical="top" wrapText="1"/>
    </xf>
    <xf numFmtId="0" fontId="35" fillId="107" borderId="79" xfId="0" applyFont="1" applyFill="1" applyBorder="1" applyAlignment="1">
      <alignment horizontal="left" vertical="top" wrapText="1"/>
    </xf>
    <xf numFmtId="0" fontId="35" fillId="107" borderId="79" xfId="19566" applyFont="1" applyFill="1" applyBorder="1" applyAlignment="1">
      <alignment horizontal="left" vertical="top" wrapText="1"/>
    </xf>
    <xf numFmtId="4" fontId="35" fillId="107" borderId="79" xfId="0" applyNumberFormat="1" applyFont="1" applyFill="1" applyBorder="1" applyAlignment="1">
      <alignment vertical="top" wrapText="1"/>
    </xf>
    <xf numFmtId="168" fontId="35" fillId="107" borderId="79" xfId="0" applyNumberFormat="1" applyFont="1" applyFill="1" applyBorder="1" applyAlignment="1">
      <alignment vertical="top" wrapText="1"/>
    </xf>
    <xf numFmtId="3" fontId="35" fillId="107" borderId="79" xfId="0" applyNumberFormat="1" applyFont="1" applyFill="1" applyBorder="1" applyAlignment="1">
      <alignment vertical="top" wrapText="1"/>
    </xf>
    <xf numFmtId="1" fontId="35" fillId="108" borderId="79" xfId="0" applyNumberFormat="1" applyFont="1" applyFill="1" applyBorder="1" applyAlignment="1">
      <alignment horizontal="right" vertical="top" wrapText="1"/>
    </xf>
    <xf numFmtId="4" fontId="35" fillId="108" borderId="79" xfId="0" applyNumberFormat="1" applyFont="1" applyFill="1" applyBorder="1" applyAlignment="1">
      <alignment horizontal="right" vertical="top" wrapText="1"/>
    </xf>
    <xf numFmtId="168" fontId="35" fillId="108" borderId="79" xfId="0" applyNumberFormat="1" applyFont="1" applyFill="1" applyBorder="1" applyAlignment="1">
      <alignment horizontal="right" vertical="top" wrapText="1"/>
    </xf>
    <xf numFmtId="4" fontId="35" fillId="106" borderId="79" xfId="0" applyNumberFormat="1" applyFont="1" applyFill="1" applyBorder="1" applyAlignment="1">
      <alignment horizontal="right" vertical="top"/>
    </xf>
    <xf numFmtId="1" fontId="35" fillId="106" borderId="79" xfId="0" applyNumberFormat="1" applyFont="1" applyFill="1" applyBorder="1" applyAlignment="1">
      <alignment horizontal="center" vertical="top" wrapText="1"/>
    </xf>
    <xf numFmtId="0" fontId="35" fillId="106" borderId="79" xfId="0" applyFont="1" applyFill="1" applyBorder="1" applyAlignment="1">
      <alignment horizontal="left" vertical="top" wrapText="1"/>
    </xf>
    <xf numFmtId="1" fontId="35" fillId="106" borderId="79" xfId="0" applyNumberFormat="1" applyFont="1" applyFill="1" applyBorder="1" applyAlignment="1">
      <alignment horizontal="left" vertical="top" wrapText="1"/>
    </xf>
    <xf numFmtId="3" fontId="35" fillId="106" borderId="79" xfId="0" applyNumberFormat="1" applyFont="1" applyFill="1" applyBorder="1" applyAlignment="1">
      <alignment horizontal="left" vertical="top" wrapText="1"/>
    </xf>
    <xf numFmtId="168" fontId="35" fillId="106" borderId="79" xfId="0" applyNumberFormat="1" applyFont="1" applyFill="1" applyBorder="1" applyAlignment="1">
      <alignment horizontal="right" vertical="top"/>
    </xf>
    <xf numFmtId="0" fontId="35" fillId="106" borderId="79" xfId="19566" applyFont="1" applyFill="1" applyBorder="1" applyAlignment="1">
      <alignment horizontal="left" vertical="top" wrapText="1"/>
    </xf>
    <xf numFmtId="3" fontId="35" fillId="106" borderId="79" xfId="0" applyNumberFormat="1" applyFont="1" applyFill="1" applyBorder="1" applyAlignment="1">
      <alignment horizontal="right" vertical="top"/>
    </xf>
    <xf numFmtId="3" fontId="35" fillId="106" borderId="79" xfId="0" applyNumberFormat="1" applyFont="1" applyFill="1" applyBorder="1" applyAlignment="1">
      <alignment horizontal="right" vertical="top" wrapText="1"/>
    </xf>
    <xf numFmtId="4" fontId="35" fillId="106" borderId="79" xfId="0" applyNumberFormat="1" applyFont="1" applyFill="1" applyBorder="1" applyAlignment="1">
      <alignment horizontal="right" vertical="top" wrapText="1"/>
    </xf>
    <xf numFmtId="168" fontId="35" fillId="106" borderId="79" xfId="0" applyNumberFormat="1" applyFont="1" applyFill="1" applyBorder="1" applyAlignment="1">
      <alignment horizontal="right" vertical="top" wrapText="1"/>
    </xf>
    <xf numFmtId="1" fontId="35" fillId="106" borderId="79" xfId="0" applyNumberFormat="1" applyFont="1" applyFill="1" applyBorder="1" applyAlignment="1">
      <alignment horizontal="left" vertical="top"/>
    </xf>
    <xf numFmtId="0" fontId="35" fillId="106" borderId="79" xfId="0" applyFont="1" applyFill="1" applyBorder="1" applyAlignment="1">
      <alignment horizontal="left" vertical="top"/>
    </xf>
    <xf numFmtId="0" fontId="35" fillId="106" borderId="79" xfId="0" applyFont="1" applyFill="1" applyBorder="1" applyAlignment="1">
      <alignment horizontal="center" vertical="top" wrapText="1"/>
    </xf>
    <xf numFmtId="3" fontId="35" fillId="106" borderId="79" xfId="0" applyNumberFormat="1" applyFont="1" applyFill="1" applyBorder="1" applyAlignment="1">
      <alignment horizontal="center" vertical="top" wrapText="1"/>
    </xf>
    <xf numFmtId="3" fontId="35" fillId="107" borderId="79" xfId="0" applyNumberFormat="1" applyFont="1" applyFill="1" applyBorder="1" applyAlignment="1">
      <alignment horizontal="right" vertical="top" wrapText="1"/>
    </xf>
    <xf numFmtId="4" fontId="35" fillId="107" borderId="79" xfId="0" applyNumberFormat="1" applyFont="1" applyFill="1" applyBorder="1" applyAlignment="1">
      <alignment horizontal="right" vertical="top" wrapText="1"/>
    </xf>
    <xf numFmtId="168" fontId="35" fillId="107" borderId="79" xfId="0" applyNumberFormat="1" applyFont="1" applyFill="1" applyBorder="1" applyAlignment="1">
      <alignment horizontal="right" vertical="top" wrapText="1"/>
    </xf>
    <xf numFmtId="0" fontId="35" fillId="108" borderId="79" xfId="0" applyFont="1" applyFill="1" applyBorder="1" applyAlignment="1">
      <alignment horizontal="center" vertical="top" wrapText="1"/>
    </xf>
    <xf numFmtId="0" fontId="35" fillId="108" borderId="79" xfId="0" applyFont="1" applyFill="1" applyBorder="1" applyAlignment="1">
      <alignment horizontal="left" vertical="top" wrapText="1"/>
    </xf>
    <xf numFmtId="1" fontId="35" fillId="108" borderId="79" xfId="0" applyNumberFormat="1" applyFont="1" applyFill="1" applyBorder="1" applyAlignment="1">
      <alignment horizontal="left" vertical="top" wrapText="1"/>
    </xf>
    <xf numFmtId="4" fontId="35" fillId="108" borderId="79" xfId="0" applyNumberFormat="1" applyFont="1" applyFill="1" applyBorder="1" applyAlignment="1">
      <alignment horizontal="center" vertical="top" wrapText="1"/>
    </xf>
    <xf numFmtId="3" fontId="35" fillId="108" borderId="79" xfId="0" applyNumberFormat="1" applyFont="1" applyFill="1" applyBorder="1" applyAlignment="1">
      <alignment horizontal="center" vertical="top" wrapText="1"/>
    </xf>
    <xf numFmtId="3" fontId="35" fillId="108" borderId="79" xfId="0" applyNumberFormat="1" applyFont="1" applyFill="1" applyBorder="1" applyAlignment="1">
      <alignment horizontal="right" vertical="top" wrapText="1"/>
    </xf>
    <xf numFmtId="1" fontId="35" fillId="108" borderId="79" xfId="0" applyNumberFormat="1" applyFont="1" applyFill="1" applyBorder="1" applyAlignment="1">
      <alignment horizontal="center" vertical="top" wrapText="1"/>
    </xf>
    <xf numFmtId="3" fontId="35" fillId="108" borderId="79" xfId="0" applyNumberFormat="1" applyFont="1" applyFill="1" applyBorder="1" applyAlignment="1">
      <alignment horizontal="right" vertical="top"/>
    </xf>
    <xf numFmtId="0" fontId="35" fillId="107" borderId="79" xfId="0" applyFont="1" applyFill="1" applyBorder="1" applyAlignment="1">
      <alignment horizontal="left" vertical="top" wrapText="1" shrinkToFit="1"/>
    </xf>
    <xf numFmtId="1" fontId="35" fillId="107" borderId="79" xfId="0" applyNumberFormat="1" applyFont="1" applyFill="1" applyBorder="1" applyAlignment="1">
      <alignment horizontal="right" vertical="top" wrapText="1"/>
    </xf>
    <xf numFmtId="3" fontId="35" fillId="107" borderId="79" xfId="0" applyNumberFormat="1" applyFont="1" applyFill="1" applyBorder="1" applyAlignment="1">
      <alignment horizontal="center" vertical="top" wrapText="1"/>
    </xf>
    <xf numFmtId="0" fontId="35" fillId="107" borderId="79" xfId="5507" applyFont="1" applyFill="1" applyBorder="1" applyAlignment="1">
      <alignment horizontal="left" vertical="top" wrapText="1"/>
    </xf>
    <xf numFmtId="1" fontId="35" fillId="107" borderId="79" xfId="0" applyNumberFormat="1" applyFont="1" applyFill="1" applyBorder="1" applyAlignment="1">
      <alignment horizontal="center" vertical="top" wrapText="1"/>
    </xf>
    <xf numFmtId="3" fontId="35" fillId="107" borderId="79" xfId="0" applyNumberFormat="1" applyFont="1" applyFill="1" applyBorder="1" applyAlignment="1">
      <alignment horizontal="right" vertical="top"/>
    </xf>
    <xf numFmtId="4" fontId="35" fillId="106" borderId="79" xfId="1538" applyNumberFormat="1" applyFont="1" applyFill="1" applyBorder="1" applyAlignment="1">
      <alignment horizontal="right" vertical="top" wrapText="1"/>
    </xf>
    <xf numFmtId="1" fontId="35" fillId="106" borderId="79" xfId="0" applyNumberFormat="1" applyFont="1" applyFill="1" applyBorder="1" applyAlignment="1">
      <alignment horizontal="right" vertical="top" wrapText="1"/>
    </xf>
    <xf numFmtId="0" fontId="35" fillId="106" borderId="79" xfId="0" applyFont="1" applyFill="1" applyBorder="1" applyAlignment="1">
      <alignment horizontal="right" vertical="top" wrapText="1"/>
    </xf>
    <xf numFmtId="0" fontId="35" fillId="106" borderId="79" xfId="0" applyFont="1" applyFill="1" applyBorder="1" applyAlignment="1">
      <alignment horizontal="right" vertical="top"/>
    </xf>
    <xf numFmtId="4" fontId="35" fillId="0" borderId="0" xfId="0" applyNumberFormat="1" applyFont="1" applyFill="1" applyAlignment="1">
      <alignment horizontal="left" vertical="top" wrapText="1"/>
    </xf>
    <xf numFmtId="4" fontId="35" fillId="107" borderId="79" xfId="0" applyNumberFormat="1" applyFont="1" applyFill="1" applyBorder="1" applyAlignment="1">
      <alignment horizontal="left" vertical="top" wrapText="1"/>
    </xf>
    <xf numFmtId="0" fontId="35" fillId="106" borderId="79" xfId="5507" applyFont="1" applyFill="1" applyBorder="1" applyAlignment="1">
      <alignment horizontal="left" vertical="top" wrapText="1"/>
    </xf>
    <xf numFmtId="4" fontId="35" fillId="106" borderId="79" xfId="0" applyNumberFormat="1" applyFont="1" applyFill="1" applyBorder="1" applyAlignment="1">
      <alignment horizontal="center" vertical="top" wrapText="1"/>
    </xf>
    <xf numFmtId="3" fontId="35" fillId="106" borderId="79" xfId="5507" applyNumberFormat="1" applyFont="1" applyFill="1" applyBorder="1" applyAlignment="1">
      <alignment horizontal="right" vertical="top" wrapText="1"/>
    </xf>
    <xf numFmtId="0" fontId="35" fillId="0" borderId="0" xfId="0" applyFont="1" applyFill="1" applyAlignment="1">
      <alignment horizontal="center" vertical="top" wrapText="1"/>
    </xf>
    <xf numFmtId="4" fontId="35" fillId="0" borderId="0" xfId="0" applyNumberFormat="1" applyFont="1" applyFill="1" applyAlignment="1">
      <alignment horizontal="center" vertical="top" wrapText="1"/>
    </xf>
    <xf numFmtId="168" fontId="35" fillId="106" borderId="79" xfId="19591" applyNumberFormat="1" applyFont="1" applyFill="1" applyBorder="1" applyAlignment="1">
      <alignment horizontal="right" vertical="top" wrapText="1"/>
    </xf>
    <xf numFmtId="3" fontId="35" fillId="0" borderId="73" xfId="1538" applyNumberFormat="1" applyFont="1" applyFill="1" applyBorder="1" applyAlignment="1">
      <alignment horizontal="center" vertical="top" wrapText="1"/>
    </xf>
    <xf numFmtId="4" fontId="35" fillId="0" borderId="73" xfId="1538" applyNumberFormat="1" applyFont="1" applyFill="1" applyBorder="1" applyAlignment="1">
      <alignment horizontal="center" vertical="top" wrapText="1"/>
    </xf>
    <xf numFmtId="1" fontId="35" fillId="106" borderId="80" xfId="0" applyNumberFormat="1" applyFont="1" applyFill="1" applyBorder="1" applyAlignment="1">
      <alignment horizontal="center" vertical="top" wrapText="1"/>
    </xf>
    <xf numFmtId="0" fontId="35" fillId="107" borderId="66" xfId="0" applyFont="1" applyFill="1" applyBorder="1" applyAlignment="1">
      <alignment horizontal="left" vertical="top" wrapText="1"/>
    </xf>
    <xf numFmtId="0" fontId="35" fillId="106" borderId="80" xfId="0" applyFont="1" applyFill="1" applyBorder="1" applyAlignment="1">
      <alignment horizontal="center" vertical="top" wrapText="1"/>
    </xf>
    <xf numFmtId="4" fontId="35" fillId="106" borderId="0" xfId="0" applyNumberFormat="1" applyFont="1" applyFill="1" applyAlignment="1">
      <alignment horizontal="right" vertical="top" wrapText="1"/>
    </xf>
    <xf numFmtId="3" fontId="35" fillId="0" borderId="79" xfId="0" applyNumberFormat="1" applyFont="1" applyFill="1" applyBorder="1" applyAlignment="1">
      <alignment horizontal="center" vertical="top" wrapText="1"/>
    </xf>
    <xf numFmtId="0" fontId="35" fillId="0" borderId="79" xfId="0" applyFont="1" applyFill="1" applyBorder="1" applyAlignment="1">
      <alignment horizontal="center" vertical="top" wrapText="1"/>
    </xf>
    <xf numFmtId="0" fontId="35" fillId="0" borderId="79" xfId="0" applyFont="1" applyFill="1" applyBorder="1" applyAlignment="1">
      <alignment horizontal="left" vertical="top" wrapText="1"/>
    </xf>
    <xf numFmtId="1" fontId="35" fillId="0" borderId="79" xfId="0" applyNumberFormat="1" applyFont="1" applyFill="1" applyBorder="1" applyAlignment="1">
      <alignment horizontal="left" vertical="top" wrapText="1"/>
    </xf>
    <xf numFmtId="3" fontId="35" fillId="0" borderId="79" xfId="0" applyNumberFormat="1" applyFont="1" applyFill="1" applyBorder="1" applyAlignment="1">
      <alignment horizontal="left" vertical="top" wrapText="1"/>
    </xf>
    <xf numFmtId="3" fontId="35" fillId="0" borderId="79" xfId="0" applyNumberFormat="1" applyFont="1" applyFill="1" applyBorder="1" applyAlignment="1">
      <alignment horizontal="right" vertical="top" wrapText="1"/>
    </xf>
    <xf numFmtId="168" fontId="35" fillId="0" borderId="79" xfId="0" applyNumberFormat="1" applyFont="1" applyFill="1" applyBorder="1" applyAlignment="1">
      <alignment horizontal="right" vertical="top" wrapText="1"/>
    </xf>
    <xf numFmtId="49" fontId="35" fillId="0" borderId="79" xfId="0" applyNumberFormat="1" applyFont="1" applyFill="1" applyBorder="1" applyAlignment="1">
      <alignment horizontal="right" vertical="top" wrapText="1"/>
    </xf>
    <xf numFmtId="1" fontId="35" fillId="0" borderId="79" xfId="0" applyNumberFormat="1" applyFont="1" applyFill="1" applyBorder="1" applyAlignment="1">
      <alignment horizontal="left" vertical="top"/>
    </xf>
    <xf numFmtId="1" fontId="35" fillId="0" borderId="79" xfId="0" applyNumberFormat="1" applyFont="1" applyFill="1" applyBorder="1" applyAlignment="1">
      <alignment horizontal="right" vertical="top" wrapText="1"/>
    </xf>
    <xf numFmtId="3" fontId="35" fillId="0" borderId="79" xfId="1538" applyNumberFormat="1" applyFont="1" applyFill="1" applyBorder="1" applyAlignment="1">
      <alignment horizontal="right" vertical="top" wrapText="1"/>
    </xf>
    <xf numFmtId="0" fontId="35" fillId="0" borderId="0" xfId="0" applyFont="1" applyFill="1" applyBorder="1" applyAlignment="1">
      <alignment horizontal="center" vertical="top"/>
    </xf>
    <xf numFmtId="0" fontId="35" fillId="0" borderId="0" xfId="0" applyFont="1" applyFill="1" applyAlignment="1">
      <alignment horizontal="left" vertical="top"/>
    </xf>
    <xf numFmtId="168" fontId="35" fillId="0" borderId="0" xfId="0" applyNumberFormat="1" applyFont="1" applyFill="1" applyAlignment="1">
      <alignment vertical="top"/>
    </xf>
    <xf numFmtId="0" fontId="35" fillId="0" borderId="79" xfId="0" applyFont="1" applyFill="1" applyBorder="1" applyAlignment="1">
      <alignment horizontal="right" vertical="top" wrapText="1"/>
    </xf>
    <xf numFmtId="0" fontId="35" fillId="0" borderId="79" xfId="19566" applyFont="1" applyFill="1" applyBorder="1" applyAlignment="1">
      <alignment horizontal="left" vertical="top" wrapText="1"/>
    </xf>
    <xf numFmtId="4" fontId="35" fillId="0" borderId="0" xfId="0" quotePrefix="1" applyNumberFormat="1" applyFont="1" applyFill="1" applyBorder="1" applyAlignment="1">
      <alignment horizontal="right" vertical="top" wrapText="1"/>
    </xf>
    <xf numFmtId="4" fontId="35" fillId="0" borderId="79" xfId="0" applyNumberFormat="1" applyFont="1" applyFill="1" applyBorder="1" applyAlignment="1">
      <alignment horizontal="center" vertical="top" wrapText="1"/>
    </xf>
    <xf numFmtId="168" fontId="35" fillId="0" borderId="79" xfId="19591" applyNumberFormat="1" applyFont="1" applyFill="1" applyBorder="1" applyAlignment="1">
      <alignment horizontal="right" vertical="top" wrapText="1"/>
    </xf>
    <xf numFmtId="0" fontId="35" fillId="0" borderId="79" xfId="5507" applyFont="1" applyFill="1" applyBorder="1" applyAlignment="1">
      <alignment horizontal="left" vertical="top" wrapText="1"/>
    </xf>
    <xf numFmtId="3" fontId="35" fillId="0" borderId="79" xfId="5507" applyNumberFormat="1" applyFont="1" applyFill="1" applyBorder="1" applyAlignment="1">
      <alignment horizontal="right" vertical="top" wrapText="1"/>
    </xf>
    <xf numFmtId="1" fontId="35" fillId="0" borderId="79" xfId="0" applyNumberFormat="1" applyFont="1" applyFill="1" applyBorder="1" applyAlignment="1">
      <alignment horizontal="left" vertical="top" wrapText="1" shrinkToFit="1"/>
    </xf>
    <xf numFmtId="0" fontId="35" fillId="0" borderId="79" xfId="0" applyFont="1" applyFill="1" applyBorder="1" applyAlignment="1">
      <alignment horizontal="left" vertical="top" wrapText="1" shrinkToFit="1"/>
    </xf>
    <xf numFmtId="3" fontId="35" fillId="0" borderId="79" xfId="17891" applyNumberFormat="1" applyFont="1" applyFill="1" applyBorder="1" applyAlignment="1">
      <alignment horizontal="left" vertical="top" wrapText="1"/>
    </xf>
    <xf numFmtId="0" fontId="35" fillId="0" borderId="79" xfId="17891" applyFont="1" applyFill="1" applyBorder="1" applyAlignment="1">
      <alignment horizontal="left" vertical="top" wrapText="1" shrinkToFit="1"/>
    </xf>
    <xf numFmtId="1" fontId="35" fillId="0" borderId="79" xfId="17891" applyNumberFormat="1" applyFont="1" applyFill="1" applyBorder="1" applyAlignment="1">
      <alignment horizontal="left" vertical="top"/>
    </xf>
    <xf numFmtId="0" fontId="35" fillId="0" borderId="79" xfId="17891" applyFont="1" applyFill="1" applyBorder="1" applyAlignment="1">
      <alignment horizontal="right" vertical="top"/>
    </xf>
    <xf numFmtId="3" fontId="35" fillId="0" borderId="79" xfId="0" applyNumberFormat="1" applyFont="1" applyFill="1" applyBorder="1" applyAlignment="1">
      <alignment horizontal="left" vertical="top" wrapText="1" shrinkToFit="1"/>
    </xf>
    <xf numFmtId="3" fontId="35" fillId="0" borderId="79" xfId="17891" applyNumberFormat="1" applyFont="1" applyFill="1" applyBorder="1" applyAlignment="1">
      <alignment horizontal="right" vertical="top" wrapText="1"/>
    </xf>
    <xf numFmtId="0" fontId="35" fillId="0" borderId="79" xfId="1538" applyFont="1" applyFill="1" applyBorder="1" applyAlignment="1">
      <alignment horizontal="left" vertical="top" wrapText="1"/>
    </xf>
    <xf numFmtId="4" fontId="35" fillId="0" borderId="0" xfId="17896" quotePrefix="1" applyNumberFormat="1" applyFont="1" applyFill="1" applyBorder="1" applyAlignment="1">
      <alignment horizontal="right" vertical="top" wrapText="1"/>
    </xf>
    <xf numFmtId="4" fontId="35" fillId="0" borderId="79" xfId="17896" applyNumberFormat="1" applyFont="1" applyFill="1" applyBorder="1" applyAlignment="1">
      <alignment horizontal="right" vertical="top" wrapText="1"/>
    </xf>
    <xf numFmtId="0" fontId="35" fillId="106" borderId="82" xfId="0" applyFont="1" applyFill="1" applyBorder="1" applyAlignment="1">
      <alignment horizontal="left" vertical="top" wrapText="1"/>
    </xf>
    <xf numFmtId="4" fontId="76" fillId="106" borderId="0" xfId="0" applyNumberFormat="1" applyFont="1" applyFill="1" applyAlignment="1">
      <alignment horizontal="left" vertical="top"/>
    </xf>
    <xf numFmtId="4" fontId="35" fillId="107" borderId="0" xfId="0" quotePrefix="1" applyNumberFormat="1" applyFont="1" applyFill="1" applyBorder="1" applyAlignment="1">
      <alignment horizontal="right" vertical="top" wrapText="1"/>
    </xf>
    <xf numFmtId="4" fontId="76" fillId="107" borderId="0" xfId="0" applyNumberFormat="1" applyFont="1" applyFill="1" applyAlignment="1">
      <alignment horizontal="left" vertical="top"/>
    </xf>
    <xf numFmtId="4" fontId="35" fillId="108" borderId="0" xfId="0" quotePrefix="1" applyNumberFormat="1" applyFont="1" applyFill="1" applyBorder="1" applyAlignment="1">
      <alignment horizontal="right" vertical="top" wrapText="1"/>
    </xf>
    <xf numFmtId="169" fontId="35" fillId="108" borderId="79" xfId="0" applyNumberFormat="1" applyFont="1" applyFill="1" applyBorder="1" applyAlignment="1">
      <alignment horizontal="center" vertical="top" wrapText="1"/>
    </xf>
    <xf numFmtId="168" fontId="35" fillId="108" borderId="0" xfId="0" applyNumberFormat="1" applyFont="1" applyFill="1" applyAlignment="1">
      <alignment horizontal="right" vertical="top"/>
    </xf>
    <xf numFmtId="0" fontId="35" fillId="108" borderId="79" xfId="17891" applyFont="1" applyFill="1" applyBorder="1" applyAlignment="1">
      <alignment horizontal="left" vertical="top" wrapText="1"/>
    </xf>
    <xf numFmtId="1" fontId="35" fillId="108" borderId="79" xfId="17891" applyNumberFormat="1" applyFont="1" applyFill="1" applyBorder="1" applyAlignment="1">
      <alignment horizontal="left" vertical="top" wrapText="1"/>
    </xf>
    <xf numFmtId="3" fontId="35" fillId="108" borderId="79" xfId="17891" applyNumberFormat="1" applyFont="1" applyFill="1" applyBorder="1" applyAlignment="1">
      <alignment horizontal="left" vertical="top" wrapText="1"/>
    </xf>
    <xf numFmtId="3" fontId="35" fillId="108" borderId="79" xfId="17891" applyNumberFormat="1" applyFont="1" applyFill="1" applyBorder="1" applyAlignment="1">
      <alignment horizontal="right" vertical="top" wrapText="1"/>
    </xf>
    <xf numFmtId="4" fontId="35" fillId="108" borderId="79" xfId="17891" applyNumberFormat="1" applyFont="1" applyFill="1" applyBorder="1" applyAlignment="1">
      <alignment horizontal="right" vertical="top" wrapText="1"/>
    </xf>
    <xf numFmtId="168" fontId="35" fillId="108" borderId="79" xfId="17891" applyNumberFormat="1" applyFont="1" applyFill="1" applyBorder="1" applyAlignment="1">
      <alignment horizontal="right" vertical="top" wrapText="1"/>
    </xf>
    <xf numFmtId="4" fontId="35" fillId="0" borderId="55" xfId="0" applyNumberFormat="1" applyFont="1" applyFill="1" applyBorder="1" applyAlignment="1">
      <alignment horizontal="right" vertical="top" wrapText="1"/>
    </xf>
    <xf numFmtId="4" fontId="35" fillId="0" borderId="52" xfId="0" applyNumberFormat="1" applyFont="1" applyFill="1" applyBorder="1" applyAlignment="1">
      <alignment horizontal="right" vertical="top" wrapText="1"/>
    </xf>
    <xf numFmtId="4" fontId="35" fillId="0" borderId="54" xfId="0" applyNumberFormat="1" applyFont="1" applyFill="1" applyBorder="1" applyAlignment="1">
      <alignment horizontal="right" vertical="top" wrapText="1"/>
    </xf>
    <xf numFmtId="4" fontId="35" fillId="0" borderId="38" xfId="0" applyNumberFormat="1" applyFont="1" applyFill="1" applyBorder="1" applyAlignment="1">
      <alignment horizontal="right" vertical="top" wrapText="1"/>
    </xf>
    <xf numFmtId="4" fontId="35" fillId="0" borderId="46" xfId="0" applyNumberFormat="1" applyFont="1" applyFill="1" applyBorder="1" applyAlignment="1">
      <alignment horizontal="right" vertical="top" wrapText="1"/>
    </xf>
    <xf numFmtId="4" fontId="35" fillId="0" borderId="35" xfId="0" applyNumberFormat="1" applyFont="1" applyFill="1" applyBorder="1" applyAlignment="1">
      <alignment horizontal="right" vertical="top" wrapText="1"/>
    </xf>
    <xf numFmtId="4" fontId="35" fillId="0" borderId="53" xfId="0" applyNumberFormat="1" applyFont="1" applyFill="1" applyBorder="1" applyAlignment="1">
      <alignment horizontal="right" vertical="top" wrapText="1"/>
    </xf>
    <xf numFmtId="4" fontId="35" fillId="0" borderId="46" xfId="19566" applyNumberFormat="1" applyFont="1" applyFill="1" applyBorder="1" applyAlignment="1">
      <alignment horizontal="right" vertical="top" wrapText="1"/>
    </xf>
    <xf numFmtId="0" fontId="35" fillId="0" borderId="59" xfId="0" applyFont="1" applyFill="1" applyBorder="1" applyAlignment="1">
      <alignment horizontal="center" vertical="top" wrapText="1"/>
    </xf>
    <xf numFmtId="1" fontId="35" fillId="0" borderId="59" xfId="0" applyNumberFormat="1" applyFont="1" applyFill="1" applyBorder="1" applyAlignment="1">
      <alignment horizontal="left" vertical="top" wrapText="1" shrinkToFit="1"/>
    </xf>
    <xf numFmtId="4" fontId="35" fillId="0" borderId="59" xfId="0" applyNumberFormat="1" applyFont="1" applyFill="1" applyBorder="1" applyAlignment="1">
      <alignment horizontal="right" vertical="top" wrapText="1" shrinkToFit="1"/>
    </xf>
    <xf numFmtId="3" fontId="35" fillId="0" borderId="59" xfId="0" applyNumberFormat="1" applyFont="1" applyFill="1" applyBorder="1" applyAlignment="1">
      <alignment horizontal="right" vertical="top" wrapText="1" shrinkToFit="1"/>
    </xf>
    <xf numFmtId="4" fontId="35" fillId="0" borderId="59" xfId="0" applyNumberFormat="1" applyFont="1" applyFill="1" applyBorder="1" applyAlignment="1">
      <alignment horizontal="right" vertical="top" wrapText="1"/>
    </xf>
    <xf numFmtId="4" fontId="35" fillId="0" borderId="52" xfId="0" applyNumberFormat="1" applyFont="1" applyFill="1" applyBorder="1" applyAlignment="1">
      <alignment horizontal="right" vertical="top" wrapText="1" shrinkToFit="1"/>
    </xf>
    <xf numFmtId="4" fontId="35" fillId="0" borderId="29" xfId="0" applyNumberFormat="1" applyFont="1" applyFill="1" applyBorder="1" applyAlignment="1">
      <alignment horizontal="right" vertical="top" wrapText="1" shrinkToFit="1"/>
    </xf>
    <xf numFmtId="0" fontId="35" fillId="0" borderId="58" xfId="0" applyFont="1" applyFill="1" applyBorder="1" applyAlignment="1">
      <alignment horizontal="left" vertical="top" wrapText="1" shrinkToFit="1"/>
    </xf>
    <xf numFmtId="0" fontId="35" fillId="0" borderId="59" xfId="0" applyFont="1" applyFill="1" applyBorder="1" applyAlignment="1">
      <alignment horizontal="left" vertical="top" wrapText="1" shrinkToFit="1"/>
    </xf>
    <xf numFmtId="4" fontId="35" fillId="0" borderId="58" xfId="0" applyNumberFormat="1" applyFont="1" applyFill="1" applyBorder="1" applyAlignment="1">
      <alignment horizontal="right" vertical="top" wrapText="1"/>
    </xf>
    <xf numFmtId="0" fontId="35" fillId="0" borderId="51" xfId="0" applyFont="1" applyFill="1" applyBorder="1" applyAlignment="1">
      <alignment horizontal="left" vertical="top" wrapText="1" shrinkToFit="1"/>
    </xf>
    <xf numFmtId="4" fontId="35" fillId="0" borderId="51" xfId="0" applyNumberFormat="1" applyFont="1" applyFill="1" applyBorder="1" applyAlignment="1">
      <alignment horizontal="right" vertical="top" wrapText="1" shrinkToFit="1"/>
    </xf>
    <xf numFmtId="3" fontId="35" fillId="0" borderId="51" xfId="0" applyNumberFormat="1" applyFont="1" applyFill="1" applyBorder="1" applyAlignment="1">
      <alignment horizontal="right" vertical="top" wrapText="1" shrinkToFit="1"/>
    </xf>
    <xf numFmtId="4" fontId="35" fillId="0" borderId="50" xfId="0" applyNumberFormat="1" applyFont="1" applyFill="1" applyBorder="1" applyAlignment="1">
      <alignment horizontal="right" vertical="top" wrapText="1"/>
    </xf>
    <xf numFmtId="1" fontId="35" fillId="0" borderId="29" xfId="0" applyNumberFormat="1" applyFont="1" applyFill="1" applyBorder="1" applyAlignment="1">
      <alignment horizontal="left" vertical="top" wrapText="1" shrinkToFit="1"/>
    </xf>
    <xf numFmtId="3" fontId="35" fillId="0" borderId="29" xfId="0" applyNumberFormat="1" applyFont="1" applyFill="1" applyBorder="1" applyAlignment="1">
      <alignment horizontal="right" vertical="top" wrapText="1" shrinkToFit="1"/>
    </xf>
    <xf numFmtId="0" fontId="35" fillId="0" borderId="29" xfId="0" applyFont="1" applyFill="1" applyBorder="1" applyAlignment="1">
      <alignment horizontal="left" vertical="top" wrapText="1" shrinkToFit="1"/>
    </xf>
    <xf numFmtId="0" fontId="35" fillId="0" borderId="29" xfId="17891" applyFont="1" applyFill="1" applyBorder="1" applyAlignment="1">
      <alignment horizontal="left" vertical="top" wrapText="1" shrinkToFit="1"/>
    </xf>
    <xf numFmtId="4" fontId="35" fillId="0" borderId="62" xfId="0" applyNumberFormat="1" applyFont="1" applyFill="1" applyBorder="1" applyAlignment="1">
      <alignment horizontal="right" vertical="top" wrapText="1" shrinkToFit="1"/>
    </xf>
    <xf numFmtId="4" fontId="35" fillId="0" borderId="62" xfId="0" applyNumberFormat="1" applyFont="1" applyFill="1" applyBorder="1" applyAlignment="1">
      <alignment horizontal="right" vertical="top" wrapText="1"/>
    </xf>
    <xf numFmtId="4" fontId="35" fillId="0" borderId="48" xfId="0" applyNumberFormat="1" applyFont="1" applyFill="1" applyBorder="1" applyAlignment="1">
      <alignment horizontal="right" vertical="top" wrapText="1" shrinkToFit="1"/>
    </xf>
    <xf numFmtId="4" fontId="35" fillId="0" borderId="64" xfId="0" applyNumberFormat="1" applyFont="1" applyFill="1" applyBorder="1" applyAlignment="1">
      <alignment horizontal="right" vertical="top" wrapText="1" shrinkToFit="1"/>
    </xf>
    <xf numFmtId="4" fontId="35" fillId="0" borderId="57" xfId="0" applyNumberFormat="1" applyFont="1" applyFill="1" applyBorder="1" applyAlignment="1">
      <alignment horizontal="right" vertical="top" wrapText="1" shrinkToFit="1"/>
    </xf>
    <xf numFmtId="4" fontId="35" fillId="0" borderId="57" xfId="0" applyNumberFormat="1" applyFont="1" applyFill="1" applyBorder="1" applyAlignment="1">
      <alignment horizontal="right" vertical="top" wrapText="1"/>
    </xf>
    <xf numFmtId="4" fontId="35" fillId="0" borderId="34" xfId="0" applyNumberFormat="1" applyFont="1" applyFill="1" applyBorder="1" applyAlignment="1">
      <alignment horizontal="right" vertical="top" wrapText="1" shrinkToFit="1"/>
    </xf>
    <xf numFmtId="4" fontId="35" fillId="0" borderId="36" xfId="0" applyNumberFormat="1" applyFont="1" applyFill="1" applyBorder="1" applyAlignment="1">
      <alignment horizontal="right" vertical="top" wrapText="1"/>
    </xf>
    <xf numFmtId="0" fontId="35" fillId="0" borderId="49" xfId="0" applyFont="1" applyFill="1" applyBorder="1" applyAlignment="1">
      <alignment horizontal="left" vertical="top" wrapText="1"/>
    </xf>
    <xf numFmtId="4" fontId="35" fillId="0" borderId="56" xfId="0" applyNumberFormat="1" applyFont="1" applyFill="1" applyBorder="1" applyAlignment="1">
      <alignment horizontal="right" vertical="top" wrapText="1"/>
    </xf>
    <xf numFmtId="0" fontId="35" fillId="0" borderId="49" xfId="0" applyFont="1" applyFill="1" applyBorder="1" applyAlignment="1">
      <alignment horizontal="left" vertical="top" wrapText="1" shrinkToFit="1"/>
    </xf>
    <xf numFmtId="4" fontId="35" fillId="0" borderId="49" xfId="0" applyNumberFormat="1" applyFont="1" applyFill="1" applyBorder="1" applyAlignment="1">
      <alignment horizontal="right" vertical="top" wrapText="1" shrinkToFit="1"/>
    </xf>
    <xf numFmtId="3" fontId="35" fillId="0" borderId="49" xfId="0" applyNumberFormat="1" applyFont="1" applyFill="1" applyBorder="1" applyAlignment="1">
      <alignment horizontal="right" vertical="top" wrapText="1" shrinkToFit="1"/>
    </xf>
    <xf numFmtId="4" fontId="35" fillId="0" borderId="65" xfId="0" applyNumberFormat="1" applyFont="1" applyFill="1" applyBorder="1" applyAlignment="1">
      <alignment horizontal="right" vertical="top" wrapText="1" shrinkToFit="1"/>
    </xf>
    <xf numFmtId="0" fontId="35" fillId="0" borderId="61" xfId="0" applyFont="1" applyFill="1" applyBorder="1" applyAlignment="1">
      <alignment horizontal="left" vertical="top" wrapText="1" shrinkToFit="1"/>
    </xf>
    <xf numFmtId="4" fontId="35" fillId="0" borderId="61" xfId="0" applyNumberFormat="1" applyFont="1" applyFill="1" applyBorder="1" applyAlignment="1">
      <alignment horizontal="right" vertical="top" wrapText="1" shrinkToFit="1"/>
    </xf>
    <xf numFmtId="3" fontId="35" fillId="0" borderId="61" xfId="0" applyNumberFormat="1" applyFont="1" applyFill="1" applyBorder="1" applyAlignment="1">
      <alignment horizontal="right" vertical="top" wrapText="1" shrinkToFit="1"/>
    </xf>
    <xf numFmtId="4" fontId="35" fillId="0" borderId="37" xfId="0" applyNumberFormat="1" applyFont="1" applyFill="1" applyBorder="1" applyAlignment="1">
      <alignment horizontal="right" vertical="top" wrapText="1" shrinkToFit="1"/>
    </xf>
    <xf numFmtId="4" fontId="35" fillId="0" borderId="68" xfId="0" applyNumberFormat="1" applyFont="1" applyFill="1" applyBorder="1" applyAlignment="1">
      <alignment horizontal="right" vertical="top" wrapText="1" shrinkToFit="1"/>
    </xf>
    <xf numFmtId="3" fontId="35" fillId="0" borderId="35" xfId="0" applyNumberFormat="1" applyFont="1" applyFill="1" applyBorder="1" applyAlignment="1">
      <alignment horizontal="right" vertical="top" wrapText="1"/>
    </xf>
    <xf numFmtId="0" fontId="35" fillId="0" borderId="62" xfId="0" applyFont="1" applyFill="1" applyBorder="1" applyAlignment="1">
      <alignment horizontal="left" vertical="top" wrapText="1" shrinkToFit="1"/>
    </xf>
    <xf numFmtId="3" fontId="35" fillId="0" borderId="62" xfId="0" applyNumberFormat="1" applyFont="1" applyFill="1" applyBorder="1" applyAlignment="1">
      <alignment horizontal="right" vertical="top" wrapText="1" shrinkToFit="1"/>
    </xf>
    <xf numFmtId="4" fontId="35" fillId="0" borderId="66" xfId="0" applyNumberFormat="1" applyFont="1" applyFill="1" applyBorder="1" applyAlignment="1">
      <alignment horizontal="right" vertical="top" wrapText="1" shrinkToFit="1"/>
    </xf>
    <xf numFmtId="4" fontId="35" fillId="106" borderId="81" xfId="0" applyNumberFormat="1" applyFont="1" applyFill="1" applyBorder="1" applyAlignment="1">
      <alignment horizontal="right" vertical="top" wrapText="1"/>
    </xf>
    <xf numFmtId="4" fontId="35" fillId="106" borderId="80" xfId="19566" applyNumberFormat="1" applyFont="1" applyFill="1" applyBorder="1" applyAlignment="1">
      <alignment horizontal="right" vertical="top" wrapText="1"/>
    </xf>
    <xf numFmtId="4" fontId="35" fillId="106" borderId="80" xfId="0" applyNumberFormat="1" applyFont="1" applyFill="1" applyBorder="1" applyAlignment="1">
      <alignment horizontal="right" vertical="top" wrapText="1" shrinkToFit="1"/>
    </xf>
    <xf numFmtId="3" fontId="35" fillId="106" borderId="80" xfId="0" applyNumberFormat="1" applyFont="1" applyFill="1" applyBorder="1" applyAlignment="1">
      <alignment horizontal="right" vertical="top" wrapText="1" shrinkToFit="1"/>
    </xf>
    <xf numFmtId="1" fontId="35" fillId="106" borderId="82" xfId="0" applyNumberFormat="1" applyFont="1" applyFill="1" applyBorder="1" applyAlignment="1">
      <alignment horizontal="left" vertical="top" wrapText="1"/>
    </xf>
    <xf numFmtId="4" fontId="35" fillId="108" borderId="81" xfId="0" applyNumberFormat="1" applyFont="1" applyFill="1" applyBorder="1" applyAlignment="1">
      <alignment horizontal="right" vertical="top" wrapText="1"/>
    </xf>
    <xf numFmtId="4" fontId="35" fillId="108" borderId="79" xfId="19568" applyNumberFormat="1" applyFont="1" applyFill="1" applyBorder="1" applyAlignment="1">
      <alignment horizontal="right" vertical="top"/>
    </xf>
    <xf numFmtId="0" fontId="86" fillId="0" borderId="0" xfId="1538" applyFont="1" applyFill="1" applyBorder="1" applyAlignment="1">
      <alignment horizontal="right" vertical="top" wrapText="1"/>
    </xf>
    <xf numFmtId="0" fontId="86" fillId="0" borderId="0" xfId="1538" applyFont="1" applyFill="1" applyBorder="1" applyAlignment="1">
      <alignment horizontal="center" vertical="top" wrapText="1"/>
    </xf>
    <xf numFmtId="4" fontId="86" fillId="0" borderId="0" xfId="1538" applyNumberFormat="1" applyFont="1" applyFill="1" applyBorder="1" applyAlignment="1">
      <alignment horizontal="left" vertical="top" wrapText="1"/>
    </xf>
    <xf numFmtId="0" fontId="86" fillId="0" borderId="0" xfId="1538" applyFont="1" applyFill="1" applyBorder="1" applyAlignment="1">
      <alignment horizontal="left" vertical="top" wrapText="1"/>
    </xf>
    <xf numFmtId="3" fontId="86" fillId="0" borderId="0" xfId="1538" applyNumberFormat="1" applyFont="1" applyFill="1" applyBorder="1" applyAlignment="1">
      <alignment horizontal="left" vertical="top" wrapText="1"/>
    </xf>
    <xf numFmtId="0" fontId="86" fillId="0" borderId="0" xfId="1538" applyFont="1" applyFill="1" applyBorder="1" applyAlignment="1">
      <alignment vertical="top" wrapText="1"/>
    </xf>
    <xf numFmtId="3" fontId="86" fillId="0" borderId="0" xfId="1538" applyNumberFormat="1" applyFont="1" applyFill="1" applyBorder="1" applyAlignment="1">
      <alignment horizontal="right" vertical="top" wrapText="1"/>
    </xf>
    <xf numFmtId="4" fontId="86" fillId="0" borderId="0" xfId="1538" applyNumberFormat="1" applyFont="1" applyFill="1" applyBorder="1" applyAlignment="1">
      <alignment horizontal="right" vertical="top" wrapText="1"/>
    </xf>
    <xf numFmtId="178" fontId="86" fillId="0" borderId="0" xfId="1538" applyNumberFormat="1" applyFont="1" applyFill="1" applyBorder="1" applyAlignment="1">
      <alignment horizontal="right" vertical="top" wrapText="1"/>
    </xf>
    <xf numFmtId="186" fontId="86" fillId="0" borderId="0" xfId="1538" applyNumberFormat="1" applyFont="1" applyFill="1" applyBorder="1" applyAlignment="1">
      <alignment horizontal="right" vertical="top" wrapText="1"/>
    </xf>
    <xf numFmtId="3" fontId="86" fillId="0" borderId="0" xfId="1538" applyNumberFormat="1" applyFont="1" applyFill="1" applyBorder="1" applyAlignment="1">
      <alignment horizontal="center" vertical="top" wrapText="1"/>
    </xf>
    <xf numFmtId="4" fontId="86" fillId="0" borderId="0" xfId="1538" applyNumberFormat="1" applyFont="1" applyFill="1" applyBorder="1" applyAlignment="1">
      <alignment horizontal="center" vertical="top" wrapText="1"/>
    </xf>
    <xf numFmtId="4" fontId="86" fillId="0" borderId="0" xfId="0" applyNumberFormat="1" applyFont="1" applyFill="1" applyBorder="1" applyAlignment="1">
      <alignment horizontal="right" vertical="top" wrapText="1"/>
    </xf>
    <xf numFmtId="4" fontId="86" fillId="0" borderId="0" xfId="0" applyNumberFormat="1" applyFont="1" applyFill="1" applyBorder="1" applyAlignment="1">
      <alignment horizontal="center" vertical="top" wrapText="1"/>
    </xf>
    <xf numFmtId="4" fontId="86" fillId="0" borderId="0" xfId="0" applyNumberFormat="1" applyFont="1" applyFill="1" applyBorder="1" applyAlignment="1">
      <alignment horizontal="left" vertical="top" wrapText="1"/>
    </xf>
    <xf numFmtId="4" fontId="86" fillId="0" borderId="0" xfId="0" applyNumberFormat="1" applyFont="1" applyFill="1" applyBorder="1" applyAlignment="1">
      <alignment horizontal="right" vertical="top"/>
    </xf>
    <xf numFmtId="4" fontId="86" fillId="0" borderId="0" xfId="0" applyNumberFormat="1" applyFont="1" applyFill="1" applyBorder="1" applyAlignment="1">
      <alignment horizontal="center" vertical="top"/>
    </xf>
    <xf numFmtId="4" fontId="86" fillId="0" borderId="0" xfId="0" applyNumberFormat="1" applyFont="1" applyFill="1" applyBorder="1" applyAlignment="1">
      <alignment vertical="top" wrapText="1"/>
    </xf>
    <xf numFmtId="4" fontId="87" fillId="0" borderId="0" xfId="0" applyNumberFormat="1" applyFont="1" applyFill="1" applyBorder="1" applyAlignment="1">
      <alignment horizontal="right" vertical="top" wrapText="1"/>
    </xf>
    <xf numFmtId="4" fontId="87" fillId="0" borderId="0" xfId="0" applyNumberFormat="1" applyFont="1" applyFill="1" applyBorder="1" applyAlignment="1">
      <alignment horizontal="center" vertical="top" wrapText="1"/>
    </xf>
    <xf numFmtId="4" fontId="87" fillId="0" borderId="0" xfId="0" applyNumberFormat="1" applyFont="1" applyFill="1" applyBorder="1" applyAlignment="1">
      <alignment horizontal="right" vertical="top"/>
    </xf>
    <xf numFmtId="3" fontId="86" fillId="0" borderId="0" xfId="0" applyNumberFormat="1" applyFont="1" applyFill="1" applyBorder="1" applyAlignment="1">
      <alignment horizontal="center" vertical="top" wrapText="1"/>
    </xf>
    <xf numFmtId="4" fontId="86" fillId="0" borderId="0" xfId="0" applyNumberFormat="1" applyFont="1" applyFill="1" applyBorder="1" applyAlignment="1">
      <alignment vertical="top"/>
    </xf>
    <xf numFmtId="4" fontId="87" fillId="0" borderId="0" xfId="0" applyNumberFormat="1" applyFont="1" applyFill="1" applyBorder="1" applyAlignment="1">
      <alignment vertical="top"/>
    </xf>
    <xf numFmtId="0" fontId="87" fillId="0" borderId="0" xfId="1538" applyFont="1" applyFill="1" applyBorder="1" applyAlignment="1">
      <alignment vertical="top" wrapText="1"/>
    </xf>
    <xf numFmtId="0" fontId="86" fillId="0" borderId="0" xfId="0" applyFont="1" applyFill="1" applyAlignment="1">
      <alignment vertical="top"/>
    </xf>
    <xf numFmtId="4" fontId="88" fillId="0" borderId="0" xfId="0" applyNumberFormat="1" applyFont="1" applyFill="1" applyBorder="1" applyAlignment="1">
      <alignment vertical="top"/>
    </xf>
    <xf numFmtId="0" fontId="86" fillId="0" borderId="0" xfId="0" applyFont="1" applyFill="1" applyBorder="1" applyAlignment="1">
      <alignment vertical="top" wrapText="1"/>
    </xf>
    <xf numFmtId="0" fontId="86" fillId="0" borderId="0" xfId="0" applyFont="1" applyFill="1" applyBorder="1" applyAlignment="1">
      <alignment horizontal="left" vertical="top" wrapText="1"/>
    </xf>
    <xf numFmtId="0" fontId="89" fillId="0" borderId="0" xfId="0" applyFont="1" applyFill="1" applyBorder="1" applyAlignment="1">
      <alignment horizontal="left" vertical="top"/>
    </xf>
    <xf numFmtId="4" fontId="89" fillId="0" borderId="0" xfId="0" applyNumberFormat="1" applyFont="1" applyFill="1" applyBorder="1" applyAlignment="1">
      <alignment horizontal="left" vertical="top"/>
    </xf>
    <xf numFmtId="4" fontId="87" fillId="0" borderId="0" xfId="1538" applyNumberFormat="1" applyFont="1" applyFill="1" applyBorder="1" applyAlignment="1">
      <alignment horizontal="right" vertical="top" wrapText="1"/>
    </xf>
    <xf numFmtId="4" fontId="87" fillId="0" borderId="0" xfId="0" applyNumberFormat="1" applyFont="1" applyFill="1" applyBorder="1" applyAlignment="1">
      <alignment vertical="top" wrapText="1"/>
    </xf>
    <xf numFmtId="0" fontId="87" fillId="0" borderId="0" xfId="0" applyFont="1" applyFill="1" applyBorder="1" applyAlignment="1">
      <alignment horizontal="left" vertical="top"/>
    </xf>
    <xf numFmtId="0" fontId="87" fillId="0" borderId="0" xfId="0" applyFont="1" applyFill="1" applyBorder="1" applyAlignment="1">
      <alignment vertical="top" wrapText="1"/>
    </xf>
    <xf numFmtId="4" fontId="90" fillId="0" borderId="0" xfId="0" applyNumberFormat="1" applyFont="1" applyFill="1" applyBorder="1" applyAlignment="1">
      <alignment horizontal="left" vertical="top" wrapText="1"/>
    </xf>
    <xf numFmtId="0" fontId="91" fillId="0" borderId="0" xfId="0" applyFont="1" applyFill="1" applyBorder="1" applyAlignment="1">
      <alignment horizontal="left" vertical="top"/>
    </xf>
    <xf numFmtId="4" fontId="91" fillId="0" borderId="0" xfId="0" applyNumberFormat="1" applyFont="1" applyFill="1" applyBorder="1" applyAlignment="1">
      <alignment horizontal="left" vertical="top"/>
    </xf>
    <xf numFmtId="0" fontId="86" fillId="0" borderId="0" xfId="0" applyFont="1" applyFill="1" applyBorder="1" applyAlignment="1">
      <alignment horizontal="left" vertical="top"/>
    </xf>
    <xf numFmtId="0" fontId="86" fillId="0" borderId="0" xfId="17833" applyFont="1" applyFill="1" applyBorder="1" applyAlignment="1">
      <alignment vertical="top" wrapText="1"/>
    </xf>
    <xf numFmtId="0" fontId="86" fillId="0" borderId="0" xfId="0" applyFont="1" applyFill="1" applyBorder="1" applyAlignment="1">
      <alignment vertical="top"/>
    </xf>
    <xf numFmtId="0" fontId="86" fillId="0" borderId="0" xfId="17833" applyFont="1" applyFill="1" applyBorder="1" applyAlignment="1">
      <alignment horizontal="left" vertical="top" wrapText="1"/>
    </xf>
    <xf numFmtId="178" fontId="86" fillId="0" borderId="0" xfId="0" applyNumberFormat="1" applyFont="1" applyFill="1" applyBorder="1" applyAlignment="1">
      <alignment horizontal="left" vertical="top"/>
    </xf>
    <xf numFmtId="178" fontId="86" fillId="0" borderId="0" xfId="0" applyNumberFormat="1" applyFont="1" applyFill="1" applyBorder="1" applyAlignment="1">
      <alignment vertical="top"/>
    </xf>
    <xf numFmtId="0" fontId="89" fillId="0" borderId="0" xfId="0" applyFont="1" applyFill="1" applyBorder="1" applyAlignment="1">
      <alignment vertical="top"/>
    </xf>
    <xf numFmtId="0" fontId="92" fillId="0" borderId="0" xfId="0" applyFont="1" applyFill="1" applyBorder="1" applyAlignment="1">
      <alignment horizontal="center" vertical="top"/>
    </xf>
    <xf numFmtId="4" fontId="89" fillId="0" borderId="0" xfId="0" applyNumberFormat="1" applyFont="1" applyFill="1" applyBorder="1" applyAlignment="1">
      <alignment vertical="top"/>
    </xf>
    <xf numFmtId="4" fontId="86" fillId="0" borderId="0" xfId="19566" applyNumberFormat="1" applyFont="1" applyFill="1" applyBorder="1" applyAlignment="1">
      <alignment horizontal="left" vertical="top" wrapText="1"/>
    </xf>
    <xf numFmtId="0" fontId="86" fillId="0" borderId="0" xfId="1539" applyFont="1" applyFill="1" applyBorder="1" applyAlignment="1">
      <alignment vertical="top" wrapText="1"/>
    </xf>
    <xf numFmtId="4" fontId="86" fillId="0" borderId="0" xfId="1539" applyNumberFormat="1" applyFont="1" applyFill="1" applyBorder="1" applyAlignment="1">
      <alignment horizontal="center" vertical="top" wrapText="1"/>
    </xf>
    <xf numFmtId="0" fontId="86" fillId="0" borderId="0" xfId="1539" applyFont="1" applyFill="1" applyBorder="1" applyAlignment="1">
      <alignment horizontal="left" vertical="top" wrapText="1"/>
    </xf>
    <xf numFmtId="3" fontId="86" fillId="0" borderId="0" xfId="0" applyNumberFormat="1" applyFont="1" applyFill="1" applyBorder="1" applyAlignment="1">
      <alignment vertical="top" wrapText="1"/>
    </xf>
    <xf numFmtId="4" fontId="86" fillId="0" borderId="0" xfId="1539" applyNumberFormat="1" applyFont="1" applyFill="1" applyBorder="1" applyAlignment="1">
      <alignment horizontal="left" vertical="top" wrapText="1"/>
    </xf>
    <xf numFmtId="0" fontId="93" fillId="0" borderId="0" xfId="0" applyFont="1" applyFill="1" applyBorder="1" applyAlignment="1">
      <alignment vertical="top" wrapText="1"/>
    </xf>
    <xf numFmtId="176" fontId="94" fillId="0" borderId="0" xfId="1539" applyNumberFormat="1" applyFont="1" applyFill="1" applyBorder="1" applyAlignment="1">
      <alignment horizontal="left" vertical="top" wrapText="1"/>
    </xf>
    <xf numFmtId="0" fontId="54" fillId="0" borderId="0" xfId="0" applyFont="1" applyFill="1" applyBorder="1" applyAlignment="1">
      <alignment vertical="top"/>
    </xf>
    <xf numFmtId="0" fontId="54" fillId="0" borderId="0" xfId="0" applyFont="1" applyFill="1" applyBorder="1" applyAlignment="1">
      <alignment horizontal="left" vertical="top"/>
    </xf>
    <xf numFmtId="0" fontId="96" fillId="0" borderId="0" xfId="1539" applyFont="1" applyFill="1" applyBorder="1" applyAlignment="1">
      <alignment horizontal="center" vertical="top"/>
    </xf>
    <xf numFmtId="0" fontId="96" fillId="0" borderId="0" xfId="1539" applyFont="1" applyFill="1" applyBorder="1" applyAlignment="1">
      <alignment horizontal="left" vertical="top"/>
    </xf>
    <xf numFmtId="0" fontId="97" fillId="0" borderId="0" xfId="0" applyFont="1" applyFill="1" applyBorder="1" applyAlignment="1">
      <alignment vertical="top"/>
    </xf>
    <xf numFmtId="0" fontId="97" fillId="0" borderId="0" xfId="0" applyFont="1" applyFill="1" applyBorder="1" applyAlignment="1">
      <alignment horizontal="left" vertical="top"/>
    </xf>
    <xf numFmtId="0" fontId="97" fillId="0" borderId="0" xfId="0" applyFont="1" applyFill="1" applyBorder="1" applyAlignment="1">
      <alignment horizontal="center" vertical="top"/>
    </xf>
    <xf numFmtId="0" fontId="98" fillId="0" borderId="0" xfId="0" applyFont="1" applyFill="1" applyBorder="1" applyAlignment="1">
      <alignment vertical="top"/>
    </xf>
    <xf numFmtId="0" fontId="98" fillId="0" borderId="0" xfId="0" applyFont="1" applyFill="1" applyBorder="1" applyAlignment="1">
      <alignment horizontal="left" vertical="top"/>
    </xf>
    <xf numFmtId="4" fontId="98" fillId="0" borderId="0" xfId="0" applyNumberFormat="1" applyFont="1" applyFill="1" applyBorder="1" applyAlignment="1">
      <alignment vertical="top"/>
    </xf>
    <xf numFmtId="0" fontId="99" fillId="0" borderId="0" xfId="1539" applyFont="1" applyFill="1" applyBorder="1" applyAlignment="1">
      <alignment vertical="top" wrapText="1"/>
    </xf>
    <xf numFmtId="0" fontId="92" fillId="0" borderId="0" xfId="0" applyFont="1" applyFill="1" applyBorder="1" applyAlignment="1">
      <alignment horizontal="left" vertical="top"/>
    </xf>
    <xf numFmtId="4" fontId="92" fillId="0" borderId="0" xfId="0" applyNumberFormat="1" applyFont="1" applyFill="1" applyBorder="1" applyAlignment="1">
      <alignment horizontal="left" vertical="top"/>
    </xf>
    <xf numFmtId="0" fontId="100" fillId="0" borderId="0" xfId="0" applyFont="1" applyFill="1" applyBorder="1" applyAlignment="1">
      <alignment vertical="top"/>
    </xf>
    <xf numFmtId="0" fontId="100" fillId="0" borderId="0" xfId="0" applyFont="1" applyFill="1" applyBorder="1" applyAlignment="1">
      <alignment horizontal="left" vertical="top"/>
    </xf>
    <xf numFmtId="3" fontId="86" fillId="0" borderId="0" xfId="0" applyNumberFormat="1" applyFont="1" applyFill="1" applyBorder="1" applyAlignment="1">
      <alignment horizontal="right" vertical="top" wrapText="1"/>
    </xf>
    <xf numFmtId="0" fontId="99" fillId="0" borderId="0" xfId="0" applyFont="1" applyFill="1" applyBorder="1" applyAlignment="1">
      <alignment vertical="top"/>
    </xf>
    <xf numFmtId="0" fontId="99" fillId="0" borderId="0" xfId="0" applyFont="1" applyFill="1" applyBorder="1" applyAlignment="1">
      <alignment horizontal="left" vertical="top"/>
    </xf>
    <xf numFmtId="4" fontId="99" fillId="0" borderId="0" xfId="0" applyNumberFormat="1" applyFont="1" applyFill="1" applyBorder="1" applyAlignment="1">
      <alignment horizontal="right" vertical="top"/>
    </xf>
    <xf numFmtId="0" fontId="99" fillId="0" borderId="0" xfId="0" applyFont="1" applyFill="1" applyBorder="1" applyAlignment="1">
      <alignment vertical="top" wrapText="1"/>
    </xf>
    <xf numFmtId="2" fontId="99" fillId="0" borderId="0" xfId="0" applyNumberFormat="1" applyFont="1" applyFill="1" applyBorder="1" applyAlignment="1">
      <alignment horizontal="center" vertical="top"/>
    </xf>
    <xf numFmtId="4" fontId="101" fillId="0" borderId="0" xfId="1539" applyNumberFormat="1" applyFont="1" applyFill="1" applyBorder="1" applyAlignment="1">
      <alignment horizontal="center" vertical="top" wrapText="1"/>
    </xf>
    <xf numFmtId="0" fontId="102" fillId="0" borderId="0" xfId="0" applyFont="1" applyFill="1" applyBorder="1" applyAlignment="1">
      <alignment horizontal="left" vertical="top"/>
    </xf>
    <xf numFmtId="4" fontId="89" fillId="0" borderId="0" xfId="0" applyNumberFormat="1" applyFont="1" applyFill="1" applyBorder="1" applyAlignment="1">
      <alignment horizontal="right" vertical="top" wrapText="1" shrinkToFit="1"/>
    </xf>
    <xf numFmtId="0" fontId="86" fillId="0" borderId="0" xfId="0" applyFont="1" applyFill="1" applyBorder="1" applyAlignment="1">
      <alignment horizontal="right" vertical="top" wrapText="1"/>
    </xf>
    <xf numFmtId="4" fontId="86" fillId="0" borderId="0" xfId="0" applyNumberFormat="1" applyFont="1" applyFill="1" applyBorder="1" applyAlignment="1">
      <alignment horizontal="left" vertical="top" wrapText="1" shrinkToFit="1"/>
    </xf>
    <xf numFmtId="0" fontId="86" fillId="0" borderId="0" xfId="0" applyFont="1" applyFill="1" applyBorder="1" applyAlignment="1">
      <alignment vertical="top" wrapText="1" shrinkToFit="1"/>
    </xf>
    <xf numFmtId="0" fontId="86" fillId="0" borderId="0" xfId="0" applyFont="1" applyFill="1" applyBorder="1" applyAlignment="1">
      <alignment horizontal="center" vertical="top" wrapText="1"/>
    </xf>
    <xf numFmtId="4" fontId="87" fillId="0" borderId="0" xfId="1538" applyNumberFormat="1" applyFont="1" applyFill="1" applyBorder="1" applyAlignment="1">
      <alignment horizontal="center" vertical="top" wrapText="1"/>
    </xf>
    <xf numFmtId="4" fontId="87" fillId="0" borderId="0" xfId="1538" applyNumberFormat="1" applyFont="1" applyFill="1" applyBorder="1" applyAlignment="1">
      <alignment horizontal="left" vertical="top" wrapText="1"/>
    </xf>
    <xf numFmtId="4" fontId="86" fillId="0" borderId="0" xfId="0" applyNumberFormat="1" applyFont="1" applyFill="1" applyAlignment="1">
      <alignment horizontal="left" vertical="top" wrapText="1"/>
    </xf>
    <xf numFmtId="4" fontId="86" fillId="0" borderId="0" xfId="22874" applyNumberFormat="1" applyFont="1" applyFill="1" applyBorder="1" applyAlignment="1">
      <alignment horizontal="center" vertical="top" wrapText="1"/>
    </xf>
    <xf numFmtId="168" fontId="86" fillId="0" borderId="0" xfId="0" applyNumberFormat="1" applyFont="1" applyFill="1" applyBorder="1" applyAlignment="1">
      <alignment horizontal="center" vertical="top" wrapText="1"/>
    </xf>
    <xf numFmtId="4" fontId="99" fillId="0" borderId="0" xfId="0" applyNumberFormat="1" applyFont="1" applyFill="1" applyBorder="1" applyAlignment="1">
      <alignment horizontal="left" vertical="top" wrapText="1"/>
    </xf>
    <xf numFmtId="0" fontId="103" fillId="0" borderId="0" xfId="0" applyFont="1" applyFill="1" applyBorder="1" applyAlignment="1">
      <alignment horizontal="left" vertical="top"/>
    </xf>
    <xf numFmtId="4" fontId="54" fillId="0" borderId="0" xfId="0" applyNumberFormat="1" applyFont="1" applyFill="1" applyBorder="1" applyAlignment="1">
      <alignment horizontal="left" vertical="top"/>
    </xf>
    <xf numFmtId="4" fontId="103" fillId="0" borderId="0" xfId="0" applyNumberFormat="1" applyFont="1" applyFill="1" applyBorder="1" applyAlignment="1">
      <alignment horizontal="left" vertical="top"/>
    </xf>
    <xf numFmtId="4" fontId="95" fillId="0" borderId="0" xfId="0" applyNumberFormat="1" applyFont="1" applyFill="1" applyBorder="1" applyAlignment="1">
      <alignment horizontal="left" vertical="top" wrapText="1"/>
    </xf>
    <xf numFmtId="0" fontId="86" fillId="0" borderId="0" xfId="19566" applyFont="1" applyFill="1" applyBorder="1" applyAlignment="1">
      <alignment horizontal="left" vertical="top" wrapText="1"/>
    </xf>
    <xf numFmtId="176" fontId="86" fillId="0" borderId="0" xfId="1538" applyNumberFormat="1" applyFont="1" applyFill="1" applyBorder="1" applyAlignment="1">
      <alignment horizontal="left" vertical="top" wrapText="1"/>
    </xf>
    <xf numFmtId="0" fontId="89" fillId="0" borderId="0" xfId="0" applyFont="1" applyFill="1" applyBorder="1" applyAlignment="1">
      <alignment horizontal="center" vertical="top"/>
    </xf>
    <xf numFmtId="0" fontId="104" fillId="0" borderId="0" xfId="0" applyFont="1" applyFill="1" applyBorder="1" applyAlignment="1">
      <alignment horizontal="left" vertical="top"/>
    </xf>
    <xf numFmtId="186" fontId="86" fillId="0" borderId="0" xfId="0" applyNumberFormat="1" applyFont="1" applyFill="1" applyBorder="1" applyAlignment="1">
      <alignment horizontal="right" vertical="top" wrapText="1"/>
    </xf>
    <xf numFmtId="0" fontId="105" fillId="0" borderId="0" xfId="0" applyFont="1" applyFill="1" applyBorder="1" applyAlignment="1">
      <alignment horizontal="left" vertical="top"/>
    </xf>
    <xf numFmtId="0" fontId="99" fillId="0" borderId="0" xfId="0" applyFont="1" applyFill="1" applyBorder="1" applyAlignment="1">
      <alignment horizontal="right" vertical="top"/>
    </xf>
    <xf numFmtId="0" fontId="106" fillId="0" borderId="0" xfId="0" applyFont="1" applyFill="1" applyBorder="1" applyAlignment="1">
      <alignment horizontal="center" vertical="top"/>
    </xf>
    <xf numFmtId="4" fontId="107" fillId="0" borderId="0" xfId="0" applyNumberFormat="1" applyFont="1" applyFill="1" applyBorder="1" applyAlignment="1">
      <alignment vertical="top"/>
    </xf>
    <xf numFmtId="0" fontId="86" fillId="0" borderId="0" xfId="0" applyFont="1" applyFill="1" applyAlignment="1">
      <alignment horizontal="left" vertical="top" wrapText="1"/>
    </xf>
    <xf numFmtId="0" fontId="89" fillId="0" borderId="0" xfId="0" applyFont="1" applyFill="1" applyBorder="1" applyAlignment="1">
      <alignment horizontal="right" vertical="top"/>
    </xf>
    <xf numFmtId="0" fontId="86" fillId="0" borderId="0" xfId="1538" applyFont="1" applyFill="1" applyAlignment="1">
      <alignment vertical="top" wrapText="1"/>
    </xf>
    <xf numFmtId="0" fontId="86" fillId="0" borderId="0" xfId="17896" applyFont="1" applyFill="1" applyAlignment="1">
      <alignment vertical="top" wrapText="1"/>
    </xf>
    <xf numFmtId="4" fontId="86" fillId="0" borderId="0" xfId="17896" applyNumberFormat="1" applyFont="1" applyFill="1" applyBorder="1" applyAlignment="1">
      <alignment horizontal="right" vertical="top" wrapText="1"/>
    </xf>
    <xf numFmtId="0" fontId="54" fillId="0" borderId="0" xfId="17896" applyFont="1" applyFill="1" applyAlignment="1">
      <alignment vertical="top"/>
    </xf>
    <xf numFmtId="49" fontId="86" fillId="0" borderId="0" xfId="0" applyNumberFormat="1" applyFont="1" applyFill="1" applyBorder="1" applyAlignment="1">
      <alignment vertical="top" wrapText="1"/>
    </xf>
    <xf numFmtId="0" fontId="86" fillId="0" borderId="0" xfId="0" applyFont="1" applyFill="1" applyAlignment="1">
      <alignment horizontal="right" vertical="top" wrapText="1"/>
    </xf>
    <xf numFmtId="4" fontId="101" fillId="0" borderId="0" xfId="0" applyNumberFormat="1" applyFont="1" applyFill="1" applyBorder="1" applyAlignment="1">
      <alignment horizontal="left" vertical="top" wrapText="1"/>
    </xf>
    <xf numFmtId="0" fontId="86" fillId="0" borderId="0" xfId="0" applyFont="1" applyFill="1" applyBorder="1" applyAlignment="1">
      <alignment horizontal="right" vertical="top"/>
    </xf>
    <xf numFmtId="0" fontId="86" fillId="0" borderId="0" xfId="17831" applyNumberFormat="1" applyFont="1" applyFill="1" applyBorder="1" applyAlignment="1">
      <alignment horizontal="left" vertical="top" wrapText="1"/>
    </xf>
    <xf numFmtId="4" fontId="86" fillId="0" borderId="0" xfId="17831" applyNumberFormat="1" applyFont="1" applyFill="1" applyBorder="1" applyAlignment="1">
      <alignment horizontal="left" vertical="top" wrapText="1"/>
    </xf>
    <xf numFmtId="0" fontId="101" fillId="0" borderId="0" xfId="0" applyFont="1" applyFill="1" applyBorder="1" applyAlignment="1">
      <alignment horizontal="left" vertical="top"/>
    </xf>
    <xf numFmtId="0" fontId="101" fillId="0" borderId="0" xfId="17831" applyNumberFormat="1" applyFont="1" applyFill="1" applyBorder="1" applyAlignment="1">
      <alignment horizontal="left" vertical="top" wrapText="1"/>
    </xf>
    <xf numFmtId="1" fontId="86" fillId="0" borderId="0" xfId="0" applyNumberFormat="1" applyFont="1" applyFill="1" applyBorder="1" applyAlignment="1">
      <alignment horizontal="left" vertical="top"/>
    </xf>
    <xf numFmtId="3" fontId="86" fillId="0" borderId="0" xfId="0" applyNumberFormat="1" applyFont="1" applyFill="1" applyBorder="1" applyAlignment="1">
      <alignment horizontal="left" vertical="top" wrapText="1"/>
    </xf>
    <xf numFmtId="0" fontId="86" fillId="0" borderId="0" xfId="22891" applyFont="1" applyFill="1" applyBorder="1" applyAlignment="1">
      <alignment horizontal="right" vertical="top"/>
    </xf>
    <xf numFmtId="1" fontId="86" fillId="0" borderId="0" xfId="0" applyNumberFormat="1" applyFont="1" applyFill="1" applyBorder="1" applyAlignment="1">
      <alignment horizontal="right" vertical="top"/>
    </xf>
    <xf numFmtId="4" fontId="99" fillId="0" borderId="0" xfId="0" applyNumberFormat="1" applyFont="1" applyFill="1" applyBorder="1" applyAlignment="1">
      <alignment vertical="top" wrapText="1"/>
    </xf>
    <xf numFmtId="186" fontId="86" fillId="0" borderId="0" xfId="0" applyNumberFormat="1" applyFont="1" applyFill="1" applyBorder="1" applyAlignment="1">
      <alignment horizontal="left" vertical="top" wrapText="1"/>
    </xf>
    <xf numFmtId="0" fontId="86" fillId="0" borderId="0" xfId="19566" applyFont="1" applyFill="1" applyBorder="1" applyAlignment="1">
      <alignment vertical="top" wrapText="1"/>
    </xf>
    <xf numFmtId="4" fontId="99" fillId="0" borderId="0" xfId="0" applyNumberFormat="1" applyFont="1" applyFill="1" applyBorder="1" applyAlignment="1">
      <alignment horizontal="center" vertical="top"/>
    </xf>
    <xf numFmtId="0" fontId="86" fillId="0" borderId="0" xfId="0" applyFont="1" applyFill="1" applyBorder="1" applyAlignment="1">
      <alignment horizontal="center" vertical="top"/>
    </xf>
    <xf numFmtId="0" fontId="85" fillId="0" borderId="0" xfId="0" applyFont="1" applyFill="1" applyBorder="1" applyAlignment="1">
      <alignment vertical="top"/>
    </xf>
    <xf numFmtId="0" fontId="99" fillId="0" borderId="0" xfId="0" applyFont="1" applyFill="1" applyBorder="1" applyAlignment="1">
      <alignment horizontal="center" vertical="top"/>
    </xf>
    <xf numFmtId="3" fontId="86" fillId="0" borderId="0" xfId="1539" applyNumberFormat="1" applyFont="1" applyFill="1" applyBorder="1" applyAlignment="1">
      <alignment horizontal="left" vertical="top" wrapText="1"/>
    </xf>
    <xf numFmtId="1" fontId="86" fillId="0" borderId="0" xfId="0" applyNumberFormat="1" applyFont="1" applyFill="1" applyBorder="1" applyAlignment="1">
      <alignment horizontal="center" vertical="top" wrapText="1"/>
    </xf>
    <xf numFmtId="0" fontId="54" fillId="0" borderId="0" xfId="0" applyFont="1" applyFill="1" applyAlignment="1">
      <alignment vertical="top"/>
    </xf>
    <xf numFmtId="1" fontId="86" fillId="0" borderId="0" xfId="0" applyNumberFormat="1" applyFont="1" applyFill="1" applyBorder="1" applyAlignment="1">
      <alignment horizontal="left" vertical="top" wrapText="1"/>
    </xf>
    <xf numFmtId="180" fontId="86" fillId="0" borderId="0" xfId="0" applyNumberFormat="1" applyFont="1" applyFill="1" applyBorder="1" applyAlignment="1">
      <alignment horizontal="left" vertical="top"/>
    </xf>
    <xf numFmtId="4" fontId="88" fillId="0" borderId="0" xfId="0" applyNumberFormat="1" applyFont="1" applyFill="1" applyBorder="1" applyAlignment="1">
      <alignment vertical="top" wrapText="1"/>
    </xf>
    <xf numFmtId="0" fontId="113" fillId="0" borderId="0" xfId="0" applyFont="1" applyFill="1" applyBorder="1" applyAlignment="1">
      <alignment horizontal="left" vertical="top"/>
    </xf>
    <xf numFmtId="0" fontId="114" fillId="0" borderId="0" xfId="0" applyFont="1" applyFill="1" applyBorder="1" applyAlignment="1">
      <alignment horizontal="left" vertical="top" wrapText="1"/>
    </xf>
    <xf numFmtId="0" fontId="115" fillId="0" borderId="0" xfId="0" applyFont="1" applyFill="1" applyBorder="1" applyAlignment="1">
      <alignment horizontal="left" vertical="top"/>
    </xf>
    <xf numFmtId="0" fontId="86" fillId="0" borderId="0" xfId="0" applyFont="1" applyFill="1" applyAlignment="1">
      <alignment vertical="top" wrapText="1"/>
    </xf>
    <xf numFmtId="0" fontId="116" fillId="0" borderId="0" xfId="0" applyFont="1" applyFill="1" applyBorder="1" applyAlignment="1">
      <alignment horizontal="left" vertical="top"/>
    </xf>
    <xf numFmtId="0" fontId="117" fillId="0" borderId="0" xfId="0" applyFont="1" applyFill="1" applyBorder="1" applyAlignment="1">
      <alignment vertical="top"/>
    </xf>
    <xf numFmtId="0" fontId="117" fillId="0" borderId="0" xfId="0" applyFont="1" applyFill="1" applyBorder="1" applyAlignment="1">
      <alignment horizontal="left" vertical="top"/>
    </xf>
    <xf numFmtId="0" fontId="97" fillId="0" borderId="0" xfId="0" applyFont="1" applyFill="1" applyAlignment="1">
      <alignment vertical="top"/>
    </xf>
    <xf numFmtId="0" fontId="84" fillId="0" borderId="0" xfId="0" applyFont="1" applyFill="1" applyBorder="1" applyAlignment="1">
      <alignment vertical="top"/>
    </xf>
    <xf numFmtId="3" fontId="86" fillId="0" borderId="0" xfId="0" applyNumberFormat="1" applyFont="1" applyFill="1" applyBorder="1" applyAlignment="1">
      <alignment horizontal="right" vertical="top" wrapText="1" shrinkToFit="1"/>
    </xf>
    <xf numFmtId="178" fontId="86" fillId="0" borderId="0" xfId="0" applyNumberFormat="1" applyFont="1" applyFill="1" applyBorder="1" applyAlignment="1">
      <alignment horizontal="right" vertical="top" wrapText="1"/>
    </xf>
    <xf numFmtId="178" fontId="86" fillId="0" borderId="0" xfId="1538" applyNumberFormat="1" applyFont="1" applyFill="1" applyBorder="1" applyAlignment="1">
      <alignment horizontal="center" vertical="top" wrapText="1"/>
    </xf>
    <xf numFmtId="178" fontId="86" fillId="0" borderId="0" xfId="1538" applyNumberFormat="1" applyFont="1" applyFill="1" applyBorder="1" applyAlignment="1">
      <alignment horizontal="right" vertical="top" textRotation="90" wrapText="1"/>
    </xf>
    <xf numFmtId="4" fontId="86" fillId="0" borderId="0" xfId="1538" applyNumberFormat="1" applyFont="1" applyFill="1" applyBorder="1" applyAlignment="1">
      <alignment horizontal="right" vertical="top" textRotation="90" wrapText="1"/>
    </xf>
    <xf numFmtId="186" fontId="86" fillId="0" borderId="0" xfId="1538" applyNumberFormat="1" applyFont="1" applyFill="1" applyBorder="1" applyAlignment="1">
      <alignment horizontal="right" vertical="top" textRotation="90" wrapText="1"/>
    </xf>
    <xf numFmtId="3" fontId="87" fillId="0" borderId="0" xfId="1538" applyNumberFormat="1" applyFont="1" applyFill="1" applyBorder="1" applyAlignment="1">
      <alignment horizontal="right" vertical="top" wrapText="1"/>
    </xf>
    <xf numFmtId="1" fontId="87" fillId="0" borderId="0" xfId="1538" applyNumberFormat="1" applyFont="1" applyFill="1" applyBorder="1" applyAlignment="1">
      <alignment horizontal="center" vertical="top" wrapText="1"/>
    </xf>
    <xf numFmtId="178" fontId="87" fillId="0" borderId="0" xfId="1538" applyNumberFormat="1" applyFont="1" applyFill="1" applyBorder="1" applyAlignment="1">
      <alignment horizontal="right" vertical="top" wrapText="1"/>
    </xf>
    <xf numFmtId="186" fontId="87" fillId="0" borderId="0" xfId="1538" applyNumberFormat="1" applyFont="1" applyFill="1" applyBorder="1" applyAlignment="1">
      <alignment horizontal="right" vertical="top" wrapText="1"/>
    </xf>
    <xf numFmtId="3" fontId="86" fillId="0" borderId="0" xfId="0" applyNumberFormat="1" applyFont="1" applyFill="1" applyBorder="1" applyAlignment="1">
      <alignment horizontal="right" vertical="top"/>
    </xf>
    <xf numFmtId="178" fontId="86" fillId="0" borderId="0" xfId="0" applyNumberFormat="1" applyFont="1" applyFill="1" applyBorder="1" applyAlignment="1">
      <alignment horizontal="right" vertical="top"/>
    </xf>
    <xf numFmtId="186" fontId="86" fillId="0" borderId="0" xfId="0" applyNumberFormat="1" applyFont="1" applyFill="1" applyBorder="1" applyAlignment="1">
      <alignment horizontal="right" vertical="top"/>
    </xf>
    <xf numFmtId="1" fontId="86" fillId="0" borderId="0" xfId="0" applyNumberFormat="1" applyFont="1" applyFill="1" applyBorder="1" applyAlignment="1">
      <alignment horizontal="right" vertical="top" wrapText="1"/>
    </xf>
    <xf numFmtId="184" fontId="86" fillId="0" borderId="0" xfId="22886" applyNumberFormat="1" applyFont="1" applyFill="1" applyBorder="1" applyAlignment="1">
      <alignment horizontal="right" vertical="top"/>
    </xf>
    <xf numFmtId="4" fontId="86" fillId="0" borderId="0" xfId="22887" applyNumberFormat="1" applyFont="1" applyFill="1" applyBorder="1" applyAlignment="1">
      <alignment horizontal="right" vertical="top" wrapText="1"/>
    </xf>
    <xf numFmtId="178" fontId="87" fillId="0" borderId="0" xfId="0" applyNumberFormat="1" applyFont="1" applyFill="1" applyBorder="1" applyAlignment="1">
      <alignment horizontal="right" vertical="top"/>
    </xf>
    <xf numFmtId="4" fontId="86" fillId="0" borderId="0" xfId="22886" applyNumberFormat="1" applyFont="1" applyFill="1" applyBorder="1" applyAlignment="1">
      <alignment horizontal="right" vertical="top"/>
    </xf>
    <xf numFmtId="3" fontId="86" fillId="0" borderId="0" xfId="22886" applyNumberFormat="1" applyFont="1" applyFill="1" applyBorder="1" applyAlignment="1">
      <alignment horizontal="right" vertical="top"/>
    </xf>
    <xf numFmtId="0" fontId="86" fillId="0" borderId="0" xfId="0" applyNumberFormat="1" applyFont="1" applyFill="1" applyBorder="1" applyAlignment="1">
      <alignment horizontal="center" vertical="top" wrapText="1"/>
    </xf>
    <xf numFmtId="178" fontId="86" fillId="0" borderId="0" xfId="19566" applyNumberFormat="1" applyFont="1" applyFill="1" applyBorder="1" applyAlignment="1">
      <alignment horizontal="right" vertical="top" wrapText="1"/>
    </xf>
    <xf numFmtId="4" fontId="86" fillId="0" borderId="0" xfId="19566" applyNumberFormat="1" applyFont="1" applyFill="1" applyBorder="1" applyAlignment="1">
      <alignment horizontal="right" vertical="top" wrapText="1"/>
    </xf>
    <xf numFmtId="186" fontId="86" fillId="0" borderId="0" xfId="19566" applyNumberFormat="1" applyFont="1" applyFill="1" applyBorder="1" applyAlignment="1">
      <alignment horizontal="right" vertical="top" wrapText="1"/>
    </xf>
    <xf numFmtId="4" fontId="86" fillId="0" borderId="0" xfId="17893" applyNumberFormat="1" applyFont="1" applyFill="1" applyBorder="1" applyAlignment="1" applyProtection="1">
      <alignment horizontal="right" vertical="top" wrapText="1"/>
    </xf>
    <xf numFmtId="4" fontId="86" fillId="0" borderId="0" xfId="22886" applyNumberFormat="1" applyFont="1" applyFill="1" applyBorder="1" applyAlignment="1">
      <alignment horizontal="right" vertical="top" wrapText="1"/>
    </xf>
    <xf numFmtId="1" fontId="86" fillId="0" borderId="0" xfId="0" applyNumberFormat="1" applyFont="1" applyFill="1" applyBorder="1" applyAlignment="1">
      <alignment vertical="top" wrapText="1"/>
    </xf>
    <xf numFmtId="0" fontId="86" fillId="0" borderId="0" xfId="0" applyNumberFormat="1" applyFont="1" applyFill="1" applyBorder="1" applyAlignment="1">
      <alignment horizontal="right" vertical="top" wrapText="1"/>
    </xf>
    <xf numFmtId="184" fontId="86" fillId="0" borderId="0" xfId="0" applyNumberFormat="1" applyFont="1" applyFill="1" applyBorder="1" applyAlignment="1">
      <alignment horizontal="right" vertical="top"/>
    </xf>
    <xf numFmtId="0" fontId="86" fillId="0" borderId="0" xfId="0" applyFont="1" applyFill="1" applyBorder="1" applyAlignment="1" applyProtection="1">
      <alignment vertical="top" wrapText="1"/>
      <protection locked="0"/>
    </xf>
    <xf numFmtId="178" fontId="87" fillId="0" borderId="0" xfId="0" applyNumberFormat="1" applyFont="1" applyFill="1" applyBorder="1" applyAlignment="1">
      <alignment horizontal="right" vertical="top" wrapText="1"/>
    </xf>
    <xf numFmtId="3" fontId="86" fillId="0" borderId="0" xfId="22874" applyNumberFormat="1" applyFont="1" applyFill="1" applyBorder="1" applyAlignment="1">
      <alignment vertical="top" wrapText="1"/>
    </xf>
    <xf numFmtId="3" fontId="86" fillId="0" borderId="0" xfId="22874" applyNumberFormat="1" applyFont="1" applyFill="1" applyBorder="1" applyAlignment="1">
      <alignment horizontal="right" vertical="top" wrapText="1"/>
    </xf>
    <xf numFmtId="4" fontId="86" fillId="0" borderId="0" xfId="22874" applyNumberFormat="1" applyFont="1" applyFill="1" applyBorder="1" applyAlignment="1">
      <alignment horizontal="right" vertical="top" wrapText="1"/>
    </xf>
    <xf numFmtId="178" fontId="86" fillId="0" borderId="0" xfId="22874" applyNumberFormat="1" applyFont="1" applyFill="1" applyBorder="1" applyAlignment="1">
      <alignment horizontal="right" vertical="top" wrapText="1"/>
    </xf>
    <xf numFmtId="3" fontId="87" fillId="0" borderId="0" xfId="0" applyNumberFormat="1" applyFont="1" applyFill="1" applyBorder="1" applyAlignment="1">
      <alignment horizontal="center" vertical="top" wrapText="1"/>
    </xf>
    <xf numFmtId="186" fontId="87" fillId="0" borderId="0" xfId="0" applyNumberFormat="1" applyFont="1" applyFill="1" applyBorder="1" applyAlignment="1">
      <alignment horizontal="right" vertical="top" wrapText="1"/>
    </xf>
    <xf numFmtId="0" fontId="87" fillId="0" borderId="0" xfId="0" applyFont="1" applyFill="1" applyBorder="1" applyAlignment="1">
      <alignment horizontal="center" vertical="top" wrapText="1"/>
    </xf>
    <xf numFmtId="3" fontId="86" fillId="0" borderId="0" xfId="17831" applyNumberFormat="1" applyFont="1" applyFill="1" applyBorder="1" applyAlignment="1">
      <alignment horizontal="right" vertical="top"/>
    </xf>
    <xf numFmtId="185" fontId="86" fillId="0" borderId="0" xfId="0" applyNumberFormat="1" applyFont="1" applyFill="1" applyBorder="1" applyAlignment="1">
      <alignment horizontal="center" vertical="top" wrapText="1"/>
    </xf>
    <xf numFmtId="178" fontId="86" fillId="0" borderId="0" xfId="17750" applyNumberFormat="1" applyFont="1" applyFill="1" applyBorder="1" applyAlignment="1">
      <alignment horizontal="right" vertical="top"/>
    </xf>
    <xf numFmtId="4" fontId="86" fillId="0" borderId="0" xfId="17831" applyNumberFormat="1" applyFont="1" applyFill="1" applyBorder="1" applyAlignment="1">
      <alignment horizontal="right" vertical="top"/>
    </xf>
    <xf numFmtId="186" fontId="86" fillId="0" borderId="0" xfId="17750" applyNumberFormat="1" applyFont="1" applyFill="1" applyBorder="1" applyAlignment="1">
      <alignment horizontal="right" vertical="top" wrapText="1"/>
    </xf>
    <xf numFmtId="4" fontId="86" fillId="0" borderId="0" xfId="17828" applyNumberFormat="1" applyFont="1" applyFill="1" applyBorder="1" applyAlignment="1" applyProtection="1">
      <alignment horizontal="right" vertical="top"/>
    </xf>
    <xf numFmtId="3" fontId="86" fillId="0" borderId="0" xfId="17831" applyNumberFormat="1" applyFont="1" applyFill="1" applyBorder="1" applyAlignment="1">
      <alignment horizontal="right" vertical="top" wrapText="1"/>
    </xf>
    <xf numFmtId="186" fontId="86" fillId="0" borderId="0" xfId="17750" applyNumberFormat="1" applyFont="1" applyFill="1" applyBorder="1" applyAlignment="1">
      <alignment horizontal="right" vertical="top"/>
    </xf>
    <xf numFmtId="4" fontId="86" fillId="0" borderId="0" xfId="19566" applyNumberFormat="1" applyFont="1" applyFill="1" applyBorder="1" applyAlignment="1">
      <alignment horizontal="right" vertical="top"/>
    </xf>
    <xf numFmtId="4" fontId="86" fillId="0" borderId="0" xfId="0" applyNumberFormat="1" applyFont="1" applyFill="1" applyBorder="1" applyAlignment="1" applyProtection="1">
      <alignment horizontal="right" vertical="top"/>
    </xf>
    <xf numFmtId="4" fontId="86" fillId="0" borderId="0" xfId="17831" applyNumberFormat="1" applyFont="1" applyFill="1" applyBorder="1" applyAlignment="1">
      <alignment horizontal="right" vertical="top" wrapText="1"/>
    </xf>
    <xf numFmtId="0" fontId="86" fillId="0" borderId="0" xfId="0" applyNumberFormat="1" applyFont="1" applyFill="1" applyBorder="1" applyAlignment="1" applyProtection="1">
      <alignment horizontal="right" vertical="top"/>
    </xf>
    <xf numFmtId="171" fontId="86" fillId="0" borderId="0" xfId="17750" applyNumberFormat="1" applyFont="1" applyFill="1" applyBorder="1" applyAlignment="1">
      <alignment horizontal="right" vertical="top" wrapText="1"/>
    </xf>
    <xf numFmtId="4" fontId="86" fillId="0" borderId="0" xfId="17750" applyNumberFormat="1" applyFont="1" applyFill="1" applyBorder="1" applyAlignment="1">
      <alignment horizontal="right" vertical="top"/>
    </xf>
    <xf numFmtId="178" fontId="87" fillId="0" borderId="0" xfId="17750" applyNumberFormat="1" applyFont="1" applyFill="1" applyBorder="1" applyAlignment="1">
      <alignment horizontal="right" vertical="top"/>
    </xf>
    <xf numFmtId="173" fontId="86" fillId="0" borderId="0" xfId="0" applyNumberFormat="1" applyFont="1" applyFill="1" applyBorder="1" applyAlignment="1">
      <alignment horizontal="left" vertical="top" wrapText="1"/>
    </xf>
    <xf numFmtId="171" fontId="86" fillId="0" borderId="0" xfId="17893" applyFont="1" applyFill="1" applyBorder="1" applyAlignment="1" applyProtection="1">
      <alignment horizontal="right" vertical="top" wrapText="1"/>
    </xf>
    <xf numFmtId="3" fontId="86" fillId="0" borderId="0" xfId="0" applyNumberFormat="1" applyFont="1" applyFill="1" applyBorder="1" applyAlignment="1" applyProtection="1">
      <alignment horizontal="right" vertical="top"/>
    </xf>
    <xf numFmtId="4" fontId="87" fillId="0" borderId="0" xfId="19566" applyNumberFormat="1" applyFont="1" applyFill="1" applyBorder="1" applyAlignment="1">
      <alignment horizontal="right" vertical="top" wrapText="1"/>
    </xf>
    <xf numFmtId="0" fontId="86" fillId="0" borderId="0" xfId="17893" applyNumberFormat="1" applyFont="1" applyFill="1" applyBorder="1" applyAlignment="1" applyProtection="1">
      <alignment horizontal="center" vertical="top" wrapText="1"/>
    </xf>
    <xf numFmtId="4" fontId="86" fillId="0" borderId="0" xfId="0" applyNumberFormat="1" applyFont="1" applyFill="1" applyBorder="1" applyAlignment="1" applyProtection="1">
      <alignment horizontal="right" vertical="top"/>
      <protection locked="0"/>
    </xf>
    <xf numFmtId="3" fontId="86" fillId="0" borderId="0" xfId="0" applyNumberFormat="1" applyFont="1" applyFill="1" applyBorder="1" applyAlignment="1" applyProtection="1">
      <alignment horizontal="right" vertical="top"/>
      <protection locked="0"/>
    </xf>
    <xf numFmtId="171" fontId="86" fillId="0" borderId="0" xfId="0" applyNumberFormat="1" applyFont="1" applyFill="1" applyBorder="1" applyAlignment="1">
      <alignment horizontal="right" vertical="top" wrapText="1"/>
    </xf>
    <xf numFmtId="0" fontId="86" fillId="0" borderId="0" xfId="17750" applyNumberFormat="1" applyFont="1" applyFill="1" applyBorder="1" applyAlignment="1">
      <alignment horizontal="right" vertical="top" wrapText="1"/>
    </xf>
    <xf numFmtId="0" fontId="87" fillId="0" borderId="0" xfId="0" applyFont="1" applyFill="1" applyBorder="1" applyAlignment="1">
      <alignment horizontal="left" vertical="top" wrapText="1"/>
    </xf>
    <xf numFmtId="0" fontId="87" fillId="0" borderId="0" xfId="17750" applyNumberFormat="1" applyFont="1" applyFill="1" applyBorder="1" applyAlignment="1">
      <alignment horizontal="right" vertical="top" wrapText="1"/>
    </xf>
    <xf numFmtId="184" fontId="87" fillId="0" borderId="0" xfId="0" applyNumberFormat="1" applyFont="1" applyFill="1" applyBorder="1" applyAlignment="1">
      <alignment horizontal="right" vertical="top"/>
    </xf>
    <xf numFmtId="4" fontId="87" fillId="0" borderId="0" xfId="17750" applyNumberFormat="1" applyFont="1" applyFill="1" applyBorder="1" applyAlignment="1">
      <alignment horizontal="right" vertical="top"/>
    </xf>
    <xf numFmtId="3" fontId="87" fillId="0" borderId="0" xfId="17831" applyNumberFormat="1" applyFont="1" applyFill="1" applyBorder="1" applyAlignment="1">
      <alignment horizontal="right" vertical="top" wrapText="1"/>
    </xf>
    <xf numFmtId="3" fontId="87" fillId="0" borderId="0" xfId="17831" applyNumberFormat="1" applyFont="1" applyFill="1" applyBorder="1" applyAlignment="1">
      <alignment horizontal="right" vertical="top"/>
    </xf>
    <xf numFmtId="4" fontId="87" fillId="0" borderId="0" xfId="17831" applyNumberFormat="1" applyFont="1" applyFill="1" applyBorder="1" applyAlignment="1">
      <alignment horizontal="right" vertical="top"/>
    </xf>
    <xf numFmtId="186" fontId="87" fillId="0" borderId="0" xfId="17750" applyNumberFormat="1" applyFont="1" applyFill="1" applyBorder="1" applyAlignment="1">
      <alignment horizontal="right" vertical="top"/>
    </xf>
    <xf numFmtId="4" fontId="87" fillId="0" borderId="0" xfId="17828" applyNumberFormat="1" applyFont="1" applyFill="1" applyBorder="1" applyAlignment="1" applyProtection="1">
      <alignment horizontal="right" vertical="top"/>
    </xf>
    <xf numFmtId="1" fontId="87" fillId="0" borderId="0" xfId="0" applyNumberFormat="1" applyFont="1" applyFill="1" applyBorder="1" applyAlignment="1">
      <alignment vertical="top" wrapText="1"/>
    </xf>
    <xf numFmtId="1" fontId="86" fillId="0" borderId="0" xfId="17831" applyNumberFormat="1" applyFont="1" applyFill="1" applyBorder="1" applyAlignment="1">
      <alignment horizontal="center" vertical="top" wrapText="1"/>
    </xf>
    <xf numFmtId="0" fontId="86" fillId="0" borderId="0" xfId="22878" applyFont="1" applyFill="1" applyBorder="1" applyAlignment="1">
      <alignment vertical="top" wrapText="1"/>
    </xf>
    <xf numFmtId="0" fontId="86" fillId="0" borderId="0" xfId="17831" applyNumberFormat="1" applyFont="1" applyFill="1" applyBorder="1" applyAlignment="1">
      <alignment vertical="top" wrapText="1"/>
    </xf>
    <xf numFmtId="1" fontId="86" fillId="0" borderId="0" xfId="19566" applyNumberFormat="1" applyFont="1" applyFill="1" applyBorder="1" applyAlignment="1">
      <alignment horizontal="right" vertical="top" wrapText="1"/>
    </xf>
    <xf numFmtId="0" fontId="86" fillId="0" borderId="0" xfId="21264" applyNumberFormat="1" applyFont="1" applyFill="1" applyBorder="1" applyAlignment="1" applyProtection="1">
      <alignment vertical="top" wrapText="1"/>
    </xf>
    <xf numFmtId="3" fontId="86" fillId="0" borderId="0" xfId="22886" applyNumberFormat="1" applyFont="1" applyFill="1" applyBorder="1" applyAlignment="1">
      <alignment horizontal="right" vertical="top" wrapText="1"/>
    </xf>
    <xf numFmtId="1" fontId="86" fillId="0" borderId="0" xfId="22878" applyNumberFormat="1" applyFont="1" applyFill="1" applyBorder="1" applyAlignment="1">
      <alignment horizontal="right" vertical="top"/>
    </xf>
    <xf numFmtId="4" fontId="86" fillId="0" borderId="0" xfId="22878" applyNumberFormat="1" applyFont="1" applyFill="1" applyBorder="1" applyAlignment="1">
      <alignment horizontal="right" vertical="top"/>
    </xf>
    <xf numFmtId="4" fontId="86" fillId="0" borderId="0" xfId="22887" applyNumberFormat="1" applyFont="1" applyFill="1" applyBorder="1" applyAlignment="1">
      <alignment horizontal="right" vertical="top"/>
    </xf>
    <xf numFmtId="3" fontId="86" fillId="0" borderId="0" xfId="22878" applyNumberFormat="1" applyFont="1" applyFill="1" applyBorder="1" applyAlignment="1">
      <alignment horizontal="right" vertical="top"/>
    </xf>
    <xf numFmtId="3" fontId="86" fillId="0" borderId="0" xfId="19566" applyNumberFormat="1" applyFont="1" applyFill="1" applyBorder="1" applyAlignment="1">
      <alignment horizontal="right" vertical="top" wrapText="1"/>
    </xf>
    <xf numFmtId="186" fontId="86" fillId="0" borderId="0" xfId="19566" applyNumberFormat="1" applyFont="1" applyFill="1" applyBorder="1" applyAlignment="1">
      <alignment horizontal="right" vertical="top"/>
    </xf>
    <xf numFmtId="4" fontId="86" fillId="0" borderId="0" xfId="22874" applyNumberFormat="1" applyFont="1" applyFill="1" applyBorder="1" applyAlignment="1">
      <alignment horizontal="right" vertical="top"/>
    </xf>
    <xf numFmtId="4" fontId="86" fillId="0" borderId="0" xfId="17893" applyNumberFormat="1" applyFont="1" applyFill="1" applyBorder="1" applyAlignment="1" applyProtection="1">
      <alignment horizontal="right" vertical="top"/>
    </xf>
    <xf numFmtId="173" fontId="86" fillId="0" borderId="0" xfId="17831" applyNumberFormat="1" applyFont="1" applyFill="1" applyBorder="1" applyAlignment="1">
      <alignment horizontal="right" vertical="top"/>
    </xf>
    <xf numFmtId="171" fontId="86" fillId="0" borderId="0" xfId="19566" applyNumberFormat="1" applyFont="1" applyFill="1" applyBorder="1" applyAlignment="1">
      <alignment horizontal="right" vertical="top" wrapText="1"/>
    </xf>
    <xf numFmtId="178" fontId="87" fillId="0" borderId="0" xfId="19566" applyNumberFormat="1" applyFont="1" applyFill="1" applyBorder="1" applyAlignment="1">
      <alignment horizontal="right" vertical="top" wrapText="1"/>
    </xf>
    <xf numFmtId="168" fontId="86" fillId="0" borderId="0" xfId="0" applyNumberFormat="1" applyFont="1" applyFill="1" applyBorder="1" applyAlignment="1">
      <alignment horizontal="right" vertical="top"/>
    </xf>
    <xf numFmtId="0" fontId="86" fillId="0" borderId="0" xfId="15386" applyFont="1" applyFill="1" applyBorder="1" applyAlignment="1">
      <alignment vertical="top" wrapText="1"/>
    </xf>
    <xf numFmtId="4" fontId="86" fillId="0" borderId="0" xfId="22875" applyNumberFormat="1" applyFont="1" applyFill="1" applyBorder="1" applyAlignment="1">
      <alignment horizontal="right" vertical="top" wrapText="1"/>
    </xf>
    <xf numFmtId="4" fontId="86" fillId="0" borderId="0" xfId="22875" applyNumberFormat="1" applyFont="1" applyFill="1" applyBorder="1" applyAlignment="1">
      <alignment horizontal="right" vertical="top"/>
    </xf>
    <xf numFmtId="3" fontId="86" fillId="0" borderId="0" xfId="22875" applyNumberFormat="1" applyFont="1" applyFill="1" applyBorder="1" applyAlignment="1">
      <alignment horizontal="right" vertical="top"/>
    </xf>
    <xf numFmtId="0" fontId="86" fillId="0" borderId="0" xfId="21264" applyFont="1" applyFill="1" applyBorder="1" applyAlignment="1" applyProtection="1">
      <alignment vertical="top" wrapText="1"/>
      <protection locked="0"/>
    </xf>
    <xf numFmtId="0" fontId="86" fillId="0" borderId="0" xfId="21264" applyFont="1" applyFill="1" applyBorder="1" applyAlignment="1">
      <alignment horizontal="center" vertical="top" wrapText="1"/>
    </xf>
    <xf numFmtId="178" fontId="87" fillId="0" borderId="0" xfId="22874" applyNumberFormat="1" applyFont="1" applyFill="1" applyBorder="1" applyAlignment="1">
      <alignment horizontal="right" vertical="top" wrapText="1"/>
    </xf>
    <xf numFmtId="186" fontId="86" fillId="0" borderId="0" xfId="17831" applyNumberFormat="1" applyFont="1" applyFill="1" applyBorder="1" applyAlignment="1">
      <alignment horizontal="right" vertical="top"/>
    </xf>
    <xf numFmtId="0" fontId="87" fillId="0" borderId="0" xfId="0" applyFont="1" applyFill="1" applyBorder="1" applyAlignment="1">
      <alignment horizontal="right" vertical="top" wrapText="1"/>
    </xf>
    <xf numFmtId="3" fontId="87" fillId="0" borderId="0" xfId="0" applyNumberFormat="1" applyFont="1" applyFill="1" applyBorder="1" applyAlignment="1">
      <alignment horizontal="right" vertical="top" wrapText="1"/>
    </xf>
    <xf numFmtId="0" fontId="86" fillId="0" borderId="0" xfId="19566" applyFont="1" applyFill="1" applyBorder="1" applyAlignment="1">
      <alignment horizontal="right" vertical="top" wrapText="1"/>
    </xf>
    <xf numFmtId="0" fontId="86" fillId="0" borderId="0" xfId="17750" applyFont="1" applyFill="1" applyBorder="1" applyAlignment="1">
      <alignment horizontal="right" vertical="top" wrapText="1"/>
    </xf>
    <xf numFmtId="0" fontId="87" fillId="0" borderId="0" xfId="21264" applyFont="1" applyFill="1" applyBorder="1" applyAlignment="1">
      <alignment horizontal="center" vertical="top" wrapText="1"/>
    </xf>
    <xf numFmtId="4" fontId="87" fillId="0" borderId="0" xfId="17893" applyNumberFormat="1" applyFont="1" applyFill="1" applyBorder="1" applyAlignment="1" applyProtection="1">
      <alignment horizontal="right" vertical="top" wrapText="1"/>
    </xf>
    <xf numFmtId="186" fontId="87" fillId="0" borderId="0" xfId="19566" applyNumberFormat="1" applyFont="1" applyFill="1" applyBorder="1" applyAlignment="1">
      <alignment horizontal="right" vertical="top" wrapText="1"/>
    </xf>
    <xf numFmtId="3" fontId="87" fillId="0" borderId="0" xfId="0" applyNumberFormat="1" applyFont="1" applyFill="1" applyBorder="1" applyAlignment="1">
      <alignment vertical="top" wrapText="1"/>
    </xf>
    <xf numFmtId="184" fontId="87" fillId="0" borderId="0" xfId="22886" applyNumberFormat="1" applyFont="1" applyFill="1" applyBorder="1" applyAlignment="1">
      <alignment horizontal="right" vertical="top"/>
    </xf>
    <xf numFmtId="4" fontId="87" fillId="0" borderId="0" xfId="22886" applyNumberFormat="1" applyFont="1" applyFill="1" applyBorder="1" applyAlignment="1">
      <alignment horizontal="right" vertical="top"/>
    </xf>
    <xf numFmtId="3" fontId="87" fillId="0" borderId="0" xfId="22886" applyNumberFormat="1" applyFont="1" applyFill="1" applyBorder="1" applyAlignment="1">
      <alignment horizontal="right" vertical="top"/>
    </xf>
    <xf numFmtId="3" fontId="87" fillId="0" borderId="0" xfId="0" applyNumberFormat="1" applyFont="1" applyFill="1" applyBorder="1" applyAlignment="1">
      <alignment horizontal="right" vertical="top"/>
    </xf>
    <xf numFmtId="186" fontId="87" fillId="0" borderId="0" xfId="0" applyNumberFormat="1" applyFont="1" applyFill="1" applyBorder="1" applyAlignment="1">
      <alignment horizontal="right" vertical="top"/>
    </xf>
    <xf numFmtId="1" fontId="88" fillId="0" borderId="0" xfId="0" applyNumberFormat="1" applyFont="1" applyFill="1" applyBorder="1" applyAlignment="1">
      <alignment horizontal="left" vertical="top" wrapText="1"/>
    </xf>
    <xf numFmtId="1" fontId="88" fillId="0" borderId="0" xfId="0" applyNumberFormat="1" applyFont="1" applyFill="1" applyBorder="1" applyAlignment="1">
      <alignment vertical="top" wrapText="1"/>
    </xf>
    <xf numFmtId="0" fontId="88" fillId="0" borderId="0" xfId="0" applyFont="1" applyFill="1" applyBorder="1" applyAlignment="1">
      <alignment horizontal="right" vertical="top" wrapText="1"/>
    </xf>
    <xf numFmtId="0" fontId="88" fillId="0" borderId="0" xfId="0" applyFont="1" applyFill="1" applyBorder="1" applyAlignment="1">
      <alignment horizontal="right" vertical="top"/>
    </xf>
    <xf numFmtId="4" fontId="88" fillId="0" borderId="0" xfId="0" applyNumberFormat="1" applyFont="1" applyFill="1" applyBorder="1" applyAlignment="1">
      <alignment horizontal="right" vertical="top"/>
    </xf>
    <xf numFmtId="3" fontId="88" fillId="0" borderId="0" xfId="0" applyNumberFormat="1" applyFont="1" applyFill="1" applyBorder="1" applyAlignment="1">
      <alignment horizontal="right" vertical="top"/>
    </xf>
    <xf numFmtId="0" fontId="88" fillId="0" borderId="0" xfId="0" applyFont="1" applyFill="1" applyBorder="1" applyAlignment="1">
      <alignment horizontal="center" vertical="top" wrapText="1"/>
    </xf>
    <xf numFmtId="0" fontId="87" fillId="0" borderId="0" xfId="22886" applyNumberFormat="1" applyFont="1" applyFill="1" applyBorder="1" applyAlignment="1">
      <alignment horizontal="right" vertical="top"/>
    </xf>
    <xf numFmtId="0" fontId="87" fillId="0" borderId="0" xfId="0" applyNumberFormat="1" applyFont="1" applyFill="1" applyBorder="1" applyAlignment="1">
      <alignment horizontal="right" vertical="top"/>
    </xf>
    <xf numFmtId="4" fontId="86" fillId="0" borderId="0" xfId="1" applyNumberFormat="1" applyFont="1" applyFill="1" applyBorder="1" applyAlignment="1">
      <alignment horizontal="right" vertical="top"/>
    </xf>
    <xf numFmtId="3" fontId="86" fillId="0" borderId="0" xfId="1" applyNumberFormat="1" applyFont="1" applyFill="1" applyBorder="1" applyAlignment="1">
      <alignment horizontal="right" vertical="top"/>
    </xf>
    <xf numFmtId="178" fontId="86" fillId="0" borderId="0" xfId="1" applyNumberFormat="1" applyFont="1" applyFill="1" applyBorder="1" applyAlignment="1">
      <alignment horizontal="right" vertical="top"/>
    </xf>
    <xf numFmtId="186" fontId="86" fillId="0" borderId="0" xfId="1" applyNumberFormat="1" applyFont="1" applyFill="1" applyBorder="1" applyAlignment="1">
      <alignment horizontal="right" vertical="top"/>
    </xf>
    <xf numFmtId="168" fontId="86" fillId="0" borderId="0" xfId="0" applyNumberFormat="1" applyFont="1" applyFill="1" applyBorder="1" applyAlignment="1">
      <alignment horizontal="right" vertical="top" wrapText="1"/>
    </xf>
    <xf numFmtId="3" fontId="86" fillId="0" borderId="0" xfId="1539" applyNumberFormat="1" applyFont="1" applyFill="1" applyBorder="1" applyAlignment="1">
      <alignment horizontal="center" vertical="top" wrapText="1"/>
    </xf>
    <xf numFmtId="186" fontId="86" fillId="0" borderId="0" xfId="19598" applyNumberFormat="1" applyFont="1" applyFill="1" applyBorder="1" applyAlignment="1">
      <alignment horizontal="right" vertical="top" wrapText="1"/>
    </xf>
    <xf numFmtId="4" fontId="86" fillId="0" borderId="0" xfId="17889" applyNumberFormat="1" applyFont="1" applyFill="1" applyBorder="1" applyAlignment="1">
      <alignment horizontal="right" vertical="top"/>
    </xf>
    <xf numFmtId="178" fontId="86" fillId="0" borderId="0" xfId="1539" applyNumberFormat="1" applyFont="1" applyFill="1" applyBorder="1" applyAlignment="1">
      <alignment horizontal="right" vertical="top" wrapText="1"/>
    </xf>
    <xf numFmtId="4" fontId="86" fillId="0" borderId="0" xfId="1539" applyNumberFormat="1" applyFont="1" applyFill="1" applyBorder="1" applyAlignment="1">
      <alignment horizontal="right" vertical="top" wrapText="1"/>
    </xf>
    <xf numFmtId="186" fontId="86" fillId="0" borderId="0" xfId="1539" applyNumberFormat="1" applyFont="1" applyFill="1" applyBorder="1" applyAlignment="1">
      <alignment horizontal="right" vertical="top" wrapText="1"/>
    </xf>
    <xf numFmtId="3" fontId="86" fillId="0" borderId="0" xfId="1539" applyNumberFormat="1" applyFont="1" applyFill="1" applyBorder="1" applyAlignment="1">
      <alignment horizontal="right" vertical="top" wrapText="1"/>
    </xf>
    <xf numFmtId="4" fontId="87" fillId="0" borderId="0" xfId="18239" applyNumberFormat="1" applyFont="1" applyFill="1" applyBorder="1" applyAlignment="1">
      <alignment horizontal="right" vertical="top" wrapText="1"/>
    </xf>
    <xf numFmtId="178" fontId="86" fillId="0" borderId="0" xfId="18239" applyNumberFormat="1" applyFont="1" applyFill="1" applyBorder="1" applyAlignment="1">
      <alignment horizontal="right" vertical="top" wrapText="1"/>
    </xf>
    <xf numFmtId="4" fontId="86" fillId="0" borderId="0" xfId="18239" applyNumberFormat="1" applyFont="1" applyFill="1" applyBorder="1" applyAlignment="1">
      <alignment horizontal="right" vertical="top" wrapText="1"/>
    </xf>
    <xf numFmtId="4" fontId="87" fillId="0" borderId="0" xfId="1539" applyNumberFormat="1" applyFont="1" applyFill="1" applyBorder="1" applyAlignment="1">
      <alignment horizontal="right" vertical="top" wrapText="1"/>
    </xf>
    <xf numFmtId="0" fontId="87" fillId="0" borderId="0" xfId="0" applyFont="1" applyFill="1" applyBorder="1" applyAlignment="1">
      <alignment horizontal="center" vertical="top"/>
    </xf>
    <xf numFmtId="168" fontId="87" fillId="0" borderId="0" xfId="0" applyNumberFormat="1" applyFont="1" applyFill="1" applyBorder="1" applyAlignment="1">
      <alignment horizontal="right" vertical="top"/>
    </xf>
    <xf numFmtId="178" fontId="87" fillId="0" borderId="0" xfId="1539" applyNumberFormat="1" applyFont="1" applyFill="1" applyBorder="1" applyAlignment="1">
      <alignment horizontal="right" vertical="top" wrapText="1"/>
    </xf>
    <xf numFmtId="186" fontId="87" fillId="0" borderId="0" xfId="1539" applyNumberFormat="1" applyFont="1" applyFill="1" applyBorder="1" applyAlignment="1">
      <alignment horizontal="right" vertical="top" wrapText="1"/>
    </xf>
    <xf numFmtId="3" fontId="87" fillId="0" borderId="0" xfId="1539" applyNumberFormat="1" applyFont="1" applyFill="1" applyBorder="1" applyAlignment="1">
      <alignment horizontal="right" vertical="top" wrapText="1"/>
    </xf>
    <xf numFmtId="186" fontId="87" fillId="0" borderId="0" xfId="19598" applyNumberFormat="1" applyFont="1" applyFill="1" applyBorder="1" applyAlignment="1">
      <alignment horizontal="right" vertical="top" wrapText="1"/>
    </xf>
    <xf numFmtId="168" fontId="87" fillId="0" borderId="0" xfId="0" applyNumberFormat="1" applyFont="1" applyFill="1" applyBorder="1" applyAlignment="1">
      <alignment horizontal="right" vertical="top" wrapText="1"/>
    </xf>
    <xf numFmtId="4" fontId="87" fillId="0" borderId="0" xfId="17889" applyNumberFormat="1" applyFont="1" applyFill="1" applyBorder="1" applyAlignment="1">
      <alignment horizontal="right" vertical="top"/>
    </xf>
    <xf numFmtId="3" fontId="87" fillId="0" borderId="0" xfId="1539" applyNumberFormat="1" applyFont="1" applyFill="1" applyBorder="1" applyAlignment="1">
      <alignment horizontal="center" vertical="top" wrapText="1"/>
    </xf>
    <xf numFmtId="1" fontId="86" fillId="0" borderId="0" xfId="17833" applyNumberFormat="1" applyFont="1" applyFill="1" applyBorder="1" applyAlignment="1">
      <alignment horizontal="center" vertical="top" wrapText="1"/>
    </xf>
    <xf numFmtId="1" fontId="86" fillId="0" borderId="0" xfId="17833" applyNumberFormat="1" applyFont="1" applyFill="1" applyBorder="1" applyAlignment="1">
      <alignment vertical="top" wrapText="1"/>
    </xf>
    <xf numFmtId="3" fontId="86" fillId="0" borderId="0" xfId="17833" applyNumberFormat="1" applyFont="1" applyFill="1" applyBorder="1" applyAlignment="1">
      <alignment horizontal="right" vertical="top" wrapText="1"/>
    </xf>
    <xf numFmtId="168" fontId="86" fillId="0" borderId="0" xfId="22879" applyNumberFormat="1" applyFont="1" applyFill="1" applyBorder="1" applyAlignment="1">
      <alignment horizontal="right" vertical="top" wrapText="1"/>
    </xf>
    <xf numFmtId="4" fontId="86" fillId="0" borderId="0" xfId="22879" applyNumberFormat="1" applyFont="1" applyFill="1" applyBorder="1" applyAlignment="1">
      <alignment horizontal="right" vertical="top" wrapText="1"/>
    </xf>
    <xf numFmtId="4" fontId="86" fillId="0" borderId="0" xfId="17833" applyNumberFormat="1" applyFont="1" applyFill="1" applyBorder="1" applyAlignment="1">
      <alignment horizontal="right" vertical="top" wrapText="1"/>
    </xf>
    <xf numFmtId="3" fontId="86" fillId="0" borderId="0" xfId="22879" applyNumberFormat="1" applyFont="1" applyFill="1" applyBorder="1" applyAlignment="1">
      <alignment horizontal="right" vertical="top"/>
    </xf>
    <xf numFmtId="3" fontId="86" fillId="0" borderId="0" xfId="22879" applyNumberFormat="1" applyFont="1" applyFill="1" applyBorder="1" applyAlignment="1">
      <alignment horizontal="right" vertical="top" wrapText="1"/>
    </xf>
    <xf numFmtId="2" fontId="86" fillId="0" borderId="0" xfId="0" applyNumberFormat="1" applyFont="1" applyFill="1" applyBorder="1" applyAlignment="1">
      <alignment horizontal="center" vertical="top" wrapText="1"/>
    </xf>
    <xf numFmtId="168" fontId="86" fillId="0" borderId="0" xfId="17833" applyNumberFormat="1" applyFont="1" applyFill="1" applyBorder="1" applyAlignment="1">
      <alignment horizontal="right" vertical="top" wrapText="1"/>
    </xf>
    <xf numFmtId="1" fontId="86" fillId="0" borderId="0" xfId="17833" applyNumberFormat="1" applyFont="1" applyFill="1" applyBorder="1" applyAlignment="1">
      <alignment horizontal="right" vertical="top" wrapText="1"/>
    </xf>
    <xf numFmtId="1" fontId="87" fillId="0" borderId="0" xfId="17833" applyNumberFormat="1" applyFont="1" applyFill="1" applyBorder="1" applyAlignment="1">
      <alignment horizontal="center" vertical="top" wrapText="1"/>
    </xf>
    <xf numFmtId="168" fontId="86" fillId="0" borderId="0" xfId="22876" applyNumberFormat="1" applyFont="1" applyFill="1" applyBorder="1" applyAlignment="1">
      <alignment horizontal="right" vertical="top" wrapText="1"/>
    </xf>
    <xf numFmtId="4" fontId="86" fillId="0" borderId="0" xfId="22876" applyNumberFormat="1" applyFont="1" applyFill="1" applyBorder="1" applyAlignment="1">
      <alignment horizontal="right" vertical="top" wrapText="1"/>
    </xf>
    <xf numFmtId="3" fontId="86" fillId="0" borderId="0" xfId="22876" applyNumberFormat="1" applyFont="1" applyFill="1" applyBorder="1" applyAlignment="1">
      <alignment horizontal="right" vertical="top" wrapText="1"/>
    </xf>
    <xf numFmtId="178" fontId="86" fillId="0" borderId="0" xfId="22876" applyNumberFormat="1" applyFont="1" applyFill="1" applyBorder="1" applyAlignment="1">
      <alignment horizontal="right" vertical="top" wrapText="1"/>
    </xf>
    <xf numFmtId="186" fontId="86" fillId="0" borderId="0" xfId="22876" applyNumberFormat="1" applyFont="1" applyFill="1" applyBorder="1" applyAlignment="1">
      <alignment horizontal="right" vertical="top" wrapText="1"/>
    </xf>
    <xf numFmtId="169" fontId="86" fillId="0" borderId="0" xfId="0" applyNumberFormat="1" applyFont="1" applyFill="1" applyBorder="1" applyAlignment="1">
      <alignment horizontal="right" vertical="top" wrapText="1"/>
    </xf>
    <xf numFmtId="169" fontId="86" fillId="0" borderId="0" xfId="0" applyNumberFormat="1" applyFont="1" applyFill="1" applyBorder="1" applyAlignment="1">
      <alignment horizontal="center" vertical="top" wrapText="1"/>
    </xf>
    <xf numFmtId="168" fontId="86" fillId="0" borderId="0" xfId="1539" applyNumberFormat="1" applyFont="1" applyFill="1" applyBorder="1" applyAlignment="1">
      <alignment horizontal="right" vertical="top" wrapText="1"/>
    </xf>
    <xf numFmtId="0" fontId="86" fillId="0" borderId="0" xfId="1539" applyFont="1" applyFill="1" applyBorder="1" applyAlignment="1">
      <alignment horizontal="center" vertical="top" wrapText="1"/>
    </xf>
    <xf numFmtId="1" fontId="86" fillId="0" borderId="0" xfId="17891" applyNumberFormat="1" applyFont="1" applyFill="1" applyBorder="1" applyAlignment="1">
      <alignment horizontal="center" vertical="top" wrapText="1"/>
    </xf>
    <xf numFmtId="1" fontId="86" fillId="0" borderId="0" xfId="17891" applyNumberFormat="1" applyFont="1" applyFill="1" applyBorder="1" applyAlignment="1">
      <alignment horizontal="right" vertical="top" wrapText="1"/>
    </xf>
    <xf numFmtId="168" fontId="86" fillId="0" borderId="0" xfId="17891" applyNumberFormat="1" applyFont="1" applyFill="1" applyBorder="1" applyAlignment="1">
      <alignment horizontal="right" vertical="top" wrapText="1"/>
    </xf>
    <xf numFmtId="4" fontId="86" fillId="0" borderId="0" xfId="17891" applyNumberFormat="1" applyFont="1" applyFill="1" applyBorder="1" applyAlignment="1">
      <alignment horizontal="right" vertical="top" wrapText="1"/>
    </xf>
    <xf numFmtId="4" fontId="95" fillId="0" borderId="0" xfId="0" applyNumberFormat="1" applyFont="1" applyFill="1" applyBorder="1" applyAlignment="1">
      <alignment horizontal="right" vertical="top" wrapText="1"/>
    </xf>
    <xf numFmtId="4" fontId="86" fillId="0" borderId="0" xfId="18239" applyNumberFormat="1" applyFont="1" applyFill="1" applyBorder="1" applyAlignment="1">
      <alignment horizontal="right" vertical="top"/>
    </xf>
    <xf numFmtId="3" fontId="86" fillId="0" borderId="0" xfId="18239" applyNumberFormat="1" applyFont="1" applyFill="1" applyBorder="1" applyAlignment="1">
      <alignment horizontal="right" vertical="top"/>
    </xf>
    <xf numFmtId="178" fontId="87" fillId="0" borderId="0" xfId="18239" applyNumberFormat="1" applyFont="1" applyFill="1" applyBorder="1" applyAlignment="1">
      <alignment horizontal="right" vertical="top" wrapText="1"/>
    </xf>
    <xf numFmtId="168" fontId="86" fillId="0" borderId="0" xfId="1538" applyNumberFormat="1" applyFont="1" applyFill="1" applyBorder="1" applyAlignment="1">
      <alignment horizontal="right" vertical="top" wrapText="1"/>
    </xf>
    <xf numFmtId="3" fontId="86" fillId="0" borderId="0" xfId="1539" applyNumberFormat="1" applyFont="1" applyFill="1" applyBorder="1" applyAlignment="1" applyProtection="1">
      <alignment vertical="top" wrapText="1"/>
      <protection locked="0"/>
    </xf>
    <xf numFmtId="168" fontId="86" fillId="0" borderId="0" xfId="1539" applyNumberFormat="1" applyFont="1" applyFill="1" applyBorder="1" applyAlignment="1" applyProtection="1">
      <alignment horizontal="right" vertical="top"/>
      <protection locked="0"/>
    </xf>
    <xf numFmtId="4" fontId="86" fillId="0" borderId="0" xfId="1539" applyNumberFormat="1" applyFont="1" applyFill="1" applyBorder="1" applyAlignment="1" applyProtection="1">
      <alignment horizontal="right" vertical="top"/>
      <protection locked="0"/>
    </xf>
    <xf numFmtId="3" fontId="86" fillId="0" borderId="0" xfId="1539" applyNumberFormat="1" applyFont="1" applyFill="1" applyBorder="1" applyAlignment="1" applyProtection="1">
      <alignment horizontal="right" vertical="top"/>
      <protection locked="0"/>
    </xf>
    <xf numFmtId="186" fontId="86" fillId="0" borderId="0" xfId="18239" applyNumberFormat="1" applyFont="1" applyFill="1" applyBorder="1" applyAlignment="1">
      <alignment horizontal="right" vertical="top" wrapText="1"/>
    </xf>
    <xf numFmtId="0" fontId="86" fillId="0" borderId="0" xfId="18239" applyFont="1" applyFill="1" applyBorder="1" applyAlignment="1">
      <alignment horizontal="center" vertical="top" wrapText="1"/>
    </xf>
    <xf numFmtId="49" fontId="86" fillId="0" borderId="0" xfId="18239" applyNumberFormat="1" applyFont="1" applyFill="1" applyBorder="1" applyAlignment="1">
      <alignment vertical="top" wrapText="1"/>
    </xf>
    <xf numFmtId="0" fontId="86" fillId="0" borderId="0" xfId="18239" applyFont="1" applyFill="1" applyBorder="1" applyAlignment="1">
      <alignment horizontal="right" vertical="top" wrapText="1"/>
    </xf>
    <xf numFmtId="168" fontId="86" fillId="0" borderId="0" xfId="18239" applyNumberFormat="1" applyFont="1" applyFill="1" applyBorder="1" applyAlignment="1">
      <alignment horizontal="right" vertical="top" wrapText="1"/>
    </xf>
    <xf numFmtId="3" fontId="86" fillId="0" borderId="0" xfId="18239" applyNumberFormat="1" applyFont="1" applyFill="1" applyBorder="1" applyAlignment="1">
      <alignment horizontal="right" vertical="top" wrapText="1"/>
    </xf>
    <xf numFmtId="4" fontId="89" fillId="0" borderId="0" xfId="0" applyNumberFormat="1" applyFont="1" applyFill="1" applyBorder="1" applyAlignment="1">
      <alignment horizontal="right" vertical="top"/>
    </xf>
    <xf numFmtId="186" fontId="86" fillId="0" borderId="0" xfId="18239" applyNumberFormat="1" applyFont="1" applyFill="1" applyBorder="1" applyAlignment="1">
      <alignment horizontal="right" vertical="top"/>
    </xf>
    <xf numFmtId="0" fontId="86" fillId="0" borderId="0" xfId="3422" applyFont="1" applyFill="1" applyBorder="1" applyAlignment="1">
      <alignment horizontal="center" vertical="top"/>
    </xf>
    <xf numFmtId="0" fontId="86" fillId="0" borderId="0" xfId="22875" applyFont="1" applyFill="1" applyBorder="1" applyAlignment="1">
      <alignment vertical="top" wrapText="1"/>
    </xf>
    <xf numFmtId="0" fontId="86" fillId="0" borderId="0" xfId="3422" applyFont="1" applyFill="1" applyBorder="1" applyAlignment="1">
      <alignment horizontal="right" vertical="top" wrapText="1"/>
    </xf>
    <xf numFmtId="168" fontId="86" fillId="0" borderId="0" xfId="3422" applyNumberFormat="1" applyFont="1" applyFill="1" applyBorder="1" applyAlignment="1">
      <alignment horizontal="right" vertical="top"/>
    </xf>
    <xf numFmtId="3" fontId="86" fillId="0" borderId="0" xfId="3422" applyNumberFormat="1" applyFont="1" applyFill="1" applyBorder="1" applyAlignment="1">
      <alignment horizontal="right" vertical="top"/>
    </xf>
    <xf numFmtId="0" fontId="86" fillId="0" borderId="0" xfId="22875" applyFont="1" applyFill="1" applyBorder="1" applyAlignment="1">
      <alignment horizontal="center" vertical="top" wrapText="1"/>
    </xf>
    <xf numFmtId="1" fontId="86" fillId="0" borderId="0" xfId="1539" applyNumberFormat="1" applyFont="1" applyFill="1" applyBorder="1" applyAlignment="1">
      <alignment horizontal="center" vertical="top" wrapText="1"/>
    </xf>
    <xf numFmtId="0" fontId="86" fillId="0" borderId="0" xfId="17889" applyFont="1" applyFill="1" applyBorder="1" applyAlignment="1">
      <alignment vertical="top" wrapText="1"/>
    </xf>
    <xf numFmtId="168" fontId="86" fillId="0" borderId="0" xfId="17889" applyNumberFormat="1" applyFont="1" applyFill="1" applyBorder="1" applyAlignment="1">
      <alignment horizontal="right" vertical="top"/>
    </xf>
    <xf numFmtId="3" fontId="86" fillId="0" borderId="0" xfId="17889" applyNumberFormat="1" applyFont="1" applyFill="1" applyBorder="1" applyAlignment="1">
      <alignment horizontal="right" vertical="top"/>
    </xf>
    <xf numFmtId="49" fontId="86" fillId="0" borderId="0" xfId="22880" applyNumberFormat="1" applyFont="1" applyFill="1" applyBorder="1" applyAlignment="1" applyProtection="1">
      <alignment horizontal="center" vertical="top" wrapText="1"/>
    </xf>
    <xf numFmtId="49" fontId="86" fillId="0" borderId="0" xfId="17889" applyNumberFormat="1" applyFont="1" applyFill="1" applyBorder="1" applyAlignment="1">
      <alignment vertical="top" wrapText="1"/>
    </xf>
    <xf numFmtId="171" fontId="86" fillId="0" borderId="0" xfId="22881" applyFont="1" applyFill="1" applyBorder="1" applyAlignment="1">
      <alignment vertical="top" wrapText="1"/>
    </xf>
    <xf numFmtId="168" fontId="86" fillId="0" borderId="0" xfId="22881" applyNumberFormat="1" applyFont="1" applyFill="1" applyBorder="1" applyAlignment="1">
      <alignment horizontal="right" vertical="top"/>
    </xf>
    <xf numFmtId="4" fontId="86" fillId="0" borderId="0" xfId="22881" applyNumberFormat="1" applyFont="1" applyFill="1" applyBorder="1" applyAlignment="1">
      <alignment horizontal="right" vertical="top"/>
    </xf>
    <xf numFmtId="4" fontId="86" fillId="0" borderId="0" xfId="3539" applyNumberFormat="1" applyFont="1" applyFill="1" applyBorder="1" applyAlignment="1">
      <alignment horizontal="right" vertical="top" wrapText="1"/>
    </xf>
    <xf numFmtId="0" fontId="86" fillId="0" borderId="0" xfId="1056" applyFont="1" applyFill="1" applyBorder="1" applyAlignment="1">
      <alignment horizontal="right" vertical="top" wrapText="1"/>
    </xf>
    <xf numFmtId="0" fontId="86" fillId="0" borderId="0" xfId="1057" applyFont="1" applyFill="1" applyBorder="1" applyAlignment="1">
      <alignment horizontal="right" vertical="top" wrapText="1"/>
    </xf>
    <xf numFmtId="1" fontId="86" fillId="0" borderId="0" xfId="21264" applyNumberFormat="1" applyFont="1" applyFill="1" applyBorder="1" applyAlignment="1">
      <alignment horizontal="center" vertical="top" wrapText="1"/>
    </xf>
    <xf numFmtId="0" fontId="86" fillId="0" borderId="0" xfId="5199" applyFont="1" applyFill="1" applyBorder="1" applyAlignment="1">
      <alignment vertical="top" wrapText="1"/>
    </xf>
    <xf numFmtId="168" fontId="86" fillId="0" borderId="0" xfId="21264" applyNumberFormat="1" applyFont="1" applyFill="1" applyBorder="1" applyAlignment="1">
      <alignment horizontal="right" vertical="top" wrapText="1"/>
    </xf>
    <xf numFmtId="4" fontId="86" fillId="0" borderId="0" xfId="22876" applyNumberFormat="1" applyFont="1" applyFill="1" applyBorder="1" applyAlignment="1">
      <alignment horizontal="right" vertical="top"/>
    </xf>
    <xf numFmtId="3" fontId="86" fillId="0" borderId="0" xfId="21264" applyNumberFormat="1" applyFont="1" applyFill="1" applyBorder="1" applyAlignment="1">
      <alignment horizontal="right" vertical="top" wrapText="1"/>
    </xf>
    <xf numFmtId="4" fontId="86" fillId="0" borderId="0" xfId="19592" applyNumberFormat="1" applyFont="1" applyFill="1" applyBorder="1" applyAlignment="1">
      <alignment horizontal="right" vertical="top"/>
    </xf>
    <xf numFmtId="0" fontId="86" fillId="0" borderId="0" xfId="19566" applyFont="1" applyFill="1" applyBorder="1" applyAlignment="1">
      <alignment horizontal="center" vertical="top" wrapText="1"/>
    </xf>
    <xf numFmtId="178" fontId="86" fillId="0" borderId="0" xfId="1539" applyNumberFormat="1" applyFont="1" applyFill="1" applyBorder="1" applyAlignment="1">
      <alignment horizontal="right" vertical="top"/>
    </xf>
    <xf numFmtId="4" fontId="86" fillId="0" borderId="0" xfId="1539" applyNumberFormat="1" applyFont="1" applyFill="1" applyBorder="1" applyAlignment="1">
      <alignment horizontal="right" vertical="top"/>
    </xf>
    <xf numFmtId="186" fontId="86" fillId="0" borderId="0" xfId="1539" applyNumberFormat="1" applyFont="1" applyFill="1" applyBorder="1" applyAlignment="1">
      <alignment horizontal="right" vertical="top"/>
    </xf>
    <xf numFmtId="3" fontId="86" fillId="0" borderId="0" xfId="19593" applyNumberFormat="1" applyFont="1" applyFill="1" applyBorder="1" applyAlignment="1">
      <alignment horizontal="right" vertical="top" wrapText="1"/>
    </xf>
    <xf numFmtId="3" fontId="86" fillId="0" borderId="0" xfId="1539" applyNumberFormat="1" applyFont="1" applyFill="1" applyBorder="1" applyAlignment="1">
      <alignment vertical="top" wrapText="1"/>
    </xf>
    <xf numFmtId="168" fontId="86" fillId="0" borderId="0" xfId="19566" applyNumberFormat="1" applyFont="1" applyFill="1" applyBorder="1" applyAlignment="1">
      <alignment horizontal="right" vertical="top" wrapText="1"/>
    </xf>
    <xf numFmtId="4" fontId="87" fillId="0" borderId="0" xfId="19591" applyNumberFormat="1" applyFont="1" applyFill="1" applyBorder="1" applyAlignment="1">
      <alignment horizontal="right" vertical="top"/>
    </xf>
    <xf numFmtId="0" fontId="86" fillId="0" borderId="0" xfId="19567" applyFont="1" applyFill="1" applyBorder="1" applyAlignment="1">
      <alignment vertical="top" wrapText="1"/>
    </xf>
    <xf numFmtId="168" fontId="86" fillId="0" borderId="0" xfId="19567" applyNumberFormat="1" applyFont="1" applyFill="1" applyBorder="1" applyAlignment="1">
      <alignment horizontal="right" vertical="top" wrapText="1"/>
    </xf>
    <xf numFmtId="4" fontId="86" fillId="0" borderId="0" xfId="19567" applyNumberFormat="1" applyFont="1" applyFill="1" applyBorder="1" applyAlignment="1">
      <alignment horizontal="right" vertical="top" wrapText="1"/>
    </xf>
    <xf numFmtId="3" fontId="86" fillId="0" borderId="0" xfId="19567" applyNumberFormat="1" applyFont="1" applyFill="1" applyBorder="1" applyAlignment="1">
      <alignment horizontal="right" vertical="top" wrapText="1"/>
    </xf>
    <xf numFmtId="0" fontId="86" fillId="0" borderId="0" xfId="21264" applyFont="1" applyFill="1" applyBorder="1" applyAlignment="1">
      <alignment vertical="top" wrapText="1"/>
    </xf>
    <xf numFmtId="0" fontId="86" fillId="0" borderId="0" xfId="21264" applyFont="1" applyFill="1" applyBorder="1" applyAlignment="1">
      <alignment horizontal="right" vertical="top" wrapText="1"/>
    </xf>
    <xf numFmtId="4" fontId="86" fillId="0" borderId="0" xfId="21264" applyNumberFormat="1" applyFont="1" applyFill="1" applyBorder="1" applyAlignment="1">
      <alignment horizontal="right" vertical="top" wrapText="1"/>
    </xf>
    <xf numFmtId="0" fontId="86" fillId="0" borderId="0" xfId="18239" applyFont="1" applyFill="1" applyBorder="1" applyAlignment="1">
      <alignment vertical="top" wrapText="1"/>
    </xf>
    <xf numFmtId="178" fontId="86" fillId="0" borderId="0" xfId="19593" applyNumberFormat="1" applyFont="1" applyFill="1" applyBorder="1" applyAlignment="1">
      <alignment horizontal="right" vertical="top" wrapText="1"/>
    </xf>
    <xf numFmtId="4" fontId="87" fillId="0" borderId="0" xfId="19593" applyNumberFormat="1" applyFont="1" applyFill="1" applyBorder="1" applyAlignment="1">
      <alignment horizontal="right" vertical="top" wrapText="1"/>
    </xf>
    <xf numFmtId="3" fontId="86" fillId="0" borderId="0" xfId="19591" applyNumberFormat="1" applyFont="1" applyFill="1" applyBorder="1" applyAlignment="1">
      <alignment horizontal="right" vertical="top" wrapText="1"/>
    </xf>
    <xf numFmtId="0" fontId="86" fillId="0" borderId="0" xfId="5507" applyFont="1" applyFill="1" applyBorder="1" applyAlignment="1">
      <alignment horizontal="right" vertical="top" wrapText="1"/>
    </xf>
    <xf numFmtId="4" fontId="86" fillId="0" borderId="0" xfId="5507" applyNumberFormat="1" applyFont="1" applyFill="1" applyBorder="1" applyAlignment="1">
      <alignment horizontal="right" vertical="top" wrapText="1"/>
    </xf>
    <xf numFmtId="3" fontId="86" fillId="0" borderId="0" xfId="5507" applyNumberFormat="1" applyFont="1" applyFill="1" applyBorder="1" applyAlignment="1">
      <alignment horizontal="right" vertical="top" wrapText="1"/>
    </xf>
    <xf numFmtId="0" fontId="86" fillId="0" borderId="0" xfId="5507" applyFont="1" applyFill="1" applyBorder="1" applyAlignment="1">
      <alignment horizontal="center" vertical="top" wrapText="1"/>
    </xf>
    <xf numFmtId="178" fontId="86" fillId="0" borderId="0" xfId="8629" applyNumberFormat="1" applyFont="1" applyFill="1" applyBorder="1" applyAlignment="1">
      <alignment horizontal="right" vertical="top"/>
    </xf>
    <xf numFmtId="4" fontId="86" fillId="0" borderId="0" xfId="8629" applyNumberFormat="1" applyFont="1" applyFill="1" applyBorder="1" applyAlignment="1">
      <alignment horizontal="right" vertical="top"/>
    </xf>
    <xf numFmtId="186" fontId="86" fillId="0" borderId="0" xfId="8629" applyNumberFormat="1" applyFont="1" applyFill="1" applyBorder="1" applyAlignment="1">
      <alignment horizontal="right" vertical="top"/>
    </xf>
    <xf numFmtId="3" fontId="89" fillId="0" borderId="0" xfId="0" applyNumberFormat="1" applyFont="1" applyFill="1" applyBorder="1" applyAlignment="1">
      <alignment horizontal="right" vertical="top" wrapText="1" shrinkToFit="1"/>
    </xf>
    <xf numFmtId="3" fontId="86" fillId="0" borderId="0" xfId="1540" applyNumberFormat="1" applyFont="1" applyFill="1" applyBorder="1" applyAlignment="1">
      <alignment horizontal="right" vertical="top" wrapText="1"/>
    </xf>
    <xf numFmtId="4" fontId="86" fillId="0" borderId="0" xfId="1540" applyNumberFormat="1" applyFont="1" applyFill="1" applyBorder="1" applyAlignment="1">
      <alignment horizontal="right" vertical="top" wrapText="1"/>
    </xf>
    <xf numFmtId="0" fontId="86" fillId="0" borderId="0" xfId="22888" applyFont="1" applyFill="1" applyBorder="1" applyAlignment="1">
      <alignment horizontal="center" vertical="top" wrapText="1"/>
    </xf>
    <xf numFmtId="4" fontId="86" fillId="0" borderId="0" xfId="22883" applyNumberFormat="1" applyFont="1" applyFill="1" applyBorder="1" applyAlignment="1">
      <alignment horizontal="right" vertical="top" wrapText="1"/>
    </xf>
    <xf numFmtId="186" fontId="86" fillId="0" borderId="0" xfId="22888" applyNumberFormat="1" applyFont="1" applyFill="1" applyBorder="1" applyAlignment="1">
      <alignment horizontal="right" vertical="top" wrapText="1"/>
    </xf>
    <xf numFmtId="1" fontId="86" fillId="0" borderId="0" xfId="1540" applyNumberFormat="1" applyFont="1" applyFill="1" applyBorder="1" applyAlignment="1">
      <alignment horizontal="right" vertical="top" wrapText="1"/>
    </xf>
    <xf numFmtId="3" fontId="86" fillId="0" borderId="0" xfId="8629" applyNumberFormat="1" applyFont="1" applyFill="1" applyBorder="1" applyAlignment="1">
      <alignment horizontal="right" vertical="top" wrapText="1" shrinkToFit="1"/>
    </xf>
    <xf numFmtId="186" fontId="87" fillId="0" borderId="0" xfId="8629" applyNumberFormat="1" applyFont="1" applyFill="1" applyBorder="1" applyAlignment="1">
      <alignment horizontal="right" vertical="top"/>
    </xf>
    <xf numFmtId="4" fontId="87" fillId="0" borderId="0" xfId="8629" applyNumberFormat="1" applyFont="1" applyFill="1" applyBorder="1" applyAlignment="1">
      <alignment horizontal="right" vertical="top"/>
    </xf>
    <xf numFmtId="3" fontId="86" fillId="0" borderId="0" xfId="19594" applyNumberFormat="1" applyFont="1" applyFill="1" applyBorder="1" applyAlignment="1">
      <alignment horizontal="right" vertical="top" wrapText="1"/>
    </xf>
    <xf numFmtId="3" fontId="86" fillId="0" borderId="0" xfId="8629" applyNumberFormat="1" applyFont="1" applyFill="1" applyBorder="1" applyAlignment="1">
      <alignment horizontal="right" vertical="top"/>
    </xf>
    <xf numFmtId="1" fontId="86" fillId="0" borderId="0" xfId="17889" applyNumberFormat="1" applyFont="1" applyFill="1" applyBorder="1" applyAlignment="1">
      <alignment horizontal="right" vertical="top" wrapText="1"/>
    </xf>
    <xf numFmtId="0" fontId="86" fillId="0" borderId="0" xfId="0" applyFont="1" applyFill="1" applyBorder="1" applyAlignment="1">
      <alignment horizontal="center" vertical="top" wrapText="1" shrinkToFit="1"/>
    </xf>
    <xf numFmtId="179" fontId="86" fillId="0" borderId="0" xfId="0" applyNumberFormat="1" applyFont="1" applyFill="1" applyBorder="1" applyAlignment="1">
      <alignment horizontal="right" vertical="top" wrapText="1"/>
    </xf>
    <xf numFmtId="4" fontId="86" fillId="0" borderId="0" xfId="17889" applyNumberFormat="1" applyFont="1" applyFill="1" applyBorder="1" applyAlignment="1">
      <alignment horizontal="right" vertical="top" wrapText="1"/>
    </xf>
    <xf numFmtId="0" fontId="86" fillId="0" borderId="0" xfId="0" applyNumberFormat="1" applyFont="1" applyFill="1" applyBorder="1" applyAlignment="1">
      <alignment vertical="top" wrapText="1"/>
    </xf>
    <xf numFmtId="178" fontId="87" fillId="0" borderId="0" xfId="8629" applyNumberFormat="1" applyFont="1" applyFill="1" applyBorder="1" applyAlignment="1">
      <alignment horizontal="right" vertical="top"/>
    </xf>
    <xf numFmtId="1" fontId="86" fillId="0" borderId="0" xfId="1538" applyNumberFormat="1" applyFont="1" applyFill="1" applyBorder="1" applyAlignment="1">
      <alignment horizontal="right" vertical="top" wrapText="1"/>
    </xf>
    <xf numFmtId="1" fontId="86" fillId="0" borderId="0" xfId="21264" applyNumberFormat="1" applyFont="1" applyFill="1" applyBorder="1" applyAlignment="1">
      <alignment horizontal="right" vertical="top" wrapText="1"/>
    </xf>
    <xf numFmtId="1" fontId="86" fillId="0" borderId="0" xfId="21264" applyNumberFormat="1" applyFont="1" applyFill="1" applyBorder="1" applyAlignment="1">
      <alignment horizontal="left" vertical="top" wrapText="1"/>
    </xf>
    <xf numFmtId="0" fontId="86" fillId="0" borderId="0" xfId="7082" applyFont="1" applyFill="1" applyBorder="1" applyAlignment="1">
      <alignment vertical="top" wrapText="1"/>
    </xf>
    <xf numFmtId="0" fontId="86" fillId="0" borderId="0" xfId="22883" applyFont="1" applyFill="1" applyBorder="1" applyAlignment="1">
      <alignment vertical="top" wrapText="1"/>
    </xf>
    <xf numFmtId="3" fontId="86" fillId="0" borderId="0" xfId="17891" applyNumberFormat="1" applyFont="1" applyFill="1" applyBorder="1" applyAlignment="1">
      <alignment horizontal="right" vertical="top" wrapText="1"/>
    </xf>
    <xf numFmtId="3" fontId="86" fillId="0" borderId="0" xfId="17889" applyNumberFormat="1" applyFont="1" applyFill="1" applyBorder="1" applyAlignment="1">
      <alignment horizontal="right" vertical="top" wrapText="1"/>
    </xf>
    <xf numFmtId="2" fontId="86" fillId="0" borderId="0" xfId="0" applyNumberFormat="1" applyFont="1" applyFill="1" applyBorder="1" applyAlignment="1">
      <alignment horizontal="right" vertical="top" wrapText="1"/>
    </xf>
    <xf numFmtId="1" fontId="86" fillId="0" borderId="0" xfId="3538" applyNumberFormat="1" applyFont="1" applyFill="1" applyBorder="1" applyAlignment="1">
      <alignment horizontal="right" vertical="top" wrapText="1"/>
    </xf>
    <xf numFmtId="4" fontId="86" fillId="0" borderId="0" xfId="3538" applyNumberFormat="1" applyFont="1" applyFill="1" applyBorder="1" applyAlignment="1">
      <alignment horizontal="right" vertical="top" wrapText="1"/>
    </xf>
    <xf numFmtId="178" fontId="87" fillId="0" borderId="0" xfId="22876" applyNumberFormat="1" applyFont="1" applyFill="1" applyBorder="1" applyAlignment="1">
      <alignment horizontal="right" vertical="top" wrapText="1"/>
    </xf>
    <xf numFmtId="4" fontId="87" fillId="0" borderId="0" xfId="22876" applyNumberFormat="1" applyFont="1" applyFill="1" applyBorder="1" applyAlignment="1">
      <alignment horizontal="right" vertical="top" wrapText="1"/>
    </xf>
    <xf numFmtId="186" fontId="87" fillId="0" borderId="0" xfId="22876" applyNumberFormat="1" applyFont="1" applyFill="1" applyBorder="1" applyAlignment="1">
      <alignment horizontal="right" vertical="top" wrapText="1"/>
    </xf>
    <xf numFmtId="1" fontId="87" fillId="0" borderId="0" xfId="3538" applyNumberFormat="1" applyFont="1" applyFill="1" applyBorder="1" applyAlignment="1">
      <alignment horizontal="right" vertical="top" wrapText="1"/>
    </xf>
    <xf numFmtId="4" fontId="87" fillId="0" borderId="0" xfId="3538" applyNumberFormat="1" applyFont="1" applyFill="1" applyBorder="1" applyAlignment="1">
      <alignment horizontal="right" vertical="top" wrapText="1"/>
    </xf>
    <xf numFmtId="4" fontId="87" fillId="0" borderId="0" xfId="17817" applyNumberFormat="1" applyFont="1" applyFill="1" applyBorder="1" applyAlignment="1">
      <alignment horizontal="right" vertical="top" wrapText="1"/>
    </xf>
    <xf numFmtId="0" fontId="86" fillId="0" borderId="0" xfId="5200" applyFont="1" applyFill="1" applyBorder="1" applyAlignment="1">
      <alignment vertical="top" wrapText="1"/>
    </xf>
    <xf numFmtId="3" fontId="86" fillId="0" borderId="0" xfId="3538" applyNumberFormat="1" applyFont="1" applyFill="1" applyBorder="1" applyAlignment="1">
      <alignment horizontal="right" vertical="top" wrapText="1"/>
    </xf>
    <xf numFmtId="4" fontId="86" fillId="0" borderId="0" xfId="19598" applyNumberFormat="1" applyFont="1" applyFill="1" applyBorder="1" applyAlignment="1">
      <alignment horizontal="right" vertical="top" wrapText="1"/>
    </xf>
    <xf numFmtId="0" fontId="86" fillId="0" borderId="0" xfId="3538" applyFont="1" applyFill="1" applyBorder="1" applyAlignment="1">
      <alignment horizontal="center" vertical="top" wrapText="1"/>
    </xf>
    <xf numFmtId="178" fontId="86" fillId="0" borderId="0" xfId="19598" applyNumberFormat="1" applyFont="1" applyFill="1" applyBorder="1" applyAlignment="1">
      <alignment horizontal="right" vertical="top" wrapText="1"/>
    </xf>
    <xf numFmtId="178" fontId="87" fillId="0" borderId="0" xfId="17817" applyNumberFormat="1" applyFont="1" applyFill="1" applyBorder="1" applyAlignment="1">
      <alignment horizontal="right" vertical="top" wrapText="1"/>
    </xf>
    <xf numFmtId="4" fontId="86" fillId="0" borderId="0" xfId="17817" applyNumberFormat="1" applyFont="1" applyFill="1" applyBorder="1" applyAlignment="1">
      <alignment horizontal="right" vertical="top" wrapText="1"/>
    </xf>
    <xf numFmtId="186" fontId="86" fillId="0" borderId="0" xfId="17817" applyNumberFormat="1" applyFont="1" applyFill="1" applyBorder="1" applyAlignment="1">
      <alignment horizontal="right" vertical="top" wrapText="1"/>
    </xf>
    <xf numFmtId="3" fontId="86" fillId="0" borderId="0" xfId="17817" applyNumberFormat="1" applyFont="1" applyFill="1" applyBorder="1" applyAlignment="1">
      <alignment horizontal="right" vertical="top" wrapText="1"/>
    </xf>
    <xf numFmtId="1" fontId="86" fillId="0" borderId="0" xfId="3538" applyNumberFormat="1" applyFont="1" applyFill="1" applyBorder="1" applyAlignment="1">
      <alignment horizontal="left" vertical="top" wrapText="1"/>
    </xf>
    <xf numFmtId="49" fontId="86" fillId="0" borderId="0" xfId="0" applyNumberFormat="1" applyFont="1" applyFill="1" applyBorder="1" applyAlignment="1">
      <alignment horizontal="right" vertical="top" wrapText="1"/>
    </xf>
    <xf numFmtId="0" fontId="86" fillId="0" borderId="0" xfId="17889" applyFont="1" applyFill="1" applyBorder="1" applyAlignment="1">
      <alignment horizontal="right" vertical="top"/>
    </xf>
    <xf numFmtId="2" fontId="86" fillId="0" borderId="0" xfId="1538" applyNumberFormat="1" applyFont="1" applyFill="1" applyBorder="1" applyAlignment="1">
      <alignment horizontal="right" vertical="top" wrapText="1"/>
    </xf>
    <xf numFmtId="188" fontId="86" fillId="0" borderId="0" xfId="22875" applyNumberFormat="1" applyFont="1" applyFill="1" applyBorder="1" applyAlignment="1">
      <alignment horizontal="right" vertical="top" wrapText="1"/>
    </xf>
    <xf numFmtId="1" fontId="86" fillId="0" borderId="0" xfId="22891" applyNumberFormat="1" applyFont="1" applyFill="1" applyBorder="1" applyAlignment="1">
      <alignment horizontal="right" vertical="top"/>
    </xf>
    <xf numFmtId="4" fontId="86" fillId="0" borderId="0" xfId="22891" applyNumberFormat="1" applyFont="1" applyFill="1" applyBorder="1" applyAlignment="1">
      <alignment horizontal="right" vertical="top" wrapText="1"/>
    </xf>
    <xf numFmtId="4" fontId="86" fillId="0" borderId="0" xfId="22891" applyNumberFormat="1" applyFont="1" applyFill="1" applyBorder="1" applyAlignment="1">
      <alignment horizontal="right" vertical="top"/>
    </xf>
    <xf numFmtId="4" fontId="86" fillId="0" borderId="0" xfId="22891" applyNumberFormat="1" applyFont="1" applyFill="1" applyBorder="1" applyAlignment="1" applyProtection="1">
      <alignment horizontal="right" vertical="top"/>
      <protection locked="0"/>
    </xf>
    <xf numFmtId="3" fontId="86" fillId="0" borderId="0" xfId="22891" applyNumberFormat="1" applyFont="1" applyFill="1" applyBorder="1" applyAlignment="1">
      <alignment horizontal="right" vertical="top"/>
    </xf>
    <xf numFmtId="3" fontId="86" fillId="0" borderId="0" xfId="22891" applyNumberFormat="1" applyFont="1" applyFill="1" applyBorder="1" applyAlignment="1" applyProtection="1">
      <alignment horizontal="right" vertical="top"/>
      <protection locked="0"/>
    </xf>
    <xf numFmtId="0" fontId="86" fillId="0" borderId="0" xfId="0" applyNumberFormat="1" applyFont="1" applyFill="1" applyBorder="1" applyAlignment="1">
      <alignment horizontal="right" vertical="top"/>
    </xf>
    <xf numFmtId="180" fontId="86" fillId="0" borderId="0" xfId="0" applyNumberFormat="1" applyFont="1" applyFill="1" applyBorder="1" applyAlignment="1">
      <alignment horizontal="right" vertical="top"/>
    </xf>
    <xf numFmtId="180" fontId="86" fillId="0" borderId="0" xfId="17831" applyNumberFormat="1" applyFont="1" applyFill="1" applyBorder="1" applyAlignment="1">
      <alignment horizontal="right" vertical="top"/>
    </xf>
    <xf numFmtId="183" fontId="86" fillId="0" borderId="0" xfId="0" applyNumberFormat="1" applyFont="1" applyFill="1" applyBorder="1" applyAlignment="1">
      <alignment horizontal="right" vertical="top"/>
    </xf>
    <xf numFmtId="171" fontId="86" fillId="0" borderId="0" xfId="0" applyNumberFormat="1" applyFont="1" applyFill="1" applyBorder="1" applyAlignment="1">
      <alignment vertical="top" wrapText="1"/>
    </xf>
    <xf numFmtId="2" fontId="86" fillId="0" borderId="0" xfId="0" applyNumberFormat="1" applyFont="1" applyFill="1" applyBorder="1" applyAlignment="1">
      <alignment horizontal="right" vertical="top"/>
    </xf>
    <xf numFmtId="184" fontId="86" fillId="0" borderId="0" xfId="0" applyNumberFormat="1" applyFont="1" applyFill="1" applyBorder="1" applyAlignment="1">
      <alignment horizontal="center" vertical="top"/>
    </xf>
    <xf numFmtId="183" fontId="86" fillId="0" borderId="0" xfId="0" applyNumberFormat="1" applyFont="1" applyFill="1" applyBorder="1" applyAlignment="1">
      <alignment horizontal="center" vertical="top"/>
    </xf>
    <xf numFmtId="4" fontId="86" fillId="0" borderId="0" xfId="0" applyNumberFormat="1" applyFont="1" applyFill="1" applyBorder="1" applyAlignment="1">
      <alignment horizontal="right" vertical="center" wrapText="1"/>
    </xf>
    <xf numFmtId="175" fontId="86" fillId="0" borderId="0" xfId="0" applyNumberFormat="1" applyFont="1" applyFill="1" applyBorder="1" applyAlignment="1">
      <alignment horizontal="right" vertical="top"/>
    </xf>
    <xf numFmtId="1" fontId="86" fillId="0" borderId="0" xfId="1538" applyNumberFormat="1" applyFont="1" applyFill="1" applyBorder="1" applyAlignment="1">
      <alignment horizontal="center" vertical="top" wrapText="1"/>
    </xf>
    <xf numFmtId="178" fontId="89" fillId="0" borderId="0" xfId="0" applyNumberFormat="1" applyFont="1" applyFill="1" applyBorder="1" applyAlignment="1">
      <alignment horizontal="right" vertical="top"/>
    </xf>
    <xf numFmtId="3" fontId="86" fillId="0" borderId="0" xfId="1538" applyNumberFormat="1" applyFont="1" applyFill="1" applyBorder="1" applyAlignment="1">
      <alignment horizontal="right" vertical="top"/>
    </xf>
    <xf numFmtId="168" fontId="86" fillId="0" borderId="0" xfId="0" applyNumberFormat="1" applyFont="1" applyFill="1" applyBorder="1" applyAlignment="1">
      <alignment vertical="top"/>
    </xf>
    <xf numFmtId="168" fontId="86" fillId="0" borderId="0" xfId="0" applyNumberFormat="1" applyFont="1" applyFill="1" applyBorder="1" applyAlignment="1">
      <alignment vertical="top" wrapText="1"/>
    </xf>
    <xf numFmtId="4" fontId="86" fillId="0" borderId="0" xfId="19593" applyNumberFormat="1" applyFont="1" applyFill="1" applyBorder="1" applyAlignment="1">
      <alignment horizontal="right" vertical="top" wrapText="1"/>
    </xf>
    <xf numFmtId="3" fontId="86" fillId="0" borderId="0" xfId="1538" applyNumberFormat="1" applyFont="1" applyFill="1" applyBorder="1" applyAlignment="1">
      <alignment horizontal="left" vertical="top"/>
    </xf>
    <xf numFmtId="4" fontId="86" fillId="0" borderId="0" xfId="0" applyNumberFormat="1" applyFont="1" applyFill="1" applyBorder="1" applyAlignment="1">
      <alignment horizontal="left" vertical="top"/>
    </xf>
    <xf numFmtId="168" fontId="86" fillId="0" borderId="0" xfId="0" applyNumberFormat="1" applyFont="1" applyFill="1" applyBorder="1" applyAlignment="1">
      <alignment horizontal="center" vertical="top"/>
    </xf>
    <xf numFmtId="3" fontId="86" fillId="0" borderId="0" xfId="0" applyNumberFormat="1" applyFont="1" applyFill="1" applyBorder="1" applyAlignment="1">
      <alignment horizontal="left" vertical="top"/>
    </xf>
    <xf numFmtId="0" fontId="86" fillId="0" borderId="0" xfId="17833" applyFont="1" applyFill="1" applyBorder="1" applyAlignment="1">
      <alignment horizontal="right" vertical="top" wrapText="1"/>
    </xf>
    <xf numFmtId="168" fontId="86" fillId="0" borderId="0" xfId="17896" applyNumberFormat="1" applyFont="1" applyFill="1" applyBorder="1" applyAlignment="1">
      <alignment horizontal="right" vertical="top" wrapText="1"/>
    </xf>
    <xf numFmtId="3" fontId="86" fillId="0" borderId="0" xfId="17896" applyNumberFormat="1" applyFont="1" applyFill="1" applyBorder="1" applyAlignment="1">
      <alignment horizontal="right" vertical="top"/>
    </xf>
    <xf numFmtId="3" fontId="86" fillId="0" borderId="0" xfId="17896" applyNumberFormat="1" applyFont="1" applyFill="1" applyBorder="1" applyAlignment="1">
      <alignment horizontal="right" vertical="top" wrapText="1"/>
    </xf>
    <xf numFmtId="0" fontId="86" fillId="0" borderId="0" xfId="17833" applyFont="1" applyFill="1" applyBorder="1" applyAlignment="1">
      <alignment horizontal="center" vertical="top" wrapText="1"/>
    </xf>
    <xf numFmtId="168" fontId="86" fillId="0" borderId="0" xfId="0" applyNumberFormat="1" applyFont="1" applyFill="1" applyBorder="1" applyAlignment="1" applyProtection="1">
      <alignment horizontal="right" vertical="top"/>
      <protection locked="0"/>
    </xf>
    <xf numFmtId="0" fontId="86" fillId="0" borderId="0" xfId="0" applyFont="1" applyFill="1" applyBorder="1" applyAlignment="1" applyProtection="1">
      <alignment horizontal="center" vertical="top" wrapText="1"/>
      <protection locked="0"/>
    </xf>
    <xf numFmtId="0" fontId="86" fillId="0" borderId="0" xfId="1056" applyFont="1" applyFill="1" applyBorder="1" applyAlignment="1">
      <alignment horizontal="left" vertical="top" wrapText="1"/>
    </xf>
    <xf numFmtId="0" fontId="86" fillId="0" borderId="0" xfId="1056" applyFont="1" applyFill="1" applyBorder="1" applyAlignment="1">
      <alignment vertical="top" wrapText="1"/>
    </xf>
    <xf numFmtId="3" fontId="86" fillId="0" borderId="0" xfId="1539" applyNumberFormat="1" applyFont="1" applyFill="1" applyBorder="1" applyAlignment="1">
      <alignment horizontal="right" vertical="top"/>
    </xf>
    <xf numFmtId="0" fontId="86" fillId="0" borderId="0" xfId="5507" applyFont="1" applyFill="1" applyBorder="1" applyAlignment="1">
      <alignment horizontal="left" vertical="top" wrapText="1"/>
    </xf>
    <xf numFmtId="0" fontId="86" fillId="0" borderId="0" xfId="22875" applyFont="1" applyFill="1" applyBorder="1" applyAlignment="1">
      <alignment horizontal="left" vertical="top" wrapText="1"/>
    </xf>
    <xf numFmtId="0" fontId="86" fillId="0" borderId="0" xfId="0" applyNumberFormat="1" applyFont="1" applyFill="1" applyBorder="1" applyAlignment="1">
      <alignment horizontal="left" vertical="top" wrapText="1"/>
    </xf>
    <xf numFmtId="174" fontId="86" fillId="0" borderId="0" xfId="22876" applyNumberFormat="1" applyFont="1" applyFill="1" applyBorder="1" applyAlignment="1">
      <alignment horizontal="right" vertical="top" wrapText="1"/>
    </xf>
    <xf numFmtId="4" fontId="108" fillId="0" borderId="0" xfId="0" applyNumberFormat="1" applyFont="1" applyFill="1" applyBorder="1" applyAlignment="1">
      <alignment horizontal="right" vertical="top"/>
    </xf>
    <xf numFmtId="3" fontId="108" fillId="0" borderId="0" xfId="0" applyNumberFormat="1" applyFont="1" applyFill="1" applyBorder="1" applyAlignment="1">
      <alignment horizontal="right" vertical="top"/>
    </xf>
    <xf numFmtId="3" fontId="108" fillId="0" borderId="0" xfId="0" applyNumberFormat="1" applyFont="1" applyFill="1" applyBorder="1" applyAlignment="1">
      <alignment horizontal="right" vertical="top" wrapText="1"/>
    </xf>
    <xf numFmtId="3" fontId="95" fillId="0" borderId="0" xfId="0" applyNumberFormat="1" applyFont="1" applyFill="1" applyBorder="1" applyAlignment="1">
      <alignment horizontal="right" vertical="top"/>
    </xf>
    <xf numFmtId="1" fontId="86" fillId="0" borderId="0" xfId="0" applyNumberFormat="1" applyFont="1" applyFill="1" applyBorder="1" applyAlignment="1">
      <alignment vertical="top" wrapText="1" shrinkToFit="1"/>
    </xf>
    <xf numFmtId="3" fontId="102" fillId="0" borderId="0" xfId="0" applyNumberFormat="1" applyFont="1" applyFill="1" applyBorder="1" applyAlignment="1">
      <alignment horizontal="right" vertical="top"/>
    </xf>
    <xf numFmtId="3" fontId="86" fillId="0" borderId="0" xfId="5199" applyNumberFormat="1" applyFont="1" applyFill="1" applyBorder="1" applyAlignment="1">
      <alignment horizontal="left" vertical="top" wrapText="1"/>
    </xf>
    <xf numFmtId="3" fontId="86" fillId="0" borderId="0" xfId="22883" applyNumberFormat="1" applyFont="1" applyFill="1" applyBorder="1" applyAlignment="1">
      <alignment horizontal="left" vertical="top" wrapText="1"/>
    </xf>
    <xf numFmtId="4" fontId="86" fillId="0" borderId="0" xfId="22876" applyNumberFormat="1" applyFont="1" applyFill="1" applyBorder="1" applyAlignment="1">
      <alignment vertical="top" wrapText="1"/>
    </xf>
    <xf numFmtId="4" fontId="86" fillId="0" borderId="0" xfId="1538" applyNumberFormat="1" applyFont="1" applyFill="1" applyBorder="1" applyAlignment="1">
      <alignment vertical="top" wrapText="1"/>
    </xf>
    <xf numFmtId="190" fontId="86" fillId="0" borderId="0" xfId="0" applyNumberFormat="1" applyFont="1" applyFill="1" applyBorder="1" applyAlignment="1">
      <alignment horizontal="right" vertical="top" wrapText="1"/>
    </xf>
    <xf numFmtId="178" fontId="86" fillId="0" borderId="0" xfId="17817" applyNumberFormat="1" applyFont="1" applyFill="1" applyBorder="1" applyAlignment="1">
      <alignment horizontal="right" vertical="top" wrapText="1"/>
    </xf>
    <xf numFmtId="0" fontId="86" fillId="0" borderId="0" xfId="17896" applyFont="1" applyFill="1" applyBorder="1" applyAlignment="1">
      <alignment vertical="top" wrapText="1"/>
    </xf>
    <xf numFmtId="178" fontId="86" fillId="0" borderId="0" xfId="17896" applyNumberFormat="1" applyFont="1" applyFill="1" applyBorder="1" applyAlignment="1">
      <alignment horizontal="right" vertical="top" wrapText="1"/>
    </xf>
    <xf numFmtId="186" fontId="86" fillId="0" borderId="0" xfId="17896" applyNumberFormat="1" applyFont="1" applyFill="1" applyBorder="1" applyAlignment="1">
      <alignment horizontal="right" vertical="top" wrapText="1"/>
    </xf>
    <xf numFmtId="0" fontId="86" fillId="0" borderId="0" xfId="17896" applyFont="1" applyFill="1" applyBorder="1" applyAlignment="1">
      <alignment horizontal="right" vertical="top" wrapText="1"/>
    </xf>
    <xf numFmtId="0" fontId="109" fillId="0" borderId="0" xfId="17896" applyFont="1" applyFill="1" applyBorder="1" applyAlignment="1">
      <alignment horizontal="left" vertical="top"/>
    </xf>
    <xf numFmtId="1" fontId="109" fillId="0" borderId="0" xfId="17896" applyNumberFormat="1" applyFont="1" applyFill="1" applyBorder="1" applyAlignment="1">
      <alignment horizontal="right" vertical="top" wrapText="1"/>
    </xf>
    <xf numFmtId="4" fontId="109" fillId="0" borderId="0" xfId="17896" applyNumberFormat="1" applyFont="1" applyFill="1" applyBorder="1" applyAlignment="1">
      <alignment horizontal="right" vertical="top" wrapText="1"/>
    </xf>
    <xf numFmtId="3" fontId="109" fillId="0" borderId="0" xfId="17896" applyNumberFormat="1" applyFont="1" applyFill="1" applyBorder="1" applyAlignment="1">
      <alignment horizontal="right" vertical="top"/>
    </xf>
    <xf numFmtId="3" fontId="109" fillId="0" borderId="0" xfId="17896" applyNumberFormat="1" applyFont="1" applyFill="1" applyBorder="1" applyAlignment="1">
      <alignment horizontal="right" vertical="top" wrapText="1"/>
    </xf>
    <xf numFmtId="0" fontId="109" fillId="0" borderId="0" xfId="17896" applyFont="1" applyFill="1" applyBorder="1" applyAlignment="1">
      <alignment horizontal="center" vertical="top" wrapText="1"/>
    </xf>
    <xf numFmtId="0" fontId="54" fillId="0" borderId="0" xfId="17896" applyFont="1" applyFill="1" applyBorder="1" applyAlignment="1">
      <alignment vertical="top"/>
    </xf>
    <xf numFmtId="1" fontId="86" fillId="0" borderId="0" xfId="22890" applyNumberFormat="1" applyFont="1" applyFill="1" applyBorder="1" applyAlignment="1">
      <alignment horizontal="left" vertical="top" wrapText="1"/>
    </xf>
    <xf numFmtId="1" fontId="109" fillId="0" borderId="0" xfId="22890" applyNumberFormat="1" applyFont="1" applyFill="1" applyBorder="1" applyAlignment="1">
      <alignment horizontal="right" vertical="top" wrapText="1"/>
    </xf>
    <xf numFmtId="4" fontId="109" fillId="0" borderId="0" xfId="22890" applyNumberFormat="1" applyFont="1" applyFill="1" applyBorder="1" applyAlignment="1">
      <alignment horizontal="right" vertical="top" wrapText="1"/>
    </xf>
    <xf numFmtId="3" fontId="109" fillId="0" borderId="0" xfId="22890" applyNumberFormat="1" applyFont="1" applyFill="1" applyBorder="1" applyAlignment="1">
      <alignment horizontal="right" vertical="top" wrapText="1"/>
    </xf>
    <xf numFmtId="0" fontId="86" fillId="0" borderId="0" xfId="22890" applyFont="1" applyFill="1" applyBorder="1" applyAlignment="1">
      <alignment horizontal="center" vertical="top" wrapText="1"/>
    </xf>
    <xf numFmtId="1" fontId="86" fillId="0" borderId="0" xfId="22890" applyNumberFormat="1" applyFont="1" applyFill="1" applyBorder="1" applyAlignment="1">
      <alignment horizontal="right" vertical="top" wrapText="1"/>
    </xf>
    <xf numFmtId="4" fontId="86" fillId="0" borderId="0" xfId="22890" applyNumberFormat="1" applyFont="1" applyFill="1" applyBorder="1" applyAlignment="1">
      <alignment horizontal="right" vertical="top" wrapText="1"/>
    </xf>
    <xf numFmtId="3" fontId="86" fillId="0" borderId="0" xfId="22890" applyNumberFormat="1" applyFont="1" applyFill="1" applyBorder="1" applyAlignment="1">
      <alignment horizontal="right" vertical="top" wrapText="1"/>
    </xf>
    <xf numFmtId="0" fontId="86" fillId="0" borderId="0" xfId="17896" applyFont="1" applyFill="1" applyBorder="1" applyAlignment="1">
      <alignment horizontal="center" vertical="top" wrapText="1"/>
    </xf>
    <xf numFmtId="3" fontId="86" fillId="0" borderId="0" xfId="17817" applyNumberFormat="1" applyFont="1" applyFill="1" applyBorder="1" applyAlignment="1">
      <alignment vertical="top" wrapText="1"/>
    </xf>
    <xf numFmtId="49" fontId="86" fillId="0" borderId="0" xfId="19566" applyNumberFormat="1" applyFont="1" applyFill="1" applyBorder="1" applyAlignment="1">
      <alignment horizontal="right" vertical="top" wrapText="1"/>
    </xf>
    <xf numFmtId="49" fontId="86" fillId="0" borderId="0" xfId="19598" applyNumberFormat="1" applyFont="1" applyFill="1" applyBorder="1" applyAlignment="1">
      <alignment horizontal="right" vertical="top" wrapText="1"/>
    </xf>
    <xf numFmtId="3" fontId="86" fillId="0" borderId="0" xfId="19590" applyNumberFormat="1" applyFont="1" applyFill="1" applyBorder="1" applyAlignment="1">
      <alignment horizontal="right" vertical="top" wrapText="1"/>
    </xf>
    <xf numFmtId="4" fontId="86" fillId="0" borderId="0" xfId="19590" applyNumberFormat="1" applyFont="1" applyFill="1" applyBorder="1" applyAlignment="1">
      <alignment horizontal="right" vertical="top" wrapText="1"/>
    </xf>
    <xf numFmtId="4" fontId="86" fillId="0" borderId="0" xfId="22884" applyNumberFormat="1" applyFont="1" applyFill="1" applyBorder="1" applyAlignment="1">
      <alignment horizontal="right" vertical="top" wrapText="1"/>
    </xf>
    <xf numFmtId="3" fontId="86" fillId="0" borderId="0" xfId="22884" applyNumberFormat="1" applyFont="1" applyFill="1" applyBorder="1" applyAlignment="1">
      <alignment horizontal="right" vertical="top" wrapText="1"/>
    </xf>
    <xf numFmtId="4" fontId="110" fillId="0" borderId="0" xfId="1538" applyNumberFormat="1" applyFont="1" applyFill="1" applyBorder="1" applyAlignment="1">
      <alignment horizontal="right" vertical="top" wrapText="1"/>
    </xf>
    <xf numFmtId="186" fontId="110" fillId="0" borderId="0" xfId="1538" applyNumberFormat="1" applyFont="1" applyFill="1" applyBorder="1" applyAlignment="1">
      <alignment horizontal="right" vertical="top" wrapText="1"/>
    </xf>
    <xf numFmtId="3" fontId="110" fillId="0" borderId="0" xfId="1538" applyNumberFormat="1" applyFont="1" applyFill="1" applyBorder="1" applyAlignment="1">
      <alignment horizontal="right" vertical="top" wrapText="1"/>
    </xf>
    <xf numFmtId="0" fontId="86" fillId="0" borderId="0" xfId="8629" applyFont="1" applyFill="1" applyBorder="1" applyAlignment="1">
      <alignment vertical="top" wrapText="1"/>
    </xf>
    <xf numFmtId="168" fontId="86" fillId="0" borderId="0" xfId="19598" applyNumberFormat="1" applyFont="1" applyFill="1" applyBorder="1" applyAlignment="1">
      <alignment horizontal="right" vertical="top" wrapText="1"/>
    </xf>
    <xf numFmtId="4" fontId="86" fillId="0" borderId="0" xfId="1538" applyNumberFormat="1" applyFont="1" applyFill="1" applyBorder="1" applyAlignment="1">
      <alignment horizontal="right" vertical="top"/>
    </xf>
    <xf numFmtId="0" fontId="86" fillId="0" borderId="0" xfId="17889" applyFont="1" applyFill="1" applyBorder="1" applyAlignment="1">
      <alignment horizontal="left" vertical="top" wrapText="1"/>
    </xf>
    <xf numFmtId="0" fontId="86" fillId="0" borderId="0" xfId="0" applyFont="1" applyFill="1" applyBorder="1" applyAlignment="1" applyProtection="1">
      <alignment vertical="top" wrapText="1"/>
    </xf>
    <xf numFmtId="0" fontId="86" fillId="0" borderId="0" xfId="1538" applyFont="1" applyFill="1" applyBorder="1" applyAlignment="1">
      <alignment horizontal="right" vertical="top"/>
    </xf>
    <xf numFmtId="168" fontId="86" fillId="0" borderId="0" xfId="1538" applyNumberFormat="1" applyFont="1" applyFill="1" applyBorder="1" applyAlignment="1">
      <alignment horizontal="right" vertical="top"/>
    </xf>
    <xf numFmtId="3" fontId="89" fillId="0" borderId="0" xfId="1538" applyNumberFormat="1" applyFont="1" applyFill="1" applyBorder="1" applyAlignment="1">
      <alignment horizontal="right" vertical="top"/>
    </xf>
    <xf numFmtId="3" fontId="86" fillId="0" borderId="0" xfId="1538" applyNumberFormat="1" applyFont="1" applyFill="1" applyBorder="1" applyAlignment="1" applyProtection="1">
      <alignment horizontal="right" vertical="top"/>
      <protection locked="0"/>
    </xf>
    <xf numFmtId="3" fontId="86" fillId="0" borderId="0" xfId="22891" applyNumberFormat="1" applyFont="1" applyFill="1" applyBorder="1" applyAlignment="1">
      <alignment horizontal="right" vertical="top" wrapText="1"/>
    </xf>
    <xf numFmtId="183" fontId="86" fillId="0" borderId="0" xfId="0" applyNumberFormat="1" applyFont="1" applyFill="1" applyBorder="1" applyAlignment="1">
      <alignment horizontal="right" vertical="top" wrapText="1"/>
    </xf>
    <xf numFmtId="0" fontId="111" fillId="0" borderId="0" xfId="0" applyFont="1" applyFill="1" applyBorder="1" applyAlignment="1">
      <alignment vertical="top" wrapText="1"/>
    </xf>
    <xf numFmtId="173" fontId="86" fillId="0" borderId="0" xfId="0" applyNumberFormat="1" applyFont="1" applyFill="1" applyBorder="1" applyAlignment="1">
      <alignment horizontal="center" vertical="top" wrapText="1"/>
    </xf>
    <xf numFmtId="0" fontId="112" fillId="0" borderId="0" xfId="0" applyFont="1" applyFill="1" applyBorder="1" applyAlignment="1">
      <alignment horizontal="center" vertical="top"/>
    </xf>
    <xf numFmtId="0" fontId="86" fillId="0" borderId="0" xfId="0" applyFont="1" applyFill="1" applyBorder="1" applyAlignment="1">
      <alignment horizontal="center" vertical="center" wrapText="1"/>
    </xf>
    <xf numFmtId="4" fontId="86" fillId="0" borderId="0" xfId="17889" applyNumberFormat="1" applyFont="1" applyFill="1" applyBorder="1" applyAlignment="1">
      <alignment horizontal="left" vertical="top"/>
    </xf>
    <xf numFmtId="178" fontId="86" fillId="0" borderId="0" xfId="0" applyNumberFormat="1" applyFont="1" applyFill="1" applyBorder="1" applyAlignment="1">
      <alignment vertical="top" wrapText="1"/>
    </xf>
    <xf numFmtId="0" fontId="86" fillId="0" borderId="0" xfId="18239" applyFont="1" applyFill="1" applyBorder="1" applyAlignment="1">
      <alignment horizontal="center" vertical="top"/>
    </xf>
    <xf numFmtId="4" fontId="86" fillId="0" borderId="0" xfId="3422" applyNumberFormat="1" applyFont="1" applyFill="1" applyBorder="1" applyAlignment="1">
      <alignment horizontal="right" vertical="top"/>
    </xf>
    <xf numFmtId="177" fontId="86" fillId="0" borderId="0" xfId="0" applyNumberFormat="1" applyFont="1" applyFill="1" applyBorder="1" applyAlignment="1">
      <alignment horizontal="center" vertical="top" wrapText="1"/>
    </xf>
    <xf numFmtId="174" fontId="86" fillId="0" borderId="0" xfId="21264" applyNumberFormat="1" applyFont="1" applyFill="1" applyBorder="1" applyAlignment="1">
      <alignment horizontal="center" vertical="top" wrapText="1"/>
    </xf>
    <xf numFmtId="177" fontId="86" fillId="0" borderId="0" xfId="5199" applyNumberFormat="1" applyFont="1" applyFill="1" applyBorder="1" applyAlignment="1">
      <alignment vertical="top" wrapText="1"/>
    </xf>
    <xf numFmtId="177" fontId="86" fillId="0" borderId="0" xfId="1056" applyNumberFormat="1" applyFont="1" applyFill="1" applyBorder="1" applyAlignment="1">
      <alignment horizontal="right" vertical="top" wrapText="1"/>
    </xf>
    <xf numFmtId="177" fontId="86" fillId="0" borderId="0" xfId="21264" applyNumberFormat="1" applyFont="1" applyFill="1" applyBorder="1" applyAlignment="1">
      <alignment horizontal="center" vertical="top" wrapText="1"/>
    </xf>
    <xf numFmtId="178" fontId="86" fillId="0" borderId="0" xfId="19591" applyNumberFormat="1" applyFont="1" applyFill="1" applyBorder="1" applyAlignment="1">
      <alignment horizontal="right" vertical="top"/>
    </xf>
    <xf numFmtId="0" fontId="86" fillId="0" borderId="0" xfId="5507" applyFont="1" applyFill="1" applyBorder="1" applyAlignment="1">
      <alignment horizontal="center" vertical="center" wrapText="1"/>
    </xf>
    <xf numFmtId="1" fontId="86" fillId="0" borderId="0" xfId="3532" applyNumberFormat="1" applyFont="1" applyFill="1" applyBorder="1" applyAlignment="1">
      <alignment horizontal="left" vertical="top" wrapText="1"/>
    </xf>
    <xf numFmtId="0" fontId="86" fillId="0" borderId="0" xfId="3532" applyFont="1" applyFill="1" applyBorder="1" applyAlignment="1">
      <alignment horizontal="left" vertical="top" wrapText="1"/>
    </xf>
    <xf numFmtId="189" fontId="86" fillId="0" borderId="0" xfId="0" applyNumberFormat="1" applyFont="1" applyFill="1" applyBorder="1" applyAlignment="1">
      <alignment horizontal="right" vertical="top" wrapText="1"/>
    </xf>
    <xf numFmtId="0" fontId="86" fillId="0" borderId="0" xfId="0" applyFont="1" applyFill="1" applyBorder="1" applyAlignment="1">
      <alignment horizontal="justify" vertical="top" wrapText="1"/>
    </xf>
    <xf numFmtId="3" fontId="86" fillId="0" borderId="0" xfId="22885" applyNumberFormat="1" applyFont="1" applyFill="1" applyBorder="1" applyAlignment="1">
      <alignment horizontal="right" vertical="top"/>
    </xf>
    <xf numFmtId="4" fontId="112" fillId="0" borderId="0" xfId="0" applyNumberFormat="1" applyFont="1" applyFill="1" applyBorder="1" applyAlignment="1">
      <alignment horizontal="right" vertical="top" wrapText="1"/>
    </xf>
    <xf numFmtId="4" fontId="86" fillId="0" borderId="0" xfId="1540" applyNumberFormat="1" applyFont="1" applyFill="1" applyBorder="1" applyAlignment="1">
      <alignment vertical="top" wrapText="1"/>
    </xf>
    <xf numFmtId="186" fontId="86" fillId="0" borderId="0" xfId="1540" applyNumberFormat="1" applyFont="1" applyFill="1" applyBorder="1" applyAlignment="1">
      <alignment horizontal="right" vertical="top" wrapText="1"/>
    </xf>
    <xf numFmtId="0" fontId="86" fillId="0" borderId="0" xfId="0" applyFont="1" applyFill="1" applyBorder="1" applyAlignment="1">
      <alignment vertical="center" wrapText="1"/>
    </xf>
    <xf numFmtId="1" fontId="86" fillId="0" borderId="0" xfId="1538" applyNumberFormat="1" applyFont="1" applyFill="1" applyBorder="1" applyAlignment="1" applyProtection="1">
      <alignment horizontal="right" vertical="top" wrapText="1"/>
    </xf>
    <xf numFmtId="178" fontId="86" fillId="0" borderId="0" xfId="1538" applyNumberFormat="1" applyFont="1" applyFill="1" applyBorder="1" applyAlignment="1" applyProtection="1">
      <alignment horizontal="right" vertical="top" wrapText="1"/>
    </xf>
    <xf numFmtId="3" fontId="112" fillId="0" borderId="0" xfId="0" applyNumberFormat="1" applyFont="1" applyFill="1" applyBorder="1" applyAlignment="1">
      <alignment vertical="top" wrapText="1"/>
    </xf>
    <xf numFmtId="3" fontId="112" fillId="0" borderId="0" xfId="0" applyNumberFormat="1" applyFont="1" applyFill="1" applyBorder="1" applyAlignment="1">
      <alignment horizontal="left" vertical="top" wrapText="1"/>
    </xf>
    <xf numFmtId="3" fontId="112" fillId="0" borderId="0" xfId="0" applyNumberFormat="1" applyFont="1" applyFill="1" applyBorder="1" applyAlignment="1">
      <alignment horizontal="right" vertical="top" wrapText="1"/>
    </xf>
    <xf numFmtId="0" fontId="86" fillId="0" borderId="0" xfId="0" applyFont="1" applyFill="1" applyBorder="1" applyAlignment="1">
      <alignment horizontal="left" vertical="center" wrapText="1"/>
    </xf>
    <xf numFmtId="3" fontId="86" fillId="0" borderId="0" xfId="0" applyNumberFormat="1" applyFont="1" applyFill="1" applyBorder="1" applyAlignment="1">
      <alignment horizontal="left" vertical="center" wrapText="1"/>
    </xf>
    <xf numFmtId="3" fontId="86" fillId="0" borderId="0" xfId="0" applyNumberFormat="1" applyFont="1" applyFill="1" applyBorder="1" applyAlignment="1">
      <alignment horizontal="right" vertical="center" wrapText="1"/>
    </xf>
    <xf numFmtId="4" fontId="86" fillId="0" borderId="0" xfId="0" applyNumberFormat="1" applyFont="1" applyFill="1" applyBorder="1" applyAlignment="1">
      <alignment horizontal="center" vertical="center" wrapText="1"/>
    </xf>
    <xf numFmtId="4" fontId="86" fillId="0" borderId="0" xfId="22883" applyNumberFormat="1" applyFont="1" applyFill="1" applyBorder="1" applyAlignment="1">
      <alignment horizontal="right" vertical="center" wrapText="1"/>
    </xf>
    <xf numFmtId="0" fontId="86" fillId="0" borderId="0" xfId="19566" applyFont="1" applyFill="1" applyBorder="1" applyAlignment="1">
      <alignment horizontal="left" vertical="center" wrapText="1"/>
    </xf>
    <xf numFmtId="1" fontId="86" fillId="0" borderId="0" xfId="17896" applyNumberFormat="1" applyFont="1" applyFill="1" applyBorder="1" applyAlignment="1">
      <alignment horizontal="left" vertical="top" wrapText="1"/>
    </xf>
    <xf numFmtId="3" fontId="86" fillId="0" borderId="0" xfId="17896" applyNumberFormat="1" applyFont="1" applyFill="1" applyBorder="1" applyAlignment="1">
      <alignment horizontal="left" vertical="top" wrapText="1"/>
    </xf>
    <xf numFmtId="1" fontId="109" fillId="0" borderId="0" xfId="17896" applyNumberFormat="1" applyFont="1" applyFill="1" applyBorder="1" applyAlignment="1">
      <alignment horizontal="left" vertical="top" wrapText="1"/>
    </xf>
    <xf numFmtId="0" fontId="86" fillId="0" borderId="0" xfId="17896" applyFont="1" applyFill="1" applyBorder="1" applyAlignment="1">
      <alignment horizontal="left" vertical="top" wrapText="1"/>
    </xf>
    <xf numFmtId="2" fontId="86" fillId="0" borderId="0" xfId="17896" applyNumberFormat="1" applyFont="1" applyFill="1" applyBorder="1" applyAlignment="1">
      <alignment horizontal="left" vertical="top" wrapText="1"/>
    </xf>
    <xf numFmtId="1" fontId="86" fillId="0" borderId="0" xfId="17896" applyNumberFormat="1" applyFont="1" applyFill="1" applyBorder="1" applyAlignment="1">
      <alignment horizontal="right" vertical="top" wrapText="1"/>
    </xf>
    <xf numFmtId="0" fontId="86" fillId="0" borderId="0" xfId="17831" applyNumberFormat="1" applyFont="1" applyFill="1" applyBorder="1" applyAlignment="1">
      <alignment horizontal="center" vertical="top" wrapText="1"/>
    </xf>
    <xf numFmtId="186" fontId="110" fillId="0" borderId="0" xfId="17750" applyNumberFormat="1" applyFont="1" applyFill="1" applyBorder="1" applyAlignment="1">
      <alignment horizontal="right" vertical="top"/>
    </xf>
    <xf numFmtId="0" fontId="86" fillId="0" borderId="0" xfId="21264" applyNumberFormat="1" applyFont="1" applyFill="1" applyBorder="1" applyAlignment="1" applyProtection="1">
      <alignment horizontal="left" vertical="top" wrapText="1"/>
    </xf>
    <xf numFmtId="184" fontId="95" fillId="0" borderId="0" xfId="22886" applyNumberFormat="1" applyFont="1" applyFill="1" applyBorder="1" applyAlignment="1">
      <alignment horizontal="right" vertical="top"/>
    </xf>
    <xf numFmtId="4" fontId="95" fillId="0" borderId="0" xfId="22886" applyNumberFormat="1" applyFont="1" applyFill="1" applyBorder="1" applyAlignment="1">
      <alignment horizontal="right" vertical="top"/>
    </xf>
    <xf numFmtId="3" fontId="95" fillId="0" borderId="0" xfId="22886" applyNumberFormat="1" applyFont="1" applyFill="1" applyBorder="1" applyAlignment="1">
      <alignment horizontal="right" vertical="top"/>
    </xf>
    <xf numFmtId="171" fontId="86" fillId="0" borderId="0" xfId="0" applyNumberFormat="1" applyFont="1" applyFill="1" applyBorder="1" applyAlignment="1">
      <alignment horizontal="left" vertical="top" wrapText="1"/>
    </xf>
    <xf numFmtId="4" fontId="88" fillId="0" borderId="0" xfId="0" applyNumberFormat="1" applyFont="1" applyFill="1" applyBorder="1" applyAlignment="1">
      <alignment horizontal="right" vertical="top" wrapText="1"/>
    </xf>
    <xf numFmtId="3" fontId="88" fillId="0" borderId="0" xfId="0" applyNumberFormat="1" applyFont="1" applyFill="1" applyBorder="1" applyAlignment="1">
      <alignment horizontal="right" vertical="top" wrapText="1"/>
    </xf>
    <xf numFmtId="1" fontId="86" fillId="0" borderId="0" xfId="1539" applyNumberFormat="1" applyFont="1" applyFill="1" applyBorder="1" applyAlignment="1">
      <alignment vertical="top" wrapText="1"/>
    </xf>
    <xf numFmtId="178" fontId="86" fillId="0" borderId="0" xfId="21264" applyNumberFormat="1" applyFont="1" applyFill="1" applyBorder="1" applyAlignment="1">
      <alignment horizontal="right" vertical="top" wrapText="1"/>
    </xf>
    <xf numFmtId="186" fontId="86" fillId="0" borderId="0" xfId="21264" applyNumberFormat="1" applyFont="1" applyFill="1" applyBorder="1" applyAlignment="1">
      <alignment horizontal="right" vertical="top" wrapText="1"/>
    </xf>
    <xf numFmtId="175" fontId="86" fillId="0" borderId="0" xfId="18239" applyNumberFormat="1" applyFont="1" applyFill="1" applyBorder="1" applyAlignment="1">
      <alignment horizontal="right" vertical="top"/>
    </xf>
    <xf numFmtId="1" fontId="86" fillId="0" borderId="0" xfId="18239" applyNumberFormat="1" applyFont="1" applyFill="1" applyBorder="1" applyAlignment="1">
      <alignment horizontal="right" vertical="top" wrapText="1"/>
    </xf>
    <xf numFmtId="2" fontId="86" fillId="0" borderId="0" xfId="22889" applyNumberFormat="1" applyFont="1" applyFill="1" applyBorder="1" applyAlignment="1">
      <alignment horizontal="left" vertical="top" wrapText="1"/>
    </xf>
    <xf numFmtId="1" fontId="86" fillId="0" borderId="0" xfId="18239" applyNumberFormat="1" applyFont="1" applyFill="1" applyBorder="1" applyAlignment="1">
      <alignment horizontal="left" vertical="top" wrapText="1"/>
    </xf>
    <xf numFmtId="168" fontId="86" fillId="0" borderId="0" xfId="18239" applyNumberFormat="1" applyFont="1" applyFill="1" applyBorder="1" applyAlignment="1">
      <alignment horizontal="left" vertical="top"/>
    </xf>
    <xf numFmtId="0" fontId="86" fillId="0" borderId="0" xfId="3423" applyFont="1" applyFill="1" applyBorder="1" applyAlignment="1">
      <alignment horizontal="right" vertical="top" wrapText="1"/>
    </xf>
    <xf numFmtId="168" fontId="86" fillId="0" borderId="0" xfId="3423" applyNumberFormat="1" applyFont="1" applyFill="1" applyBorder="1" applyAlignment="1">
      <alignment horizontal="right" vertical="top"/>
    </xf>
    <xf numFmtId="3" fontId="86" fillId="0" borderId="0" xfId="3423" applyNumberFormat="1" applyFont="1" applyFill="1" applyBorder="1" applyAlignment="1">
      <alignment horizontal="right" vertical="top"/>
    </xf>
    <xf numFmtId="168" fontId="86" fillId="0" borderId="0" xfId="1539" applyNumberFormat="1" applyFont="1" applyFill="1" applyBorder="1" applyAlignment="1">
      <alignment horizontal="left" vertical="top" wrapText="1"/>
    </xf>
    <xf numFmtId="0" fontId="86" fillId="0" borderId="0" xfId="1056" applyFont="1" applyFill="1" applyBorder="1" applyAlignment="1">
      <alignment horizontal="center" vertical="top" wrapText="1"/>
    </xf>
    <xf numFmtId="3" fontId="86" fillId="0" borderId="0" xfId="1056" applyNumberFormat="1" applyFont="1" applyFill="1" applyBorder="1" applyAlignment="1">
      <alignment horizontal="right" vertical="top"/>
    </xf>
    <xf numFmtId="168" fontId="86" fillId="0" borderId="0" xfId="22876" applyNumberFormat="1" applyFont="1" applyFill="1" applyBorder="1" applyAlignment="1">
      <alignment horizontal="left" vertical="top"/>
    </xf>
    <xf numFmtId="0" fontId="86" fillId="0" borderId="0" xfId="22882" applyFont="1" applyFill="1" applyBorder="1" applyAlignment="1">
      <alignment horizontal="center" vertical="top" wrapText="1"/>
    </xf>
    <xf numFmtId="3" fontId="86" fillId="0" borderId="0" xfId="19591" applyNumberFormat="1" applyFont="1" applyFill="1" applyBorder="1" applyAlignment="1">
      <alignment horizontal="right" vertical="top"/>
    </xf>
    <xf numFmtId="168" fontId="86" fillId="0" borderId="0" xfId="18239" applyNumberFormat="1" applyFont="1" applyFill="1" applyBorder="1" applyAlignment="1">
      <alignment horizontal="right" vertical="top"/>
    </xf>
    <xf numFmtId="4" fontId="86" fillId="0" borderId="0" xfId="5154" applyNumberFormat="1" applyFont="1" applyFill="1" applyBorder="1" applyAlignment="1">
      <alignment horizontal="right" vertical="top" wrapText="1"/>
    </xf>
    <xf numFmtId="178" fontId="86" fillId="0" borderId="0" xfId="19591" applyNumberFormat="1" applyFont="1" applyFill="1" applyBorder="1" applyAlignment="1">
      <alignment horizontal="right" vertical="top" wrapText="1"/>
    </xf>
    <xf numFmtId="4" fontId="86" fillId="0" borderId="0" xfId="19591" applyNumberFormat="1" applyFont="1" applyFill="1" applyBorder="1" applyAlignment="1">
      <alignment horizontal="right" vertical="top" wrapText="1"/>
    </xf>
    <xf numFmtId="186" fontId="86" fillId="0" borderId="0" xfId="19591" applyNumberFormat="1" applyFont="1" applyFill="1" applyBorder="1" applyAlignment="1">
      <alignment horizontal="right" vertical="top" wrapText="1"/>
    </xf>
    <xf numFmtId="0" fontId="110" fillId="0" borderId="0" xfId="5199" applyFont="1" applyFill="1" applyBorder="1" applyAlignment="1">
      <alignment vertical="top" wrapText="1"/>
    </xf>
    <xf numFmtId="0" fontId="110" fillId="0" borderId="0" xfId="0" applyFont="1" applyFill="1" applyBorder="1" applyAlignment="1">
      <alignment horizontal="right" vertical="top"/>
    </xf>
    <xf numFmtId="4" fontId="110" fillId="0" borderId="0" xfId="0" applyNumberFormat="1" applyFont="1" applyFill="1" applyBorder="1" applyAlignment="1">
      <alignment horizontal="right" vertical="top"/>
    </xf>
    <xf numFmtId="3" fontId="110" fillId="0" borderId="0" xfId="0" applyNumberFormat="1" applyFont="1" applyFill="1" applyBorder="1" applyAlignment="1">
      <alignment horizontal="right" vertical="top"/>
    </xf>
    <xf numFmtId="0" fontId="110" fillId="0" borderId="0" xfId="1538" applyFont="1" applyFill="1" applyBorder="1" applyAlignment="1">
      <alignment horizontal="center" vertical="top" wrapText="1"/>
    </xf>
    <xf numFmtId="178" fontId="110" fillId="0" borderId="0" xfId="1538" applyNumberFormat="1" applyFont="1" applyFill="1" applyBorder="1" applyAlignment="1">
      <alignment horizontal="right" vertical="top" wrapText="1"/>
    </xf>
    <xf numFmtId="181" fontId="86" fillId="0" borderId="0" xfId="0" applyNumberFormat="1" applyFont="1" applyFill="1" applyBorder="1" applyAlignment="1">
      <alignment horizontal="right" vertical="top" wrapText="1"/>
    </xf>
    <xf numFmtId="178" fontId="118" fillId="0" borderId="0" xfId="22892" applyNumberFormat="1" applyFont="1" applyFill="1" applyBorder="1" applyAlignment="1">
      <alignment horizontal="right" vertical="top"/>
    </xf>
    <xf numFmtId="0" fontId="87" fillId="0" borderId="0" xfId="1538" applyFont="1" applyFill="1" applyBorder="1" applyAlignment="1">
      <alignment horizontal="center" vertical="top" wrapText="1"/>
    </xf>
    <xf numFmtId="0" fontId="86" fillId="0" borderId="0" xfId="22874" applyFont="1" applyFill="1" applyBorder="1" applyAlignment="1">
      <alignment horizontal="center" vertical="top" wrapText="1"/>
    </xf>
    <xf numFmtId="0" fontId="86" fillId="0" borderId="0" xfId="22874" applyFont="1" applyFill="1" applyBorder="1" applyAlignment="1">
      <alignment horizontal="left" vertical="top" wrapText="1"/>
    </xf>
    <xf numFmtId="171" fontId="86" fillId="0" borderId="0" xfId="17889" applyNumberFormat="1" applyFont="1" applyFill="1" applyBorder="1" applyAlignment="1">
      <alignment vertical="top"/>
    </xf>
    <xf numFmtId="0" fontId="86" fillId="0" borderId="0" xfId="19566" applyFont="1" applyFill="1" applyBorder="1" applyAlignment="1">
      <alignment vertical="top"/>
    </xf>
    <xf numFmtId="0" fontId="87" fillId="0" borderId="0" xfId="0" applyFont="1" applyFill="1" applyBorder="1" applyAlignment="1">
      <alignment vertical="top"/>
    </xf>
    <xf numFmtId="4" fontId="86" fillId="0" borderId="0" xfId="22874" applyNumberFormat="1" applyFont="1" applyFill="1" applyBorder="1" applyAlignment="1">
      <alignment horizontal="left" vertical="top" wrapText="1"/>
    </xf>
    <xf numFmtId="0" fontId="88" fillId="0" borderId="0" xfId="0" applyFont="1" applyFill="1" applyBorder="1" applyAlignment="1">
      <alignment vertical="top"/>
    </xf>
    <xf numFmtId="4" fontId="86" fillId="0" borderId="74" xfId="0" applyNumberFormat="1" applyFont="1" applyFill="1" applyBorder="1" applyAlignment="1">
      <alignment horizontal="right" vertical="top"/>
    </xf>
    <xf numFmtId="168" fontId="99" fillId="0" borderId="0" xfId="0" applyNumberFormat="1" applyFont="1" applyFill="1" applyBorder="1" applyAlignment="1">
      <alignment horizontal="center" vertical="top"/>
    </xf>
    <xf numFmtId="0" fontId="94" fillId="0" borderId="0" xfId="0" applyFont="1" applyFill="1" applyBorder="1" applyAlignment="1">
      <alignment horizontal="center" vertical="top" wrapText="1"/>
    </xf>
    <xf numFmtId="4" fontId="99" fillId="0" borderId="0" xfId="19592" applyNumberFormat="1" applyFont="1" applyFill="1" applyBorder="1" applyAlignment="1">
      <alignment horizontal="center" vertical="top"/>
    </xf>
    <xf numFmtId="3" fontId="99" fillId="0" borderId="0" xfId="0" applyNumberFormat="1" applyFont="1" applyFill="1" applyBorder="1" applyAlignment="1">
      <alignment horizontal="center" vertical="top"/>
    </xf>
    <xf numFmtId="0" fontId="99" fillId="0" borderId="0" xfId="0" applyFont="1" applyFill="1" applyBorder="1" applyAlignment="1">
      <alignment horizontal="left" vertical="top" wrapText="1"/>
    </xf>
    <xf numFmtId="0" fontId="99" fillId="0" borderId="0" xfId="0" applyFont="1" applyFill="1" applyBorder="1" applyAlignment="1">
      <alignment horizontal="center" vertical="top" wrapText="1"/>
    </xf>
    <xf numFmtId="4" fontId="87" fillId="0" borderId="0" xfId="0" applyNumberFormat="1" applyFont="1" applyFill="1" applyBorder="1" applyAlignment="1">
      <alignment horizontal="left" vertical="top" wrapText="1"/>
    </xf>
    <xf numFmtId="0" fontId="91" fillId="0" borderId="0" xfId="0" applyFont="1" applyFill="1" applyBorder="1" applyAlignment="1">
      <alignment vertical="top"/>
    </xf>
    <xf numFmtId="0" fontId="99" fillId="0" borderId="0" xfId="1540" applyFont="1" applyFill="1" applyBorder="1" applyAlignment="1">
      <alignment horizontal="center" vertical="top" wrapText="1"/>
    </xf>
    <xf numFmtId="0" fontId="86" fillId="0" borderId="0" xfId="22874" applyFont="1" applyFill="1" applyBorder="1" applyAlignment="1">
      <alignment vertical="top"/>
    </xf>
    <xf numFmtId="4" fontId="86" fillId="0" borderId="0" xfId="0" applyNumberFormat="1" applyFont="1" applyFill="1" applyAlignment="1">
      <alignment horizontal="right" vertical="top" wrapText="1"/>
    </xf>
    <xf numFmtId="0" fontId="104" fillId="0" borderId="0" xfId="0" applyFont="1" applyFill="1" applyBorder="1" applyAlignment="1">
      <alignment vertical="top"/>
    </xf>
    <xf numFmtId="0" fontId="119" fillId="0" borderId="0" xfId="0" applyFont="1" applyFill="1" applyBorder="1" applyAlignment="1">
      <alignment vertical="top"/>
    </xf>
    <xf numFmtId="0" fontId="105" fillId="0" borderId="0" xfId="0" applyFont="1" applyFill="1" applyBorder="1" applyAlignment="1">
      <alignment vertical="top"/>
    </xf>
    <xf numFmtId="3" fontId="86" fillId="0" borderId="0" xfId="0" applyNumberFormat="1" applyFont="1" applyFill="1" applyBorder="1" applyAlignment="1">
      <alignment vertical="top"/>
    </xf>
    <xf numFmtId="3" fontId="86" fillId="0" borderId="0" xfId="1538" applyNumberFormat="1" applyFont="1" applyFill="1" applyAlignment="1">
      <alignment horizontal="center" vertical="top" wrapText="1"/>
    </xf>
    <xf numFmtId="0" fontId="120" fillId="0" borderId="0" xfId="1538" applyFont="1" applyFill="1" applyBorder="1" applyAlignment="1">
      <alignment vertical="top" wrapText="1"/>
    </xf>
    <xf numFmtId="4" fontId="54" fillId="0" borderId="0" xfId="0" applyNumberFormat="1" applyFont="1" applyFill="1" applyBorder="1" applyAlignment="1">
      <alignment vertical="top"/>
    </xf>
    <xf numFmtId="0" fontId="105" fillId="0" borderId="0" xfId="0" applyFont="1" applyFill="1" applyBorder="1" applyAlignment="1">
      <alignment horizontal="center" vertical="top"/>
    </xf>
    <xf numFmtId="0" fontId="108" fillId="0" borderId="0" xfId="0" applyFont="1" applyFill="1" applyBorder="1" applyAlignment="1">
      <alignment vertical="top"/>
    </xf>
    <xf numFmtId="0" fontId="121" fillId="0" borderId="0" xfId="0" applyFont="1" applyFill="1" applyBorder="1" applyAlignment="1">
      <alignment vertical="top" wrapText="1"/>
    </xf>
    <xf numFmtId="0" fontId="89" fillId="0" borderId="0" xfId="0" applyFont="1" applyFill="1" applyAlignment="1">
      <alignment vertical="top"/>
    </xf>
    <xf numFmtId="4" fontId="88" fillId="0" borderId="0" xfId="0" applyNumberFormat="1" applyFont="1" applyFill="1" applyBorder="1" applyAlignment="1">
      <alignment horizontal="left" vertical="top" wrapText="1"/>
    </xf>
    <xf numFmtId="0" fontId="113" fillId="0" borderId="0" xfId="0" applyFont="1" applyFill="1" applyBorder="1" applyAlignment="1">
      <alignment vertical="top"/>
    </xf>
    <xf numFmtId="0" fontId="114" fillId="0" borderId="0" xfId="0" applyFont="1" applyFill="1" applyBorder="1" applyAlignment="1">
      <alignment vertical="top" wrapText="1"/>
    </xf>
    <xf numFmtId="0" fontId="116" fillId="0" borderId="0" xfId="0" applyFont="1" applyFill="1" applyBorder="1" applyAlignment="1">
      <alignment vertical="top"/>
    </xf>
    <xf numFmtId="0" fontId="122" fillId="0" borderId="0" xfId="0" applyFont="1" applyFill="1" applyBorder="1" applyAlignment="1">
      <alignment vertical="top"/>
    </xf>
    <xf numFmtId="0" fontId="35" fillId="106" borderId="82" xfId="0" applyFont="1" applyFill="1" applyBorder="1" applyAlignment="1">
      <alignment horizontal="center" vertical="top" wrapText="1"/>
    </xf>
    <xf numFmtId="0" fontId="35" fillId="106" borderId="83" xfId="0" applyFont="1" applyFill="1" applyBorder="1" applyAlignment="1">
      <alignment horizontal="center" vertical="top" wrapText="1"/>
    </xf>
    <xf numFmtId="3" fontId="35" fillId="106" borderId="82" xfId="0" applyNumberFormat="1" applyFont="1" applyFill="1" applyBorder="1" applyAlignment="1">
      <alignment horizontal="left" vertical="top" wrapText="1"/>
    </xf>
    <xf numFmtId="3" fontId="35" fillId="106" borderId="83" xfId="0" applyNumberFormat="1" applyFont="1" applyFill="1" applyBorder="1" applyAlignment="1">
      <alignment horizontal="left" vertical="top" wrapText="1"/>
    </xf>
    <xf numFmtId="0" fontId="35" fillId="106" borderId="79" xfId="0" applyFont="1" applyFill="1" applyBorder="1" applyAlignment="1">
      <alignment horizontal="center" vertical="top" wrapText="1"/>
    </xf>
    <xf numFmtId="0" fontId="35" fillId="106" borderId="82" xfId="0" applyFont="1" applyFill="1" applyBorder="1" applyAlignment="1">
      <alignment horizontal="left" vertical="top" wrapText="1"/>
    </xf>
    <xf numFmtId="0" fontId="35" fillId="106" borderId="83" xfId="0" applyFont="1" applyFill="1" applyBorder="1" applyAlignment="1">
      <alignment horizontal="left" vertical="top" wrapText="1"/>
    </xf>
    <xf numFmtId="4" fontId="35" fillId="106" borderId="82" xfId="0" applyNumberFormat="1" applyFont="1" applyFill="1" applyBorder="1" applyAlignment="1">
      <alignment horizontal="right" vertical="top"/>
    </xf>
    <xf numFmtId="4" fontId="35" fillId="106" borderId="83" xfId="0" applyNumberFormat="1" applyFont="1" applyFill="1" applyBorder="1" applyAlignment="1">
      <alignment horizontal="right" vertical="top"/>
    </xf>
    <xf numFmtId="168" fontId="35" fillId="106" borderId="82" xfId="0" applyNumberFormat="1" applyFont="1" applyFill="1" applyBorder="1" applyAlignment="1">
      <alignment horizontal="right" vertical="top"/>
    </xf>
    <xf numFmtId="168" fontId="35" fillId="106" borderId="83" xfId="0" applyNumberFormat="1" applyFont="1" applyFill="1" applyBorder="1" applyAlignment="1">
      <alignment horizontal="right" vertical="top"/>
    </xf>
    <xf numFmtId="3" fontId="35" fillId="106" borderId="82" xfId="0" applyNumberFormat="1" applyFont="1" applyFill="1" applyBorder="1" applyAlignment="1">
      <alignment horizontal="right" vertical="top"/>
    </xf>
    <xf numFmtId="3" fontId="35" fillId="106" borderId="83" xfId="0" applyNumberFormat="1" applyFont="1" applyFill="1" applyBorder="1" applyAlignment="1">
      <alignment horizontal="right" vertical="top"/>
    </xf>
    <xf numFmtId="1" fontId="35" fillId="106" borderId="82" xfId="0" applyNumberFormat="1" applyFont="1" applyFill="1" applyBorder="1" applyAlignment="1">
      <alignment horizontal="left" vertical="top" wrapText="1"/>
    </xf>
    <xf numFmtId="1" fontId="35" fillId="106" borderId="83" xfId="0" applyNumberFormat="1" applyFont="1" applyFill="1" applyBorder="1" applyAlignment="1">
      <alignment horizontal="left" vertical="top" wrapText="1"/>
    </xf>
    <xf numFmtId="0" fontId="35" fillId="106" borderId="82" xfId="0" applyFont="1" applyFill="1" applyBorder="1" applyAlignment="1">
      <alignment horizontal="right" vertical="top"/>
    </xf>
    <xf numFmtId="0" fontId="35" fillId="106" borderId="83" xfId="0" applyFont="1" applyFill="1" applyBorder="1" applyAlignment="1">
      <alignment horizontal="right" vertical="top"/>
    </xf>
    <xf numFmtId="168" fontId="35" fillId="106" borderId="79" xfId="19591" applyNumberFormat="1" applyFont="1" applyFill="1" applyBorder="1" applyAlignment="1">
      <alignment horizontal="right" vertical="top" wrapText="1"/>
    </xf>
    <xf numFmtId="1" fontId="35" fillId="106" borderId="79" xfId="0" applyNumberFormat="1" applyFont="1" applyFill="1" applyBorder="1" applyAlignment="1">
      <alignment horizontal="left" vertical="top" wrapText="1"/>
    </xf>
    <xf numFmtId="0" fontId="35" fillId="106" borderId="79" xfId="0" applyFont="1" applyFill="1" applyBorder="1" applyAlignment="1">
      <alignment horizontal="left" vertical="top" wrapText="1"/>
    </xf>
    <xf numFmtId="3" fontId="35" fillId="106" borderId="79" xfId="0" applyNumberFormat="1" applyFont="1" applyFill="1" applyBorder="1" applyAlignment="1">
      <alignment horizontal="center" vertical="top" wrapText="1"/>
    </xf>
    <xf numFmtId="0" fontId="35" fillId="107" borderId="79" xfId="0" applyFont="1" applyFill="1" applyBorder="1" applyAlignment="1">
      <alignment horizontal="left" vertical="top" wrapText="1"/>
    </xf>
    <xf numFmtId="0" fontId="35" fillId="107" borderId="79" xfId="0" applyFont="1" applyFill="1" applyBorder="1" applyAlignment="1">
      <alignment horizontal="center" vertical="top" wrapText="1"/>
    </xf>
    <xf numFmtId="1" fontId="35" fillId="107" borderId="79" xfId="0" applyNumberFormat="1" applyFont="1" applyFill="1" applyBorder="1" applyAlignment="1">
      <alignment horizontal="left" vertical="top" wrapText="1"/>
    </xf>
    <xf numFmtId="3" fontId="35" fillId="107" borderId="79" xfId="0" applyNumberFormat="1" applyFont="1" applyFill="1" applyBorder="1" applyAlignment="1">
      <alignment horizontal="right" vertical="top" wrapText="1"/>
    </xf>
    <xf numFmtId="4" fontId="35" fillId="107" borderId="79" xfId="0" applyNumberFormat="1" applyFont="1" applyFill="1" applyBorder="1" applyAlignment="1">
      <alignment horizontal="right" vertical="top" wrapText="1"/>
    </xf>
    <xf numFmtId="168" fontId="35" fillId="107" borderId="79" xfId="0" applyNumberFormat="1" applyFont="1" applyFill="1" applyBorder="1" applyAlignment="1">
      <alignment horizontal="right" vertical="top" wrapText="1"/>
    </xf>
    <xf numFmtId="1" fontId="35" fillId="107" borderId="79" xfId="0" applyNumberFormat="1" applyFont="1" applyFill="1" applyBorder="1" applyAlignment="1">
      <alignment horizontal="right" vertical="top" wrapText="1"/>
    </xf>
    <xf numFmtId="3" fontId="35" fillId="106" borderId="79" xfId="0" applyNumberFormat="1" applyFont="1" applyFill="1" applyBorder="1" applyAlignment="1">
      <alignment horizontal="right" vertical="top" wrapText="1"/>
    </xf>
    <xf numFmtId="4" fontId="35" fillId="106" borderId="79" xfId="0" applyNumberFormat="1" applyFont="1" applyFill="1" applyBorder="1" applyAlignment="1">
      <alignment horizontal="right" vertical="top" wrapText="1"/>
    </xf>
    <xf numFmtId="168" fontId="35" fillId="106" borderId="79" xfId="0" applyNumberFormat="1" applyFont="1" applyFill="1" applyBorder="1" applyAlignment="1">
      <alignment horizontal="right" vertical="top" wrapText="1"/>
    </xf>
    <xf numFmtId="4" fontId="35" fillId="106" borderId="79" xfId="0" applyNumberFormat="1" applyFont="1" applyFill="1" applyBorder="1" applyAlignment="1">
      <alignment horizontal="center" vertical="top" wrapText="1"/>
    </xf>
    <xf numFmtId="168" fontId="35" fillId="106" borderId="79" xfId="0" applyNumberFormat="1" applyFont="1" applyFill="1" applyBorder="1" applyAlignment="1">
      <alignment horizontal="center" vertical="top" wrapText="1"/>
    </xf>
    <xf numFmtId="4" fontId="35" fillId="0" borderId="0" xfId="1538" applyNumberFormat="1" applyFont="1" applyFill="1" applyBorder="1" applyAlignment="1">
      <alignment horizontal="center" vertical="center" textRotation="90" wrapText="1"/>
    </xf>
    <xf numFmtId="0" fontId="35" fillId="108" borderId="79" xfId="0" applyFont="1" applyFill="1" applyBorder="1" applyAlignment="1">
      <alignment horizontal="center" vertical="top" wrapText="1"/>
    </xf>
    <xf numFmtId="0" fontId="35" fillId="108" borderId="79" xfId="0" applyFont="1" applyFill="1" applyBorder="1" applyAlignment="1">
      <alignment horizontal="left" vertical="top" wrapText="1"/>
    </xf>
    <xf numFmtId="0" fontId="35" fillId="0" borderId="79" xfId="0" applyFont="1" applyFill="1" applyBorder="1" applyAlignment="1">
      <alignment horizontal="left" vertical="top" wrapText="1"/>
    </xf>
    <xf numFmtId="0" fontId="35" fillId="0" borderId="79" xfId="0" applyFont="1" applyFill="1" applyBorder="1" applyAlignment="1">
      <alignment horizontal="center" vertical="top" wrapText="1"/>
    </xf>
    <xf numFmtId="4" fontId="35" fillId="0" borderId="79" xfId="0" applyNumberFormat="1" applyFont="1" applyFill="1" applyBorder="1" applyAlignment="1">
      <alignment horizontal="center" vertical="top" wrapText="1"/>
    </xf>
    <xf numFmtId="168" fontId="35" fillId="0" borderId="0" xfId="0" applyNumberFormat="1" applyFont="1" applyFill="1" applyAlignment="1">
      <alignment vertical="top" wrapText="1"/>
    </xf>
    <xf numFmtId="3" fontId="35" fillId="0" borderId="0" xfId="0" applyNumberFormat="1" applyFont="1" applyFill="1" applyAlignment="1">
      <alignment vertical="top" wrapText="1"/>
    </xf>
    <xf numFmtId="0" fontId="35" fillId="0" borderId="0" xfId="0" applyFont="1" applyFill="1" applyAlignment="1">
      <alignment horizontal="center" vertical="top" wrapText="1"/>
    </xf>
    <xf numFmtId="4" fontId="35" fillId="0" borderId="0" xfId="0" applyNumberFormat="1" applyFont="1" applyFill="1" applyAlignment="1">
      <alignment horizontal="left" vertical="top" wrapText="1"/>
    </xf>
    <xf numFmtId="3" fontId="35" fillId="0" borderId="0" xfId="0" applyNumberFormat="1" applyFont="1" applyFill="1" applyAlignment="1">
      <alignment horizontal="left" vertical="top" wrapText="1"/>
    </xf>
    <xf numFmtId="3" fontId="35" fillId="0" borderId="0" xfId="0" applyNumberFormat="1" applyFont="1" applyFill="1" applyAlignment="1">
      <alignment horizontal="center" vertical="top" wrapText="1"/>
    </xf>
    <xf numFmtId="4" fontId="35" fillId="0" borderId="0" xfId="0" applyNumberFormat="1" applyFont="1" applyFill="1" applyAlignment="1">
      <alignment horizontal="center" vertical="top" wrapText="1"/>
    </xf>
    <xf numFmtId="4" fontId="35" fillId="107" borderId="79" xfId="0" applyNumberFormat="1" applyFont="1" applyFill="1" applyBorder="1" applyAlignment="1">
      <alignment horizontal="left" vertical="top" wrapText="1"/>
    </xf>
    <xf numFmtId="3" fontId="35" fillId="0" borderId="0" xfId="1538" applyNumberFormat="1" applyFont="1" applyFill="1" applyBorder="1" applyAlignment="1">
      <alignment horizontal="center" vertical="top" wrapText="1"/>
    </xf>
    <xf numFmtId="168" fontId="35" fillId="0" borderId="0" xfId="1538" applyNumberFormat="1" applyFont="1" applyFill="1" applyBorder="1" applyAlignment="1">
      <alignment horizontal="center" vertical="top" wrapText="1"/>
    </xf>
    <xf numFmtId="4" fontId="35" fillId="0" borderId="0" xfId="1538" applyNumberFormat="1" applyFont="1" applyFill="1" applyBorder="1" applyAlignment="1">
      <alignment horizontal="center" vertical="top" wrapText="1"/>
    </xf>
    <xf numFmtId="168" fontId="35" fillId="0" borderId="0" xfId="1538" applyNumberFormat="1" applyFont="1" applyFill="1" applyBorder="1" applyAlignment="1">
      <alignment vertical="top" wrapText="1"/>
    </xf>
    <xf numFmtId="3" fontId="35" fillId="0" borderId="0" xfId="1538" applyNumberFormat="1" applyFont="1" applyFill="1" applyBorder="1" applyAlignment="1">
      <alignment vertical="top" wrapText="1"/>
    </xf>
    <xf numFmtId="4" fontId="35" fillId="0" borderId="0" xfId="1538" applyNumberFormat="1" applyFont="1" applyFill="1" applyBorder="1" applyAlignment="1">
      <alignment horizontal="left" vertical="top" wrapText="1"/>
    </xf>
    <xf numFmtId="168" fontId="35" fillId="0" borderId="0" xfId="1538" applyNumberFormat="1" applyFont="1" applyFill="1" applyBorder="1" applyAlignment="1">
      <alignment horizontal="left" vertical="top" wrapText="1"/>
    </xf>
    <xf numFmtId="3" fontId="35" fillId="0" borderId="79" xfId="1538" applyNumberFormat="1" applyFont="1" applyFill="1" applyBorder="1" applyAlignment="1">
      <alignment horizontal="center" vertical="center" wrapText="1"/>
    </xf>
    <xf numFmtId="1" fontId="35" fillId="0" borderId="79" xfId="1538" applyNumberFormat="1" applyFont="1" applyFill="1" applyBorder="1" applyAlignment="1">
      <alignment horizontal="center" vertical="center" wrapText="1"/>
    </xf>
    <xf numFmtId="3" fontId="35" fillId="0" borderId="79" xfId="1538" applyNumberFormat="1" applyFont="1" applyFill="1" applyBorder="1" applyAlignment="1">
      <alignment horizontal="center" vertical="center" textRotation="90" wrapText="1"/>
    </xf>
    <xf numFmtId="4" fontId="35" fillId="0" borderId="79" xfId="1538" applyNumberFormat="1" applyFont="1" applyFill="1" applyBorder="1" applyAlignment="1">
      <alignment horizontal="center" vertical="center" textRotation="90" wrapText="1"/>
    </xf>
    <xf numFmtId="0" fontId="35" fillId="0" borderId="79" xfId="1538" applyFont="1" applyFill="1" applyBorder="1" applyAlignment="1">
      <alignment horizontal="center" vertical="center" textRotation="90" wrapText="1"/>
    </xf>
    <xf numFmtId="1" fontId="35" fillId="0" borderId="79" xfId="1538" applyNumberFormat="1" applyFont="1" applyFill="1" applyBorder="1" applyAlignment="1">
      <alignment horizontal="center" vertical="center" textRotation="90" wrapText="1"/>
    </xf>
    <xf numFmtId="168" fontId="35" fillId="0" borderId="79" xfId="1538" applyNumberFormat="1" applyFont="1" applyFill="1" applyBorder="1" applyAlignment="1">
      <alignment horizontal="center" vertical="center" textRotation="90" wrapText="1"/>
    </xf>
    <xf numFmtId="168" fontId="35" fillId="0" borderId="79" xfId="1538" applyNumberFormat="1" applyFont="1" applyFill="1" applyBorder="1" applyAlignment="1">
      <alignment horizontal="center" vertical="center" wrapText="1"/>
    </xf>
    <xf numFmtId="4" fontId="35" fillId="0" borderId="79" xfId="1538" applyNumberFormat="1" applyFont="1" applyFill="1" applyBorder="1" applyAlignment="1">
      <alignment horizontal="center" vertical="center" wrapText="1"/>
    </xf>
    <xf numFmtId="3" fontId="35" fillId="106" borderId="79" xfId="5507" applyNumberFormat="1" applyFont="1" applyFill="1" applyBorder="1" applyAlignment="1">
      <alignment horizontal="right" vertical="top" wrapText="1"/>
    </xf>
    <xf numFmtId="0" fontId="35" fillId="106" borderId="79" xfId="5507" applyFont="1" applyFill="1" applyBorder="1" applyAlignment="1">
      <alignment horizontal="left" vertical="top" wrapText="1"/>
    </xf>
    <xf numFmtId="168" fontId="35" fillId="106" borderId="79" xfId="19591" applyNumberFormat="1" applyFont="1" applyFill="1" applyBorder="1" applyAlignment="1">
      <alignment horizontal="center" vertical="top" wrapText="1"/>
    </xf>
    <xf numFmtId="3" fontId="35" fillId="106" borderId="79" xfId="5507" applyNumberFormat="1" applyFont="1" applyFill="1" applyBorder="1" applyAlignment="1">
      <alignment horizontal="center" vertical="top" wrapText="1"/>
    </xf>
    <xf numFmtId="3" fontId="35" fillId="96" borderId="79" xfId="1538" applyNumberFormat="1" applyFont="1" applyFill="1" applyBorder="1" applyAlignment="1">
      <alignment horizontal="center" vertical="top" wrapText="1"/>
    </xf>
    <xf numFmtId="4" fontId="35" fillId="0" borderId="0" xfId="0" applyNumberFormat="1" applyFont="1" applyFill="1" applyAlignment="1">
      <alignment horizontal="left" vertical="top"/>
    </xf>
    <xf numFmtId="4" fontId="35" fillId="0" borderId="0" xfId="0" applyNumberFormat="1" applyFont="1" applyFill="1" applyAlignment="1">
      <alignment horizontal="left" wrapText="1"/>
    </xf>
    <xf numFmtId="0" fontId="35" fillId="107" borderId="79" xfId="0" applyFont="1" applyFill="1" applyBorder="1" applyAlignment="1">
      <alignment horizontal="left" vertical="top" wrapText="1" shrinkToFit="1"/>
    </xf>
    <xf numFmtId="186" fontId="35" fillId="0" borderId="0" xfId="0" applyNumberFormat="1" applyFont="1" applyFill="1" applyAlignment="1">
      <alignment horizontal="center" vertical="top" wrapText="1"/>
    </xf>
    <xf numFmtId="1" fontId="35" fillId="108" borderId="71" xfId="0" applyNumberFormat="1" applyFont="1" applyFill="1" applyBorder="1" applyAlignment="1">
      <alignment horizontal="left" vertical="top" wrapText="1"/>
    </xf>
    <xf numFmtId="1" fontId="35" fillId="108" borderId="70" xfId="0" applyNumberFormat="1" applyFont="1" applyFill="1" applyBorder="1" applyAlignment="1">
      <alignment horizontal="left" vertical="top" wrapText="1"/>
    </xf>
    <xf numFmtId="0" fontId="35" fillId="108" borderId="71" xfId="0" applyFont="1" applyFill="1" applyBorder="1" applyAlignment="1">
      <alignment horizontal="center" vertical="top" wrapText="1"/>
    </xf>
    <xf numFmtId="0" fontId="35" fillId="108" borderId="69" xfId="0" applyFont="1" applyFill="1" applyBorder="1" applyAlignment="1">
      <alignment horizontal="center" vertical="top" wrapText="1"/>
    </xf>
    <xf numFmtId="0" fontId="35" fillId="0" borderId="39" xfId="0" applyFont="1" applyFill="1" applyBorder="1" applyAlignment="1">
      <alignment horizontal="center" vertical="top" wrapText="1"/>
    </xf>
    <xf numFmtId="0" fontId="35" fillId="0" borderId="40" xfId="0" applyFont="1" applyFill="1" applyBorder="1" applyAlignment="1">
      <alignment horizontal="center" vertical="top" wrapText="1"/>
    </xf>
    <xf numFmtId="186" fontId="35" fillId="0" borderId="40" xfId="0" applyNumberFormat="1" applyFont="1" applyFill="1" applyBorder="1" applyAlignment="1">
      <alignment horizontal="center" vertical="top" wrapText="1"/>
    </xf>
    <xf numFmtId="0" fontId="35" fillId="0" borderId="53" xfId="0" applyFont="1" applyFill="1" applyBorder="1" applyAlignment="1">
      <alignment horizontal="center" vertical="top" wrapText="1"/>
    </xf>
    <xf numFmtId="0" fontId="35" fillId="0" borderId="43" xfId="0" applyFont="1" applyFill="1" applyBorder="1" applyAlignment="1">
      <alignment horizontal="left" vertical="top" wrapText="1"/>
    </xf>
    <xf numFmtId="0" fontId="35" fillId="0" borderId="44" xfId="0" applyFont="1" applyFill="1" applyBorder="1" applyAlignment="1">
      <alignment horizontal="left" vertical="top" wrapText="1"/>
    </xf>
    <xf numFmtId="0" fontId="35" fillId="107" borderId="71" xfId="0" applyFont="1" applyFill="1" applyBorder="1" applyAlignment="1">
      <alignment horizontal="center" vertical="top" wrapText="1"/>
    </xf>
    <xf numFmtId="0" fontId="35" fillId="107" borderId="69" xfId="0" applyFont="1" applyFill="1" applyBorder="1" applyAlignment="1">
      <alignment horizontal="center" vertical="top" wrapText="1"/>
    </xf>
    <xf numFmtId="4" fontId="35" fillId="0" borderId="0" xfId="1538" applyNumberFormat="1" applyFont="1" applyFill="1" applyBorder="1" applyAlignment="1">
      <alignment horizontal="right" vertical="top" wrapText="1"/>
    </xf>
    <xf numFmtId="186" fontId="35" fillId="0" borderId="0" xfId="1538" applyNumberFormat="1" applyFont="1" applyFill="1" applyBorder="1" applyAlignment="1">
      <alignment horizontal="center" vertical="top" wrapText="1"/>
    </xf>
    <xf numFmtId="3" fontId="35" fillId="0" borderId="73" xfId="1538" applyNumberFormat="1" applyFont="1" applyFill="1" applyBorder="1" applyAlignment="1">
      <alignment horizontal="center" vertical="top" wrapText="1"/>
    </xf>
    <xf numFmtId="4" fontId="35" fillId="0" borderId="73" xfId="1538" applyNumberFormat="1" applyFont="1" applyFill="1" applyBorder="1" applyAlignment="1">
      <alignment horizontal="center" vertical="top" wrapText="1"/>
    </xf>
    <xf numFmtId="186" fontId="35" fillId="0" borderId="73" xfId="1538" applyNumberFormat="1" applyFont="1" applyFill="1" applyBorder="1" applyAlignment="1">
      <alignment horizontal="center" vertical="top" wrapText="1"/>
    </xf>
    <xf numFmtId="0" fontId="35" fillId="106" borderId="71" xfId="0" applyFont="1" applyFill="1" applyBorder="1" applyAlignment="1">
      <alignment horizontal="center" vertical="top" wrapText="1"/>
    </xf>
    <xf numFmtId="0" fontId="35" fillId="106" borderId="69" xfId="0" applyFont="1" applyFill="1" applyBorder="1" applyAlignment="1">
      <alignment horizontal="center" vertical="top" wrapText="1"/>
    </xf>
    <xf numFmtId="0" fontId="35" fillId="106" borderId="71" xfId="0" applyFont="1" applyFill="1" applyBorder="1" applyAlignment="1">
      <alignment horizontal="left" vertical="top" wrapText="1"/>
    </xf>
    <xf numFmtId="0" fontId="35" fillId="106" borderId="70" xfId="0" applyFont="1" applyFill="1" applyBorder="1" applyAlignment="1">
      <alignment horizontal="left" vertical="top" wrapText="1"/>
    </xf>
    <xf numFmtId="0" fontId="35" fillId="107" borderId="71" xfId="0" applyFont="1" applyFill="1" applyBorder="1" applyAlignment="1">
      <alignment horizontal="left" vertical="top" wrapText="1"/>
    </xf>
    <xf numFmtId="0" fontId="35" fillId="107" borderId="70" xfId="0" applyFont="1" applyFill="1" applyBorder="1" applyAlignment="1">
      <alignment horizontal="left" vertical="top" wrapText="1"/>
    </xf>
    <xf numFmtId="3" fontId="35" fillId="96" borderId="71" xfId="1538" applyNumberFormat="1" applyFont="1" applyFill="1" applyBorder="1" applyAlignment="1">
      <alignment horizontal="center" vertical="top" wrapText="1"/>
    </xf>
    <xf numFmtId="3" fontId="35" fillId="96" borderId="69" xfId="1538" applyNumberFormat="1" applyFont="1" applyFill="1" applyBorder="1" applyAlignment="1">
      <alignment horizontal="center" vertical="top" wrapText="1"/>
    </xf>
    <xf numFmtId="3" fontId="35" fillId="96" borderId="70" xfId="1538" applyNumberFormat="1" applyFont="1" applyFill="1" applyBorder="1" applyAlignment="1">
      <alignment horizontal="center" vertical="top" wrapText="1"/>
    </xf>
    <xf numFmtId="178" fontId="86" fillId="0" borderId="0" xfId="0" applyNumberFormat="1" applyFont="1" applyFill="1" applyBorder="1" applyAlignment="1">
      <alignment horizontal="center" vertical="top" wrapText="1"/>
    </xf>
    <xf numFmtId="0" fontId="86" fillId="0" borderId="0" xfId="22875" applyFont="1" applyFill="1" applyBorder="1" applyAlignment="1">
      <alignment horizontal="left" vertical="top" wrapText="1"/>
    </xf>
    <xf numFmtId="1" fontId="86" fillId="0" borderId="0" xfId="0" applyNumberFormat="1" applyFont="1" applyFill="1" applyBorder="1" applyAlignment="1">
      <alignment horizontal="center" vertical="top" wrapText="1"/>
    </xf>
    <xf numFmtId="0" fontId="86" fillId="0" borderId="0" xfId="0" applyFont="1" applyFill="1" applyBorder="1" applyAlignment="1">
      <alignment horizontal="left" vertical="top" wrapText="1"/>
    </xf>
    <xf numFmtId="0" fontId="86" fillId="0" borderId="0" xfId="0" applyFont="1" applyFill="1" applyBorder="1" applyAlignment="1">
      <alignment horizontal="center" vertical="top" wrapText="1"/>
    </xf>
    <xf numFmtId="178" fontId="86" fillId="0" borderId="0" xfId="1538" applyNumberFormat="1" applyFont="1" applyFill="1" applyBorder="1" applyAlignment="1">
      <alignment horizontal="right" vertical="top" wrapText="1"/>
    </xf>
    <xf numFmtId="1" fontId="86" fillId="0" borderId="0" xfId="0" applyNumberFormat="1" applyFont="1" applyFill="1" applyBorder="1" applyAlignment="1">
      <alignment horizontal="left" vertical="top" wrapText="1"/>
    </xf>
    <xf numFmtId="178" fontId="86" fillId="0" borderId="0" xfId="18239" applyNumberFormat="1" applyFont="1" applyFill="1" applyBorder="1" applyAlignment="1">
      <alignment horizontal="center" vertical="top" wrapText="1"/>
    </xf>
    <xf numFmtId="3" fontId="86" fillId="0" borderId="0" xfId="0" applyNumberFormat="1" applyFont="1" applyFill="1" applyBorder="1" applyAlignment="1">
      <alignment horizontal="left" vertical="top" wrapText="1"/>
    </xf>
    <xf numFmtId="178" fontId="86" fillId="0" borderId="0" xfId="1539" applyNumberFormat="1" applyFont="1" applyFill="1" applyBorder="1" applyAlignment="1">
      <alignment horizontal="right" vertical="top" wrapText="1"/>
    </xf>
    <xf numFmtId="3" fontId="86" fillId="0" borderId="0" xfId="0" applyNumberFormat="1" applyFont="1" applyFill="1" applyBorder="1" applyAlignment="1">
      <alignment horizontal="center" vertical="top" wrapText="1"/>
    </xf>
    <xf numFmtId="178" fontId="86" fillId="0" borderId="0" xfId="1539" applyNumberFormat="1" applyFont="1" applyFill="1" applyBorder="1" applyAlignment="1">
      <alignment horizontal="center" vertical="top" wrapText="1"/>
    </xf>
    <xf numFmtId="4" fontId="86" fillId="0" borderId="0" xfId="0" applyNumberFormat="1" applyFont="1" applyFill="1" applyBorder="1" applyAlignment="1">
      <alignment horizontal="right" vertical="top" wrapText="1"/>
    </xf>
    <xf numFmtId="4" fontId="86" fillId="0" borderId="0" xfId="1539" applyNumberFormat="1" applyFont="1" applyFill="1" applyBorder="1" applyAlignment="1">
      <alignment horizontal="right" vertical="top" wrapText="1"/>
    </xf>
    <xf numFmtId="4" fontId="86" fillId="0" borderId="0" xfId="0" applyNumberFormat="1" applyFont="1" applyFill="1" applyBorder="1" applyAlignment="1">
      <alignment horizontal="left" vertical="top" wrapText="1"/>
    </xf>
    <xf numFmtId="0" fontId="86" fillId="0" borderId="0" xfId="0" applyFont="1" applyFill="1" applyBorder="1" applyAlignment="1">
      <alignment vertical="top" wrapText="1"/>
    </xf>
    <xf numFmtId="0" fontId="86" fillId="0" borderId="0" xfId="0" applyFont="1" applyFill="1" applyBorder="1" applyAlignment="1">
      <alignment horizontal="center" vertical="top"/>
    </xf>
    <xf numFmtId="1" fontId="86" fillId="0" borderId="0" xfId="1538" applyNumberFormat="1" applyFont="1" applyFill="1" applyBorder="1" applyAlignment="1">
      <alignment horizontal="center" vertical="top" wrapText="1"/>
    </xf>
    <xf numFmtId="0" fontId="86" fillId="0" borderId="0" xfId="0" applyFont="1" applyFill="1" applyBorder="1" applyAlignment="1">
      <alignment horizontal="left" vertical="top"/>
    </xf>
    <xf numFmtId="178" fontId="86" fillId="0" borderId="0" xfId="0" applyNumberFormat="1" applyFont="1" applyFill="1" applyBorder="1" applyAlignment="1">
      <alignment horizontal="right" vertical="top"/>
    </xf>
    <xf numFmtId="178" fontId="86" fillId="0" borderId="0" xfId="0" applyNumberFormat="1" applyFont="1" applyFill="1" applyBorder="1" applyAlignment="1">
      <alignment horizontal="right" vertical="top" wrapText="1"/>
    </xf>
    <xf numFmtId="0" fontId="86" fillId="0" borderId="0" xfId="3532" applyFont="1" applyFill="1" applyBorder="1" applyAlignment="1">
      <alignment horizontal="left" vertical="top" wrapText="1"/>
    </xf>
    <xf numFmtId="177" fontId="86" fillId="0" borderId="0" xfId="0" applyNumberFormat="1" applyFont="1" applyFill="1" applyBorder="1" applyAlignment="1">
      <alignment horizontal="center" vertical="top" wrapText="1"/>
    </xf>
    <xf numFmtId="1" fontId="86" fillId="0" borderId="0" xfId="3532" applyNumberFormat="1" applyFont="1" applyFill="1" applyBorder="1" applyAlignment="1">
      <alignment horizontal="left" vertical="top" wrapText="1"/>
    </xf>
    <xf numFmtId="4" fontId="86" fillId="0" borderId="0" xfId="1538" applyNumberFormat="1" applyFont="1" applyFill="1" applyBorder="1" applyAlignment="1">
      <alignment horizontal="left" vertical="top" wrapText="1"/>
    </xf>
    <xf numFmtId="1" fontId="87" fillId="0" borderId="0" xfId="1538" applyNumberFormat="1" applyFont="1" applyFill="1" applyBorder="1" applyAlignment="1">
      <alignment horizontal="left" vertical="top" wrapText="1"/>
    </xf>
    <xf numFmtId="0" fontId="86" fillId="0" borderId="0" xfId="19566" applyFont="1" applyFill="1" applyBorder="1" applyAlignment="1">
      <alignment horizontal="center" vertical="top" wrapText="1"/>
    </xf>
    <xf numFmtId="0" fontId="86" fillId="0" borderId="0" xfId="1538" applyFont="1" applyFill="1" applyBorder="1" applyAlignment="1">
      <alignment horizontal="center" vertical="top" wrapText="1"/>
    </xf>
    <xf numFmtId="0" fontId="86" fillId="0" borderId="0" xfId="19566" applyFont="1" applyFill="1" applyBorder="1" applyAlignment="1">
      <alignment horizontal="left" vertical="top" wrapText="1"/>
    </xf>
    <xf numFmtId="1" fontId="86" fillId="0" borderId="0" xfId="1538" applyNumberFormat="1" applyFont="1" applyFill="1" applyBorder="1" applyAlignment="1">
      <alignment horizontal="left" vertical="top" wrapText="1"/>
    </xf>
    <xf numFmtId="0" fontId="86" fillId="0" borderId="0" xfId="21264" applyFont="1" applyFill="1" applyBorder="1" applyAlignment="1">
      <alignment horizontal="left" vertical="top" wrapText="1"/>
    </xf>
    <xf numFmtId="0" fontId="86" fillId="0" borderId="0" xfId="17831" applyNumberFormat="1" applyFont="1" applyFill="1" applyBorder="1" applyAlignment="1">
      <alignment horizontal="left" vertical="top" wrapText="1"/>
    </xf>
    <xf numFmtId="178" fontId="86" fillId="0" borderId="0" xfId="22876" applyNumberFormat="1" applyFont="1" applyFill="1" applyBorder="1" applyAlignment="1">
      <alignment horizontal="right" vertical="top" wrapText="1"/>
    </xf>
    <xf numFmtId="178" fontId="86" fillId="0" borderId="0" xfId="18239" applyNumberFormat="1" applyFont="1" applyFill="1" applyBorder="1" applyAlignment="1">
      <alignment horizontal="right" vertical="top" wrapText="1"/>
    </xf>
    <xf numFmtId="4" fontId="86" fillId="0" borderId="0" xfId="0" applyNumberFormat="1" applyFont="1" applyFill="1" applyBorder="1" applyAlignment="1">
      <alignment horizontal="center" vertical="top"/>
    </xf>
    <xf numFmtId="178" fontId="87" fillId="0" borderId="0" xfId="0" applyNumberFormat="1" applyFont="1" applyFill="1" applyBorder="1" applyAlignment="1">
      <alignment horizontal="right" vertical="top"/>
    </xf>
    <xf numFmtId="1" fontId="86" fillId="0" borderId="0" xfId="0" applyNumberFormat="1" applyFont="1" applyFill="1" applyBorder="1" applyAlignment="1">
      <alignment horizontal="right" vertical="top" wrapText="1"/>
    </xf>
    <xf numFmtId="4" fontId="86" fillId="0" borderId="0" xfId="0" applyNumberFormat="1" applyFont="1" applyFill="1" applyBorder="1" applyAlignment="1">
      <alignment horizontal="center" vertical="top" wrapText="1"/>
    </xf>
    <xf numFmtId="3" fontId="86" fillId="0" borderId="0" xfId="22874" applyNumberFormat="1" applyFont="1" applyFill="1" applyBorder="1" applyAlignment="1">
      <alignment horizontal="right" vertical="top" wrapText="1"/>
    </xf>
    <xf numFmtId="3" fontId="86" fillId="0" borderId="0" xfId="0" applyNumberFormat="1" applyFont="1" applyFill="1" applyBorder="1" applyAlignment="1">
      <alignment horizontal="right" vertical="top" wrapText="1"/>
    </xf>
    <xf numFmtId="4" fontId="86" fillId="0" borderId="0" xfId="22874" applyNumberFormat="1" applyFont="1" applyFill="1" applyBorder="1" applyAlignment="1">
      <alignment horizontal="right" vertical="top" wrapText="1"/>
    </xf>
    <xf numFmtId="4" fontId="86" fillId="0" borderId="0" xfId="19566" applyNumberFormat="1" applyFont="1" applyFill="1" applyBorder="1" applyAlignment="1">
      <alignment horizontal="right" vertical="top" wrapText="1"/>
    </xf>
    <xf numFmtId="0" fontId="86" fillId="0" borderId="0" xfId="0" applyFont="1" applyFill="1" applyBorder="1" applyAlignment="1">
      <alignment horizontal="right" vertical="top" wrapText="1"/>
    </xf>
    <xf numFmtId="173" fontId="86" fillId="0" borderId="0" xfId="0" applyNumberFormat="1" applyFont="1" applyFill="1" applyBorder="1" applyAlignment="1">
      <alignment horizontal="left" vertical="top" wrapText="1"/>
    </xf>
    <xf numFmtId="3" fontId="86" fillId="0" borderId="0" xfId="0" applyNumberFormat="1" applyFont="1" applyFill="1" applyBorder="1" applyAlignment="1">
      <alignment vertical="top" wrapText="1"/>
    </xf>
    <xf numFmtId="0" fontId="86" fillId="0" borderId="0" xfId="19566" applyFont="1" applyFill="1" applyBorder="1" applyAlignment="1">
      <alignment horizontal="right" vertical="top" wrapText="1"/>
    </xf>
    <xf numFmtId="0" fontId="86" fillId="0" borderId="0" xfId="18239" applyFont="1" applyFill="1" applyBorder="1" applyAlignment="1">
      <alignment horizontal="left" vertical="top" wrapText="1"/>
    </xf>
    <xf numFmtId="3" fontId="86" fillId="0" borderId="0" xfId="1538" applyNumberFormat="1" applyFont="1" applyFill="1" applyBorder="1" applyAlignment="1">
      <alignment horizontal="center" vertical="top" wrapText="1"/>
    </xf>
    <xf numFmtId="4" fontId="86" fillId="0" borderId="0" xfId="1538" applyNumberFormat="1" applyFont="1" applyFill="1" applyBorder="1" applyAlignment="1">
      <alignment horizontal="center" vertical="top" wrapText="1"/>
    </xf>
    <xf numFmtId="3" fontId="86" fillId="0" borderId="0" xfId="1538" applyNumberFormat="1" applyFont="1" applyFill="1" applyBorder="1" applyAlignment="1">
      <alignment horizontal="left" vertical="top" wrapText="1"/>
    </xf>
    <xf numFmtId="0" fontId="86" fillId="0" borderId="0" xfId="1538" applyFont="1" applyFill="1" applyBorder="1" applyAlignment="1">
      <alignment vertical="top" wrapText="1"/>
    </xf>
    <xf numFmtId="3" fontId="86" fillId="0" borderId="0" xfId="1538" applyNumberFormat="1" applyFont="1" applyFill="1" applyBorder="1" applyAlignment="1">
      <alignment horizontal="right" vertical="top" textRotation="90" wrapText="1"/>
    </xf>
    <xf numFmtId="4" fontId="86" fillId="0" borderId="0" xfId="1538" applyNumberFormat="1" applyFont="1" applyFill="1" applyBorder="1" applyAlignment="1">
      <alignment horizontal="right" vertical="top" textRotation="90" wrapText="1"/>
    </xf>
    <xf numFmtId="4" fontId="86" fillId="0" borderId="0" xfId="1538" applyNumberFormat="1" applyFont="1" applyFill="1" applyBorder="1" applyAlignment="1">
      <alignment horizontal="right" vertical="top" wrapText="1"/>
    </xf>
    <xf numFmtId="3" fontId="86" fillId="0" borderId="0" xfId="1538" applyNumberFormat="1" applyFont="1" applyFill="1" applyBorder="1" applyAlignment="1" applyProtection="1">
      <alignment horizontal="right" vertical="top" textRotation="90" wrapText="1"/>
    </xf>
    <xf numFmtId="178" fontId="86" fillId="0" borderId="0" xfId="1538" applyNumberFormat="1" applyFont="1" applyFill="1" applyBorder="1" applyAlignment="1">
      <alignment horizontal="right" vertical="top" textRotation="90" wrapText="1"/>
    </xf>
    <xf numFmtId="0" fontId="86" fillId="0" borderId="0" xfId="1538" applyFont="1" applyFill="1" applyBorder="1" applyAlignment="1">
      <alignment horizontal="center" vertical="top" textRotation="90" wrapText="1"/>
    </xf>
    <xf numFmtId="1" fontId="86" fillId="0" borderId="0" xfId="0" applyNumberFormat="1" applyFont="1" applyFill="1" applyBorder="1" applyAlignment="1">
      <alignment vertical="top" wrapText="1"/>
    </xf>
    <xf numFmtId="1" fontId="86" fillId="0" borderId="0" xfId="21264" applyNumberFormat="1" applyFont="1" applyFill="1" applyBorder="1" applyAlignment="1">
      <alignment horizontal="left" vertical="top" wrapText="1"/>
    </xf>
    <xf numFmtId="0" fontId="86" fillId="0" borderId="0" xfId="5199" applyFont="1" applyFill="1" applyBorder="1" applyAlignment="1">
      <alignment horizontal="left" vertical="top" wrapText="1"/>
    </xf>
    <xf numFmtId="0" fontId="86" fillId="0" borderId="0" xfId="22883" applyFont="1" applyFill="1" applyBorder="1" applyAlignment="1">
      <alignment vertical="top" wrapText="1"/>
    </xf>
    <xf numFmtId="0" fontId="102" fillId="0" borderId="0" xfId="0" applyFont="1" applyFill="1" applyBorder="1" applyAlignment="1">
      <alignment vertical="top" wrapText="1"/>
    </xf>
    <xf numFmtId="169" fontId="86" fillId="0" borderId="0" xfId="0" applyNumberFormat="1" applyFont="1" applyFill="1" applyBorder="1" applyAlignment="1">
      <alignment vertical="top" wrapText="1"/>
    </xf>
    <xf numFmtId="4" fontId="86" fillId="0" borderId="0" xfId="22883" applyNumberFormat="1" applyFont="1" applyFill="1" applyBorder="1" applyAlignment="1">
      <alignment horizontal="right" vertical="top" wrapText="1"/>
    </xf>
    <xf numFmtId="178" fontId="86" fillId="0" borderId="0" xfId="0" applyNumberFormat="1" applyFont="1" applyFill="1" applyBorder="1" applyAlignment="1">
      <alignment horizontal="center" vertical="top"/>
    </xf>
  </cellXfs>
  <cellStyles count="22894">
    <cellStyle name="20% - Акцент1 2" xfId="2"/>
    <cellStyle name="20% - Акцент1 2 2" xfId="3"/>
    <cellStyle name="20% - Акцент1 2 2 2" xfId="17836"/>
    <cellStyle name="20% - Акцент1 2 3" xfId="17835"/>
    <cellStyle name="20% - Акцент1 2 4" xfId="19604"/>
    <cellStyle name="20% - Акцент1 3" xfId="4"/>
    <cellStyle name="20% - Акцент1 3 2" xfId="17837"/>
    <cellStyle name="20% - Акцент1 3 3" xfId="19605"/>
    <cellStyle name="20% - Акцент2 2" xfId="5"/>
    <cellStyle name="20% - Акцент2 2 2" xfId="6"/>
    <cellStyle name="20% - Акцент2 2 2 2" xfId="17839"/>
    <cellStyle name="20% - Акцент2 2 3" xfId="17838"/>
    <cellStyle name="20% - Акцент2 2 4" xfId="19606"/>
    <cellStyle name="20% - Акцент2 3" xfId="7"/>
    <cellStyle name="20% - Акцент2 3 2" xfId="17840"/>
    <cellStyle name="20% - Акцент2 3 3" xfId="19607"/>
    <cellStyle name="20% - Акцент3 2" xfId="8"/>
    <cellStyle name="20% - Акцент3 2 2" xfId="9"/>
    <cellStyle name="20% - Акцент3 2 2 2" xfId="17842"/>
    <cellStyle name="20% - Акцент3 2 3" xfId="17841"/>
    <cellStyle name="20% - Акцент3 2 4" xfId="19608"/>
    <cellStyle name="20% - Акцент3 3" xfId="10"/>
    <cellStyle name="20% - Акцент3 3 2" xfId="17843"/>
    <cellStyle name="20% - Акцент3 3 3" xfId="19609"/>
    <cellStyle name="20% - Акцент4 2" xfId="11"/>
    <cellStyle name="20% - Акцент4 2 2" xfId="12"/>
    <cellStyle name="20% - Акцент4 2 2 2" xfId="17845"/>
    <cellStyle name="20% - Акцент4 2 3" xfId="17844"/>
    <cellStyle name="20% - Акцент4 2 4" xfId="19610"/>
    <cellStyle name="20% - Акцент4 3" xfId="13"/>
    <cellStyle name="20% - Акцент4 3 2" xfId="17846"/>
    <cellStyle name="20% - Акцент4 3 3" xfId="19611"/>
    <cellStyle name="20% - Акцент5 2" xfId="14"/>
    <cellStyle name="20% - Акцент5 2 2" xfId="15"/>
    <cellStyle name="20% - Акцент5 2 2 2" xfId="17848"/>
    <cellStyle name="20% - Акцент5 2 3" xfId="17847"/>
    <cellStyle name="20% - Акцент5 3" xfId="16"/>
    <cellStyle name="20% - Акцент5 3 2" xfId="17849"/>
    <cellStyle name="20% - Акцент6 2" xfId="17"/>
    <cellStyle name="20% - Акцент6 2 2" xfId="18"/>
    <cellStyle name="20% - Акцент6 2 2 2" xfId="17851"/>
    <cellStyle name="20% - Акцент6 2 3" xfId="17850"/>
    <cellStyle name="20% - Акцент6 3" xfId="19"/>
    <cellStyle name="20% - Акцент6 3 2" xfId="17852"/>
    <cellStyle name="40% - Акцент1 2" xfId="20"/>
    <cellStyle name="40% - Акцент1 2 2" xfId="21"/>
    <cellStyle name="40% - Акцент1 2 2 2" xfId="17854"/>
    <cellStyle name="40% - Акцент1 2 3" xfId="17853"/>
    <cellStyle name="40% - Акцент1 3" xfId="22"/>
    <cellStyle name="40% - Акцент1 3 2" xfId="17855"/>
    <cellStyle name="40% - Акцент2 2" xfId="23"/>
    <cellStyle name="40% - Акцент2 2 2" xfId="24"/>
    <cellStyle name="40% - Акцент2 2 2 2" xfId="17857"/>
    <cellStyle name="40% - Акцент2 2 3" xfId="17856"/>
    <cellStyle name="40% - Акцент2 3" xfId="25"/>
    <cellStyle name="40% - Акцент2 3 2" xfId="17858"/>
    <cellStyle name="40% - Акцент3 2" xfId="26"/>
    <cellStyle name="40% - Акцент3 2 2" xfId="27"/>
    <cellStyle name="40% - Акцент3 2 2 2" xfId="17860"/>
    <cellStyle name="40% - Акцент3 2 3" xfId="17859"/>
    <cellStyle name="40% - Акцент3 2 4" xfId="19612"/>
    <cellStyle name="40% - Акцент3 3" xfId="28"/>
    <cellStyle name="40% - Акцент3 3 2" xfId="17861"/>
    <cellStyle name="40% - Акцент3 3 3" xfId="19613"/>
    <cellStyle name="40% - Акцент4 2" xfId="29"/>
    <cellStyle name="40% - Акцент4 2 2" xfId="30"/>
    <cellStyle name="40% - Акцент4 2 2 2" xfId="17863"/>
    <cellStyle name="40% - Акцент4 2 3" xfId="17862"/>
    <cellStyle name="40% - Акцент4 3" xfId="31"/>
    <cellStyle name="40% - Акцент4 3 2" xfId="17864"/>
    <cellStyle name="40% - Акцент5 2" xfId="32"/>
    <cellStyle name="40% - Акцент5 2 2" xfId="33"/>
    <cellStyle name="40% - Акцент5 2 2 2" xfId="17866"/>
    <cellStyle name="40% - Акцент5 2 3" xfId="17865"/>
    <cellStyle name="40% - Акцент5 3" xfId="34"/>
    <cellStyle name="40% - Акцент5 3 2" xfId="17867"/>
    <cellStyle name="40% - Акцент6 2" xfId="35"/>
    <cellStyle name="40% - Акцент6 2 2" xfId="36"/>
    <cellStyle name="40% - Акцент6 2 2 2" xfId="17869"/>
    <cellStyle name="40% - Акцент6 2 3" xfId="17868"/>
    <cellStyle name="40% - Акцент6 3" xfId="37"/>
    <cellStyle name="40% - Акцент6 3 2" xfId="17870"/>
    <cellStyle name="60% - Акцент1 2" xfId="38"/>
    <cellStyle name="60% - Акцент1 2 2" xfId="39"/>
    <cellStyle name="60% - Акцент1 2 2 2" xfId="17872"/>
    <cellStyle name="60% - Акцент1 2 3" xfId="17871"/>
    <cellStyle name="60% - Акцент1 3" xfId="40"/>
    <cellStyle name="60% - Акцент1 3 2" xfId="17873"/>
    <cellStyle name="60% - Акцент2 2" xfId="41"/>
    <cellStyle name="60% - Акцент2 2 2" xfId="42"/>
    <cellStyle name="60% - Акцент2 2 2 2" xfId="17875"/>
    <cellStyle name="60% - Акцент2 2 3" xfId="17874"/>
    <cellStyle name="60% - Акцент2 3" xfId="43"/>
    <cellStyle name="60% - Акцент2 3 2" xfId="17876"/>
    <cellStyle name="60% - Акцент3 2" xfId="44"/>
    <cellStyle name="60% - Акцент3 2 2" xfId="45"/>
    <cellStyle name="60% - Акцент3 2 2 2" xfId="17878"/>
    <cellStyle name="60% - Акцент3 2 3" xfId="17877"/>
    <cellStyle name="60% - Акцент3 2 4" xfId="19614"/>
    <cellStyle name="60% - Акцент3 3" xfId="46"/>
    <cellStyle name="60% - Акцент3 3 2" xfId="17879"/>
    <cellStyle name="60% - Акцент3 3 3" xfId="19615"/>
    <cellStyle name="60% - Акцент4 2" xfId="47"/>
    <cellStyle name="60% - Акцент4 2 2" xfId="48"/>
    <cellStyle name="60% - Акцент4 2 2 2" xfId="17881"/>
    <cellStyle name="60% - Акцент4 2 3" xfId="17880"/>
    <cellStyle name="60% - Акцент4 2 4" xfId="19616"/>
    <cellStyle name="60% - Акцент4 3" xfId="49"/>
    <cellStyle name="60% - Акцент4 3 2" xfId="17882"/>
    <cellStyle name="60% - Акцент4 3 3" xfId="19617"/>
    <cellStyle name="60% - Акцент5 2" xfId="50"/>
    <cellStyle name="60% - Акцент5 2 2" xfId="51"/>
    <cellStyle name="60% - Акцент5 2 2 2" xfId="17884"/>
    <cellStyle name="60% - Акцент5 2 3" xfId="17883"/>
    <cellStyle name="60% - Акцент5 3" xfId="52"/>
    <cellStyle name="60% - Акцент5 3 2" xfId="17885"/>
    <cellStyle name="60% - Акцент6 2" xfId="53"/>
    <cellStyle name="60% - Акцент6 2 2" xfId="54"/>
    <cellStyle name="60% - Акцент6 2 2 2" xfId="17887"/>
    <cellStyle name="60% - Акцент6 2 3" xfId="17886"/>
    <cellStyle name="60% - Акцент6 2 4" xfId="19618"/>
    <cellStyle name="60% - Акцент6 3" xfId="55"/>
    <cellStyle name="60% - Акцент6 3 2" xfId="17888"/>
    <cellStyle name="60% - Акцент6 3 3" xfId="19619"/>
    <cellStyle name="Excel Built-in Bad" xfId="17833"/>
    <cellStyle name="Excel Built-in Bad 1" xfId="17829"/>
    <cellStyle name="Excel Built-in Normal" xfId="17889"/>
    <cellStyle name="Excel Built-in Normal 1" xfId="17830"/>
    <cellStyle name="Excel Built-in Normal 1 1" xfId="17891"/>
    <cellStyle name="Excel Built-in Normal 1 1 1" xfId="17892"/>
    <cellStyle name="Excel Built-in Normal 1 2" xfId="17890"/>
    <cellStyle name="Excel Built-in Normal 2" xfId="17828"/>
    <cellStyle name="Excel Built-in Normal 2 2" xfId="17893"/>
    <cellStyle name="Excel Built-in Normal 3" xfId="17832"/>
    <cellStyle name="Excel Built-in Normal 3 2" xfId="17894"/>
    <cellStyle name="Excel Built-in Normal 4" xfId="17831"/>
    <cellStyle name="Excel Built-in Normal 5" xfId="22881"/>
    <cellStyle name="Excel Built-in Normal_Xl0001228" xfId="22878"/>
    <cellStyle name="Hyperlink_FNX Model Template" xfId="56"/>
    <cellStyle name="Input 1" xfId="57"/>
    <cellStyle name="Input 1 2" xfId="17895"/>
    <cellStyle name="Normal_FNX Features" xfId="58"/>
    <cellStyle name="TableStyleLight1" xfId="59"/>
    <cellStyle name="TableStyleLight1 2" xfId="17896"/>
    <cellStyle name="TableStyleLight1 3" xfId="22879"/>
    <cellStyle name="Title 3" xfId="60"/>
    <cellStyle name="Title 3 2" xfId="17897"/>
    <cellStyle name="Title 4" xfId="61"/>
    <cellStyle name="Title 4 2" xfId="17898"/>
    <cellStyle name="Акцент1 2" xfId="62"/>
    <cellStyle name="Акцент1 2 2" xfId="63"/>
    <cellStyle name="Акцент1 2 2 2" xfId="17900"/>
    <cellStyle name="Акцент1 2 3" xfId="17899"/>
    <cellStyle name="Акцент1 3" xfId="64"/>
    <cellStyle name="Акцент1 3 2" xfId="17901"/>
    <cellStyle name="Акцент2 2" xfId="65"/>
    <cellStyle name="Акцент2 2 2" xfId="66"/>
    <cellStyle name="Акцент2 2 2 2" xfId="17903"/>
    <cellStyle name="Акцент2 2 3" xfId="17902"/>
    <cellStyle name="Акцент2 3" xfId="67"/>
    <cellStyle name="Акцент2 3 2" xfId="17904"/>
    <cellStyle name="Акцент3 2" xfId="68"/>
    <cellStyle name="Акцент3 2 2" xfId="69"/>
    <cellStyle name="Акцент3 2 2 2" xfId="17906"/>
    <cellStyle name="Акцент3 2 3" xfId="17905"/>
    <cellStyle name="Акцент3 3" xfId="70"/>
    <cellStyle name="Акцент3 3 2" xfId="17907"/>
    <cellStyle name="Акцент4 2" xfId="71"/>
    <cellStyle name="Акцент4 2 2" xfId="72"/>
    <cellStyle name="Акцент4 2 2 2" xfId="17909"/>
    <cellStyle name="Акцент4 2 3" xfId="17908"/>
    <cellStyle name="Акцент4 3" xfId="73"/>
    <cellStyle name="Акцент4 3 2" xfId="17910"/>
    <cellStyle name="Акцент5 2" xfId="74"/>
    <cellStyle name="Акцент5 2 2" xfId="75"/>
    <cellStyle name="Акцент5 2 2 2" xfId="17912"/>
    <cellStyle name="Акцент5 2 3" xfId="17911"/>
    <cellStyle name="Акцент5 3" xfId="76"/>
    <cellStyle name="Акцент5 3 2" xfId="17913"/>
    <cellStyle name="Акцент6 2" xfId="77"/>
    <cellStyle name="Акцент6 2 2" xfId="78"/>
    <cellStyle name="Акцент6 2 2 2" xfId="17915"/>
    <cellStyle name="Акцент6 2 3" xfId="17914"/>
    <cellStyle name="Акцент6 3" xfId="79"/>
    <cellStyle name="Акцент6 3 2" xfId="17916"/>
    <cellStyle name="Ввод  2" xfId="80"/>
    <cellStyle name="Ввод  2 2" xfId="81"/>
    <cellStyle name="Ввод  2 2 10" xfId="82"/>
    <cellStyle name="Ввод  2 2 11" xfId="83"/>
    <cellStyle name="Ввод  2 2 12" xfId="84"/>
    <cellStyle name="Ввод  2 2 13" xfId="85"/>
    <cellStyle name="Ввод  2 2 14" xfId="86"/>
    <cellStyle name="Ввод  2 2 15" xfId="87"/>
    <cellStyle name="Ввод  2 2 16" xfId="88"/>
    <cellStyle name="Ввод  2 2 17" xfId="89"/>
    <cellStyle name="Ввод  2 2 18" xfId="17918"/>
    <cellStyle name="Ввод  2 2 19" xfId="19649"/>
    <cellStyle name="Ввод  2 2 2" xfId="90"/>
    <cellStyle name="Ввод  2 2 2 10" xfId="91"/>
    <cellStyle name="Ввод  2 2 2 11" xfId="92"/>
    <cellStyle name="Ввод  2 2 2 12" xfId="93"/>
    <cellStyle name="Ввод  2 2 2 13" xfId="94"/>
    <cellStyle name="Ввод  2 2 2 14" xfId="95"/>
    <cellStyle name="Ввод  2 2 2 15" xfId="96"/>
    <cellStyle name="Ввод  2 2 2 16" xfId="97"/>
    <cellStyle name="Ввод  2 2 2 17" xfId="98"/>
    <cellStyle name="Ввод  2 2 2 18" xfId="17919"/>
    <cellStyle name="Ввод  2 2 2 19" xfId="19650"/>
    <cellStyle name="Ввод  2 2 2 2" xfId="99"/>
    <cellStyle name="Ввод  2 2 2 2 2" xfId="100"/>
    <cellStyle name="Ввод  2 2 2 2 3" xfId="101"/>
    <cellStyle name="Ввод  2 2 2 2 4" xfId="102"/>
    <cellStyle name="Ввод  2 2 2 3" xfId="103"/>
    <cellStyle name="Ввод  2 2 2 3 2" xfId="104"/>
    <cellStyle name="Ввод  2 2 2 3 3" xfId="105"/>
    <cellStyle name="Ввод  2 2 2 3 4" xfId="106"/>
    <cellStyle name="Ввод  2 2 2 4" xfId="107"/>
    <cellStyle name="Ввод  2 2 2 4 2" xfId="108"/>
    <cellStyle name="Ввод  2 2 2 4 3" xfId="109"/>
    <cellStyle name="Ввод  2 2 2 4 4" xfId="110"/>
    <cellStyle name="Ввод  2 2 2 5" xfId="111"/>
    <cellStyle name="Ввод  2 2 2 6" xfId="112"/>
    <cellStyle name="Ввод  2 2 2 7" xfId="113"/>
    <cellStyle name="Ввод  2 2 2 8" xfId="114"/>
    <cellStyle name="Ввод  2 2 2 9" xfId="115"/>
    <cellStyle name="Ввод  2 2 3" xfId="116"/>
    <cellStyle name="Ввод  2 2 3 2" xfId="117"/>
    <cellStyle name="Ввод  2 2 3 3" xfId="118"/>
    <cellStyle name="Ввод  2 2 3 4" xfId="119"/>
    <cellStyle name="Ввод  2 2 4" xfId="120"/>
    <cellStyle name="Ввод  2 2 4 2" xfId="121"/>
    <cellStyle name="Ввод  2 2 4 3" xfId="122"/>
    <cellStyle name="Ввод  2 2 4 4" xfId="123"/>
    <cellStyle name="Ввод  2 2 5" xfId="124"/>
    <cellStyle name="Ввод  2 2 5 2" xfId="125"/>
    <cellStyle name="Ввод  2 2 5 3" xfId="126"/>
    <cellStyle name="Ввод  2 2 5 4" xfId="127"/>
    <cellStyle name="Ввод  2 2 6" xfId="128"/>
    <cellStyle name="Ввод  2 2 7" xfId="129"/>
    <cellStyle name="Ввод  2 2 8" xfId="130"/>
    <cellStyle name="Ввод  2 2 9" xfId="131"/>
    <cellStyle name="Ввод  2 3" xfId="17917"/>
    <cellStyle name="Ввод  3" xfId="132"/>
    <cellStyle name="Ввод  3 2" xfId="17920"/>
    <cellStyle name="Вывод 2" xfId="133"/>
    <cellStyle name="Вывод 2 2" xfId="134"/>
    <cellStyle name="Вывод 2 2 10" xfId="135"/>
    <cellStyle name="Вывод 2 2 11" xfId="136"/>
    <cellStyle name="Вывод 2 2 12" xfId="137"/>
    <cellStyle name="Вывод 2 2 13" xfId="138"/>
    <cellStyle name="Вывод 2 2 14" xfId="139"/>
    <cellStyle name="Вывод 2 2 15" xfId="140"/>
    <cellStyle name="Вывод 2 2 16" xfId="141"/>
    <cellStyle name="Вывод 2 2 17" xfId="142"/>
    <cellStyle name="Вывод 2 2 18" xfId="17922"/>
    <cellStyle name="Вывод 2 2 19" xfId="19651"/>
    <cellStyle name="Вывод 2 2 2" xfId="143"/>
    <cellStyle name="Вывод 2 2 2 10" xfId="144"/>
    <cellStyle name="Вывод 2 2 2 11" xfId="145"/>
    <cellStyle name="Вывод 2 2 2 12" xfId="146"/>
    <cellStyle name="Вывод 2 2 2 13" xfId="147"/>
    <cellStyle name="Вывод 2 2 2 14" xfId="148"/>
    <cellStyle name="Вывод 2 2 2 15" xfId="149"/>
    <cellStyle name="Вывод 2 2 2 16" xfId="150"/>
    <cellStyle name="Вывод 2 2 2 17" xfId="17923"/>
    <cellStyle name="Вывод 2 2 2 18" xfId="19652"/>
    <cellStyle name="Вывод 2 2 2 2" xfId="151"/>
    <cellStyle name="Вывод 2 2 2 2 2" xfId="152"/>
    <cellStyle name="Вывод 2 2 2 2 3" xfId="153"/>
    <cellStyle name="Вывод 2 2 2 3" xfId="154"/>
    <cellStyle name="Вывод 2 2 2 3 2" xfId="155"/>
    <cellStyle name="Вывод 2 2 2 3 3" xfId="156"/>
    <cellStyle name="Вывод 2 2 2 4" xfId="157"/>
    <cellStyle name="Вывод 2 2 2 4 2" xfId="158"/>
    <cellStyle name="Вывод 2 2 2 4 3" xfId="159"/>
    <cellStyle name="Вывод 2 2 2 5" xfId="160"/>
    <cellStyle name="Вывод 2 2 2 6" xfId="161"/>
    <cellStyle name="Вывод 2 2 2 7" xfId="162"/>
    <cellStyle name="Вывод 2 2 2 8" xfId="163"/>
    <cellStyle name="Вывод 2 2 2 9" xfId="164"/>
    <cellStyle name="Вывод 2 2 3" xfId="165"/>
    <cellStyle name="Вывод 2 2 3 2" xfId="166"/>
    <cellStyle name="Вывод 2 2 3 3" xfId="167"/>
    <cellStyle name="Вывод 2 2 4" xfId="168"/>
    <cellStyle name="Вывод 2 2 4 2" xfId="169"/>
    <cellStyle name="Вывод 2 2 4 3" xfId="170"/>
    <cellStyle name="Вывод 2 2 5" xfId="171"/>
    <cellStyle name="Вывод 2 2 5 2" xfId="172"/>
    <cellStyle name="Вывод 2 2 5 3" xfId="173"/>
    <cellStyle name="Вывод 2 2 6" xfId="174"/>
    <cellStyle name="Вывод 2 2 7" xfId="175"/>
    <cellStyle name="Вывод 2 2 8" xfId="176"/>
    <cellStyle name="Вывод 2 2 9" xfId="177"/>
    <cellStyle name="Вывод 2 3" xfId="17921"/>
    <cellStyle name="Вывод 3" xfId="178"/>
    <cellStyle name="Вывод 3 2" xfId="17924"/>
    <cellStyle name="Вычисление 2" xfId="179"/>
    <cellStyle name="Вычисление 2 2" xfId="180"/>
    <cellStyle name="Вычисление 2 2 10" xfId="181"/>
    <cellStyle name="Вычисление 2 2 11" xfId="182"/>
    <cellStyle name="Вычисление 2 2 12" xfId="183"/>
    <cellStyle name="Вычисление 2 2 13" xfId="184"/>
    <cellStyle name="Вычисление 2 2 14" xfId="185"/>
    <cellStyle name="Вычисление 2 2 15" xfId="186"/>
    <cellStyle name="Вычисление 2 2 16" xfId="187"/>
    <cellStyle name="Вычисление 2 2 17" xfId="188"/>
    <cellStyle name="Вычисление 2 2 18" xfId="17926"/>
    <cellStyle name="Вычисление 2 2 19" xfId="19653"/>
    <cellStyle name="Вычисление 2 2 2" xfId="189"/>
    <cellStyle name="Вычисление 2 2 2 10" xfId="190"/>
    <cellStyle name="Вычисление 2 2 2 11" xfId="191"/>
    <cellStyle name="Вычисление 2 2 2 12" xfId="192"/>
    <cellStyle name="Вычисление 2 2 2 13" xfId="193"/>
    <cellStyle name="Вычисление 2 2 2 14" xfId="194"/>
    <cellStyle name="Вычисление 2 2 2 15" xfId="195"/>
    <cellStyle name="Вычисление 2 2 2 16" xfId="196"/>
    <cellStyle name="Вычисление 2 2 2 17" xfId="197"/>
    <cellStyle name="Вычисление 2 2 2 18" xfId="17927"/>
    <cellStyle name="Вычисление 2 2 2 19" xfId="19654"/>
    <cellStyle name="Вычисление 2 2 2 2" xfId="198"/>
    <cellStyle name="Вычисление 2 2 2 2 2" xfId="199"/>
    <cellStyle name="Вычисление 2 2 2 2 3" xfId="200"/>
    <cellStyle name="Вычисление 2 2 2 2 4" xfId="201"/>
    <cellStyle name="Вычисление 2 2 2 3" xfId="202"/>
    <cellStyle name="Вычисление 2 2 2 3 2" xfId="203"/>
    <cellStyle name="Вычисление 2 2 2 3 3" xfId="204"/>
    <cellStyle name="Вычисление 2 2 2 3 4" xfId="205"/>
    <cellStyle name="Вычисление 2 2 2 4" xfId="206"/>
    <cellStyle name="Вычисление 2 2 2 4 2" xfId="207"/>
    <cellStyle name="Вычисление 2 2 2 4 3" xfId="208"/>
    <cellStyle name="Вычисление 2 2 2 4 4" xfId="209"/>
    <cellStyle name="Вычисление 2 2 2 5" xfId="210"/>
    <cellStyle name="Вычисление 2 2 2 6" xfId="211"/>
    <cellStyle name="Вычисление 2 2 2 7" xfId="212"/>
    <cellStyle name="Вычисление 2 2 2 8" xfId="213"/>
    <cellStyle name="Вычисление 2 2 2 9" xfId="214"/>
    <cellStyle name="Вычисление 2 2 3" xfId="215"/>
    <cellStyle name="Вычисление 2 2 3 2" xfId="216"/>
    <cellStyle name="Вычисление 2 2 3 3" xfId="217"/>
    <cellStyle name="Вычисление 2 2 3 4" xfId="218"/>
    <cellStyle name="Вычисление 2 2 4" xfId="219"/>
    <cellStyle name="Вычисление 2 2 4 2" xfId="220"/>
    <cellStyle name="Вычисление 2 2 4 3" xfId="221"/>
    <cellStyle name="Вычисление 2 2 4 4" xfId="222"/>
    <cellStyle name="Вычисление 2 2 5" xfId="223"/>
    <cellStyle name="Вычисление 2 2 5 2" xfId="224"/>
    <cellStyle name="Вычисление 2 2 5 3" xfId="225"/>
    <cellStyle name="Вычисление 2 2 5 4" xfId="226"/>
    <cellStyle name="Вычисление 2 2 6" xfId="227"/>
    <cellStyle name="Вычисление 2 2 7" xfId="228"/>
    <cellStyle name="Вычисление 2 2 8" xfId="229"/>
    <cellStyle name="Вычисление 2 2 9" xfId="230"/>
    <cellStyle name="Вычисление 2 3" xfId="17925"/>
    <cellStyle name="Вычисление 3" xfId="231"/>
    <cellStyle name="Вычисление 3 2" xfId="17928"/>
    <cellStyle name="Гиперссылка" xfId="22892" builtinId="8"/>
    <cellStyle name="Денежный" xfId="1" builtinId="4"/>
    <cellStyle name="Денежный 2" xfId="232"/>
    <cellStyle name="Денежный 2 2" xfId="17930"/>
    <cellStyle name="Денежный 3" xfId="17929"/>
    <cellStyle name="Заголовок 1 2" xfId="233"/>
    <cellStyle name="Заголовок 1 2 2" xfId="234"/>
    <cellStyle name="Заголовок 1 2 2 2" xfId="17932"/>
    <cellStyle name="Заголовок 1 2 3" xfId="17931"/>
    <cellStyle name="Заголовок 1 3" xfId="235"/>
    <cellStyle name="Заголовок 1 3 2" xfId="17933"/>
    <cellStyle name="Заголовок 2 2" xfId="236"/>
    <cellStyle name="Заголовок 2 2 2" xfId="237"/>
    <cellStyle name="Заголовок 2 2 2 2" xfId="17935"/>
    <cellStyle name="Заголовок 2 2 3" xfId="17934"/>
    <cellStyle name="Заголовок 2 3" xfId="238"/>
    <cellStyle name="Заголовок 2 3 2" xfId="17936"/>
    <cellStyle name="Заголовок 3 2" xfId="239"/>
    <cellStyle name="Заголовок 3 2 2" xfId="240"/>
    <cellStyle name="Заголовок 3 2 2 2" xfId="17938"/>
    <cellStyle name="Заголовок 3 2 3" xfId="17937"/>
    <cellStyle name="Заголовок 3 3" xfId="241"/>
    <cellStyle name="Заголовок 3 3 2" xfId="17939"/>
    <cellStyle name="Заголовок 4 2" xfId="242"/>
    <cellStyle name="Заголовок 4 2 2" xfId="243"/>
    <cellStyle name="Заголовок 4 2 2 2" xfId="17941"/>
    <cellStyle name="Заголовок 4 2 3" xfId="17940"/>
    <cellStyle name="Заголовок 4 3" xfId="244"/>
    <cellStyle name="Заголовок 4 3 2" xfId="17942"/>
    <cellStyle name="Итог 2" xfId="245"/>
    <cellStyle name="Итог 2 2" xfId="246"/>
    <cellStyle name="Итог 2 2 10" xfId="247"/>
    <cellStyle name="Итог 2 2 11" xfId="248"/>
    <cellStyle name="Итог 2 2 12" xfId="249"/>
    <cellStyle name="Итог 2 2 13" xfId="250"/>
    <cellStyle name="Итог 2 2 14" xfId="251"/>
    <cellStyle name="Итог 2 2 15" xfId="252"/>
    <cellStyle name="Итог 2 2 16" xfId="253"/>
    <cellStyle name="Итог 2 2 17" xfId="254"/>
    <cellStyle name="Итог 2 2 18" xfId="19656"/>
    <cellStyle name="Итог 2 2 2" xfId="255"/>
    <cellStyle name="Итог 2 2 2 10" xfId="256"/>
    <cellStyle name="Итог 2 2 2 11" xfId="257"/>
    <cellStyle name="Итог 2 2 2 12" xfId="258"/>
    <cellStyle name="Итог 2 2 2 13" xfId="259"/>
    <cellStyle name="Итог 2 2 2 14" xfId="260"/>
    <cellStyle name="Итог 2 2 2 15" xfId="261"/>
    <cellStyle name="Итог 2 2 2 16" xfId="262"/>
    <cellStyle name="Итог 2 2 2 17" xfId="263"/>
    <cellStyle name="Итог 2 2 2 18" xfId="19657"/>
    <cellStyle name="Итог 2 2 2 2" xfId="264"/>
    <cellStyle name="Итог 2 2 2 2 2" xfId="265"/>
    <cellStyle name="Итог 2 2 2 2 3" xfId="266"/>
    <cellStyle name="Итог 2 2 2 2 4" xfId="267"/>
    <cellStyle name="Итог 2 2 2 3" xfId="268"/>
    <cellStyle name="Итог 2 2 2 3 2" xfId="269"/>
    <cellStyle name="Итог 2 2 2 3 3" xfId="270"/>
    <cellStyle name="Итог 2 2 2 3 4" xfId="271"/>
    <cellStyle name="Итог 2 2 2 4" xfId="272"/>
    <cellStyle name="Итог 2 2 2 4 2" xfId="273"/>
    <cellStyle name="Итог 2 2 2 4 3" xfId="274"/>
    <cellStyle name="Итог 2 2 2 4 4" xfId="275"/>
    <cellStyle name="Итог 2 2 2 5" xfId="276"/>
    <cellStyle name="Итог 2 2 2 6" xfId="277"/>
    <cellStyle name="Итог 2 2 2 7" xfId="278"/>
    <cellStyle name="Итог 2 2 2 8" xfId="279"/>
    <cellStyle name="Итог 2 2 2 9" xfId="280"/>
    <cellStyle name="Итог 2 2 3" xfId="281"/>
    <cellStyle name="Итог 2 2 3 2" xfId="282"/>
    <cellStyle name="Итог 2 2 3 3" xfId="283"/>
    <cellStyle name="Итог 2 2 3 4" xfId="284"/>
    <cellStyle name="Итог 2 2 4" xfId="285"/>
    <cellStyle name="Итог 2 2 4 2" xfId="286"/>
    <cellStyle name="Итог 2 2 4 3" xfId="287"/>
    <cellStyle name="Итог 2 2 4 4" xfId="288"/>
    <cellStyle name="Итог 2 2 5" xfId="289"/>
    <cellStyle name="Итог 2 2 5 2" xfId="290"/>
    <cellStyle name="Итог 2 2 5 3" xfId="291"/>
    <cellStyle name="Итог 2 2 5 4" xfId="292"/>
    <cellStyle name="Итог 2 2 6" xfId="293"/>
    <cellStyle name="Итог 2 2 7" xfId="294"/>
    <cellStyle name="Итог 2 2 8" xfId="295"/>
    <cellStyle name="Итог 2 2 9" xfId="296"/>
    <cellStyle name="Итог 2 3" xfId="17943"/>
    <cellStyle name="Итог 3" xfId="297"/>
    <cellStyle name="Итог 3 2" xfId="17944"/>
    <cellStyle name="Контрольная ячейка 2" xfId="298"/>
    <cellStyle name="Контрольная ячейка 2 2" xfId="299"/>
    <cellStyle name="Контрольная ячейка 2 2 2" xfId="17946"/>
    <cellStyle name="Контрольная ячейка 2 3" xfId="17945"/>
    <cellStyle name="Контрольная ячейка 3" xfId="300"/>
    <cellStyle name="Контрольная ячейка 3 2" xfId="17947"/>
    <cellStyle name="Название" xfId="19602" builtinId="15" customBuiltin="1"/>
    <cellStyle name="Название 2" xfId="301"/>
    <cellStyle name="Название 2 2" xfId="17949"/>
    <cellStyle name="Название 3" xfId="17948"/>
    <cellStyle name="Нейтральный 2" xfId="302"/>
    <cellStyle name="Нейтральный 2 2" xfId="303"/>
    <cellStyle name="Нейтральный 2 2 2" xfId="17951"/>
    <cellStyle name="Нейтральный 2 3" xfId="17950"/>
    <cellStyle name="Нейтральный 3" xfId="304"/>
    <cellStyle name="Нейтральный 3 2" xfId="17952"/>
    <cellStyle name="Обычный" xfId="0" builtinId="0"/>
    <cellStyle name="Обычный 10" xfId="305"/>
    <cellStyle name="Обычный 10 10" xfId="306"/>
    <cellStyle name="Обычный 10 10 10" xfId="307"/>
    <cellStyle name="Обычный 10 10 11" xfId="308"/>
    <cellStyle name="Обычный 10 10 12" xfId="17954"/>
    <cellStyle name="Обычный 10 10 13" xfId="19659"/>
    <cellStyle name="Обычный 10 10 14" xfId="21273"/>
    <cellStyle name="Обычный 10 10 2" xfId="309"/>
    <cellStyle name="Обычный 10 10 2 10" xfId="310"/>
    <cellStyle name="Обычный 10 10 2 11" xfId="17955"/>
    <cellStyle name="Обычный 10 10 2 12" xfId="19660"/>
    <cellStyle name="Обычный 10 10 2 13" xfId="21274"/>
    <cellStyle name="Обычный 10 10 2 2" xfId="311"/>
    <cellStyle name="Обычный 10 10 2 2 2" xfId="312"/>
    <cellStyle name="Обычный 10 10 2 3" xfId="313"/>
    <cellStyle name="Обычный 10 10 2 4" xfId="314"/>
    <cellStyle name="Обычный 10 10 2 5" xfId="315"/>
    <cellStyle name="Обычный 10 10 2 6" xfId="316"/>
    <cellStyle name="Обычный 10 10 2 7" xfId="317"/>
    <cellStyle name="Обычный 10 10 2 8" xfId="318"/>
    <cellStyle name="Обычный 10 10 2 9" xfId="319"/>
    <cellStyle name="Обычный 10 10 3" xfId="320"/>
    <cellStyle name="Обычный 10 10 3 2" xfId="321"/>
    <cellStyle name="Обычный 10 10 4" xfId="322"/>
    <cellStyle name="Обычный 10 10 5" xfId="323"/>
    <cellStyle name="Обычный 10 10 6" xfId="324"/>
    <cellStyle name="Обычный 10 10 7" xfId="325"/>
    <cellStyle name="Обычный 10 10 8" xfId="326"/>
    <cellStyle name="Обычный 10 10 9" xfId="327"/>
    <cellStyle name="Обычный 10 11" xfId="328"/>
    <cellStyle name="Обычный 10 11 10" xfId="329"/>
    <cellStyle name="Обычный 10 11 11" xfId="17956"/>
    <cellStyle name="Обычный 10 11 12" xfId="19661"/>
    <cellStyle name="Обычный 10 11 13" xfId="21275"/>
    <cellStyle name="Обычный 10 11 2" xfId="330"/>
    <cellStyle name="Обычный 10 11 2 2" xfId="331"/>
    <cellStyle name="Обычный 10 11 3" xfId="332"/>
    <cellStyle name="Обычный 10 11 4" xfId="333"/>
    <cellStyle name="Обычный 10 11 5" xfId="334"/>
    <cellStyle name="Обычный 10 11 6" xfId="335"/>
    <cellStyle name="Обычный 10 11 7" xfId="336"/>
    <cellStyle name="Обычный 10 11 8" xfId="337"/>
    <cellStyle name="Обычный 10 11 9" xfId="338"/>
    <cellStyle name="Обычный 10 12" xfId="339"/>
    <cellStyle name="Обычный 10 12 10" xfId="19662"/>
    <cellStyle name="Обычный 10 12 11" xfId="21276"/>
    <cellStyle name="Обычный 10 12 2" xfId="340"/>
    <cellStyle name="Обычный 10 12 2 2" xfId="341"/>
    <cellStyle name="Обычный 10 12 3" xfId="342"/>
    <cellStyle name="Обычный 10 12 4" xfId="343"/>
    <cellStyle name="Обычный 10 12 5" xfId="344"/>
    <cellStyle name="Обычный 10 12 6" xfId="345"/>
    <cellStyle name="Обычный 10 12 7" xfId="346"/>
    <cellStyle name="Обычный 10 12 8" xfId="347"/>
    <cellStyle name="Обычный 10 12 9" xfId="17957"/>
    <cellStyle name="Обычный 10 13" xfId="348"/>
    <cellStyle name="Обычный 10 13 10" xfId="19663"/>
    <cellStyle name="Обычный 10 13 11" xfId="21277"/>
    <cellStyle name="Обычный 10 13 2" xfId="349"/>
    <cellStyle name="Обычный 10 13 2 2" xfId="350"/>
    <cellStyle name="Обычный 10 13 3" xfId="351"/>
    <cellStyle name="Обычный 10 13 4" xfId="352"/>
    <cellStyle name="Обычный 10 13 5" xfId="353"/>
    <cellStyle name="Обычный 10 13 6" xfId="354"/>
    <cellStyle name="Обычный 10 13 7" xfId="355"/>
    <cellStyle name="Обычный 10 13 8" xfId="356"/>
    <cellStyle name="Обычный 10 13 9" xfId="17958"/>
    <cellStyle name="Обычный 10 14" xfId="357"/>
    <cellStyle name="Обычный 10 14 2" xfId="358"/>
    <cellStyle name="Обычный 10 15" xfId="359"/>
    <cellStyle name="Обычный 10 16" xfId="360"/>
    <cellStyle name="Обычный 10 17" xfId="361"/>
    <cellStyle name="Обычный 10 18" xfId="362"/>
    <cellStyle name="Обычный 10 19" xfId="363"/>
    <cellStyle name="Обычный 10 2" xfId="364"/>
    <cellStyle name="Обычный 10 2 10" xfId="365"/>
    <cellStyle name="Обычный 10 2 10 2" xfId="366"/>
    <cellStyle name="Обычный 10 2 11" xfId="367"/>
    <cellStyle name="Обычный 10 2 12" xfId="368"/>
    <cellStyle name="Обычный 10 2 13" xfId="369"/>
    <cellStyle name="Обычный 10 2 14" xfId="370"/>
    <cellStyle name="Обычный 10 2 15" xfId="371"/>
    <cellStyle name="Обычный 10 2 16" xfId="372"/>
    <cellStyle name="Обычный 10 2 17" xfId="373"/>
    <cellStyle name="Обычный 10 2 18" xfId="374"/>
    <cellStyle name="Обычный 10 2 19" xfId="375"/>
    <cellStyle name="Обычный 10 2 2" xfId="376"/>
    <cellStyle name="Обычный 10 2 2 10" xfId="377"/>
    <cellStyle name="Обычный 10 2 2 11" xfId="378"/>
    <cellStyle name="Обычный 10 2 2 12" xfId="379"/>
    <cellStyle name="Обычный 10 2 2 13" xfId="380"/>
    <cellStyle name="Обычный 10 2 2 14" xfId="381"/>
    <cellStyle name="Обычный 10 2 2 15" xfId="382"/>
    <cellStyle name="Обычный 10 2 2 16" xfId="383"/>
    <cellStyle name="Обычный 10 2 2 17" xfId="384"/>
    <cellStyle name="Обычный 10 2 2 18" xfId="17960"/>
    <cellStyle name="Обычный 10 2 2 19" xfId="19665"/>
    <cellStyle name="Обычный 10 2 2 2" xfId="385"/>
    <cellStyle name="Обычный 10 2 2 2 10" xfId="386"/>
    <cellStyle name="Обычный 10 2 2 2 11" xfId="387"/>
    <cellStyle name="Обычный 10 2 2 2 12" xfId="17961"/>
    <cellStyle name="Обычный 10 2 2 2 13" xfId="19666"/>
    <cellStyle name="Обычный 10 2 2 2 14" xfId="21280"/>
    <cellStyle name="Обычный 10 2 2 2 2" xfId="388"/>
    <cellStyle name="Обычный 10 2 2 2 2 10" xfId="389"/>
    <cellStyle name="Обычный 10 2 2 2 2 11" xfId="17962"/>
    <cellStyle name="Обычный 10 2 2 2 2 12" xfId="19667"/>
    <cellStyle name="Обычный 10 2 2 2 2 13" xfId="21281"/>
    <cellStyle name="Обычный 10 2 2 2 2 2" xfId="390"/>
    <cellStyle name="Обычный 10 2 2 2 2 2 2" xfId="391"/>
    <cellStyle name="Обычный 10 2 2 2 2 3" xfId="392"/>
    <cellStyle name="Обычный 10 2 2 2 2 4" xfId="393"/>
    <cellStyle name="Обычный 10 2 2 2 2 5" xfId="394"/>
    <cellStyle name="Обычный 10 2 2 2 2 6" xfId="395"/>
    <cellStyle name="Обычный 10 2 2 2 2 7" xfId="396"/>
    <cellStyle name="Обычный 10 2 2 2 2 8" xfId="397"/>
    <cellStyle name="Обычный 10 2 2 2 2 9" xfId="398"/>
    <cellStyle name="Обычный 10 2 2 2 3" xfId="399"/>
    <cellStyle name="Обычный 10 2 2 2 3 2" xfId="400"/>
    <cellStyle name="Обычный 10 2 2 2 4" xfId="401"/>
    <cellStyle name="Обычный 10 2 2 2 5" xfId="402"/>
    <cellStyle name="Обычный 10 2 2 2 6" xfId="403"/>
    <cellStyle name="Обычный 10 2 2 2 7" xfId="404"/>
    <cellStyle name="Обычный 10 2 2 2 8" xfId="405"/>
    <cellStyle name="Обычный 10 2 2 2 9" xfId="406"/>
    <cellStyle name="Обычный 10 2 2 20" xfId="21279"/>
    <cellStyle name="Обычный 10 2 2 3" xfId="407"/>
    <cellStyle name="Обычный 10 2 2 3 10" xfId="408"/>
    <cellStyle name="Обычный 10 2 2 3 11" xfId="409"/>
    <cellStyle name="Обычный 10 2 2 3 12" xfId="17963"/>
    <cellStyle name="Обычный 10 2 2 3 13" xfId="19668"/>
    <cellStyle name="Обычный 10 2 2 3 14" xfId="21282"/>
    <cellStyle name="Обычный 10 2 2 3 2" xfId="410"/>
    <cellStyle name="Обычный 10 2 2 3 2 10" xfId="411"/>
    <cellStyle name="Обычный 10 2 2 3 2 11" xfId="17964"/>
    <cellStyle name="Обычный 10 2 2 3 2 12" xfId="19669"/>
    <cellStyle name="Обычный 10 2 2 3 2 13" xfId="21283"/>
    <cellStyle name="Обычный 10 2 2 3 2 2" xfId="412"/>
    <cellStyle name="Обычный 10 2 2 3 2 2 2" xfId="413"/>
    <cellStyle name="Обычный 10 2 2 3 2 3" xfId="414"/>
    <cellStyle name="Обычный 10 2 2 3 2 4" xfId="415"/>
    <cellStyle name="Обычный 10 2 2 3 2 5" xfId="416"/>
    <cellStyle name="Обычный 10 2 2 3 2 6" xfId="417"/>
    <cellStyle name="Обычный 10 2 2 3 2 7" xfId="418"/>
    <cellStyle name="Обычный 10 2 2 3 2 8" xfId="419"/>
    <cellStyle name="Обычный 10 2 2 3 2 9" xfId="420"/>
    <cellStyle name="Обычный 10 2 2 3 3" xfId="421"/>
    <cellStyle name="Обычный 10 2 2 3 3 2" xfId="422"/>
    <cellStyle name="Обычный 10 2 2 3 4" xfId="423"/>
    <cellStyle name="Обычный 10 2 2 3 5" xfId="424"/>
    <cellStyle name="Обычный 10 2 2 3 6" xfId="425"/>
    <cellStyle name="Обычный 10 2 2 3 7" xfId="426"/>
    <cellStyle name="Обычный 10 2 2 3 8" xfId="427"/>
    <cellStyle name="Обычный 10 2 2 3 9" xfId="428"/>
    <cellStyle name="Обычный 10 2 2 4" xfId="429"/>
    <cellStyle name="Обычный 10 2 2 4 10" xfId="430"/>
    <cellStyle name="Обычный 10 2 2 4 11" xfId="431"/>
    <cellStyle name="Обычный 10 2 2 4 12" xfId="17965"/>
    <cellStyle name="Обычный 10 2 2 4 13" xfId="19670"/>
    <cellStyle name="Обычный 10 2 2 4 14" xfId="21284"/>
    <cellStyle name="Обычный 10 2 2 4 2" xfId="432"/>
    <cellStyle name="Обычный 10 2 2 4 2 10" xfId="433"/>
    <cellStyle name="Обычный 10 2 2 4 2 11" xfId="17966"/>
    <cellStyle name="Обычный 10 2 2 4 2 12" xfId="19671"/>
    <cellStyle name="Обычный 10 2 2 4 2 13" xfId="21285"/>
    <cellStyle name="Обычный 10 2 2 4 2 2" xfId="434"/>
    <cellStyle name="Обычный 10 2 2 4 2 2 2" xfId="435"/>
    <cellStyle name="Обычный 10 2 2 4 2 3" xfId="436"/>
    <cellStyle name="Обычный 10 2 2 4 2 4" xfId="437"/>
    <cellStyle name="Обычный 10 2 2 4 2 5" xfId="438"/>
    <cellStyle name="Обычный 10 2 2 4 2 6" xfId="439"/>
    <cellStyle name="Обычный 10 2 2 4 2 7" xfId="440"/>
    <cellStyle name="Обычный 10 2 2 4 2 8" xfId="441"/>
    <cellStyle name="Обычный 10 2 2 4 2 9" xfId="442"/>
    <cellStyle name="Обычный 10 2 2 4 3" xfId="443"/>
    <cellStyle name="Обычный 10 2 2 4 3 2" xfId="444"/>
    <cellStyle name="Обычный 10 2 2 4 4" xfId="445"/>
    <cellStyle name="Обычный 10 2 2 4 5" xfId="446"/>
    <cellStyle name="Обычный 10 2 2 4 6" xfId="447"/>
    <cellStyle name="Обычный 10 2 2 4 7" xfId="448"/>
    <cellStyle name="Обычный 10 2 2 4 8" xfId="449"/>
    <cellStyle name="Обычный 10 2 2 4 9" xfId="450"/>
    <cellStyle name="Обычный 10 2 2 5" xfId="451"/>
    <cellStyle name="Обычный 10 2 2 5 10" xfId="452"/>
    <cellStyle name="Обычный 10 2 2 5 11" xfId="453"/>
    <cellStyle name="Обычный 10 2 2 5 12" xfId="17967"/>
    <cellStyle name="Обычный 10 2 2 5 13" xfId="19672"/>
    <cellStyle name="Обычный 10 2 2 5 14" xfId="21286"/>
    <cellStyle name="Обычный 10 2 2 5 2" xfId="454"/>
    <cellStyle name="Обычный 10 2 2 5 2 10" xfId="455"/>
    <cellStyle name="Обычный 10 2 2 5 2 11" xfId="17968"/>
    <cellStyle name="Обычный 10 2 2 5 2 12" xfId="19673"/>
    <cellStyle name="Обычный 10 2 2 5 2 13" xfId="21287"/>
    <cellStyle name="Обычный 10 2 2 5 2 2" xfId="456"/>
    <cellStyle name="Обычный 10 2 2 5 2 2 2" xfId="457"/>
    <cellStyle name="Обычный 10 2 2 5 2 3" xfId="458"/>
    <cellStyle name="Обычный 10 2 2 5 2 4" xfId="459"/>
    <cellStyle name="Обычный 10 2 2 5 2 5" xfId="460"/>
    <cellStyle name="Обычный 10 2 2 5 2 6" xfId="461"/>
    <cellStyle name="Обычный 10 2 2 5 2 7" xfId="462"/>
    <cellStyle name="Обычный 10 2 2 5 2 8" xfId="463"/>
    <cellStyle name="Обычный 10 2 2 5 2 9" xfId="464"/>
    <cellStyle name="Обычный 10 2 2 5 3" xfId="465"/>
    <cellStyle name="Обычный 10 2 2 5 3 2" xfId="466"/>
    <cellStyle name="Обычный 10 2 2 5 4" xfId="467"/>
    <cellStyle name="Обычный 10 2 2 5 5" xfId="468"/>
    <cellStyle name="Обычный 10 2 2 5 6" xfId="469"/>
    <cellStyle name="Обычный 10 2 2 5 7" xfId="470"/>
    <cellStyle name="Обычный 10 2 2 5 8" xfId="471"/>
    <cellStyle name="Обычный 10 2 2 5 9" xfId="472"/>
    <cellStyle name="Обычный 10 2 2 6" xfId="473"/>
    <cellStyle name="Обычный 10 2 2 6 10" xfId="474"/>
    <cellStyle name="Обычный 10 2 2 6 11" xfId="17969"/>
    <cellStyle name="Обычный 10 2 2 6 12" xfId="19674"/>
    <cellStyle name="Обычный 10 2 2 6 13" xfId="21288"/>
    <cellStyle name="Обычный 10 2 2 6 2" xfId="475"/>
    <cellStyle name="Обычный 10 2 2 6 2 2" xfId="476"/>
    <cellStyle name="Обычный 10 2 2 6 3" xfId="477"/>
    <cellStyle name="Обычный 10 2 2 6 4" xfId="478"/>
    <cellStyle name="Обычный 10 2 2 6 5" xfId="479"/>
    <cellStyle name="Обычный 10 2 2 6 6" xfId="480"/>
    <cellStyle name="Обычный 10 2 2 6 7" xfId="481"/>
    <cellStyle name="Обычный 10 2 2 6 8" xfId="482"/>
    <cellStyle name="Обычный 10 2 2 6 9" xfId="483"/>
    <cellStyle name="Обычный 10 2 2 7" xfId="484"/>
    <cellStyle name="Обычный 10 2 2 7 10" xfId="19675"/>
    <cellStyle name="Обычный 10 2 2 7 11" xfId="21289"/>
    <cellStyle name="Обычный 10 2 2 7 2" xfId="485"/>
    <cellStyle name="Обычный 10 2 2 7 2 2" xfId="486"/>
    <cellStyle name="Обычный 10 2 2 7 3" xfId="487"/>
    <cellStyle name="Обычный 10 2 2 7 4" xfId="488"/>
    <cellStyle name="Обычный 10 2 2 7 5" xfId="489"/>
    <cellStyle name="Обычный 10 2 2 7 6" xfId="490"/>
    <cellStyle name="Обычный 10 2 2 7 7" xfId="491"/>
    <cellStyle name="Обычный 10 2 2 7 8" xfId="492"/>
    <cellStyle name="Обычный 10 2 2 7 9" xfId="17970"/>
    <cellStyle name="Обычный 10 2 2 8" xfId="493"/>
    <cellStyle name="Обычный 10 2 2 8 2" xfId="494"/>
    <cellStyle name="Обычный 10 2 2 9" xfId="495"/>
    <cellStyle name="Обычный 10 2 20" xfId="17959"/>
    <cellStyle name="Обычный 10 2 21" xfId="19664"/>
    <cellStyle name="Обычный 10 2 22" xfId="21278"/>
    <cellStyle name="Обычный 10 2 3" xfId="496"/>
    <cellStyle name="Обычный 10 2 3 10" xfId="497"/>
    <cellStyle name="Обычный 10 2 3 11" xfId="498"/>
    <cellStyle name="Обычный 10 2 3 12" xfId="499"/>
    <cellStyle name="Обычный 10 2 3 13" xfId="500"/>
    <cellStyle name="Обычный 10 2 3 14" xfId="501"/>
    <cellStyle name="Обычный 10 2 3 15" xfId="502"/>
    <cellStyle name="Обычный 10 2 3 16" xfId="503"/>
    <cellStyle name="Обычный 10 2 3 17" xfId="504"/>
    <cellStyle name="Обычный 10 2 3 18" xfId="17971"/>
    <cellStyle name="Обычный 10 2 3 19" xfId="19676"/>
    <cellStyle name="Обычный 10 2 3 2" xfId="505"/>
    <cellStyle name="Обычный 10 2 3 2 10" xfId="506"/>
    <cellStyle name="Обычный 10 2 3 2 11" xfId="507"/>
    <cellStyle name="Обычный 10 2 3 2 12" xfId="17972"/>
    <cellStyle name="Обычный 10 2 3 2 13" xfId="19677"/>
    <cellStyle name="Обычный 10 2 3 2 14" xfId="21291"/>
    <cellStyle name="Обычный 10 2 3 2 2" xfId="508"/>
    <cellStyle name="Обычный 10 2 3 2 2 10" xfId="509"/>
    <cellStyle name="Обычный 10 2 3 2 2 11" xfId="17973"/>
    <cellStyle name="Обычный 10 2 3 2 2 12" xfId="19678"/>
    <cellStyle name="Обычный 10 2 3 2 2 13" xfId="21292"/>
    <cellStyle name="Обычный 10 2 3 2 2 2" xfId="510"/>
    <cellStyle name="Обычный 10 2 3 2 2 2 2" xfId="511"/>
    <cellStyle name="Обычный 10 2 3 2 2 3" xfId="512"/>
    <cellStyle name="Обычный 10 2 3 2 2 4" xfId="513"/>
    <cellStyle name="Обычный 10 2 3 2 2 5" xfId="514"/>
    <cellStyle name="Обычный 10 2 3 2 2 6" xfId="515"/>
    <cellStyle name="Обычный 10 2 3 2 2 7" xfId="516"/>
    <cellStyle name="Обычный 10 2 3 2 2 8" xfId="517"/>
    <cellStyle name="Обычный 10 2 3 2 2 9" xfId="518"/>
    <cellStyle name="Обычный 10 2 3 2 3" xfId="519"/>
    <cellStyle name="Обычный 10 2 3 2 3 2" xfId="520"/>
    <cellStyle name="Обычный 10 2 3 2 4" xfId="521"/>
    <cellStyle name="Обычный 10 2 3 2 5" xfId="522"/>
    <cellStyle name="Обычный 10 2 3 2 6" xfId="523"/>
    <cellStyle name="Обычный 10 2 3 2 7" xfId="524"/>
    <cellStyle name="Обычный 10 2 3 2 8" xfId="525"/>
    <cellStyle name="Обычный 10 2 3 2 9" xfId="526"/>
    <cellStyle name="Обычный 10 2 3 20" xfId="21290"/>
    <cellStyle name="Обычный 10 2 3 3" xfId="527"/>
    <cellStyle name="Обычный 10 2 3 3 10" xfId="528"/>
    <cellStyle name="Обычный 10 2 3 3 11" xfId="529"/>
    <cellStyle name="Обычный 10 2 3 3 12" xfId="17974"/>
    <cellStyle name="Обычный 10 2 3 3 13" xfId="19679"/>
    <cellStyle name="Обычный 10 2 3 3 14" xfId="21293"/>
    <cellStyle name="Обычный 10 2 3 3 2" xfId="530"/>
    <cellStyle name="Обычный 10 2 3 3 2 10" xfId="531"/>
    <cellStyle name="Обычный 10 2 3 3 2 11" xfId="17975"/>
    <cellStyle name="Обычный 10 2 3 3 2 12" xfId="19680"/>
    <cellStyle name="Обычный 10 2 3 3 2 13" xfId="21294"/>
    <cellStyle name="Обычный 10 2 3 3 2 2" xfId="532"/>
    <cellStyle name="Обычный 10 2 3 3 2 2 2" xfId="533"/>
    <cellStyle name="Обычный 10 2 3 3 2 3" xfId="534"/>
    <cellStyle name="Обычный 10 2 3 3 2 4" xfId="535"/>
    <cellStyle name="Обычный 10 2 3 3 2 5" xfId="536"/>
    <cellStyle name="Обычный 10 2 3 3 2 6" xfId="537"/>
    <cellStyle name="Обычный 10 2 3 3 2 7" xfId="538"/>
    <cellStyle name="Обычный 10 2 3 3 2 8" xfId="539"/>
    <cellStyle name="Обычный 10 2 3 3 2 9" xfId="540"/>
    <cellStyle name="Обычный 10 2 3 3 3" xfId="541"/>
    <cellStyle name="Обычный 10 2 3 3 3 2" xfId="542"/>
    <cellStyle name="Обычный 10 2 3 3 4" xfId="543"/>
    <cellStyle name="Обычный 10 2 3 3 5" xfId="544"/>
    <cellStyle name="Обычный 10 2 3 3 6" xfId="545"/>
    <cellStyle name="Обычный 10 2 3 3 7" xfId="546"/>
    <cellStyle name="Обычный 10 2 3 3 8" xfId="547"/>
    <cellStyle name="Обычный 10 2 3 3 9" xfId="548"/>
    <cellStyle name="Обычный 10 2 3 4" xfId="549"/>
    <cellStyle name="Обычный 10 2 3 4 10" xfId="550"/>
    <cellStyle name="Обычный 10 2 3 4 11" xfId="551"/>
    <cellStyle name="Обычный 10 2 3 4 12" xfId="17976"/>
    <cellStyle name="Обычный 10 2 3 4 13" xfId="19681"/>
    <cellStyle name="Обычный 10 2 3 4 14" xfId="21295"/>
    <cellStyle name="Обычный 10 2 3 4 2" xfId="552"/>
    <cellStyle name="Обычный 10 2 3 4 2 10" xfId="553"/>
    <cellStyle name="Обычный 10 2 3 4 2 11" xfId="17977"/>
    <cellStyle name="Обычный 10 2 3 4 2 12" xfId="19682"/>
    <cellStyle name="Обычный 10 2 3 4 2 13" xfId="21296"/>
    <cellStyle name="Обычный 10 2 3 4 2 2" xfId="554"/>
    <cellStyle name="Обычный 10 2 3 4 2 2 2" xfId="555"/>
    <cellStyle name="Обычный 10 2 3 4 2 3" xfId="556"/>
    <cellStyle name="Обычный 10 2 3 4 2 4" xfId="557"/>
    <cellStyle name="Обычный 10 2 3 4 2 5" xfId="558"/>
    <cellStyle name="Обычный 10 2 3 4 2 6" xfId="559"/>
    <cellStyle name="Обычный 10 2 3 4 2 7" xfId="560"/>
    <cellStyle name="Обычный 10 2 3 4 2 8" xfId="561"/>
    <cellStyle name="Обычный 10 2 3 4 2 9" xfId="562"/>
    <cellStyle name="Обычный 10 2 3 4 3" xfId="563"/>
    <cellStyle name="Обычный 10 2 3 4 3 2" xfId="564"/>
    <cellStyle name="Обычный 10 2 3 4 4" xfId="565"/>
    <cellStyle name="Обычный 10 2 3 4 5" xfId="566"/>
    <cellStyle name="Обычный 10 2 3 4 6" xfId="567"/>
    <cellStyle name="Обычный 10 2 3 4 7" xfId="568"/>
    <cellStyle name="Обычный 10 2 3 4 8" xfId="569"/>
    <cellStyle name="Обычный 10 2 3 4 9" xfId="570"/>
    <cellStyle name="Обычный 10 2 3 5" xfId="571"/>
    <cellStyle name="Обычный 10 2 3 5 10" xfId="572"/>
    <cellStyle name="Обычный 10 2 3 5 11" xfId="573"/>
    <cellStyle name="Обычный 10 2 3 5 12" xfId="17978"/>
    <cellStyle name="Обычный 10 2 3 5 13" xfId="19683"/>
    <cellStyle name="Обычный 10 2 3 5 14" xfId="21297"/>
    <cellStyle name="Обычный 10 2 3 5 2" xfId="574"/>
    <cellStyle name="Обычный 10 2 3 5 2 10" xfId="575"/>
    <cellStyle name="Обычный 10 2 3 5 2 11" xfId="17979"/>
    <cellStyle name="Обычный 10 2 3 5 2 12" xfId="19684"/>
    <cellStyle name="Обычный 10 2 3 5 2 13" xfId="21298"/>
    <cellStyle name="Обычный 10 2 3 5 2 2" xfId="576"/>
    <cellStyle name="Обычный 10 2 3 5 2 2 2" xfId="577"/>
    <cellStyle name="Обычный 10 2 3 5 2 3" xfId="578"/>
    <cellStyle name="Обычный 10 2 3 5 2 4" xfId="579"/>
    <cellStyle name="Обычный 10 2 3 5 2 5" xfId="580"/>
    <cellStyle name="Обычный 10 2 3 5 2 6" xfId="581"/>
    <cellStyle name="Обычный 10 2 3 5 2 7" xfId="582"/>
    <cellStyle name="Обычный 10 2 3 5 2 8" xfId="583"/>
    <cellStyle name="Обычный 10 2 3 5 2 9" xfId="584"/>
    <cellStyle name="Обычный 10 2 3 5 3" xfId="585"/>
    <cellStyle name="Обычный 10 2 3 5 3 2" xfId="586"/>
    <cellStyle name="Обычный 10 2 3 5 4" xfId="587"/>
    <cellStyle name="Обычный 10 2 3 5 5" xfId="588"/>
    <cellStyle name="Обычный 10 2 3 5 6" xfId="589"/>
    <cellStyle name="Обычный 10 2 3 5 7" xfId="590"/>
    <cellStyle name="Обычный 10 2 3 5 8" xfId="591"/>
    <cellStyle name="Обычный 10 2 3 5 9" xfId="592"/>
    <cellStyle name="Обычный 10 2 3 6" xfId="593"/>
    <cellStyle name="Обычный 10 2 3 6 10" xfId="594"/>
    <cellStyle name="Обычный 10 2 3 6 11" xfId="17980"/>
    <cellStyle name="Обычный 10 2 3 6 12" xfId="19685"/>
    <cellStyle name="Обычный 10 2 3 6 13" xfId="21299"/>
    <cellStyle name="Обычный 10 2 3 6 2" xfId="595"/>
    <cellStyle name="Обычный 10 2 3 6 2 2" xfId="596"/>
    <cellStyle name="Обычный 10 2 3 6 3" xfId="597"/>
    <cellStyle name="Обычный 10 2 3 6 4" xfId="598"/>
    <cellStyle name="Обычный 10 2 3 6 5" xfId="599"/>
    <cellStyle name="Обычный 10 2 3 6 6" xfId="600"/>
    <cellStyle name="Обычный 10 2 3 6 7" xfId="601"/>
    <cellStyle name="Обычный 10 2 3 6 8" xfId="602"/>
    <cellStyle name="Обычный 10 2 3 6 9" xfId="603"/>
    <cellStyle name="Обычный 10 2 3 7" xfId="604"/>
    <cellStyle name="Обычный 10 2 3 7 10" xfId="19686"/>
    <cellStyle name="Обычный 10 2 3 7 11" xfId="21300"/>
    <cellStyle name="Обычный 10 2 3 7 2" xfId="605"/>
    <cellStyle name="Обычный 10 2 3 7 2 2" xfId="606"/>
    <cellStyle name="Обычный 10 2 3 7 3" xfId="607"/>
    <cellStyle name="Обычный 10 2 3 7 4" xfId="608"/>
    <cellStyle name="Обычный 10 2 3 7 5" xfId="609"/>
    <cellStyle name="Обычный 10 2 3 7 6" xfId="610"/>
    <cellStyle name="Обычный 10 2 3 7 7" xfId="611"/>
    <cellStyle name="Обычный 10 2 3 7 8" xfId="612"/>
    <cellStyle name="Обычный 10 2 3 7 9" xfId="17981"/>
    <cellStyle name="Обычный 10 2 3 8" xfId="613"/>
    <cellStyle name="Обычный 10 2 3 8 2" xfId="614"/>
    <cellStyle name="Обычный 10 2 3 9" xfId="615"/>
    <cellStyle name="Обычный 10 2 4" xfId="616"/>
    <cellStyle name="Обычный 10 2 4 10" xfId="617"/>
    <cellStyle name="Обычный 10 2 4 11" xfId="618"/>
    <cellStyle name="Обычный 10 2 4 12" xfId="17982"/>
    <cellStyle name="Обычный 10 2 4 13" xfId="19687"/>
    <cellStyle name="Обычный 10 2 4 14" xfId="21301"/>
    <cellStyle name="Обычный 10 2 4 2" xfId="619"/>
    <cellStyle name="Обычный 10 2 4 2 10" xfId="620"/>
    <cellStyle name="Обычный 10 2 4 2 11" xfId="17983"/>
    <cellStyle name="Обычный 10 2 4 2 12" xfId="19688"/>
    <cellStyle name="Обычный 10 2 4 2 13" xfId="21302"/>
    <cellStyle name="Обычный 10 2 4 2 2" xfId="621"/>
    <cellStyle name="Обычный 10 2 4 2 2 2" xfId="622"/>
    <cellStyle name="Обычный 10 2 4 2 3" xfId="623"/>
    <cellStyle name="Обычный 10 2 4 2 4" xfId="624"/>
    <cellStyle name="Обычный 10 2 4 2 5" xfId="625"/>
    <cellStyle name="Обычный 10 2 4 2 6" xfId="626"/>
    <cellStyle name="Обычный 10 2 4 2 7" xfId="627"/>
    <cellStyle name="Обычный 10 2 4 2 8" xfId="628"/>
    <cellStyle name="Обычный 10 2 4 2 9" xfId="629"/>
    <cellStyle name="Обычный 10 2 4 3" xfId="630"/>
    <cellStyle name="Обычный 10 2 4 3 2" xfId="631"/>
    <cellStyle name="Обычный 10 2 4 4" xfId="632"/>
    <cellStyle name="Обычный 10 2 4 5" xfId="633"/>
    <cellStyle name="Обычный 10 2 4 6" xfId="634"/>
    <cellStyle name="Обычный 10 2 4 7" xfId="635"/>
    <cellStyle name="Обычный 10 2 4 8" xfId="636"/>
    <cellStyle name="Обычный 10 2 4 9" xfId="637"/>
    <cellStyle name="Обычный 10 2 5" xfId="638"/>
    <cellStyle name="Обычный 10 2 5 10" xfId="639"/>
    <cellStyle name="Обычный 10 2 5 11" xfId="640"/>
    <cellStyle name="Обычный 10 2 5 12" xfId="17984"/>
    <cellStyle name="Обычный 10 2 5 13" xfId="19689"/>
    <cellStyle name="Обычный 10 2 5 14" xfId="21303"/>
    <cellStyle name="Обычный 10 2 5 2" xfId="641"/>
    <cellStyle name="Обычный 10 2 5 2 10" xfId="642"/>
    <cellStyle name="Обычный 10 2 5 2 11" xfId="17985"/>
    <cellStyle name="Обычный 10 2 5 2 12" xfId="19690"/>
    <cellStyle name="Обычный 10 2 5 2 13" xfId="21304"/>
    <cellStyle name="Обычный 10 2 5 2 2" xfId="643"/>
    <cellStyle name="Обычный 10 2 5 2 2 2" xfId="644"/>
    <cellStyle name="Обычный 10 2 5 2 3" xfId="645"/>
    <cellStyle name="Обычный 10 2 5 2 4" xfId="646"/>
    <cellStyle name="Обычный 10 2 5 2 5" xfId="647"/>
    <cellStyle name="Обычный 10 2 5 2 6" xfId="648"/>
    <cellStyle name="Обычный 10 2 5 2 7" xfId="649"/>
    <cellStyle name="Обычный 10 2 5 2 8" xfId="650"/>
    <cellStyle name="Обычный 10 2 5 2 9" xfId="651"/>
    <cellStyle name="Обычный 10 2 5 3" xfId="652"/>
    <cellStyle name="Обычный 10 2 5 3 2" xfId="653"/>
    <cellStyle name="Обычный 10 2 5 4" xfId="654"/>
    <cellStyle name="Обычный 10 2 5 5" xfId="655"/>
    <cellStyle name="Обычный 10 2 5 6" xfId="656"/>
    <cellStyle name="Обычный 10 2 5 7" xfId="657"/>
    <cellStyle name="Обычный 10 2 5 8" xfId="658"/>
    <cellStyle name="Обычный 10 2 5 9" xfId="659"/>
    <cellStyle name="Обычный 10 2 6" xfId="660"/>
    <cellStyle name="Обычный 10 2 6 10" xfId="661"/>
    <cellStyle name="Обычный 10 2 6 11" xfId="662"/>
    <cellStyle name="Обычный 10 2 6 12" xfId="17986"/>
    <cellStyle name="Обычный 10 2 6 13" xfId="19691"/>
    <cellStyle name="Обычный 10 2 6 14" xfId="21305"/>
    <cellStyle name="Обычный 10 2 6 2" xfId="663"/>
    <cellStyle name="Обычный 10 2 6 2 10" xfId="664"/>
    <cellStyle name="Обычный 10 2 6 2 11" xfId="17987"/>
    <cellStyle name="Обычный 10 2 6 2 12" xfId="19692"/>
    <cellStyle name="Обычный 10 2 6 2 13" xfId="21306"/>
    <cellStyle name="Обычный 10 2 6 2 2" xfId="665"/>
    <cellStyle name="Обычный 10 2 6 2 2 2" xfId="666"/>
    <cellStyle name="Обычный 10 2 6 2 3" xfId="667"/>
    <cellStyle name="Обычный 10 2 6 2 4" xfId="668"/>
    <cellStyle name="Обычный 10 2 6 2 5" xfId="669"/>
    <cellStyle name="Обычный 10 2 6 2 6" xfId="670"/>
    <cellStyle name="Обычный 10 2 6 2 7" xfId="671"/>
    <cellStyle name="Обычный 10 2 6 2 8" xfId="672"/>
    <cellStyle name="Обычный 10 2 6 2 9" xfId="673"/>
    <cellStyle name="Обычный 10 2 6 3" xfId="674"/>
    <cellStyle name="Обычный 10 2 6 3 2" xfId="675"/>
    <cellStyle name="Обычный 10 2 6 4" xfId="676"/>
    <cellStyle name="Обычный 10 2 6 5" xfId="677"/>
    <cellStyle name="Обычный 10 2 6 6" xfId="678"/>
    <cellStyle name="Обычный 10 2 6 7" xfId="679"/>
    <cellStyle name="Обычный 10 2 6 8" xfId="680"/>
    <cellStyle name="Обычный 10 2 6 9" xfId="681"/>
    <cellStyle name="Обычный 10 2 7" xfId="682"/>
    <cellStyle name="Обычный 10 2 7 10" xfId="683"/>
    <cellStyle name="Обычный 10 2 7 11" xfId="684"/>
    <cellStyle name="Обычный 10 2 7 12" xfId="17988"/>
    <cellStyle name="Обычный 10 2 7 13" xfId="19693"/>
    <cellStyle name="Обычный 10 2 7 14" xfId="21307"/>
    <cellStyle name="Обычный 10 2 7 2" xfId="685"/>
    <cellStyle name="Обычный 10 2 7 2 10" xfId="686"/>
    <cellStyle name="Обычный 10 2 7 2 11" xfId="17989"/>
    <cellStyle name="Обычный 10 2 7 2 12" xfId="19694"/>
    <cellStyle name="Обычный 10 2 7 2 13" xfId="21308"/>
    <cellStyle name="Обычный 10 2 7 2 2" xfId="687"/>
    <cellStyle name="Обычный 10 2 7 2 2 2" xfId="688"/>
    <cellStyle name="Обычный 10 2 7 2 3" xfId="689"/>
    <cellStyle name="Обычный 10 2 7 2 4" xfId="690"/>
    <cellStyle name="Обычный 10 2 7 2 5" xfId="691"/>
    <cellStyle name="Обычный 10 2 7 2 6" xfId="692"/>
    <cellStyle name="Обычный 10 2 7 2 7" xfId="693"/>
    <cellStyle name="Обычный 10 2 7 2 8" xfId="694"/>
    <cellStyle name="Обычный 10 2 7 2 9" xfId="695"/>
    <cellStyle name="Обычный 10 2 7 3" xfId="696"/>
    <cellStyle name="Обычный 10 2 7 3 2" xfId="697"/>
    <cellStyle name="Обычный 10 2 7 4" xfId="698"/>
    <cellStyle name="Обычный 10 2 7 5" xfId="699"/>
    <cellStyle name="Обычный 10 2 7 6" xfId="700"/>
    <cellStyle name="Обычный 10 2 7 7" xfId="701"/>
    <cellStyle name="Обычный 10 2 7 8" xfId="702"/>
    <cellStyle name="Обычный 10 2 7 9" xfId="703"/>
    <cellStyle name="Обычный 10 2 8" xfId="704"/>
    <cellStyle name="Обычный 10 2 8 10" xfId="705"/>
    <cellStyle name="Обычный 10 2 8 11" xfId="17990"/>
    <cellStyle name="Обычный 10 2 8 12" xfId="19695"/>
    <cellStyle name="Обычный 10 2 8 13" xfId="21309"/>
    <cellStyle name="Обычный 10 2 8 2" xfId="706"/>
    <cellStyle name="Обычный 10 2 8 2 2" xfId="707"/>
    <cellStyle name="Обычный 10 2 8 3" xfId="708"/>
    <cellStyle name="Обычный 10 2 8 4" xfId="709"/>
    <cellStyle name="Обычный 10 2 8 5" xfId="710"/>
    <cellStyle name="Обычный 10 2 8 6" xfId="711"/>
    <cellStyle name="Обычный 10 2 8 7" xfId="712"/>
    <cellStyle name="Обычный 10 2 8 8" xfId="713"/>
    <cellStyle name="Обычный 10 2 8 9" xfId="714"/>
    <cellStyle name="Обычный 10 2 9" xfId="715"/>
    <cellStyle name="Обычный 10 2 9 10" xfId="19696"/>
    <cellStyle name="Обычный 10 2 9 11" xfId="21310"/>
    <cellStyle name="Обычный 10 2 9 2" xfId="716"/>
    <cellStyle name="Обычный 10 2 9 2 2" xfId="717"/>
    <cellStyle name="Обычный 10 2 9 3" xfId="718"/>
    <cellStyle name="Обычный 10 2 9 4" xfId="719"/>
    <cellStyle name="Обычный 10 2 9 5" xfId="720"/>
    <cellStyle name="Обычный 10 2 9 6" xfId="721"/>
    <cellStyle name="Обычный 10 2 9 7" xfId="722"/>
    <cellStyle name="Обычный 10 2 9 8" xfId="723"/>
    <cellStyle name="Обычный 10 2 9 9" xfId="17991"/>
    <cellStyle name="Обычный 10 20" xfId="724"/>
    <cellStyle name="Обычный 10 21" xfId="725"/>
    <cellStyle name="Обычный 10 22" xfId="726"/>
    <cellStyle name="Обычный 10 23" xfId="727"/>
    <cellStyle name="Обычный 10 24" xfId="17953"/>
    <cellStyle name="Обычный 10 25" xfId="19621"/>
    <cellStyle name="Обычный 10 26" xfId="19658"/>
    <cellStyle name="Обычный 10 27" xfId="21272"/>
    <cellStyle name="Обычный 10 3" xfId="728"/>
    <cellStyle name="Обычный 10 3 10" xfId="729"/>
    <cellStyle name="Обычный 10 3 11" xfId="730"/>
    <cellStyle name="Обычный 10 3 12" xfId="731"/>
    <cellStyle name="Обычный 10 3 13" xfId="732"/>
    <cellStyle name="Обычный 10 3 14" xfId="733"/>
    <cellStyle name="Обычный 10 3 15" xfId="734"/>
    <cellStyle name="Обычный 10 3 16" xfId="735"/>
    <cellStyle name="Обычный 10 3 17" xfId="736"/>
    <cellStyle name="Обычный 10 3 18" xfId="17992"/>
    <cellStyle name="Обычный 10 3 19" xfId="19697"/>
    <cellStyle name="Обычный 10 3 2" xfId="737"/>
    <cellStyle name="Обычный 10 3 2 10" xfId="738"/>
    <cellStyle name="Обычный 10 3 2 11" xfId="739"/>
    <cellStyle name="Обычный 10 3 2 12" xfId="17993"/>
    <cellStyle name="Обычный 10 3 2 13" xfId="19698"/>
    <cellStyle name="Обычный 10 3 2 14" xfId="21312"/>
    <cellStyle name="Обычный 10 3 2 2" xfId="740"/>
    <cellStyle name="Обычный 10 3 2 2 10" xfId="741"/>
    <cellStyle name="Обычный 10 3 2 2 11" xfId="17994"/>
    <cellStyle name="Обычный 10 3 2 2 12" xfId="19699"/>
    <cellStyle name="Обычный 10 3 2 2 13" xfId="21313"/>
    <cellStyle name="Обычный 10 3 2 2 2" xfId="742"/>
    <cellStyle name="Обычный 10 3 2 2 2 2" xfId="743"/>
    <cellStyle name="Обычный 10 3 2 2 3" xfId="744"/>
    <cellStyle name="Обычный 10 3 2 2 4" xfId="745"/>
    <cellStyle name="Обычный 10 3 2 2 5" xfId="746"/>
    <cellStyle name="Обычный 10 3 2 2 6" xfId="747"/>
    <cellStyle name="Обычный 10 3 2 2 7" xfId="748"/>
    <cellStyle name="Обычный 10 3 2 2 8" xfId="749"/>
    <cellStyle name="Обычный 10 3 2 2 9" xfId="750"/>
    <cellStyle name="Обычный 10 3 2 3" xfId="751"/>
    <cellStyle name="Обычный 10 3 2 3 2" xfId="752"/>
    <cellStyle name="Обычный 10 3 2 4" xfId="753"/>
    <cellStyle name="Обычный 10 3 2 5" xfId="754"/>
    <cellStyle name="Обычный 10 3 2 6" xfId="755"/>
    <cellStyle name="Обычный 10 3 2 7" xfId="756"/>
    <cellStyle name="Обычный 10 3 2 8" xfId="757"/>
    <cellStyle name="Обычный 10 3 2 9" xfId="758"/>
    <cellStyle name="Обычный 10 3 20" xfId="21311"/>
    <cellStyle name="Обычный 10 3 3" xfId="759"/>
    <cellStyle name="Обычный 10 3 3 10" xfId="760"/>
    <cellStyle name="Обычный 10 3 3 11" xfId="761"/>
    <cellStyle name="Обычный 10 3 3 12" xfId="17995"/>
    <cellStyle name="Обычный 10 3 3 13" xfId="19700"/>
    <cellStyle name="Обычный 10 3 3 14" xfId="21314"/>
    <cellStyle name="Обычный 10 3 3 2" xfId="762"/>
    <cellStyle name="Обычный 10 3 3 2 10" xfId="763"/>
    <cellStyle name="Обычный 10 3 3 2 11" xfId="17996"/>
    <cellStyle name="Обычный 10 3 3 2 12" xfId="19701"/>
    <cellStyle name="Обычный 10 3 3 2 13" xfId="21315"/>
    <cellStyle name="Обычный 10 3 3 2 2" xfId="764"/>
    <cellStyle name="Обычный 10 3 3 2 2 2" xfId="765"/>
    <cellStyle name="Обычный 10 3 3 2 3" xfId="766"/>
    <cellStyle name="Обычный 10 3 3 2 4" xfId="767"/>
    <cellStyle name="Обычный 10 3 3 2 5" xfId="768"/>
    <cellStyle name="Обычный 10 3 3 2 6" xfId="769"/>
    <cellStyle name="Обычный 10 3 3 2 7" xfId="770"/>
    <cellStyle name="Обычный 10 3 3 2 8" xfId="771"/>
    <cellStyle name="Обычный 10 3 3 2 9" xfId="772"/>
    <cellStyle name="Обычный 10 3 3 3" xfId="773"/>
    <cellStyle name="Обычный 10 3 3 3 2" xfId="774"/>
    <cellStyle name="Обычный 10 3 3 4" xfId="775"/>
    <cellStyle name="Обычный 10 3 3 5" xfId="776"/>
    <cellStyle name="Обычный 10 3 3 6" xfId="777"/>
    <cellStyle name="Обычный 10 3 3 7" xfId="778"/>
    <cellStyle name="Обычный 10 3 3 8" xfId="779"/>
    <cellStyle name="Обычный 10 3 3 9" xfId="780"/>
    <cellStyle name="Обычный 10 3 4" xfId="781"/>
    <cellStyle name="Обычный 10 3 4 10" xfId="782"/>
    <cellStyle name="Обычный 10 3 4 11" xfId="783"/>
    <cellStyle name="Обычный 10 3 4 12" xfId="17997"/>
    <cellStyle name="Обычный 10 3 4 13" xfId="19702"/>
    <cellStyle name="Обычный 10 3 4 14" xfId="21316"/>
    <cellStyle name="Обычный 10 3 4 2" xfId="784"/>
    <cellStyle name="Обычный 10 3 4 2 10" xfId="785"/>
    <cellStyle name="Обычный 10 3 4 2 11" xfId="17998"/>
    <cellStyle name="Обычный 10 3 4 2 12" xfId="19703"/>
    <cellStyle name="Обычный 10 3 4 2 13" xfId="21317"/>
    <cellStyle name="Обычный 10 3 4 2 2" xfId="786"/>
    <cellStyle name="Обычный 10 3 4 2 2 2" xfId="787"/>
    <cellStyle name="Обычный 10 3 4 2 3" xfId="788"/>
    <cellStyle name="Обычный 10 3 4 2 4" xfId="789"/>
    <cellStyle name="Обычный 10 3 4 2 5" xfId="790"/>
    <cellStyle name="Обычный 10 3 4 2 6" xfId="791"/>
    <cellStyle name="Обычный 10 3 4 2 7" xfId="792"/>
    <cellStyle name="Обычный 10 3 4 2 8" xfId="793"/>
    <cellStyle name="Обычный 10 3 4 2 9" xfId="794"/>
    <cellStyle name="Обычный 10 3 4 3" xfId="795"/>
    <cellStyle name="Обычный 10 3 4 3 2" xfId="796"/>
    <cellStyle name="Обычный 10 3 4 4" xfId="797"/>
    <cellStyle name="Обычный 10 3 4 5" xfId="798"/>
    <cellStyle name="Обычный 10 3 4 6" xfId="799"/>
    <cellStyle name="Обычный 10 3 4 7" xfId="800"/>
    <cellStyle name="Обычный 10 3 4 8" xfId="801"/>
    <cellStyle name="Обычный 10 3 4 9" xfId="802"/>
    <cellStyle name="Обычный 10 3 5" xfId="803"/>
    <cellStyle name="Обычный 10 3 5 10" xfId="804"/>
    <cellStyle name="Обычный 10 3 5 11" xfId="805"/>
    <cellStyle name="Обычный 10 3 5 12" xfId="17999"/>
    <cellStyle name="Обычный 10 3 5 13" xfId="19704"/>
    <cellStyle name="Обычный 10 3 5 14" xfId="21318"/>
    <cellStyle name="Обычный 10 3 5 2" xfId="806"/>
    <cellStyle name="Обычный 10 3 5 2 10" xfId="807"/>
    <cellStyle name="Обычный 10 3 5 2 11" xfId="18000"/>
    <cellStyle name="Обычный 10 3 5 2 12" xfId="19705"/>
    <cellStyle name="Обычный 10 3 5 2 13" xfId="21319"/>
    <cellStyle name="Обычный 10 3 5 2 2" xfId="808"/>
    <cellStyle name="Обычный 10 3 5 2 2 2" xfId="809"/>
    <cellStyle name="Обычный 10 3 5 2 3" xfId="810"/>
    <cellStyle name="Обычный 10 3 5 2 4" xfId="811"/>
    <cellStyle name="Обычный 10 3 5 2 5" xfId="812"/>
    <cellStyle name="Обычный 10 3 5 2 6" xfId="813"/>
    <cellStyle name="Обычный 10 3 5 2 7" xfId="814"/>
    <cellStyle name="Обычный 10 3 5 2 8" xfId="815"/>
    <cellStyle name="Обычный 10 3 5 2 9" xfId="816"/>
    <cellStyle name="Обычный 10 3 5 3" xfId="817"/>
    <cellStyle name="Обычный 10 3 5 3 2" xfId="818"/>
    <cellStyle name="Обычный 10 3 5 4" xfId="819"/>
    <cellStyle name="Обычный 10 3 5 5" xfId="820"/>
    <cellStyle name="Обычный 10 3 5 6" xfId="821"/>
    <cellStyle name="Обычный 10 3 5 7" xfId="822"/>
    <cellStyle name="Обычный 10 3 5 8" xfId="823"/>
    <cellStyle name="Обычный 10 3 5 9" xfId="824"/>
    <cellStyle name="Обычный 10 3 6" xfId="825"/>
    <cellStyle name="Обычный 10 3 6 10" xfId="826"/>
    <cellStyle name="Обычный 10 3 6 11" xfId="18001"/>
    <cellStyle name="Обычный 10 3 6 12" xfId="19706"/>
    <cellStyle name="Обычный 10 3 6 13" xfId="21320"/>
    <cellStyle name="Обычный 10 3 6 2" xfId="827"/>
    <cellStyle name="Обычный 10 3 6 2 2" xfId="828"/>
    <cellStyle name="Обычный 10 3 6 3" xfId="829"/>
    <cellStyle name="Обычный 10 3 6 4" xfId="830"/>
    <cellStyle name="Обычный 10 3 6 5" xfId="831"/>
    <cellStyle name="Обычный 10 3 6 6" xfId="832"/>
    <cellStyle name="Обычный 10 3 6 7" xfId="833"/>
    <cellStyle name="Обычный 10 3 6 8" xfId="834"/>
    <cellStyle name="Обычный 10 3 6 9" xfId="835"/>
    <cellStyle name="Обычный 10 3 7" xfId="836"/>
    <cellStyle name="Обычный 10 3 7 10" xfId="19707"/>
    <cellStyle name="Обычный 10 3 7 11" xfId="21321"/>
    <cellStyle name="Обычный 10 3 7 2" xfId="837"/>
    <cellStyle name="Обычный 10 3 7 2 2" xfId="838"/>
    <cellStyle name="Обычный 10 3 7 3" xfId="839"/>
    <cellStyle name="Обычный 10 3 7 4" xfId="840"/>
    <cellStyle name="Обычный 10 3 7 5" xfId="841"/>
    <cellStyle name="Обычный 10 3 7 6" xfId="842"/>
    <cellStyle name="Обычный 10 3 7 7" xfId="843"/>
    <cellStyle name="Обычный 10 3 7 8" xfId="844"/>
    <cellStyle name="Обычный 10 3 7 9" xfId="18002"/>
    <cellStyle name="Обычный 10 3 8" xfId="845"/>
    <cellStyle name="Обычный 10 3 8 2" xfId="846"/>
    <cellStyle name="Обычный 10 3 9" xfId="847"/>
    <cellStyle name="Обычный 10 4" xfId="848"/>
    <cellStyle name="Обычный 10 4 10" xfId="849"/>
    <cellStyle name="Обычный 10 4 11" xfId="850"/>
    <cellStyle name="Обычный 10 4 12" xfId="851"/>
    <cellStyle name="Обычный 10 4 13" xfId="852"/>
    <cellStyle name="Обычный 10 4 14" xfId="853"/>
    <cellStyle name="Обычный 10 4 15" xfId="854"/>
    <cellStyle name="Обычный 10 4 16" xfId="855"/>
    <cellStyle name="Обычный 10 4 17" xfId="856"/>
    <cellStyle name="Обычный 10 4 18" xfId="18003"/>
    <cellStyle name="Обычный 10 4 19" xfId="19708"/>
    <cellStyle name="Обычный 10 4 2" xfId="857"/>
    <cellStyle name="Обычный 10 4 2 10" xfId="858"/>
    <cellStyle name="Обычный 10 4 2 11" xfId="859"/>
    <cellStyle name="Обычный 10 4 2 12" xfId="18004"/>
    <cellStyle name="Обычный 10 4 2 13" xfId="19709"/>
    <cellStyle name="Обычный 10 4 2 14" xfId="21323"/>
    <cellStyle name="Обычный 10 4 2 2" xfId="860"/>
    <cellStyle name="Обычный 10 4 2 2 10" xfId="861"/>
    <cellStyle name="Обычный 10 4 2 2 11" xfId="18005"/>
    <cellStyle name="Обычный 10 4 2 2 12" xfId="19710"/>
    <cellStyle name="Обычный 10 4 2 2 13" xfId="21324"/>
    <cellStyle name="Обычный 10 4 2 2 2" xfId="862"/>
    <cellStyle name="Обычный 10 4 2 2 2 2" xfId="863"/>
    <cellStyle name="Обычный 10 4 2 2 3" xfId="864"/>
    <cellStyle name="Обычный 10 4 2 2 4" xfId="865"/>
    <cellStyle name="Обычный 10 4 2 2 5" xfId="866"/>
    <cellStyle name="Обычный 10 4 2 2 6" xfId="867"/>
    <cellStyle name="Обычный 10 4 2 2 7" xfId="868"/>
    <cellStyle name="Обычный 10 4 2 2 8" xfId="869"/>
    <cellStyle name="Обычный 10 4 2 2 9" xfId="870"/>
    <cellStyle name="Обычный 10 4 2 3" xfId="871"/>
    <cellStyle name="Обычный 10 4 2 3 2" xfId="872"/>
    <cellStyle name="Обычный 10 4 2 4" xfId="873"/>
    <cellStyle name="Обычный 10 4 2 5" xfId="874"/>
    <cellStyle name="Обычный 10 4 2 6" xfId="875"/>
    <cellStyle name="Обычный 10 4 2 7" xfId="876"/>
    <cellStyle name="Обычный 10 4 2 8" xfId="877"/>
    <cellStyle name="Обычный 10 4 2 9" xfId="878"/>
    <cellStyle name="Обычный 10 4 20" xfId="21322"/>
    <cellStyle name="Обычный 10 4 3" xfId="879"/>
    <cellStyle name="Обычный 10 4 3 10" xfId="880"/>
    <cellStyle name="Обычный 10 4 3 11" xfId="881"/>
    <cellStyle name="Обычный 10 4 3 12" xfId="18006"/>
    <cellStyle name="Обычный 10 4 3 13" xfId="19711"/>
    <cellStyle name="Обычный 10 4 3 14" xfId="21325"/>
    <cellStyle name="Обычный 10 4 3 2" xfId="882"/>
    <cellStyle name="Обычный 10 4 3 2 10" xfId="883"/>
    <cellStyle name="Обычный 10 4 3 2 11" xfId="18007"/>
    <cellStyle name="Обычный 10 4 3 2 12" xfId="19712"/>
    <cellStyle name="Обычный 10 4 3 2 13" xfId="21326"/>
    <cellStyle name="Обычный 10 4 3 2 2" xfId="884"/>
    <cellStyle name="Обычный 10 4 3 2 2 2" xfId="885"/>
    <cellStyle name="Обычный 10 4 3 2 3" xfId="886"/>
    <cellStyle name="Обычный 10 4 3 2 4" xfId="887"/>
    <cellStyle name="Обычный 10 4 3 2 5" xfId="888"/>
    <cellStyle name="Обычный 10 4 3 2 6" xfId="889"/>
    <cellStyle name="Обычный 10 4 3 2 7" xfId="890"/>
    <cellStyle name="Обычный 10 4 3 2 8" xfId="891"/>
    <cellStyle name="Обычный 10 4 3 2 9" xfId="892"/>
    <cellStyle name="Обычный 10 4 3 3" xfId="893"/>
    <cellStyle name="Обычный 10 4 3 3 2" xfId="894"/>
    <cellStyle name="Обычный 10 4 3 4" xfId="895"/>
    <cellStyle name="Обычный 10 4 3 5" xfId="896"/>
    <cellStyle name="Обычный 10 4 3 6" xfId="897"/>
    <cellStyle name="Обычный 10 4 3 7" xfId="898"/>
    <cellStyle name="Обычный 10 4 3 8" xfId="899"/>
    <cellStyle name="Обычный 10 4 3 9" xfId="900"/>
    <cellStyle name="Обычный 10 4 4" xfId="901"/>
    <cellStyle name="Обычный 10 4 4 10" xfId="902"/>
    <cellStyle name="Обычный 10 4 4 11" xfId="903"/>
    <cellStyle name="Обычный 10 4 4 12" xfId="18008"/>
    <cellStyle name="Обычный 10 4 4 13" xfId="19713"/>
    <cellStyle name="Обычный 10 4 4 14" xfId="21327"/>
    <cellStyle name="Обычный 10 4 4 2" xfId="904"/>
    <cellStyle name="Обычный 10 4 4 2 10" xfId="905"/>
    <cellStyle name="Обычный 10 4 4 2 11" xfId="18009"/>
    <cellStyle name="Обычный 10 4 4 2 12" xfId="19714"/>
    <cellStyle name="Обычный 10 4 4 2 13" xfId="21328"/>
    <cellStyle name="Обычный 10 4 4 2 2" xfId="906"/>
    <cellStyle name="Обычный 10 4 4 2 2 2" xfId="907"/>
    <cellStyle name="Обычный 10 4 4 2 3" xfId="908"/>
    <cellStyle name="Обычный 10 4 4 2 4" xfId="909"/>
    <cellStyle name="Обычный 10 4 4 2 5" xfId="910"/>
    <cellStyle name="Обычный 10 4 4 2 6" xfId="911"/>
    <cellStyle name="Обычный 10 4 4 2 7" xfId="912"/>
    <cellStyle name="Обычный 10 4 4 2 8" xfId="913"/>
    <cellStyle name="Обычный 10 4 4 2 9" xfId="914"/>
    <cellStyle name="Обычный 10 4 4 3" xfId="915"/>
    <cellStyle name="Обычный 10 4 4 3 2" xfId="916"/>
    <cellStyle name="Обычный 10 4 4 4" xfId="917"/>
    <cellStyle name="Обычный 10 4 4 5" xfId="918"/>
    <cellStyle name="Обычный 10 4 4 6" xfId="919"/>
    <cellStyle name="Обычный 10 4 4 7" xfId="920"/>
    <cellStyle name="Обычный 10 4 4 8" xfId="921"/>
    <cellStyle name="Обычный 10 4 4 9" xfId="922"/>
    <cellStyle name="Обычный 10 4 5" xfId="923"/>
    <cellStyle name="Обычный 10 4 5 10" xfId="924"/>
    <cellStyle name="Обычный 10 4 5 11" xfId="925"/>
    <cellStyle name="Обычный 10 4 5 12" xfId="18010"/>
    <cellStyle name="Обычный 10 4 5 13" xfId="19715"/>
    <cellStyle name="Обычный 10 4 5 14" xfId="21329"/>
    <cellStyle name="Обычный 10 4 5 2" xfId="926"/>
    <cellStyle name="Обычный 10 4 5 2 10" xfId="927"/>
    <cellStyle name="Обычный 10 4 5 2 11" xfId="18011"/>
    <cellStyle name="Обычный 10 4 5 2 12" xfId="19716"/>
    <cellStyle name="Обычный 10 4 5 2 13" xfId="21330"/>
    <cellStyle name="Обычный 10 4 5 2 2" xfId="928"/>
    <cellStyle name="Обычный 10 4 5 2 2 2" xfId="929"/>
    <cellStyle name="Обычный 10 4 5 2 3" xfId="930"/>
    <cellStyle name="Обычный 10 4 5 2 4" xfId="931"/>
    <cellStyle name="Обычный 10 4 5 2 5" xfId="932"/>
    <cellStyle name="Обычный 10 4 5 2 6" xfId="933"/>
    <cellStyle name="Обычный 10 4 5 2 7" xfId="934"/>
    <cellStyle name="Обычный 10 4 5 2 8" xfId="935"/>
    <cellStyle name="Обычный 10 4 5 2 9" xfId="936"/>
    <cellStyle name="Обычный 10 4 5 3" xfId="937"/>
    <cellStyle name="Обычный 10 4 5 3 2" xfId="938"/>
    <cellStyle name="Обычный 10 4 5 4" xfId="939"/>
    <cellStyle name="Обычный 10 4 5 5" xfId="940"/>
    <cellStyle name="Обычный 10 4 5 6" xfId="941"/>
    <cellStyle name="Обычный 10 4 5 7" xfId="942"/>
    <cellStyle name="Обычный 10 4 5 8" xfId="943"/>
    <cellStyle name="Обычный 10 4 5 9" xfId="944"/>
    <cellStyle name="Обычный 10 4 6" xfId="945"/>
    <cellStyle name="Обычный 10 4 6 10" xfId="946"/>
    <cellStyle name="Обычный 10 4 6 11" xfId="18012"/>
    <cellStyle name="Обычный 10 4 6 12" xfId="19717"/>
    <cellStyle name="Обычный 10 4 6 13" xfId="21331"/>
    <cellStyle name="Обычный 10 4 6 2" xfId="947"/>
    <cellStyle name="Обычный 10 4 6 2 2" xfId="948"/>
    <cellStyle name="Обычный 10 4 6 3" xfId="949"/>
    <cellStyle name="Обычный 10 4 6 4" xfId="950"/>
    <cellStyle name="Обычный 10 4 6 5" xfId="951"/>
    <cellStyle name="Обычный 10 4 6 6" xfId="952"/>
    <cellStyle name="Обычный 10 4 6 7" xfId="953"/>
    <cellStyle name="Обычный 10 4 6 8" xfId="954"/>
    <cellStyle name="Обычный 10 4 6 9" xfId="955"/>
    <cellStyle name="Обычный 10 4 7" xfId="956"/>
    <cellStyle name="Обычный 10 4 7 10" xfId="19718"/>
    <cellStyle name="Обычный 10 4 7 11" xfId="21332"/>
    <cellStyle name="Обычный 10 4 7 2" xfId="957"/>
    <cellStyle name="Обычный 10 4 7 2 2" xfId="958"/>
    <cellStyle name="Обычный 10 4 7 3" xfId="959"/>
    <cellStyle name="Обычный 10 4 7 4" xfId="960"/>
    <cellStyle name="Обычный 10 4 7 5" xfId="961"/>
    <cellStyle name="Обычный 10 4 7 6" xfId="962"/>
    <cellStyle name="Обычный 10 4 7 7" xfId="963"/>
    <cellStyle name="Обычный 10 4 7 8" xfId="964"/>
    <cellStyle name="Обычный 10 4 7 9" xfId="18013"/>
    <cellStyle name="Обычный 10 4 8" xfId="965"/>
    <cellStyle name="Обычный 10 4 8 2" xfId="966"/>
    <cellStyle name="Обычный 10 4 9" xfId="967"/>
    <cellStyle name="Обычный 10 5" xfId="968"/>
    <cellStyle name="Обычный 10 5 10" xfId="969"/>
    <cellStyle name="Обычный 10 5 11" xfId="970"/>
    <cellStyle name="Обычный 10 5 12" xfId="18014"/>
    <cellStyle name="Обычный 10 5 13" xfId="19719"/>
    <cellStyle name="Обычный 10 5 14" xfId="21333"/>
    <cellStyle name="Обычный 10 5 2" xfId="971"/>
    <cellStyle name="Обычный 10 5 2 10" xfId="972"/>
    <cellStyle name="Обычный 10 5 2 11" xfId="18015"/>
    <cellStyle name="Обычный 10 5 2 12" xfId="19720"/>
    <cellStyle name="Обычный 10 5 2 13" xfId="21334"/>
    <cellStyle name="Обычный 10 5 2 2" xfId="973"/>
    <cellStyle name="Обычный 10 5 2 2 2" xfId="974"/>
    <cellStyle name="Обычный 10 5 2 3" xfId="975"/>
    <cellStyle name="Обычный 10 5 2 4" xfId="976"/>
    <cellStyle name="Обычный 10 5 2 5" xfId="977"/>
    <cellStyle name="Обычный 10 5 2 6" xfId="978"/>
    <cellStyle name="Обычный 10 5 2 7" xfId="979"/>
    <cellStyle name="Обычный 10 5 2 8" xfId="980"/>
    <cellStyle name="Обычный 10 5 2 9" xfId="981"/>
    <cellStyle name="Обычный 10 5 3" xfId="982"/>
    <cellStyle name="Обычный 10 5 3 2" xfId="983"/>
    <cellStyle name="Обычный 10 5 4" xfId="984"/>
    <cellStyle name="Обычный 10 5 5" xfId="985"/>
    <cellStyle name="Обычный 10 5 6" xfId="986"/>
    <cellStyle name="Обычный 10 5 7" xfId="987"/>
    <cellStyle name="Обычный 10 5 8" xfId="988"/>
    <cellStyle name="Обычный 10 5 9" xfId="989"/>
    <cellStyle name="Обычный 10 6" xfId="990"/>
    <cellStyle name="Обычный 10 6 10" xfId="991"/>
    <cellStyle name="Обычный 10 6 11" xfId="992"/>
    <cellStyle name="Обычный 10 6 12" xfId="18016"/>
    <cellStyle name="Обычный 10 6 13" xfId="19721"/>
    <cellStyle name="Обычный 10 6 14" xfId="21335"/>
    <cellStyle name="Обычный 10 6 2" xfId="993"/>
    <cellStyle name="Обычный 10 6 2 10" xfId="994"/>
    <cellStyle name="Обычный 10 6 2 11" xfId="18017"/>
    <cellStyle name="Обычный 10 6 2 12" xfId="19722"/>
    <cellStyle name="Обычный 10 6 2 13" xfId="21336"/>
    <cellStyle name="Обычный 10 6 2 2" xfId="995"/>
    <cellStyle name="Обычный 10 6 2 2 2" xfId="996"/>
    <cellStyle name="Обычный 10 6 2 3" xfId="997"/>
    <cellStyle name="Обычный 10 6 2 4" xfId="998"/>
    <cellStyle name="Обычный 10 6 2 5" xfId="999"/>
    <cellStyle name="Обычный 10 6 2 6" xfId="1000"/>
    <cellStyle name="Обычный 10 6 2 7" xfId="1001"/>
    <cellStyle name="Обычный 10 6 2 8" xfId="1002"/>
    <cellStyle name="Обычный 10 6 2 9" xfId="1003"/>
    <cellStyle name="Обычный 10 6 3" xfId="1004"/>
    <cellStyle name="Обычный 10 6 3 2" xfId="1005"/>
    <cellStyle name="Обычный 10 6 4" xfId="1006"/>
    <cellStyle name="Обычный 10 6 5" xfId="1007"/>
    <cellStyle name="Обычный 10 6 6" xfId="1008"/>
    <cellStyle name="Обычный 10 6 7" xfId="1009"/>
    <cellStyle name="Обычный 10 6 8" xfId="1010"/>
    <cellStyle name="Обычный 10 6 9" xfId="1011"/>
    <cellStyle name="Обычный 10 7" xfId="1012"/>
    <cellStyle name="Обычный 10 7 10" xfId="1013"/>
    <cellStyle name="Обычный 10 7 11" xfId="1014"/>
    <cellStyle name="Обычный 10 7 12" xfId="18018"/>
    <cellStyle name="Обычный 10 7 13" xfId="19723"/>
    <cellStyle name="Обычный 10 7 14" xfId="21337"/>
    <cellStyle name="Обычный 10 7 2" xfId="1015"/>
    <cellStyle name="Обычный 10 7 2 10" xfId="1016"/>
    <cellStyle name="Обычный 10 7 2 11" xfId="18019"/>
    <cellStyle name="Обычный 10 7 2 12" xfId="19724"/>
    <cellStyle name="Обычный 10 7 2 13" xfId="21338"/>
    <cellStyle name="Обычный 10 7 2 2" xfId="1017"/>
    <cellStyle name="Обычный 10 7 2 2 2" xfId="1018"/>
    <cellStyle name="Обычный 10 7 2 3" xfId="1019"/>
    <cellStyle name="Обычный 10 7 2 4" xfId="1020"/>
    <cellStyle name="Обычный 10 7 2 5" xfId="1021"/>
    <cellStyle name="Обычный 10 7 2 6" xfId="1022"/>
    <cellStyle name="Обычный 10 7 2 7" xfId="1023"/>
    <cellStyle name="Обычный 10 7 2 8" xfId="1024"/>
    <cellStyle name="Обычный 10 7 2 9" xfId="1025"/>
    <cellStyle name="Обычный 10 7 3" xfId="1026"/>
    <cellStyle name="Обычный 10 7 3 2" xfId="1027"/>
    <cellStyle name="Обычный 10 7 4" xfId="1028"/>
    <cellStyle name="Обычный 10 7 5" xfId="1029"/>
    <cellStyle name="Обычный 10 7 6" xfId="1030"/>
    <cellStyle name="Обычный 10 7 7" xfId="1031"/>
    <cellStyle name="Обычный 10 7 8" xfId="1032"/>
    <cellStyle name="Обычный 10 7 9" xfId="1033"/>
    <cellStyle name="Обычный 10 8" xfId="1034"/>
    <cellStyle name="Обычный 10 8 10" xfId="1035"/>
    <cellStyle name="Обычный 10 8 11" xfId="1036"/>
    <cellStyle name="Обычный 10 8 12" xfId="18020"/>
    <cellStyle name="Обычный 10 8 13" xfId="19725"/>
    <cellStyle name="Обычный 10 8 14" xfId="21339"/>
    <cellStyle name="Обычный 10 8 2" xfId="1037"/>
    <cellStyle name="Обычный 10 8 2 10" xfId="1038"/>
    <cellStyle name="Обычный 10 8 2 11" xfId="18021"/>
    <cellStyle name="Обычный 10 8 2 12" xfId="19726"/>
    <cellStyle name="Обычный 10 8 2 13" xfId="21340"/>
    <cellStyle name="Обычный 10 8 2 2" xfId="1039"/>
    <cellStyle name="Обычный 10 8 2 2 2" xfId="1040"/>
    <cellStyle name="Обычный 10 8 2 3" xfId="1041"/>
    <cellStyle name="Обычный 10 8 2 4" xfId="1042"/>
    <cellStyle name="Обычный 10 8 2 5" xfId="1043"/>
    <cellStyle name="Обычный 10 8 2 6" xfId="1044"/>
    <cellStyle name="Обычный 10 8 2 7" xfId="1045"/>
    <cellStyle name="Обычный 10 8 2 8" xfId="1046"/>
    <cellStyle name="Обычный 10 8 2 9" xfId="1047"/>
    <cellStyle name="Обычный 10 8 3" xfId="1048"/>
    <cellStyle name="Обычный 10 8 3 2" xfId="1049"/>
    <cellStyle name="Обычный 10 8 4" xfId="1050"/>
    <cellStyle name="Обычный 10 8 5" xfId="1051"/>
    <cellStyle name="Обычный 10 8 6" xfId="1052"/>
    <cellStyle name="Обычный 10 8 7" xfId="1053"/>
    <cellStyle name="Обычный 10 8 8" xfId="1054"/>
    <cellStyle name="Обычный 10 8 9" xfId="1055"/>
    <cellStyle name="Обычный 10 9" xfId="1056"/>
    <cellStyle name="Обычный 10 9 10" xfId="1057"/>
    <cellStyle name="Обычный 10 9 11" xfId="1058"/>
    <cellStyle name="Обычный 10 9 12" xfId="18022"/>
    <cellStyle name="Обычный 10 9 13" xfId="19727"/>
    <cellStyle name="Обычный 10 9 14" xfId="21341"/>
    <cellStyle name="Обычный 10 9 2" xfId="1059"/>
    <cellStyle name="Обычный 10 9 2 10" xfId="1060"/>
    <cellStyle name="Обычный 10 9 2 11" xfId="18023"/>
    <cellStyle name="Обычный 10 9 2 12" xfId="19728"/>
    <cellStyle name="Обычный 10 9 2 13" xfId="21342"/>
    <cellStyle name="Обычный 10 9 2 2" xfId="1061"/>
    <cellStyle name="Обычный 10 9 2 2 2" xfId="1062"/>
    <cellStyle name="Обычный 10 9 2 3" xfId="1063"/>
    <cellStyle name="Обычный 10 9 2 4" xfId="1064"/>
    <cellStyle name="Обычный 10 9 2 5" xfId="1065"/>
    <cellStyle name="Обычный 10 9 2 6" xfId="1066"/>
    <cellStyle name="Обычный 10 9 2 7" xfId="1067"/>
    <cellStyle name="Обычный 10 9 2 8" xfId="1068"/>
    <cellStyle name="Обычный 10 9 2 9" xfId="1069"/>
    <cellStyle name="Обычный 10 9 3" xfId="1070"/>
    <cellStyle name="Обычный 10 9 3 2" xfId="1071"/>
    <cellStyle name="Обычный 10 9 4" xfId="1072"/>
    <cellStyle name="Обычный 10 9 5" xfId="1073"/>
    <cellStyle name="Обычный 10 9 6" xfId="1074"/>
    <cellStyle name="Обычный 10 9 7" xfId="1075"/>
    <cellStyle name="Обычный 10 9 8" xfId="1076"/>
    <cellStyle name="Обычный 10 9 9" xfId="1077"/>
    <cellStyle name="Обычный 101" xfId="22891"/>
    <cellStyle name="Обычный 11" xfId="1078"/>
    <cellStyle name="Обычный 11 10" xfId="1079"/>
    <cellStyle name="Обычный 11 10 10" xfId="1080"/>
    <cellStyle name="Обычный 11 10 11" xfId="1081"/>
    <cellStyle name="Обычный 11 10 12" xfId="18025"/>
    <cellStyle name="Обычный 11 10 13" xfId="19730"/>
    <cellStyle name="Обычный 11 10 14" xfId="21344"/>
    <cellStyle name="Обычный 11 10 2" xfId="1082"/>
    <cellStyle name="Обычный 11 10 2 10" xfId="1083"/>
    <cellStyle name="Обычный 11 10 2 11" xfId="18026"/>
    <cellStyle name="Обычный 11 10 2 12" xfId="19731"/>
    <cellStyle name="Обычный 11 10 2 13" xfId="21345"/>
    <cellStyle name="Обычный 11 10 2 2" xfId="1084"/>
    <cellStyle name="Обычный 11 10 2 2 2" xfId="1085"/>
    <cellStyle name="Обычный 11 10 2 3" xfId="1086"/>
    <cellStyle name="Обычный 11 10 2 4" xfId="1087"/>
    <cellStyle name="Обычный 11 10 2 5" xfId="1088"/>
    <cellStyle name="Обычный 11 10 2 6" xfId="1089"/>
    <cellStyle name="Обычный 11 10 2 7" xfId="1090"/>
    <cellStyle name="Обычный 11 10 2 8" xfId="1091"/>
    <cellStyle name="Обычный 11 10 2 9" xfId="1092"/>
    <cellStyle name="Обычный 11 10 3" xfId="1093"/>
    <cellStyle name="Обычный 11 10 3 2" xfId="1094"/>
    <cellStyle name="Обычный 11 10 4" xfId="1095"/>
    <cellStyle name="Обычный 11 10 5" xfId="1096"/>
    <cellStyle name="Обычный 11 10 6" xfId="1097"/>
    <cellStyle name="Обычный 11 10 7" xfId="1098"/>
    <cellStyle name="Обычный 11 10 8" xfId="1099"/>
    <cellStyle name="Обычный 11 10 9" xfId="1100"/>
    <cellStyle name="Обычный 11 11" xfId="1101"/>
    <cellStyle name="Обычный 11 11 10" xfId="1102"/>
    <cellStyle name="Обычный 11 11 11" xfId="1103"/>
    <cellStyle name="Обычный 11 11 12" xfId="18027"/>
    <cellStyle name="Обычный 11 11 13" xfId="19732"/>
    <cellStyle name="Обычный 11 11 14" xfId="21346"/>
    <cellStyle name="Обычный 11 11 2" xfId="1104"/>
    <cellStyle name="Обычный 11 11 2 10" xfId="1105"/>
    <cellStyle name="Обычный 11 11 2 11" xfId="18028"/>
    <cellStyle name="Обычный 11 11 2 12" xfId="19733"/>
    <cellStyle name="Обычный 11 11 2 13" xfId="21347"/>
    <cellStyle name="Обычный 11 11 2 2" xfId="1106"/>
    <cellStyle name="Обычный 11 11 2 2 2" xfId="1107"/>
    <cellStyle name="Обычный 11 11 2 3" xfId="1108"/>
    <cellStyle name="Обычный 11 11 2 4" xfId="1109"/>
    <cellStyle name="Обычный 11 11 2 5" xfId="1110"/>
    <cellStyle name="Обычный 11 11 2 6" xfId="1111"/>
    <cellStyle name="Обычный 11 11 2 7" xfId="1112"/>
    <cellStyle name="Обычный 11 11 2 8" xfId="1113"/>
    <cellStyle name="Обычный 11 11 2 9" xfId="1114"/>
    <cellStyle name="Обычный 11 11 3" xfId="1115"/>
    <cellStyle name="Обычный 11 11 3 2" xfId="1116"/>
    <cellStyle name="Обычный 11 11 4" xfId="1117"/>
    <cellStyle name="Обычный 11 11 5" xfId="1118"/>
    <cellStyle name="Обычный 11 11 6" xfId="1119"/>
    <cellStyle name="Обычный 11 11 7" xfId="1120"/>
    <cellStyle name="Обычный 11 11 8" xfId="1121"/>
    <cellStyle name="Обычный 11 11 9" xfId="1122"/>
    <cellStyle name="Обычный 11 12" xfId="1123"/>
    <cellStyle name="Обычный 11 12 10" xfId="1124"/>
    <cellStyle name="Обычный 11 12 11" xfId="18029"/>
    <cellStyle name="Обычный 11 12 12" xfId="19734"/>
    <cellStyle name="Обычный 11 12 13" xfId="21348"/>
    <cellStyle name="Обычный 11 12 2" xfId="1125"/>
    <cellStyle name="Обычный 11 12 2 2" xfId="1126"/>
    <cellStyle name="Обычный 11 12 3" xfId="1127"/>
    <cellStyle name="Обычный 11 12 4" xfId="1128"/>
    <cellStyle name="Обычный 11 12 5" xfId="1129"/>
    <cellStyle name="Обычный 11 12 6" xfId="1130"/>
    <cellStyle name="Обычный 11 12 7" xfId="1131"/>
    <cellStyle name="Обычный 11 12 8" xfId="1132"/>
    <cellStyle name="Обычный 11 12 9" xfId="1133"/>
    <cellStyle name="Обычный 11 13" xfId="1134"/>
    <cellStyle name="Обычный 11 13 10" xfId="19735"/>
    <cellStyle name="Обычный 11 13 11" xfId="21349"/>
    <cellStyle name="Обычный 11 13 2" xfId="1135"/>
    <cellStyle name="Обычный 11 13 2 2" xfId="1136"/>
    <cellStyle name="Обычный 11 13 3" xfId="1137"/>
    <cellStyle name="Обычный 11 13 4" xfId="1138"/>
    <cellStyle name="Обычный 11 13 5" xfId="1139"/>
    <cellStyle name="Обычный 11 13 6" xfId="1140"/>
    <cellStyle name="Обычный 11 13 7" xfId="1141"/>
    <cellStyle name="Обычный 11 13 8" xfId="1142"/>
    <cellStyle name="Обычный 11 13 9" xfId="18030"/>
    <cellStyle name="Обычный 11 14" xfId="1143"/>
    <cellStyle name="Обычный 11 14 10" xfId="19736"/>
    <cellStyle name="Обычный 11 14 11" xfId="21350"/>
    <cellStyle name="Обычный 11 14 2" xfId="1144"/>
    <cellStyle name="Обычный 11 14 2 2" xfId="1145"/>
    <cellStyle name="Обычный 11 14 3" xfId="1146"/>
    <cellStyle name="Обычный 11 14 4" xfId="1147"/>
    <cellStyle name="Обычный 11 14 5" xfId="1148"/>
    <cellStyle name="Обычный 11 14 6" xfId="1149"/>
    <cellStyle name="Обычный 11 14 7" xfId="1150"/>
    <cellStyle name="Обычный 11 14 8" xfId="1151"/>
    <cellStyle name="Обычный 11 14 9" xfId="18031"/>
    <cellStyle name="Обычный 11 15" xfId="1152"/>
    <cellStyle name="Обычный 11 15 2" xfId="1153"/>
    <cellStyle name="Обычный 11 16" xfId="1154"/>
    <cellStyle name="Обычный 11 17" xfId="1155"/>
    <cellStyle name="Обычный 11 18" xfId="1156"/>
    <cellStyle name="Обычный 11 19" xfId="1157"/>
    <cellStyle name="Обычный 11 2" xfId="1158"/>
    <cellStyle name="Обычный 11 2 10" xfId="1159"/>
    <cellStyle name="Обычный 11 2 10 10" xfId="1160"/>
    <cellStyle name="Обычный 11 2 10 11" xfId="1161"/>
    <cellStyle name="Обычный 11 2 10 12" xfId="18033"/>
    <cellStyle name="Обычный 11 2 10 13" xfId="19738"/>
    <cellStyle name="Обычный 11 2 10 14" xfId="21352"/>
    <cellStyle name="Обычный 11 2 10 2" xfId="1162"/>
    <cellStyle name="Обычный 11 2 10 2 10" xfId="1163"/>
    <cellStyle name="Обычный 11 2 10 2 11" xfId="18034"/>
    <cellStyle name="Обычный 11 2 10 2 12" xfId="19739"/>
    <cellStyle name="Обычный 11 2 10 2 13" xfId="21353"/>
    <cellStyle name="Обычный 11 2 10 2 2" xfId="1164"/>
    <cellStyle name="Обычный 11 2 10 2 2 2" xfId="1165"/>
    <cellStyle name="Обычный 11 2 10 2 3" xfId="1166"/>
    <cellStyle name="Обычный 11 2 10 2 4" xfId="1167"/>
    <cellStyle name="Обычный 11 2 10 2 5" xfId="1168"/>
    <cellStyle name="Обычный 11 2 10 2 6" xfId="1169"/>
    <cellStyle name="Обычный 11 2 10 2 7" xfId="1170"/>
    <cellStyle name="Обычный 11 2 10 2 8" xfId="1171"/>
    <cellStyle name="Обычный 11 2 10 2 9" xfId="1172"/>
    <cellStyle name="Обычный 11 2 10 3" xfId="1173"/>
    <cellStyle name="Обычный 11 2 10 3 2" xfId="1174"/>
    <cellStyle name="Обычный 11 2 10 4" xfId="1175"/>
    <cellStyle name="Обычный 11 2 10 5" xfId="1176"/>
    <cellStyle name="Обычный 11 2 10 6" xfId="1177"/>
    <cellStyle name="Обычный 11 2 10 7" xfId="1178"/>
    <cellStyle name="Обычный 11 2 10 8" xfId="1179"/>
    <cellStyle name="Обычный 11 2 10 9" xfId="1180"/>
    <cellStyle name="Обычный 11 2 11" xfId="1181"/>
    <cellStyle name="Обычный 11 2 11 10" xfId="1182"/>
    <cellStyle name="Обычный 11 2 11 11" xfId="18035"/>
    <cellStyle name="Обычный 11 2 11 12" xfId="19740"/>
    <cellStyle name="Обычный 11 2 11 13" xfId="21354"/>
    <cellStyle name="Обычный 11 2 11 2" xfId="1183"/>
    <cellStyle name="Обычный 11 2 11 2 2" xfId="1184"/>
    <cellStyle name="Обычный 11 2 11 3" xfId="1185"/>
    <cellStyle name="Обычный 11 2 11 4" xfId="1186"/>
    <cellStyle name="Обычный 11 2 11 5" xfId="1187"/>
    <cellStyle name="Обычный 11 2 11 6" xfId="1188"/>
    <cellStyle name="Обычный 11 2 11 7" xfId="1189"/>
    <cellStyle name="Обычный 11 2 11 8" xfId="1190"/>
    <cellStyle name="Обычный 11 2 11 9" xfId="1191"/>
    <cellStyle name="Обычный 11 2 12" xfId="1192"/>
    <cellStyle name="Обычный 11 2 12 10" xfId="19741"/>
    <cellStyle name="Обычный 11 2 12 11" xfId="21355"/>
    <cellStyle name="Обычный 11 2 12 2" xfId="1193"/>
    <cellStyle name="Обычный 11 2 12 2 2" xfId="1194"/>
    <cellStyle name="Обычный 11 2 12 3" xfId="1195"/>
    <cellStyle name="Обычный 11 2 12 4" xfId="1196"/>
    <cellStyle name="Обычный 11 2 12 5" xfId="1197"/>
    <cellStyle name="Обычный 11 2 12 6" xfId="1198"/>
    <cellStyle name="Обычный 11 2 12 7" xfId="1199"/>
    <cellStyle name="Обычный 11 2 12 8" xfId="1200"/>
    <cellStyle name="Обычный 11 2 12 9" xfId="18036"/>
    <cellStyle name="Обычный 11 2 13" xfId="1201"/>
    <cellStyle name="Обычный 11 2 13 10" xfId="19742"/>
    <cellStyle name="Обычный 11 2 13 11" xfId="21356"/>
    <cellStyle name="Обычный 11 2 13 2" xfId="1202"/>
    <cellStyle name="Обычный 11 2 13 2 2" xfId="1203"/>
    <cellStyle name="Обычный 11 2 13 3" xfId="1204"/>
    <cellStyle name="Обычный 11 2 13 4" xfId="1205"/>
    <cellStyle name="Обычный 11 2 13 5" xfId="1206"/>
    <cellStyle name="Обычный 11 2 13 6" xfId="1207"/>
    <cellStyle name="Обычный 11 2 13 7" xfId="1208"/>
    <cellStyle name="Обычный 11 2 13 8" xfId="1209"/>
    <cellStyle name="Обычный 11 2 13 9" xfId="18037"/>
    <cellStyle name="Обычный 11 2 14" xfId="1210"/>
    <cellStyle name="Обычный 11 2 14 2" xfId="1211"/>
    <cellStyle name="Обычный 11 2 15" xfId="1212"/>
    <cellStyle name="Обычный 11 2 16" xfId="1213"/>
    <cellStyle name="Обычный 11 2 17" xfId="1214"/>
    <cellStyle name="Обычный 11 2 18" xfId="1215"/>
    <cellStyle name="Обычный 11 2 19" xfId="1216"/>
    <cellStyle name="Обычный 11 2 2" xfId="1217"/>
    <cellStyle name="Обычный 11 2 2 10" xfId="1218"/>
    <cellStyle name="Обычный 11 2 2 10 2" xfId="1219"/>
    <cellStyle name="Обычный 11 2 2 11" xfId="1220"/>
    <cellStyle name="Обычный 11 2 2 12" xfId="1221"/>
    <cellStyle name="Обычный 11 2 2 13" xfId="1222"/>
    <cellStyle name="Обычный 11 2 2 14" xfId="1223"/>
    <cellStyle name="Обычный 11 2 2 15" xfId="1224"/>
    <cellStyle name="Обычный 11 2 2 16" xfId="1225"/>
    <cellStyle name="Обычный 11 2 2 17" xfId="1226"/>
    <cellStyle name="Обычный 11 2 2 18" xfId="1227"/>
    <cellStyle name="Обычный 11 2 2 19" xfId="1228"/>
    <cellStyle name="Обычный 11 2 2 2" xfId="1229"/>
    <cellStyle name="Обычный 11 2 2 2 10" xfId="1230"/>
    <cellStyle name="Обычный 11 2 2 2 11" xfId="1231"/>
    <cellStyle name="Обычный 11 2 2 2 12" xfId="1232"/>
    <cellStyle name="Обычный 11 2 2 2 13" xfId="1233"/>
    <cellStyle name="Обычный 11 2 2 2 14" xfId="1234"/>
    <cellStyle name="Обычный 11 2 2 2 15" xfId="1235"/>
    <cellStyle name="Обычный 11 2 2 2 16" xfId="1236"/>
    <cellStyle name="Обычный 11 2 2 2 17" xfId="1237"/>
    <cellStyle name="Обычный 11 2 2 2 18" xfId="18039"/>
    <cellStyle name="Обычный 11 2 2 2 19" xfId="19744"/>
    <cellStyle name="Обычный 11 2 2 2 2" xfId="1238"/>
    <cellStyle name="Обычный 11 2 2 2 2 10" xfId="1239"/>
    <cellStyle name="Обычный 11 2 2 2 2 11" xfId="1240"/>
    <cellStyle name="Обычный 11 2 2 2 2 12" xfId="18040"/>
    <cellStyle name="Обычный 11 2 2 2 2 13" xfId="19745"/>
    <cellStyle name="Обычный 11 2 2 2 2 14" xfId="21359"/>
    <cellStyle name="Обычный 11 2 2 2 2 2" xfId="1241"/>
    <cellStyle name="Обычный 11 2 2 2 2 2 10" xfId="1242"/>
    <cellStyle name="Обычный 11 2 2 2 2 2 11" xfId="18041"/>
    <cellStyle name="Обычный 11 2 2 2 2 2 12" xfId="19746"/>
    <cellStyle name="Обычный 11 2 2 2 2 2 13" xfId="21360"/>
    <cellStyle name="Обычный 11 2 2 2 2 2 2" xfId="1243"/>
    <cellStyle name="Обычный 11 2 2 2 2 2 2 2" xfId="1244"/>
    <cellStyle name="Обычный 11 2 2 2 2 2 3" xfId="1245"/>
    <cellStyle name="Обычный 11 2 2 2 2 2 4" xfId="1246"/>
    <cellStyle name="Обычный 11 2 2 2 2 2 5" xfId="1247"/>
    <cellStyle name="Обычный 11 2 2 2 2 2 6" xfId="1248"/>
    <cellStyle name="Обычный 11 2 2 2 2 2 7" xfId="1249"/>
    <cellStyle name="Обычный 11 2 2 2 2 2 8" xfId="1250"/>
    <cellStyle name="Обычный 11 2 2 2 2 2 9" xfId="1251"/>
    <cellStyle name="Обычный 11 2 2 2 2 3" xfId="1252"/>
    <cellStyle name="Обычный 11 2 2 2 2 3 2" xfId="1253"/>
    <cellStyle name="Обычный 11 2 2 2 2 4" xfId="1254"/>
    <cellStyle name="Обычный 11 2 2 2 2 5" xfId="1255"/>
    <cellStyle name="Обычный 11 2 2 2 2 6" xfId="1256"/>
    <cellStyle name="Обычный 11 2 2 2 2 7" xfId="1257"/>
    <cellStyle name="Обычный 11 2 2 2 2 8" xfId="1258"/>
    <cellStyle name="Обычный 11 2 2 2 2 9" xfId="1259"/>
    <cellStyle name="Обычный 11 2 2 2 20" xfId="21358"/>
    <cellStyle name="Обычный 11 2 2 2 3" xfId="1260"/>
    <cellStyle name="Обычный 11 2 2 2 3 10" xfId="1261"/>
    <cellStyle name="Обычный 11 2 2 2 3 11" xfId="1262"/>
    <cellStyle name="Обычный 11 2 2 2 3 12" xfId="18042"/>
    <cellStyle name="Обычный 11 2 2 2 3 13" xfId="19747"/>
    <cellStyle name="Обычный 11 2 2 2 3 14" xfId="21361"/>
    <cellStyle name="Обычный 11 2 2 2 3 2" xfId="1263"/>
    <cellStyle name="Обычный 11 2 2 2 3 2 10" xfId="1264"/>
    <cellStyle name="Обычный 11 2 2 2 3 2 11" xfId="18043"/>
    <cellStyle name="Обычный 11 2 2 2 3 2 12" xfId="19748"/>
    <cellStyle name="Обычный 11 2 2 2 3 2 13" xfId="21362"/>
    <cellStyle name="Обычный 11 2 2 2 3 2 2" xfId="1265"/>
    <cellStyle name="Обычный 11 2 2 2 3 2 2 2" xfId="1266"/>
    <cellStyle name="Обычный 11 2 2 2 3 2 3" xfId="1267"/>
    <cellStyle name="Обычный 11 2 2 2 3 2 4" xfId="1268"/>
    <cellStyle name="Обычный 11 2 2 2 3 2 5" xfId="1269"/>
    <cellStyle name="Обычный 11 2 2 2 3 2 6" xfId="1270"/>
    <cellStyle name="Обычный 11 2 2 2 3 2 7" xfId="1271"/>
    <cellStyle name="Обычный 11 2 2 2 3 2 8" xfId="1272"/>
    <cellStyle name="Обычный 11 2 2 2 3 2 9" xfId="1273"/>
    <cellStyle name="Обычный 11 2 2 2 3 3" xfId="1274"/>
    <cellStyle name="Обычный 11 2 2 2 3 3 2" xfId="1275"/>
    <cellStyle name="Обычный 11 2 2 2 3 4" xfId="1276"/>
    <cellStyle name="Обычный 11 2 2 2 3 5" xfId="1277"/>
    <cellStyle name="Обычный 11 2 2 2 3 6" xfId="1278"/>
    <cellStyle name="Обычный 11 2 2 2 3 7" xfId="1279"/>
    <cellStyle name="Обычный 11 2 2 2 3 8" xfId="1280"/>
    <cellStyle name="Обычный 11 2 2 2 3 9" xfId="1281"/>
    <cellStyle name="Обычный 11 2 2 2 4" xfId="1282"/>
    <cellStyle name="Обычный 11 2 2 2 4 10" xfId="1283"/>
    <cellStyle name="Обычный 11 2 2 2 4 11" xfId="1284"/>
    <cellStyle name="Обычный 11 2 2 2 4 12" xfId="18044"/>
    <cellStyle name="Обычный 11 2 2 2 4 13" xfId="19749"/>
    <cellStyle name="Обычный 11 2 2 2 4 14" xfId="21363"/>
    <cellStyle name="Обычный 11 2 2 2 4 2" xfId="1285"/>
    <cellStyle name="Обычный 11 2 2 2 4 2 10" xfId="1286"/>
    <cellStyle name="Обычный 11 2 2 2 4 2 11" xfId="18045"/>
    <cellStyle name="Обычный 11 2 2 2 4 2 12" xfId="19750"/>
    <cellStyle name="Обычный 11 2 2 2 4 2 13" xfId="21364"/>
    <cellStyle name="Обычный 11 2 2 2 4 2 2" xfId="1287"/>
    <cellStyle name="Обычный 11 2 2 2 4 2 2 2" xfId="1288"/>
    <cellStyle name="Обычный 11 2 2 2 4 2 3" xfId="1289"/>
    <cellStyle name="Обычный 11 2 2 2 4 2 4" xfId="1290"/>
    <cellStyle name="Обычный 11 2 2 2 4 2 5" xfId="1291"/>
    <cellStyle name="Обычный 11 2 2 2 4 2 6" xfId="1292"/>
    <cellStyle name="Обычный 11 2 2 2 4 2 7" xfId="1293"/>
    <cellStyle name="Обычный 11 2 2 2 4 2 8" xfId="1294"/>
    <cellStyle name="Обычный 11 2 2 2 4 2 9" xfId="1295"/>
    <cellStyle name="Обычный 11 2 2 2 4 3" xfId="1296"/>
    <cellStyle name="Обычный 11 2 2 2 4 3 2" xfId="1297"/>
    <cellStyle name="Обычный 11 2 2 2 4 4" xfId="1298"/>
    <cellStyle name="Обычный 11 2 2 2 4 5" xfId="1299"/>
    <cellStyle name="Обычный 11 2 2 2 4 6" xfId="1300"/>
    <cellStyle name="Обычный 11 2 2 2 4 7" xfId="1301"/>
    <cellStyle name="Обычный 11 2 2 2 4 8" xfId="1302"/>
    <cellStyle name="Обычный 11 2 2 2 4 9" xfId="1303"/>
    <cellStyle name="Обычный 11 2 2 2 5" xfId="1304"/>
    <cellStyle name="Обычный 11 2 2 2 5 10" xfId="1305"/>
    <cellStyle name="Обычный 11 2 2 2 5 11" xfId="1306"/>
    <cellStyle name="Обычный 11 2 2 2 5 12" xfId="18046"/>
    <cellStyle name="Обычный 11 2 2 2 5 13" xfId="19751"/>
    <cellStyle name="Обычный 11 2 2 2 5 14" xfId="21365"/>
    <cellStyle name="Обычный 11 2 2 2 5 2" xfId="1307"/>
    <cellStyle name="Обычный 11 2 2 2 5 2 10" xfId="1308"/>
    <cellStyle name="Обычный 11 2 2 2 5 2 11" xfId="18047"/>
    <cellStyle name="Обычный 11 2 2 2 5 2 12" xfId="19752"/>
    <cellStyle name="Обычный 11 2 2 2 5 2 13" xfId="21366"/>
    <cellStyle name="Обычный 11 2 2 2 5 2 2" xfId="1309"/>
    <cellStyle name="Обычный 11 2 2 2 5 2 2 2" xfId="1310"/>
    <cellStyle name="Обычный 11 2 2 2 5 2 3" xfId="1311"/>
    <cellStyle name="Обычный 11 2 2 2 5 2 4" xfId="1312"/>
    <cellStyle name="Обычный 11 2 2 2 5 2 5" xfId="1313"/>
    <cellStyle name="Обычный 11 2 2 2 5 2 6" xfId="1314"/>
    <cellStyle name="Обычный 11 2 2 2 5 2 7" xfId="1315"/>
    <cellStyle name="Обычный 11 2 2 2 5 2 8" xfId="1316"/>
    <cellStyle name="Обычный 11 2 2 2 5 2 9" xfId="1317"/>
    <cellStyle name="Обычный 11 2 2 2 5 3" xfId="1318"/>
    <cellStyle name="Обычный 11 2 2 2 5 3 2" xfId="1319"/>
    <cellStyle name="Обычный 11 2 2 2 5 4" xfId="1320"/>
    <cellStyle name="Обычный 11 2 2 2 5 5" xfId="1321"/>
    <cellStyle name="Обычный 11 2 2 2 5 6" xfId="1322"/>
    <cellStyle name="Обычный 11 2 2 2 5 7" xfId="1323"/>
    <cellStyle name="Обычный 11 2 2 2 5 8" xfId="1324"/>
    <cellStyle name="Обычный 11 2 2 2 5 9" xfId="1325"/>
    <cellStyle name="Обычный 11 2 2 2 6" xfId="1326"/>
    <cellStyle name="Обычный 11 2 2 2 6 10" xfId="1327"/>
    <cellStyle name="Обычный 11 2 2 2 6 11" xfId="18048"/>
    <cellStyle name="Обычный 11 2 2 2 6 12" xfId="19753"/>
    <cellStyle name="Обычный 11 2 2 2 6 13" xfId="21367"/>
    <cellStyle name="Обычный 11 2 2 2 6 2" xfId="1328"/>
    <cellStyle name="Обычный 11 2 2 2 6 2 2" xfId="1329"/>
    <cellStyle name="Обычный 11 2 2 2 6 3" xfId="1330"/>
    <cellStyle name="Обычный 11 2 2 2 6 4" xfId="1331"/>
    <cellStyle name="Обычный 11 2 2 2 6 5" xfId="1332"/>
    <cellStyle name="Обычный 11 2 2 2 6 6" xfId="1333"/>
    <cellStyle name="Обычный 11 2 2 2 6 7" xfId="1334"/>
    <cellStyle name="Обычный 11 2 2 2 6 8" xfId="1335"/>
    <cellStyle name="Обычный 11 2 2 2 6 9" xfId="1336"/>
    <cellStyle name="Обычный 11 2 2 2 7" xfId="1337"/>
    <cellStyle name="Обычный 11 2 2 2 7 10" xfId="19754"/>
    <cellStyle name="Обычный 11 2 2 2 7 11" xfId="21368"/>
    <cellStyle name="Обычный 11 2 2 2 7 2" xfId="1338"/>
    <cellStyle name="Обычный 11 2 2 2 7 2 2" xfId="1339"/>
    <cellStyle name="Обычный 11 2 2 2 7 3" xfId="1340"/>
    <cellStyle name="Обычный 11 2 2 2 7 4" xfId="1341"/>
    <cellStyle name="Обычный 11 2 2 2 7 5" xfId="1342"/>
    <cellStyle name="Обычный 11 2 2 2 7 6" xfId="1343"/>
    <cellStyle name="Обычный 11 2 2 2 7 7" xfId="1344"/>
    <cellStyle name="Обычный 11 2 2 2 7 8" xfId="1345"/>
    <cellStyle name="Обычный 11 2 2 2 7 9" xfId="18049"/>
    <cellStyle name="Обычный 11 2 2 2 8" xfId="1346"/>
    <cellStyle name="Обычный 11 2 2 2 8 2" xfId="1347"/>
    <cellStyle name="Обычный 11 2 2 2 9" xfId="1348"/>
    <cellStyle name="Обычный 11 2 2 20" xfId="18038"/>
    <cellStyle name="Обычный 11 2 2 21" xfId="19743"/>
    <cellStyle name="Обычный 11 2 2 22" xfId="21357"/>
    <cellStyle name="Обычный 11 2 2 3" xfId="1349"/>
    <cellStyle name="Обычный 11 2 2 3 10" xfId="1350"/>
    <cellStyle name="Обычный 11 2 2 3 11" xfId="1351"/>
    <cellStyle name="Обычный 11 2 2 3 12" xfId="1352"/>
    <cellStyle name="Обычный 11 2 2 3 13" xfId="1353"/>
    <cellStyle name="Обычный 11 2 2 3 14" xfId="1354"/>
    <cellStyle name="Обычный 11 2 2 3 15" xfId="1355"/>
    <cellStyle name="Обычный 11 2 2 3 16" xfId="1356"/>
    <cellStyle name="Обычный 11 2 2 3 17" xfId="1357"/>
    <cellStyle name="Обычный 11 2 2 3 18" xfId="18050"/>
    <cellStyle name="Обычный 11 2 2 3 19" xfId="19755"/>
    <cellStyle name="Обычный 11 2 2 3 2" xfId="1358"/>
    <cellStyle name="Обычный 11 2 2 3 2 10" xfId="1359"/>
    <cellStyle name="Обычный 11 2 2 3 2 11" xfId="1360"/>
    <cellStyle name="Обычный 11 2 2 3 2 12" xfId="18051"/>
    <cellStyle name="Обычный 11 2 2 3 2 13" xfId="19756"/>
    <cellStyle name="Обычный 11 2 2 3 2 14" xfId="21370"/>
    <cellStyle name="Обычный 11 2 2 3 2 2" xfId="1361"/>
    <cellStyle name="Обычный 11 2 2 3 2 2 10" xfId="1362"/>
    <cellStyle name="Обычный 11 2 2 3 2 2 11" xfId="18052"/>
    <cellStyle name="Обычный 11 2 2 3 2 2 12" xfId="19757"/>
    <cellStyle name="Обычный 11 2 2 3 2 2 13" xfId="21371"/>
    <cellStyle name="Обычный 11 2 2 3 2 2 2" xfId="1363"/>
    <cellStyle name="Обычный 11 2 2 3 2 2 2 2" xfId="1364"/>
    <cellStyle name="Обычный 11 2 2 3 2 2 3" xfId="1365"/>
    <cellStyle name="Обычный 11 2 2 3 2 2 4" xfId="1366"/>
    <cellStyle name="Обычный 11 2 2 3 2 2 5" xfId="1367"/>
    <cellStyle name="Обычный 11 2 2 3 2 2 6" xfId="1368"/>
    <cellStyle name="Обычный 11 2 2 3 2 2 7" xfId="1369"/>
    <cellStyle name="Обычный 11 2 2 3 2 2 8" xfId="1370"/>
    <cellStyle name="Обычный 11 2 2 3 2 2 9" xfId="1371"/>
    <cellStyle name="Обычный 11 2 2 3 2 3" xfId="1372"/>
    <cellStyle name="Обычный 11 2 2 3 2 3 2" xfId="1373"/>
    <cellStyle name="Обычный 11 2 2 3 2 4" xfId="1374"/>
    <cellStyle name="Обычный 11 2 2 3 2 5" xfId="1375"/>
    <cellStyle name="Обычный 11 2 2 3 2 6" xfId="1376"/>
    <cellStyle name="Обычный 11 2 2 3 2 7" xfId="1377"/>
    <cellStyle name="Обычный 11 2 2 3 2 8" xfId="1378"/>
    <cellStyle name="Обычный 11 2 2 3 2 9" xfId="1379"/>
    <cellStyle name="Обычный 11 2 2 3 20" xfId="21369"/>
    <cellStyle name="Обычный 11 2 2 3 3" xfId="1380"/>
    <cellStyle name="Обычный 11 2 2 3 3 10" xfId="1381"/>
    <cellStyle name="Обычный 11 2 2 3 3 11" xfId="1382"/>
    <cellStyle name="Обычный 11 2 2 3 3 12" xfId="18053"/>
    <cellStyle name="Обычный 11 2 2 3 3 13" xfId="19758"/>
    <cellStyle name="Обычный 11 2 2 3 3 14" xfId="21372"/>
    <cellStyle name="Обычный 11 2 2 3 3 2" xfId="1383"/>
    <cellStyle name="Обычный 11 2 2 3 3 2 10" xfId="1384"/>
    <cellStyle name="Обычный 11 2 2 3 3 2 11" xfId="18054"/>
    <cellStyle name="Обычный 11 2 2 3 3 2 12" xfId="19759"/>
    <cellStyle name="Обычный 11 2 2 3 3 2 13" xfId="21373"/>
    <cellStyle name="Обычный 11 2 2 3 3 2 2" xfId="1385"/>
    <cellStyle name="Обычный 11 2 2 3 3 2 2 2" xfId="1386"/>
    <cellStyle name="Обычный 11 2 2 3 3 2 3" xfId="1387"/>
    <cellStyle name="Обычный 11 2 2 3 3 2 4" xfId="1388"/>
    <cellStyle name="Обычный 11 2 2 3 3 2 5" xfId="1389"/>
    <cellStyle name="Обычный 11 2 2 3 3 2 6" xfId="1390"/>
    <cellStyle name="Обычный 11 2 2 3 3 2 7" xfId="1391"/>
    <cellStyle name="Обычный 11 2 2 3 3 2 8" xfId="1392"/>
    <cellStyle name="Обычный 11 2 2 3 3 2 9" xfId="1393"/>
    <cellStyle name="Обычный 11 2 2 3 3 3" xfId="1394"/>
    <cellStyle name="Обычный 11 2 2 3 3 3 2" xfId="1395"/>
    <cellStyle name="Обычный 11 2 2 3 3 4" xfId="1396"/>
    <cellStyle name="Обычный 11 2 2 3 3 5" xfId="1397"/>
    <cellStyle name="Обычный 11 2 2 3 3 6" xfId="1398"/>
    <cellStyle name="Обычный 11 2 2 3 3 7" xfId="1399"/>
    <cellStyle name="Обычный 11 2 2 3 3 8" xfId="1400"/>
    <cellStyle name="Обычный 11 2 2 3 3 9" xfId="1401"/>
    <cellStyle name="Обычный 11 2 2 3 4" xfId="1402"/>
    <cellStyle name="Обычный 11 2 2 3 4 10" xfId="1403"/>
    <cellStyle name="Обычный 11 2 2 3 4 11" xfId="1404"/>
    <cellStyle name="Обычный 11 2 2 3 4 12" xfId="18055"/>
    <cellStyle name="Обычный 11 2 2 3 4 13" xfId="19760"/>
    <cellStyle name="Обычный 11 2 2 3 4 14" xfId="21374"/>
    <cellStyle name="Обычный 11 2 2 3 4 2" xfId="1405"/>
    <cellStyle name="Обычный 11 2 2 3 4 2 10" xfId="1406"/>
    <cellStyle name="Обычный 11 2 2 3 4 2 11" xfId="18056"/>
    <cellStyle name="Обычный 11 2 2 3 4 2 12" xfId="19761"/>
    <cellStyle name="Обычный 11 2 2 3 4 2 13" xfId="21375"/>
    <cellStyle name="Обычный 11 2 2 3 4 2 2" xfId="1407"/>
    <cellStyle name="Обычный 11 2 2 3 4 2 2 2" xfId="1408"/>
    <cellStyle name="Обычный 11 2 2 3 4 2 3" xfId="1409"/>
    <cellStyle name="Обычный 11 2 2 3 4 2 4" xfId="1410"/>
    <cellStyle name="Обычный 11 2 2 3 4 2 5" xfId="1411"/>
    <cellStyle name="Обычный 11 2 2 3 4 2 6" xfId="1412"/>
    <cellStyle name="Обычный 11 2 2 3 4 2 7" xfId="1413"/>
    <cellStyle name="Обычный 11 2 2 3 4 2 8" xfId="1414"/>
    <cellStyle name="Обычный 11 2 2 3 4 2 9" xfId="1415"/>
    <cellStyle name="Обычный 11 2 2 3 4 3" xfId="1416"/>
    <cellStyle name="Обычный 11 2 2 3 4 3 2" xfId="1417"/>
    <cellStyle name="Обычный 11 2 2 3 4 4" xfId="1418"/>
    <cellStyle name="Обычный 11 2 2 3 4 5" xfId="1419"/>
    <cellStyle name="Обычный 11 2 2 3 4 6" xfId="1420"/>
    <cellStyle name="Обычный 11 2 2 3 4 7" xfId="1421"/>
    <cellStyle name="Обычный 11 2 2 3 4 8" xfId="1422"/>
    <cellStyle name="Обычный 11 2 2 3 4 9" xfId="1423"/>
    <cellStyle name="Обычный 11 2 2 3 5" xfId="1424"/>
    <cellStyle name="Обычный 11 2 2 3 5 10" xfId="1425"/>
    <cellStyle name="Обычный 11 2 2 3 5 11" xfId="1426"/>
    <cellStyle name="Обычный 11 2 2 3 5 12" xfId="18057"/>
    <cellStyle name="Обычный 11 2 2 3 5 13" xfId="19762"/>
    <cellStyle name="Обычный 11 2 2 3 5 14" xfId="21376"/>
    <cellStyle name="Обычный 11 2 2 3 5 2" xfId="1427"/>
    <cellStyle name="Обычный 11 2 2 3 5 2 10" xfId="1428"/>
    <cellStyle name="Обычный 11 2 2 3 5 2 11" xfId="18058"/>
    <cellStyle name="Обычный 11 2 2 3 5 2 12" xfId="19763"/>
    <cellStyle name="Обычный 11 2 2 3 5 2 13" xfId="21377"/>
    <cellStyle name="Обычный 11 2 2 3 5 2 2" xfId="1429"/>
    <cellStyle name="Обычный 11 2 2 3 5 2 2 2" xfId="1430"/>
    <cellStyle name="Обычный 11 2 2 3 5 2 3" xfId="1431"/>
    <cellStyle name="Обычный 11 2 2 3 5 2 4" xfId="1432"/>
    <cellStyle name="Обычный 11 2 2 3 5 2 5" xfId="1433"/>
    <cellStyle name="Обычный 11 2 2 3 5 2 6" xfId="1434"/>
    <cellStyle name="Обычный 11 2 2 3 5 2 7" xfId="1435"/>
    <cellStyle name="Обычный 11 2 2 3 5 2 8" xfId="1436"/>
    <cellStyle name="Обычный 11 2 2 3 5 2 9" xfId="1437"/>
    <cellStyle name="Обычный 11 2 2 3 5 3" xfId="1438"/>
    <cellStyle name="Обычный 11 2 2 3 5 3 2" xfId="1439"/>
    <cellStyle name="Обычный 11 2 2 3 5 4" xfId="1440"/>
    <cellStyle name="Обычный 11 2 2 3 5 5" xfId="1441"/>
    <cellStyle name="Обычный 11 2 2 3 5 6" xfId="1442"/>
    <cellStyle name="Обычный 11 2 2 3 5 7" xfId="1443"/>
    <cellStyle name="Обычный 11 2 2 3 5 8" xfId="1444"/>
    <cellStyle name="Обычный 11 2 2 3 5 9" xfId="1445"/>
    <cellStyle name="Обычный 11 2 2 3 6" xfId="1446"/>
    <cellStyle name="Обычный 11 2 2 3 6 10" xfId="1447"/>
    <cellStyle name="Обычный 11 2 2 3 6 11" xfId="18059"/>
    <cellStyle name="Обычный 11 2 2 3 6 12" xfId="19764"/>
    <cellStyle name="Обычный 11 2 2 3 6 13" xfId="21378"/>
    <cellStyle name="Обычный 11 2 2 3 6 2" xfId="1448"/>
    <cellStyle name="Обычный 11 2 2 3 6 2 2" xfId="1449"/>
    <cellStyle name="Обычный 11 2 2 3 6 3" xfId="1450"/>
    <cellStyle name="Обычный 11 2 2 3 6 4" xfId="1451"/>
    <cellStyle name="Обычный 11 2 2 3 6 5" xfId="1452"/>
    <cellStyle name="Обычный 11 2 2 3 6 6" xfId="1453"/>
    <cellStyle name="Обычный 11 2 2 3 6 7" xfId="1454"/>
    <cellStyle name="Обычный 11 2 2 3 6 8" xfId="1455"/>
    <cellStyle name="Обычный 11 2 2 3 6 9" xfId="1456"/>
    <cellStyle name="Обычный 11 2 2 3 7" xfId="1457"/>
    <cellStyle name="Обычный 11 2 2 3 7 10" xfId="19765"/>
    <cellStyle name="Обычный 11 2 2 3 7 11" xfId="21379"/>
    <cellStyle name="Обычный 11 2 2 3 7 2" xfId="1458"/>
    <cellStyle name="Обычный 11 2 2 3 7 2 2" xfId="1459"/>
    <cellStyle name="Обычный 11 2 2 3 7 3" xfId="1460"/>
    <cellStyle name="Обычный 11 2 2 3 7 4" xfId="1461"/>
    <cellStyle name="Обычный 11 2 2 3 7 5" xfId="1462"/>
    <cellStyle name="Обычный 11 2 2 3 7 6" xfId="1463"/>
    <cellStyle name="Обычный 11 2 2 3 7 7" xfId="1464"/>
    <cellStyle name="Обычный 11 2 2 3 7 8" xfId="1465"/>
    <cellStyle name="Обычный 11 2 2 3 7 9" xfId="18060"/>
    <cellStyle name="Обычный 11 2 2 3 8" xfId="1466"/>
    <cellStyle name="Обычный 11 2 2 3 8 2" xfId="1467"/>
    <cellStyle name="Обычный 11 2 2 3 9" xfId="1468"/>
    <cellStyle name="Обычный 11 2 2 4" xfId="1469"/>
    <cellStyle name="Обычный 11 2 2 4 10" xfId="1470"/>
    <cellStyle name="Обычный 11 2 2 4 11" xfId="1471"/>
    <cellStyle name="Обычный 11 2 2 4 12" xfId="18061"/>
    <cellStyle name="Обычный 11 2 2 4 13" xfId="19766"/>
    <cellStyle name="Обычный 11 2 2 4 14" xfId="21380"/>
    <cellStyle name="Обычный 11 2 2 4 2" xfId="1472"/>
    <cellStyle name="Обычный 11 2 2 4 2 10" xfId="1473"/>
    <cellStyle name="Обычный 11 2 2 4 2 11" xfId="18062"/>
    <cellStyle name="Обычный 11 2 2 4 2 12" xfId="19767"/>
    <cellStyle name="Обычный 11 2 2 4 2 13" xfId="21381"/>
    <cellStyle name="Обычный 11 2 2 4 2 2" xfId="1474"/>
    <cellStyle name="Обычный 11 2 2 4 2 2 2" xfId="1475"/>
    <cellStyle name="Обычный 11 2 2 4 2 3" xfId="1476"/>
    <cellStyle name="Обычный 11 2 2 4 2 4" xfId="1477"/>
    <cellStyle name="Обычный 11 2 2 4 2 5" xfId="1478"/>
    <cellStyle name="Обычный 11 2 2 4 2 6" xfId="1479"/>
    <cellStyle name="Обычный 11 2 2 4 2 7" xfId="1480"/>
    <cellStyle name="Обычный 11 2 2 4 2 8" xfId="1481"/>
    <cellStyle name="Обычный 11 2 2 4 2 9" xfId="1482"/>
    <cellStyle name="Обычный 11 2 2 4 3" xfId="1483"/>
    <cellStyle name="Обычный 11 2 2 4 3 2" xfId="1484"/>
    <cellStyle name="Обычный 11 2 2 4 4" xfId="1485"/>
    <cellStyle name="Обычный 11 2 2 4 5" xfId="1486"/>
    <cellStyle name="Обычный 11 2 2 4 6" xfId="1487"/>
    <cellStyle name="Обычный 11 2 2 4 7" xfId="1488"/>
    <cellStyle name="Обычный 11 2 2 4 8" xfId="1489"/>
    <cellStyle name="Обычный 11 2 2 4 9" xfId="1490"/>
    <cellStyle name="Обычный 11 2 2 5" xfId="1491"/>
    <cellStyle name="Обычный 11 2 2 5 10" xfId="1492"/>
    <cellStyle name="Обычный 11 2 2 5 11" xfId="1493"/>
    <cellStyle name="Обычный 11 2 2 5 12" xfId="18063"/>
    <cellStyle name="Обычный 11 2 2 5 13" xfId="19768"/>
    <cellStyle name="Обычный 11 2 2 5 14" xfId="21382"/>
    <cellStyle name="Обычный 11 2 2 5 2" xfId="1494"/>
    <cellStyle name="Обычный 11 2 2 5 2 10" xfId="1495"/>
    <cellStyle name="Обычный 11 2 2 5 2 11" xfId="18064"/>
    <cellStyle name="Обычный 11 2 2 5 2 12" xfId="19769"/>
    <cellStyle name="Обычный 11 2 2 5 2 13" xfId="21383"/>
    <cellStyle name="Обычный 11 2 2 5 2 2" xfId="1496"/>
    <cellStyle name="Обычный 11 2 2 5 2 2 2" xfId="1497"/>
    <cellStyle name="Обычный 11 2 2 5 2 3" xfId="1498"/>
    <cellStyle name="Обычный 11 2 2 5 2 4" xfId="1499"/>
    <cellStyle name="Обычный 11 2 2 5 2 5" xfId="1500"/>
    <cellStyle name="Обычный 11 2 2 5 2 6" xfId="1501"/>
    <cellStyle name="Обычный 11 2 2 5 2 7" xfId="1502"/>
    <cellStyle name="Обычный 11 2 2 5 2 8" xfId="1503"/>
    <cellStyle name="Обычный 11 2 2 5 2 9" xfId="1504"/>
    <cellStyle name="Обычный 11 2 2 5 3" xfId="1505"/>
    <cellStyle name="Обычный 11 2 2 5 3 2" xfId="1506"/>
    <cellStyle name="Обычный 11 2 2 5 4" xfId="1507"/>
    <cellStyle name="Обычный 11 2 2 5 5" xfId="1508"/>
    <cellStyle name="Обычный 11 2 2 5 6" xfId="1509"/>
    <cellStyle name="Обычный 11 2 2 5 7" xfId="1510"/>
    <cellStyle name="Обычный 11 2 2 5 8" xfId="1511"/>
    <cellStyle name="Обычный 11 2 2 5 9" xfId="1512"/>
    <cellStyle name="Обычный 11 2 2 6" xfId="1513"/>
    <cellStyle name="Обычный 11 2 2 6 10" xfId="1514"/>
    <cellStyle name="Обычный 11 2 2 6 11" xfId="1515"/>
    <cellStyle name="Обычный 11 2 2 6 12" xfId="18065"/>
    <cellStyle name="Обычный 11 2 2 6 13" xfId="19770"/>
    <cellStyle name="Обычный 11 2 2 6 14" xfId="21384"/>
    <cellStyle name="Обычный 11 2 2 6 2" xfId="1516"/>
    <cellStyle name="Обычный 11 2 2 6 2 10" xfId="1517"/>
    <cellStyle name="Обычный 11 2 2 6 2 11" xfId="18066"/>
    <cellStyle name="Обычный 11 2 2 6 2 12" xfId="19771"/>
    <cellStyle name="Обычный 11 2 2 6 2 13" xfId="21385"/>
    <cellStyle name="Обычный 11 2 2 6 2 2" xfId="1518"/>
    <cellStyle name="Обычный 11 2 2 6 2 2 2" xfId="1519"/>
    <cellStyle name="Обычный 11 2 2 6 2 3" xfId="1520"/>
    <cellStyle name="Обычный 11 2 2 6 2 4" xfId="1521"/>
    <cellStyle name="Обычный 11 2 2 6 2 5" xfId="1522"/>
    <cellStyle name="Обычный 11 2 2 6 2 6" xfId="1523"/>
    <cellStyle name="Обычный 11 2 2 6 2 7" xfId="1524"/>
    <cellStyle name="Обычный 11 2 2 6 2 8" xfId="1525"/>
    <cellStyle name="Обычный 11 2 2 6 2 9" xfId="1526"/>
    <cellStyle name="Обычный 11 2 2 6 3" xfId="1527"/>
    <cellStyle name="Обычный 11 2 2 6 3 2" xfId="1528"/>
    <cellStyle name="Обычный 11 2 2 6 4" xfId="1529"/>
    <cellStyle name="Обычный 11 2 2 6 5" xfId="1530"/>
    <cellStyle name="Обычный 11 2 2 6 6" xfId="1531"/>
    <cellStyle name="Обычный 11 2 2 6 7" xfId="1532"/>
    <cellStyle name="Обычный 11 2 2 6 8" xfId="1533"/>
    <cellStyle name="Обычный 11 2 2 6 9" xfId="1534"/>
    <cellStyle name="Обычный 11 2 2 7" xfId="1535"/>
    <cellStyle name="Обычный 11 2 2 7 10" xfId="1536"/>
    <cellStyle name="Обычный 11 2 2 7 11" xfId="1537"/>
    <cellStyle name="Обычный 11 2 2 7 12" xfId="18067"/>
    <cellStyle name="Обычный 11 2 2 7 13" xfId="19772"/>
    <cellStyle name="Обычный 11 2 2 7 14" xfId="21386"/>
    <cellStyle name="Обычный 11 2 2 7 2" xfId="1538"/>
    <cellStyle name="Обычный 11 2 2 7 2 10" xfId="1539"/>
    <cellStyle name="Обычный 11 2 2 7 2 11" xfId="18068"/>
    <cellStyle name="Обычный 11 2 2 7 2 12" xfId="19773"/>
    <cellStyle name="Обычный 11 2 2 7 2 13" xfId="21387"/>
    <cellStyle name="Обычный 11 2 2 7 2 2" xfId="1540"/>
    <cellStyle name="Обычный 11 2 2 7 2 2 2" xfId="1541"/>
    <cellStyle name="Обычный 11 2 2 7 2 3" xfId="1542"/>
    <cellStyle name="Обычный 11 2 2 7 2 4" xfId="1543"/>
    <cellStyle name="Обычный 11 2 2 7 2 5" xfId="1544"/>
    <cellStyle name="Обычный 11 2 2 7 2 6" xfId="1545"/>
    <cellStyle name="Обычный 11 2 2 7 2 7" xfId="1546"/>
    <cellStyle name="Обычный 11 2 2 7 2 8" xfId="1547"/>
    <cellStyle name="Обычный 11 2 2 7 2 9" xfId="1548"/>
    <cellStyle name="Обычный 11 2 2 7 3" xfId="1549"/>
    <cellStyle name="Обычный 11 2 2 7 3 2" xfId="1550"/>
    <cellStyle name="Обычный 11 2 2 7 4" xfId="1551"/>
    <cellStyle name="Обычный 11 2 2 7 5" xfId="1552"/>
    <cellStyle name="Обычный 11 2 2 7 6" xfId="1553"/>
    <cellStyle name="Обычный 11 2 2 7 7" xfId="1554"/>
    <cellStyle name="Обычный 11 2 2 7 8" xfId="1555"/>
    <cellStyle name="Обычный 11 2 2 7 9" xfId="1556"/>
    <cellStyle name="Обычный 11 2 2 8" xfId="1557"/>
    <cellStyle name="Обычный 11 2 2 8 10" xfId="1558"/>
    <cellStyle name="Обычный 11 2 2 8 11" xfId="18069"/>
    <cellStyle name="Обычный 11 2 2 8 12" xfId="19774"/>
    <cellStyle name="Обычный 11 2 2 8 13" xfId="21388"/>
    <cellStyle name="Обычный 11 2 2 8 2" xfId="1559"/>
    <cellStyle name="Обычный 11 2 2 8 2 2" xfId="1560"/>
    <cellStyle name="Обычный 11 2 2 8 3" xfId="1561"/>
    <cellStyle name="Обычный 11 2 2 8 4" xfId="1562"/>
    <cellStyle name="Обычный 11 2 2 8 5" xfId="1563"/>
    <cellStyle name="Обычный 11 2 2 8 6" xfId="1564"/>
    <cellStyle name="Обычный 11 2 2 8 7" xfId="1565"/>
    <cellStyle name="Обычный 11 2 2 8 8" xfId="1566"/>
    <cellStyle name="Обычный 11 2 2 8 9" xfId="1567"/>
    <cellStyle name="Обычный 11 2 2 9" xfId="1568"/>
    <cellStyle name="Обычный 11 2 2 9 10" xfId="19775"/>
    <cellStyle name="Обычный 11 2 2 9 11" xfId="21389"/>
    <cellStyle name="Обычный 11 2 2 9 2" xfId="1569"/>
    <cellStyle name="Обычный 11 2 2 9 2 2" xfId="1570"/>
    <cellStyle name="Обычный 11 2 2 9 3" xfId="1571"/>
    <cellStyle name="Обычный 11 2 2 9 4" xfId="1572"/>
    <cellStyle name="Обычный 11 2 2 9 5" xfId="1573"/>
    <cellStyle name="Обычный 11 2 2 9 6" xfId="1574"/>
    <cellStyle name="Обычный 11 2 2 9 7" xfId="1575"/>
    <cellStyle name="Обычный 11 2 2 9 8" xfId="1576"/>
    <cellStyle name="Обычный 11 2 2 9 9" xfId="18070"/>
    <cellStyle name="Обычный 11 2 20" xfId="1577"/>
    <cellStyle name="Обычный 11 2 21" xfId="1578"/>
    <cellStyle name="Обычный 11 2 22" xfId="1579"/>
    <cellStyle name="Обычный 11 2 23" xfId="1580"/>
    <cellStyle name="Обычный 11 2 24" xfId="18032"/>
    <cellStyle name="Обычный 11 2 25" xfId="19623"/>
    <cellStyle name="Обычный 11 2 26" xfId="19737"/>
    <cellStyle name="Обычный 11 2 27" xfId="21351"/>
    <cellStyle name="Обычный 11 2 3" xfId="1581"/>
    <cellStyle name="Обычный 11 2 3 10" xfId="1582"/>
    <cellStyle name="Обычный 11 2 3 11" xfId="1583"/>
    <cellStyle name="Обычный 11 2 3 12" xfId="1584"/>
    <cellStyle name="Обычный 11 2 3 13" xfId="1585"/>
    <cellStyle name="Обычный 11 2 3 14" xfId="1586"/>
    <cellStyle name="Обычный 11 2 3 15" xfId="1587"/>
    <cellStyle name="Обычный 11 2 3 16" xfId="1588"/>
    <cellStyle name="Обычный 11 2 3 17" xfId="1589"/>
    <cellStyle name="Обычный 11 2 3 18" xfId="18071"/>
    <cellStyle name="Обычный 11 2 3 19" xfId="19776"/>
    <cellStyle name="Обычный 11 2 3 2" xfId="1590"/>
    <cellStyle name="Обычный 11 2 3 2 10" xfId="1591"/>
    <cellStyle name="Обычный 11 2 3 2 11" xfId="1592"/>
    <cellStyle name="Обычный 11 2 3 2 12" xfId="18072"/>
    <cellStyle name="Обычный 11 2 3 2 13" xfId="19777"/>
    <cellStyle name="Обычный 11 2 3 2 14" xfId="21391"/>
    <cellStyle name="Обычный 11 2 3 2 2" xfId="1593"/>
    <cellStyle name="Обычный 11 2 3 2 2 10" xfId="1594"/>
    <cellStyle name="Обычный 11 2 3 2 2 11" xfId="18073"/>
    <cellStyle name="Обычный 11 2 3 2 2 12" xfId="19778"/>
    <cellStyle name="Обычный 11 2 3 2 2 13" xfId="21392"/>
    <cellStyle name="Обычный 11 2 3 2 2 2" xfId="1595"/>
    <cellStyle name="Обычный 11 2 3 2 2 2 2" xfId="1596"/>
    <cellStyle name="Обычный 11 2 3 2 2 3" xfId="1597"/>
    <cellStyle name="Обычный 11 2 3 2 2 4" xfId="1598"/>
    <cellStyle name="Обычный 11 2 3 2 2 5" xfId="1599"/>
    <cellStyle name="Обычный 11 2 3 2 2 6" xfId="1600"/>
    <cellStyle name="Обычный 11 2 3 2 2 7" xfId="1601"/>
    <cellStyle name="Обычный 11 2 3 2 2 8" xfId="1602"/>
    <cellStyle name="Обычный 11 2 3 2 2 9" xfId="1603"/>
    <cellStyle name="Обычный 11 2 3 2 3" xfId="1604"/>
    <cellStyle name="Обычный 11 2 3 2 3 2" xfId="1605"/>
    <cellStyle name="Обычный 11 2 3 2 4" xfId="1606"/>
    <cellStyle name="Обычный 11 2 3 2 5" xfId="1607"/>
    <cellStyle name="Обычный 11 2 3 2 6" xfId="1608"/>
    <cellStyle name="Обычный 11 2 3 2 7" xfId="1609"/>
    <cellStyle name="Обычный 11 2 3 2 8" xfId="1610"/>
    <cellStyle name="Обычный 11 2 3 2 9" xfId="1611"/>
    <cellStyle name="Обычный 11 2 3 20" xfId="21390"/>
    <cellStyle name="Обычный 11 2 3 3" xfId="1612"/>
    <cellStyle name="Обычный 11 2 3 3 10" xfId="1613"/>
    <cellStyle name="Обычный 11 2 3 3 11" xfId="1614"/>
    <cellStyle name="Обычный 11 2 3 3 12" xfId="18074"/>
    <cellStyle name="Обычный 11 2 3 3 13" xfId="19779"/>
    <cellStyle name="Обычный 11 2 3 3 14" xfId="21393"/>
    <cellStyle name="Обычный 11 2 3 3 2" xfId="1615"/>
    <cellStyle name="Обычный 11 2 3 3 2 10" xfId="1616"/>
    <cellStyle name="Обычный 11 2 3 3 2 11" xfId="18075"/>
    <cellStyle name="Обычный 11 2 3 3 2 12" xfId="19780"/>
    <cellStyle name="Обычный 11 2 3 3 2 13" xfId="21394"/>
    <cellStyle name="Обычный 11 2 3 3 2 2" xfId="1617"/>
    <cellStyle name="Обычный 11 2 3 3 2 2 2" xfId="1618"/>
    <cellStyle name="Обычный 11 2 3 3 2 3" xfId="1619"/>
    <cellStyle name="Обычный 11 2 3 3 2 4" xfId="1620"/>
    <cellStyle name="Обычный 11 2 3 3 2 5" xfId="1621"/>
    <cellStyle name="Обычный 11 2 3 3 2 6" xfId="1622"/>
    <cellStyle name="Обычный 11 2 3 3 2 7" xfId="1623"/>
    <cellStyle name="Обычный 11 2 3 3 2 8" xfId="1624"/>
    <cellStyle name="Обычный 11 2 3 3 2 9" xfId="1625"/>
    <cellStyle name="Обычный 11 2 3 3 3" xfId="1626"/>
    <cellStyle name="Обычный 11 2 3 3 3 2" xfId="1627"/>
    <cellStyle name="Обычный 11 2 3 3 4" xfId="1628"/>
    <cellStyle name="Обычный 11 2 3 3 5" xfId="1629"/>
    <cellStyle name="Обычный 11 2 3 3 6" xfId="1630"/>
    <cellStyle name="Обычный 11 2 3 3 7" xfId="1631"/>
    <cellStyle name="Обычный 11 2 3 3 8" xfId="1632"/>
    <cellStyle name="Обычный 11 2 3 3 9" xfId="1633"/>
    <cellStyle name="Обычный 11 2 3 4" xfId="1634"/>
    <cellStyle name="Обычный 11 2 3 4 10" xfId="1635"/>
    <cellStyle name="Обычный 11 2 3 4 11" xfId="1636"/>
    <cellStyle name="Обычный 11 2 3 4 12" xfId="18076"/>
    <cellStyle name="Обычный 11 2 3 4 13" xfId="19781"/>
    <cellStyle name="Обычный 11 2 3 4 14" xfId="21395"/>
    <cellStyle name="Обычный 11 2 3 4 2" xfId="1637"/>
    <cellStyle name="Обычный 11 2 3 4 2 10" xfId="1638"/>
    <cellStyle name="Обычный 11 2 3 4 2 11" xfId="18077"/>
    <cellStyle name="Обычный 11 2 3 4 2 12" xfId="19782"/>
    <cellStyle name="Обычный 11 2 3 4 2 13" xfId="21396"/>
    <cellStyle name="Обычный 11 2 3 4 2 2" xfId="1639"/>
    <cellStyle name="Обычный 11 2 3 4 2 2 2" xfId="1640"/>
    <cellStyle name="Обычный 11 2 3 4 2 3" xfId="1641"/>
    <cellStyle name="Обычный 11 2 3 4 2 4" xfId="1642"/>
    <cellStyle name="Обычный 11 2 3 4 2 5" xfId="1643"/>
    <cellStyle name="Обычный 11 2 3 4 2 6" xfId="1644"/>
    <cellStyle name="Обычный 11 2 3 4 2 7" xfId="1645"/>
    <cellStyle name="Обычный 11 2 3 4 2 8" xfId="1646"/>
    <cellStyle name="Обычный 11 2 3 4 2 9" xfId="1647"/>
    <cellStyle name="Обычный 11 2 3 4 3" xfId="1648"/>
    <cellStyle name="Обычный 11 2 3 4 3 2" xfId="1649"/>
    <cellStyle name="Обычный 11 2 3 4 4" xfId="1650"/>
    <cellStyle name="Обычный 11 2 3 4 5" xfId="1651"/>
    <cellStyle name="Обычный 11 2 3 4 6" xfId="1652"/>
    <cellStyle name="Обычный 11 2 3 4 7" xfId="1653"/>
    <cellStyle name="Обычный 11 2 3 4 8" xfId="1654"/>
    <cellStyle name="Обычный 11 2 3 4 9" xfId="1655"/>
    <cellStyle name="Обычный 11 2 3 5" xfId="1656"/>
    <cellStyle name="Обычный 11 2 3 5 10" xfId="1657"/>
    <cellStyle name="Обычный 11 2 3 5 11" xfId="1658"/>
    <cellStyle name="Обычный 11 2 3 5 12" xfId="18078"/>
    <cellStyle name="Обычный 11 2 3 5 13" xfId="19783"/>
    <cellStyle name="Обычный 11 2 3 5 14" xfId="21397"/>
    <cellStyle name="Обычный 11 2 3 5 2" xfId="1659"/>
    <cellStyle name="Обычный 11 2 3 5 2 10" xfId="1660"/>
    <cellStyle name="Обычный 11 2 3 5 2 11" xfId="18079"/>
    <cellStyle name="Обычный 11 2 3 5 2 12" xfId="19784"/>
    <cellStyle name="Обычный 11 2 3 5 2 13" xfId="21398"/>
    <cellStyle name="Обычный 11 2 3 5 2 2" xfId="1661"/>
    <cellStyle name="Обычный 11 2 3 5 2 2 2" xfId="1662"/>
    <cellStyle name="Обычный 11 2 3 5 2 3" xfId="1663"/>
    <cellStyle name="Обычный 11 2 3 5 2 4" xfId="1664"/>
    <cellStyle name="Обычный 11 2 3 5 2 5" xfId="1665"/>
    <cellStyle name="Обычный 11 2 3 5 2 6" xfId="1666"/>
    <cellStyle name="Обычный 11 2 3 5 2 7" xfId="1667"/>
    <cellStyle name="Обычный 11 2 3 5 2 8" xfId="1668"/>
    <cellStyle name="Обычный 11 2 3 5 2 9" xfId="1669"/>
    <cellStyle name="Обычный 11 2 3 5 3" xfId="1670"/>
    <cellStyle name="Обычный 11 2 3 5 3 2" xfId="1671"/>
    <cellStyle name="Обычный 11 2 3 5 4" xfId="1672"/>
    <cellStyle name="Обычный 11 2 3 5 5" xfId="1673"/>
    <cellStyle name="Обычный 11 2 3 5 6" xfId="1674"/>
    <cellStyle name="Обычный 11 2 3 5 7" xfId="1675"/>
    <cellStyle name="Обычный 11 2 3 5 8" xfId="1676"/>
    <cellStyle name="Обычный 11 2 3 5 9" xfId="1677"/>
    <cellStyle name="Обычный 11 2 3 6" xfId="1678"/>
    <cellStyle name="Обычный 11 2 3 6 10" xfId="1679"/>
    <cellStyle name="Обычный 11 2 3 6 11" xfId="18080"/>
    <cellStyle name="Обычный 11 2 3 6 12" xfId="19785"/>
    <cellStyle name="Обычный 11 2 3 6 13" xfId="21399"/>
    <cellStyle name="Обычный 11 2 3 6 2" xfId="1680"/>
    <cellStyle name="Обычный 11 2 3 6 2 2" xfId="1681"/>
    <cellStyle name="Обычный 11 2 3 6 3" xfId="1682"/>
    <cellStyle name="Обычный 11 2 3 6 4" xfId="1683"/>
    <cellStyle name="Обычный 11 2 3 6 5" xfId="1684"/>
    <cellStyle name="Обычный 11 2 3 6 6" xfId="1685"/>
    <cellStyle name="Обычный 11 2 3 6 7" xfId="1686"/>
    <cellStyle name="Обычный 11 2 3 6 8" xfId="1687"/>
    <cellStyle name="Обычный 11 2 3 6 9" xfId="1688"/>
    <cellStyle name="Обычный 11 2 3 7" xfId="1689"/>
    <cellStyle name="Обычный 11 2 3 7 10" xfId="19786"/>
    <cellStyle name="Обычный 11 2 3 7 11" xfId="21400"/>
    <cellStyle name="Обычный 11 2 3 7 2" xfId="1690"/>
    <cellStyle name="Обычный 11 2 3 7 2 2" xfId="1691"/>
    <cellStyle name="Обычный 11 2 3 7 3" xfId="1692"/>
    <cellStyle name="Обычный 11 2 3 7 4" xfId="1693"/>
    <cellStyle name="Обычный 11 2 3 7 5" xfId="1694"/>
    <cellStyle name="Обычный 11 2 3 7 6" xfId="1695"/>
    <cellStyle name="Обычный 11 2 3 7 7" xfId="1696"/>
    <cellStyle name="Обычный 11 2 3 7 8" xfId="1697"/>
    <cellStyle name="Обычный 11 2 3 7 9" xfId="18081"/>
    <cellStyle name="Обычный 11 2 3 8" xfId="1698"/>
    <cellStyle name="Обычный 11 2 3 8 2" xfId="1699"/>
    <cellStyle name="Обычный 11 2 3 9" xfId="1700"/>
    <cellStyle name="Обычный 11 2 4" xfId="1701"/>
    <cellStyle name="Обычный 11 2 4 10" xfId="1702"/>
    <cellStyle name="Обычный 11 2 4 11" xfId="1703"/>
    <cellStyle name="Обычный 11 2 4 12" xfId="1704"/>
    <cellStyle name="Обычный 11 2 4 13" xfId="1705"/>
    <cellStyle name="Обычный 11 2 4 14" xfId="1706"/>
    <cellStyle name="Обычный 11 2 4 15" xfId="1707"/>
    <cellStyle name="Обычный 11 2 4 16" xfId="1708"/>
    <cellStyle name="Обычный 11 2 4 17" xfId="1709"/>
    <cellStyle name="Обычный 11 2 4 18" xfId="18082"/>
    <cellStyle name="Обычный 11 2 4 19" xfId="19787"/>
    <cellStyle name="Обычный 11 2 4 2" xfId="1710"/>
    <cellStyle name="Обычный 11 2 4 2 10" xfId="1711"/>
    <cellStyle name="Обычный 11 2 4 2 11" xfId="1712"/>
    <cellStyle name="Обычный 11 2 4 2 12" xfId="18083"/>
    <cellStyle name="Обычный 11 2 4 2 13" xfId="19788"/>
    <cellStyle name="Обычный 11 2 4 2 14" xfId="21402"/>
    <cellStyle name="Обычный 11 2 4 2 2" xfId="1713"/>
    <cellStyle name="Обычный 11 2 4 2 2 10" xfId="1714"/>
    <cellStyle name="Обычный 11 2 4 2 2 11" xfId="18084"/>
    <cellStyle name="Обычный 11 2 4 2 2 12" xfId="19789"/>
    <cellStyle name="Обычный 11 2 4 2 2 13" xfId="21403"/>
    <cellStyle name="Обычный 11 2 4 2 2 2" xfId="1715"/>
    <cellStyle name="Обычный 11 2 4 2 2 2 2" xfId="1716"/>
    <cellStyle name="Обычный 11 2 4 2 2 3" xfId="1717"/>
    <cellStyle name="Обычный 11 2 4 2 2 4" xfId="1718"/>
    <cellStyle name="Обычный 11 2 4 2 2 5" xfId="1719"/>
    <cellStyle name="Обычный 11 2 4 2 2 6" xfId="1720"/>
    <cellStyle name="Обычный 11 2 4 2 2 7" xfId="1721"/>
    <cellStyle name="Обычный 11 2 4 2 2 8" xfId="1722"/>
    <cellStyle name="Обычный 11 2 4 2 2 9" xfId="1723"/>
    <cellStyle name="Обычный 11 2 4 2 3" xfId="1724"/>
    <cellStyle name="Обычный 11 2 4 2 3 2" xfId="1725"/>
    <cellStyle name="Обычный 11 2 4 2 4" xfId="1726"/>
    <cellStyle name="Обычный 11 2 4 2 5" xfId="1727"/>
    <cellStyle name="Обычный 11 2 4 2 6" xfId="1728"/>
    <cellStyle name="Обычный 11 2 4 2 7" xfId="1729"/>
    <cellStyle name="Обычный 11 2 4 2 8" xfId="1730"/>
    <cellStyle name="Обычный 11 2 4 2 9" xfId="1731"/>
    <cellStyle name="Обычный 11 2 4 20" xfId="21401"/>
    <cellStyle name="Обычный 11 2 4 3" xfId="1732"/>
    <cellStyle name="Обычный 11 2 4 3 10" xfId="1733"/>
    <cellStyle name="Обычный 11 2 4 3 11" xfId="1734"/>
    <cellStyle name="Обычный 11 2 4 3 12" xfId="18085"/>
    <cellStyle name="Обычный 11 2 4 3 13" xfId="19790"/>
    <cellStyle name="Обычный 11 2 4 3 14" xfId="21404"/>
    <cellStyle name="Обычный 11 2 4 3 2" xfId="1735"/>
    <cellStyle name="Обычный 11 2 4 3 2 10" xfId="1736"/>
    <cellStyle name="Обычный 11 2 4 3 2 11" xfId="18086"/>
    <cellStyle name="Обычный 11 2 4 3 2 12" xfId="19791"/>
    <cellStyle name="Обычный 11 2 4 3 2 13" xfId="21405"/>
    <cellStyle name="Обычный 11 2 4 3 2 2" xfId="1737"/>
    <cellStyle name="Обычный 11 2 4 3 2 2 2" xfId="1738"/>
    <cellStyle name="Обычный 11 2 4 3 2 3" xfId="1739"/>
    <cellStyle name="Обычный 11 2 4 3 2 4" xfId="1740"/>
    <cellStyle name="Обычный 11 2 4 3 2 5" xfId="1741"/>
    <cellStyle name="Обычный 11 2 4 3 2 6" xfId="1742"/>
    <cellStyle name="Обычный 11 2 4 3 2 7" xfId="1743"/>
    <cellStyle name="Обычный 11 2 4 3 2 8" xfId="1744"/>
    <cellStyle name="Обычный 11 2 4 3 2 9" xfId="1745"/>
    <cellStyle name="Обычный 11 2 4 3 3" xfId="1746"/>
    <cellStyle name="Обычный 11 2 4 3 3 2" xfId="1747"/>
    <cellStyle name="Обычный 11 2 4 3 4" xfId="1748"/>
    <cellStyle name="Обычный 11 2 4 3 5" xfId="1749"/>
    <cellStyle name="Обычный 11 2 4 3 6" xfId="1750"/>
    <cellStyle name="Обычный 11 2 4 3 7" xfId="1751"/>
    <cellStyle name="Обычный 11 2 4 3 8" xfId="1752"/>
    <cellStyle name="Обычный 11 2 4 3 9" xfId="1753"/>
    <cellStyle name="Обычный 11 2 4 4" xfId="1754"/>
    <cellStyle name="Обычный 11 2 4 4 10" xfId="1755"/>
    <cellStyle name="Обычный 11 2 4 4 11" xfId="1756"/>
    <cellStyle name="Обычный 11 2 4 4 12" xfId="18087"/>
    <cellStyle name="Обычный 11 2 4 4 13" xfId="19792"/>
    <cellStyle name="Обычный 11 2 4 4 14" xfId="21406"/>
    <cellStyle name="Обычный 11 2 4 4 2" xfId="1757"/>
    <cellStyle name="Обычный 11 2 4 4 2 10" xfId="1758"/>
    <cellStyle name="Обычный 11 2 4 4 2 11" xfId="18088"/>
    <cellStyle name="Обычный 11 2 4 4 2 12" xfId="19793"/>
    <cellStyle name="Обычный 11 2 4 4 2 13" xfId="21407"/>
    <cellStyle name="Обычный 11 2 4 4 2 2" xfId="1759"/>
    <cellStyle name="Обычный 11 2 4 4 2 2 2" xfId="1760"/>
    <cellStyle name="Обычный 11 2 4 4 2 3" xfId="1761"/>
    <cellStyle name="Обычный 11 2 4 4 2 4" xfId="1762"/>
    <cellStyle name="Обычный 11 2 4 4 2 5" xfId="1763"/>
    <cellStyle name="Обычный 11 2 4 4 2 6" xfId="1764"/>
    <cellStyle name="Обычный 11 2 4 4 2 7" xfId="1765"/>
    <cellStyle name="Обычный 11 2 4 4 2 8" xfId="1766"/>
    <cellStyle name="Обычный 11 2 4 4 2 9" xfId="1767"/>
    <cellStyle name="Обычный 11 2 4 4 3" xfId="1768"/>
    <cellStyle name="Обычный 11 2 4 4 3 2" xfId="1769"/>
    <cellStyle name="Обычный 11 2 4 4 4" xfId="1770"/>
    <cellStyle name="Обычный 11 2 4 4 5" xfId="1771"/>
    <cellStyle name="Обычный 11 2 4 4 6" xfId="1772"/>
    <cellStyle name="Обычный 11 2 4 4 7" xfId="1773"/>
    <cellStyle name="Обычный 11 2 4 4 8" xfId="1774"/>
    <cellStyle name="Обычный 11 2 4 4 9" xfId="1775"/>
    <cellStyle name="Обычный 11 2 4 5" xfId="1776"/>
    <cellStyle name="Обычный 11 2 4 5 10" xfId="1777"/>
    <cellStyle name="Обычный 11 2 4 5 11" xfId="1778"/>
    <cellStyle name="Обычный 11 2 4 5 12" xfId="18089"/>
    <cellStyle name="Обычный 11 2 4 5 13" xfId="19794"/>
    <cellStyle name="Обычный 11 2 4 5 14" xfId="21408"/>
    <cellStyle name="Обычный 11 2 4 5 2" xfId="1779"/>
    <cellStyle name="Обычный 11 2 4 5 2 10" xfId="1780"/>
    <cellStyle name="Обычный 11 2 4 5 2 11" xfId="18090"/>
    <cellStyle name="Обычный 11 2 4 5 2 12" xfId="19795"/>
    <cellStyle name="Обычный 11 2 4 5 2 13" xfId="21409"/>
    <cellStyle name="Обычный 11 2 4 5 2 2" xfId="1781"/>
    <cellStyle name="Обычный 11 2 4 5 2 2 2" xfId="1782"/>
    <cellStyle name="Обычный 11 2 4 5 2 3" xfId="1783"/>
    <cellStyle name="Обычный 11 2 4 5 2 4" xfId="1784"/>
    <cellStyle name="Обычный 11 2 4 5 2 5" xfId="1785"/>
    <cellStyle name="Обычный 11 2 4 5 2 6" xfId="1786"/>
    <cellStyle name="Обычный 11 2 4 5 2 7" xfId="1787"/>
    <cellStyle name="Обычный 11 2 4 5 2 8" xfId="1788"/>
    <cellStyle name="Обычный 11 2 4 5 2 9" xfId="1789"/>
    <cellStyle name="Обычный 11 2 4 5 3" xfId="1790"/>
    <cellStyle name="Обычный 11 2 4 5 3 2" xfId="1791"/>
    <cellStyle name="Обычный 11 2 4 5 4" xfId="1792"/>
    <cellStyle name="Обычный 11 2 4 5 5" xfId="1793"/>
    <cellStyle name="Обычный 11 2 4 5 6" xfId="1794"/>
    <cellStyle name="Обычный 11 2 4 5 7" xfId="1795"/>
    <cellStyle name="Обычный 11 2 4 5 8" xfId="1796"/>
    <cellStyle name="Обычный 11 2 4 5 9" xfId="1797"/>
    <cellStyle name="Обычный 11 2 4 6" xfId="1798"/>
    <cellStyle name="Обычный 11 2 4 6 10" xfId="1799"/>
    <cellStyle name="Обычный 11 2 4 6 11" xfId="18091"/>
    <cellStyle name="Обычный 11 2 4 6 12" xfId="19796"/>
    <cellStyle name="Обычный 11 2 4 6 13" xfId="21410"/>
    <cellStyle name="Обычный 11 2 4 6 2" xfId="1800"/>
    <cellStyle name="Обычный 11 2 4 6 2 2" xfId="1801"/>
    <cellStyle name="Обычный 11 2 4 6 3" xfId="1802"/>
    <cellStyle name="Обычный 11 2 4 6 4" xfId="1803"/>
    <cellStyle name="Обычный 11 2 4 6 5" xfId="1804"/>
    <cellStyle name="Обычный 11 2 4 6 6" xfId="1805"/>
    <cellStyle name="Обычный 11 2 4 6 7" xfId="1806"/>
    <cellStyle name="Обычный 11 2 4 6 8" xfId="1807"/>
    <cellStyle name="Обычный 11 2 4 6 9" xfId="1808"/>
    <cellStyle name="Обычный 11 2 4 7" xfId="1809"/>
    <cellStyle name="Обычный 11 2 4 7 10" xfId="19797"/>
    <cellStyle name="Обычный 11 2 4 7 11" xfId="21411"/>
    <cellStyle name="Обычный 11 2 4 7 2" xfId="1810"/>
    <cellStyle name="Обычный 11 2 4 7 2 2" xfId="1811"/>
    <cellStyle name="Обычный 11 2 4 7 3" xfId="1812"/>
    <cellStyle name="Обычный 11 2 4 7 4" xfId="1813"/>
    <cellStyle name="Обычный 11 2 4 7 5" xfId="1814"/>
    <cellStyle name="Обычный 11 2 4 7 6" xfId="1815"/>
    <cellStyle name="Обычный 11 2 4 7 7" xfId="1816"/>
    <cellStyle name="Обычный 11 2 4 7 8" xfId="1817"/>
    <cellStyle name="Обычный 11 2 4 7 9" xfId="18092"/>
    <cellStyle name="Обычный 11 2 4 8" xfId="1818"/>
    <cellStyle name="Обычный 11 2 4 8 2" xfId="1819"/>
    <cellStyle name="Обычный 11 2 4 9" xfId="1820"/>
    <cellStyle name="Обычный 11 2 5" xfId="1821"/>
    <cellStyle name="Обычный 11 2 5 10" xfId="1822"/>
    <cellStyle name="Обычный 11 2 5 11" xfId="1823"/>
    <cellStyle name="Обычный 11 2 5 12" xfId="18093"/>
    <cellStyle name="Обычный 11 2 5 13" xfId="19798"/>
    <cellStyle name="Обычный 11 2 5 14" xfId="21412"/>
    <cellStyle name="Обычный 11 2 5 2" xfId="1824"/>
    <cellStyle name="Обычный 11 2 5 2 10" xfId="1825"/>
    <cellStyle name="Обычный 11 2 5 2 11" xfId="18094"/>
    <cellStyle name="Обычный 11 2 5 2 12" xfId="19799"/>
    <cellStyle name="Обычный 11 2 5 2 13" xfId="21413"/>
    <cellStyle name="Обычный 11 2 5 2 2" xfId="1826"/>
    <cellStyle name="Обычный 11 2 5 2 2 2" xfId="1827"/>
    <cellStyle name="Обычный 11 2 5 2 3" xfId="1828"/>
    <cellStyle name="Обычный 11 2 5 2 4" xfId="1829"/>
    <cellStyle name="Обычный 11 2 5 2 5" xfId="1830"/>
    <cellStyle name="Обычный 11 2 5 2 6" xfId="1831"/>
    <cellStyle name="Обычный 11 2 5 2 7" xfId="1832"/>
    <cellStyle name="Обычный 11 2 5 2 8" xfId="1833"/>
    <cellStyle name="Обычный 11 2 5 2 9" xfId="1834"/>
    <cellStyle name="Обычный 11 2 5 3" xfId="1835"/>
    <cellStyle name="Обычный 11 2 5 3 2" xfId="1836"/>
    <cellStyle name="Обычный 11 2 5 4" xfId="1837"/>
    <cellStyle name="Обычный 11 2 5 5" xfId="1838"/>
    <cellStyle name="Обычный 11 2 5 6" xfId="1839"/>
    <cellStyle name="Обычный 11 2 5 7" xfId="1840"/>
    <cellStyle name="Обычный 11 2 5 8" xfId="1841"/>
    <cellStyle name="Обычный 11 2 5 9" xfId="1842"/>
    <cellStyle name="Обычный 11 2 6" xfId="1843"/>
    <cellStyle name="Обычный 11 2 6 10" xfId="1844"/>
    <cellStyle name="Обычный 11 2 6 11" xfId="1845"/>
    <cellStyle name="Обычный 11 2 6 12" xfId="18095"/>
    <cellStyle name="Обычный 11 2 6 13" xfId="19800"/>
    <cellStyle name="Обычный 11 2 6 14" xfId="21414"/>
    <cellStyle name="Обычный 11 2 6 2" xfId="1846"/>
    <cellStyle name="Обычный 11 2 6 2 10" xfId="1847"/>
    <cellStyle name="Обычный 11 2 6 2 11" xfId="18096"/>
    <cellStyle name="Обычный 11 2 6 2 12" xfId="19801"/>
    <cellStyle name="Обычный 11 2 6 2 13" xfId="21415"/>
    <cellStyle name="Обычный 11 2 6 2 2" xfId="1848"/>
    <cellStyle name="Обычный 11 2 6 2 2 2" xfId="1849"/>
    <cellStyle name="Обычный 11 2 6 2 3" xfId="1850"/>
    <cellStyle name="Обычный 11 2 6 2 4" xfId="1851"/>
    <cellStyle name="Обычный 11 2 6 2 5" xfId="1852"/>
    <cellStyle name="Обычный 11 2 6 2 6" xfId="1853"/>
    <cellStyle name="Обычный 11 2 6 2 7" xfId="1854"/>
    <cellStyle name="Обычный 11 2 6 2 8" xfId="1855"/>
    <cellStyle name="Обычный 11 2 6 2 9" xfId="1856"/>
    <cellStyle name="Обычный 11 2 6 3" xfId="1857"/>
    <cellStyle name="Обычный 11 2 6 3 2" xfId="1858"/>
    <cellStyle name="Обычный 11 2 6 4" xfId="1859"/>
    <cellStyle name="Обычный 11 2 6 5" xfId="1860"/>
    <cellStyle name="Обычный 11 2 6 6" xfId="1861"/>
    <cellStyle name="Обычный 11 2 6 7" xfId="1862"/>
    <cellStyle name="Обычный 11 2 6 8" xfId="1863"/>
    <cellStyle name="Обычный 11 2 6 9" xfId="1864"/>
    <cellStyle name="Обычный 11 2 7" xfId="1865"/>
    <cellStyle name="Обычный 11 2 7 10" xfId="1866"/>
    <cellStyle name="Обычный 11 2 7 11" xfId="1867"/>
    <cellStyle name="Обычный 11 2 7 12" xfId="18097"/>
    <cellStyle name="Обычный 11 2 7 13" xfId="19802"/>
    <cellStyle name="Обычный 11 2 7 14" xfId="21416"/>
    <cellStyle name="Обычный 11 2 7 2" xfId="1868"/>
    <cellStyle name="Обычный 11 2 7 2 10" xfId="1869"/>
    <cellStyle name="Обычный 11 2 7 2 11" xfId="18098"/>
    <cellStyle name="Обычный 11 2 7 2 12" xfId="19803"/>
    <cellStyle name="Обычный 11 2 7 2 13" xfId="21417"/>
    <cellStyle name="Обычный 11 2 7 2 2" xfId="1870"/>
    <cellStyle name="Обычный 11 2 7 2 2 2" xfId="1871"/>
    <cellStyle name="Обычный 11 2 7 2 3" xfId="1872"/>
    <cellStyle name="Обычный 11 2 7 2 4" xfId="1873"/>
    <cellStyle name="Обычный 11 2 7 2 5" xfId="1874"/>
    <cellStyle name="Обычный 11 2 7 2 6" xfId="1875"/>
    <cellStyle name="Обычный 11 2 7 2 7" xfId="1876"/>
    <cellStyle name="Обычный 11 2 7 2 8" xfId="1877"/>
    <cellStyle name="Обычный 11 2 7 2 9" xfId="1878"/>
    <cellStyle name="Обычный 11 2 7 3" xfId="1879"/>
    <cellStyle name="Обычный 11 2 7 3 2" xfId="1880"/>
    <cellStyle name="Обычный 11 2 7 4" xfId="1881"/>
    <cellStyle name="Обычный 11 2 7 5" xfId="1882"/>
    <cellStyle name="Обычный 11 2 7 6" xfId="1883"/>
    <cellStyle name="Обычный 11 2 7 7" xfId="1884"/>
    <cellStyle name="Обычный 11 2 7 8" xfId="1885"/>
    <cellStyle name="Обычный 11 2 7 9" xfId="1886"/>
    <cellStyle name="Обычный 11 2 8" xfId="1887"/>
    <cellStyle name="Обычный 11 2 8 10" xfId="1888"/>
    <cellStyle name="Обычный 11 2 8 11" xfId="1889"/>
    <cellStyle name="Обычный 11 2 8 12" xfId="18099"/>
    <cellStyle name="Обычный 11 2 8 13" xfId="19804"/>
    <cellStyle name="Обычный 11 2 8 14" xfId="21418"/>
    <cellStyle name="Обычный 11 2 8 2" xfId="1890"/>
    <cellStyle name="Обычный 11 2 8 2 10" xfId="1891"/>
    <cellStyle name="Обычный 11 2 8 2 11" xfId="18100"/>
    <cellStyle name="Обычный 11 2 8 2 12" xfId="19805"/>
    <cellStyle name="Обычный 11 2 8 2 13" xfId="21419"/>
    <cellStyle name="Обычный 11 2 8 2 2" xfId="1892"/>
    <cellStyle name="Обычный 11 2 8 2 2 2" xfId="1893"/>
    <cellStyle name="Обычный 11 2 8 2 3" xfId="1894"/>
    <cellStyle name="Обычный 11 2 8 2 4" xfId="1895"/>
    <cellStyle name="Обычный 11 2 8 2 5" xfId="1896"/>
    <cellStyle name="Обычный 11 2 8 2 6" xfId="1897"/>
    <cellStyle name="Обычный 11 2 8 2 7" xfId="1898"/>
    <cellStyle name="Обычный 11 2 8 2 8" xfId="1899"/>
    <cellStyle name="Обычный 11 2 8 2 9" xfId="1900"/>
    <cellStyle name="Обычный 11 2 8 3" xfId="1901"/>
    <cellStyle name="Обычный 11 2 8 3 2" xfId="1902"/>
    <cellStyle name="Обычный 11 2 8 4" xfId="1903"/>
    <cellStyle name="Обычный 11 2 8 5" xfId="1904"/>
    <cellStyle name="Обычный 11 2 8 6" xfId="1905"/>
    <cellStyle name="Обычный 11 2 8 7" xfId="1906"/>
    <cellStyle name="Обычный 11 2 8 8" xfId="1907"/>
    <cellStyle name="Обычный 11 2 8 9" xfId="1908"/>
    <cellStyle name="Обычный 11 2 9" xfId="1909"/>
    <cellStyle name="Обычный 11 2 9 10" xfId="1910"/>
    <cellStyle name="Обычный 11 2 9 11" xfId="1911"/>
    <cellStyle name="Обычный 11 2 9 12" xfId="18101"/>
    <cellStyle name="Обычный 11 2 9 13" xfId="19806"/>
    <cellStyle name="Обычный 11 2 9 14" xfId="21420"/>
    <cellStyle name="Обычный 11 2 9 2" xfId="1912"/>
    <cellStyle name="Обычный 11 2 9 2 10" xfId="1913"/>
    <cellStyle name="Обычный 11 2 9 2 11" xfId="18102"/>
    <cellStyle name="Обычный 11 2 9 2 12" xfId="19807"/>
    <cellStyle name="Обычный 11 2 9 2 13" xfId="21421"/>
    <cellStyle name="Обычный 11 2 9 2 2" xfId="1914"/>
    <cellStyle name="Обычный 11 2 9 2 2 2" xfId="1915"/>
    <cellStyle name="Обычный 11 2 9 2 3" xfId="1916"/>
    <cellStyle name="Обычный 11 2 9 2 4" xfId="1917"/>
    <cellStyle name="Обычный 11 2 9 2 5" xfId="1918"/>
    <cellStyle name="Обычный 11 2 9 2 6" xfId="1919"/>
    <cellStyle name="Обычный 11 2 9 2 7" xfId="1920"/>
    <cellStyle name="Обычный 11 2 9 2 8" xfId="1921"/>
    <cellStyle name="Обычный 11 2 9 2 9" xfId="1922"/>
    <cellStyle name="Обычный 11 2 9 3" xfId="1923"/>
    <cellStyle name="Обычный 11 2 9 3 2" xfId="1924"/>
    <cellStyle name="Обычный 11 2 9 4" xfId="1925"/>
    <cellStyle name="Обычный 11 2 9 5" xfId="1926"/>
    <cellStyle name="Обычный 11 2 9 6" xfId="1927"/>
    <cellStyle name="Обычный 11 2 9 7" xfId="1928"/>
    <cellStyle name="Обычный 11 2 9 8" xfId="1929"/>
    <cellStyle name="Обычный 11 2 9 9" xfId="1930"/>
    <cellStyle name="Обычный 11 20" xfId="1931"/>
    <cellStyle name="Обычный 11 21" xfId="1932"/>
    <cellStyle name="Обычный 11 22" xfId="1933"/>
    <cellStyle name="Обычный 11 23" xfId="1934"/>
    <cellStyle name="Обычный 11 24" xfId="1935"/>
    <cellStyle name="Обычный 11 25" xfId="18024"/>
    <cellStyle name="Обычный 11 26" xfId="19622"/>
    <cellStyle name="Обычный 11 27" xfId="19729"/>
    <cellStyle name="Обычный 11 28" xfId="21343"/>
    <cellStyle name="Обычный 11 3" xfId="1936"/>
    <cellStyle name="Обычный 11 3 10" xfId="1937"/>
    <cellStyle name="Обычный 11 3 10 2" xfId="1938"/>
    <cellStyle name="Обычный 11 3 11" xfId="1939"/>
    <cellStyle name="Обычный 11 3 12" xfId="1940"/>
    <cellStyle name="Обычный 11 3 13" xfId="1941"/>
    <cellStyle name="Обычный 11 3 14" xfId="1942"/>
    <cellStyle name="Обычный 11 3 15" xfId="1943"/>
    <cellStyle name="Обычный 11 3 16" xfId="1944"/>
    <cellStyle name="Обычный 11 3 17" xfId="1945"/>
    <cellStyle name="Обычный 11 3 18" xfId="1946"/>
    <cellStyle name="Обычный 11 3 19" xfId="1947"/>
    <cellStyle name="Обычный 11 3 2" xfId="1948"/>
    <cellStyle name="Обычный 11 3 2 10" xfId="1949"/>
    <cellStyle name="Обычный 11 3 2 11" xfId="1950"/>
    <cellStyle name="Обычный 11 3 2 12" xfId="1951"/>
    <cellStyle name="Обычный 11 3 2 13" xfId="1952"/>
    <cellStyle name="Обычный 11 3 2 14" xfId="1953"/>
    <cellStyle name="Обычный 11 3 2 15" xfId="1954"/>
    <cellStyle name="Обычный 11 3 2 16" xfId="1955"/>
    <cellStyle name="Обычный 11 3 2 17" xfId="1956"/>
    <cellStyle name="Обычный 11 3 2 18" xfId="18104"/>
    <cellStyle name="Обычный 11 3 2 19" xfId="19809"/>
    <cellStyle name="Обычный 11 3 2 2" xfId="1957"/>
    <cellStyle name="Обычный 11 3 2 2 10" xfId="1958"/>
    <cellStyle name="Обычный 11 3 2 2 11" xfId="1959"/>
    <cellStyle name="Обычный 11 3 2 2 12" xfId="18105"/>
    <cellStyle name="Обычный 11 3 2 2 13" xfId="19810"/>
    <cellStyle name="Обычный 11 3 2 2 14" xfId="21424"/>
    <cellStyle name="Обычный 11 3 2 2 2" xfId="1960"/>
    <cellStyle name="Обычный 11 3 2 2 2 10" xfId="1961"/>
    <cellStyle name="Обычный 11 3 2 2 2 11" xfId="18106"/>
    <cellStyle name="Обычный 11 3 2 2 2 12" xfId="19811"/>
    <cellStyle name="Обычный 11 3 2 2 2 13" xfId="21425"/>
    <cellStyle name="Обычный 11 3 2 2 2 2" xfId="1962"/>
    <cellStyle name="Обычный 11 3 2 2 2 2 2" xfId="1963"/>
    <cellStyle name="Обычный 11 3 2 2 2 3" xfId="1964"/>
    <cellStyle name="Обычный 11 3 2 2 2 4" xfId="1965"/>
    <cellStyle name="Обычный 11 3 2 2 2 5" xfId="1966"/>
    <cellStyle name="Обычный 11 3 2 2 2 6" xfId="1967"/>
    <cellStyle name="Обычный 11 3 2 2 2 7" xfId="1968"/>
    <cellStyle name="Обычный 11 3 2 2 2 8" xfId="1969"/>
    <cellStyle name="Обычный 11 3 2 2 2 9" xfId="1970"/>
    <cellStyle name="Обычный 11 3 2 2 3" xfId="1971"/>
    <cellStyle name="Обычный 11 3 2 2 3 2" xfId="1972"/>
    <cellStyle name="Обычный 11 3 2 2 4" xfId="1973"/>
    <cellStyle name="Обычный 11 3 2 2 5" xfId="1974"/>
    <cellStyle name="Обычный 11 3 2 2 6" xfId="1975"/>
    <cellStyle name="Обычный 11 3 2 2 7" xfId="1976"/>
    <cellStyle name="Обычный 11 3 2 2 8" xfId="1977"/>
    <cellStyle name="Обычный 11 3 2 2 9" xfId="1978"/>
    <cellStyle name="Обычный 11 3 2 20" xfId="21423"/>
    <cellStyle name="Обычный 11 3 2 3" xfId="1979"/>
    <cellStyle name="Обычный 11 3 2 3 10" xfId="1980"/>
    <cellStyle name="Обычный 11 3 2 3 11" xfId="1981"/>
    <cellStyle name="Обычный 11 3 2 3 12" xfId="18107"/>
    <cellStyle name="Обычный 11 3 2 3 13" xfId="19812"/>
    <cellStyle name="Обычный 11 3 2 3 14" xfId="21426"/>
    <cellStyle name="Обычный 11 3 2 3 2" xfId="1982"/>
    <cellStyle name="Обычный 11 3 2 3 2 10" xfId="1983"/>
    <cellStyle name="Обычный 11 3 2 3 2 11" xfId="18108"/>
    <cellStyle name="Обычный 11 3 2 3 2 12" xfId="19813"/>
    <cellStyle name="Обычный 11 3 2 3 2 13" xfId="21427"/>
    <cellStyle name="Обычный 11 3 2 3 2 2" xfId="1984"/>
    <cellStyle name="Обычный 11 3 2 3 2 2 2" xfId="1985"/>
    <cellStyle name="Обычный 11 3 2 3 2 3" xfId="1986"/>
    <cellStyle name="Обычный 11 3 2 3 2 4" xfId="1987"/>
    <cellStyle name="Обычный 11 3 2 3 2 5" xfId="1988"/>
    <cellStyle name="Обычный 11 3 2 3 2 6" xfId="1989"/>
    <cellStyle name="Обычный 11 3 2 3 2 7" xfId="1990"/>
    <cellStyle name="Обычный 11 3 2 3 2 8" xfId="1991"/>
    <cellStyle name="Обычный 11 3 2 3 2 9" xfId="1992"/>
    <cellStyle name="Обычный 11 3 2 3 3" xfId="1993"/>
    <cellStyle name="Обычный 11 3 2 3 3 2" xfId="1994"/>
    <cellStyle name="Обычный 11 3 2 3 4" xfId="1995"/>
    <cellStyle name="Обычный 11 3 2 3 5" xfId="1996"/>
    <cellStyle name="Обычный 11 3 2 3 6" xfId="1997"/>
    <cellStyle name="Обычный 11 3 2 3 7" xfId="1998"/>
    <cellStyle name="Обычный 11 3 2 3 8" xfId="1999"/>
    <cellStyle name="Обычный 11 3 2 3 9" xfId="2000"/>
    <cellStyle name="Обычный 11 3 2 4" xfId="2001"/>
    <cellStyle name="Обычный 11 3 2 4 10" xfId="2002"/>
    <cellStyle name="Обычный 11 3 2 4 11" xfId="2003"/>
    <cellStyle name="Обычный 11 3 2 4 12" xfId="18109"/>
    <cellStyle name="Обычный 11 3 2 4 13" xfId="19814"/>
    <cellStyle name="Обычный 11 3 2 4 14" xfId="21428"/>
    <cellStyle name="Обычный 11 3 2 4 2" xfId="2004"/>
    <cellStyle name="Обычный 11 3 2 4 2 10" xfId="2005"/>
    <cellStyle name="Обычный 11 3 2 4 2 11" xfId="18110"/>
    <cellStyle name="Обычный 11 3 2 4 2 12" xfId="19815"/>
    <cellStyle name="Обычный 11 3 2 4 2 13" xfId="21429"/>
    <cellStyle name="Обычный 11 3 2 4 2 2" xfId="2006"/>
    <cellStyle name="Обычный 11 3 2 4 2 2 2" xfId="2007"/>
    <cellStyle name="Обычный 11 3 2 4 2 3" xfId="2008"/>
    <cellStyle name="Обычный 11 3 2 4 2 4" xfId="2009"/>
    <cellStyle name="Обычный 11 3 2 4 2 5" xfId="2010"/>
    <cellStyle name="Обычный 11 3 2 4 2 6" xfId="2011"/>
    <cellStyle name="Обычный 11 3 2 4 2 7" xfId="2012"/>
    <cellStyle name="Обычный 11 3 2 4 2 8" xfId="2013"/>
    <cellStyle name="Обычный 11 3 2 4 2 9" xfId="2014"/>
    <cellStyle name="Обычный 11 3 2 4 3" xfId="2015"/>
    <cellStyle name="Обычный 11 3 2 4 3 2" xfId="2016"/>
    <cellStyle name="Обычный 11 3 2 4 4" xfId="2017"/>
    <cellStyle name="Обычный 11 3 2 4 5" xfId="2018"/>
    <cellStyle name="Обычный 11 3 2 4 6" xfId="2019"/>
    <cellStyle name="Обычный 11 3 2 4 7" xfId="2020"/>
    <cellStyle name="Обычный 11 3 2 4 8" xfId="2021"/>
    <cellStyle name="Обычный 11 3 2 4 9" xfId="2022"/>
    <cellStyle name="Обычный 11 3 2 5" xfId="2023"/>
    <cellStyle name="Обычный 11 3 2 5 10" xfId="2024"/>
    <cellStyle name="Обычный 11 3 2 5 11" xfId="2025"/>
    <cellStyle name="Обычный 11 3 2 5 12" xfId="18111"/>
    <cellStyle name="Обычный 11 3 2 5 13" xfId="19816"/>
    <cellStyle name="Обычный 11 3 2 5 14" xfId="21430"/>
    <cellStyle name="Обычный 11 3 2 5 2" xfId="2026"/>
    <cellStyle name="Обычный 11 3 2 5 2 10" xfId="2027"/>
    <cellStyle name="Обычный 11 3 2 5 2 11" xfId="18112"/>
    <cellStyle name="Обычный 11 3 2 5 2 12" xfId="19817"/>
    <cellStyle name="Обычный 11 3 2 5 2 13" xfId="21431"/>
    <cellStyle name="Обычный 11 3 2 5 2 2" xfId="2028"/>
    <cellStyle name="Обычный 11 3 2 5 2 2 2" xfId="2029"/>
    <cellStyle name="Обычный 11 3 2 5 2 3" xfId="2030"/>
    <cellStyle name="Обычный 11 3 2 5 2 4" xfId="2031"/>
    <cellStyle name="Обычный 11 3 2 5 2 5" xfId="2032"/>
    <cellStyle name="Обычный 11 3 2 5 2 6" xfId="2033"/>
    <cellStyle name="Обычный 11 3 2 5 2 7" xfId="2034"/>
    <cellStyle name="Обычный 11 3 2 5 2 8" xfId="2035"/>
    <cellStyle name="Обычный 11 3 2 5 2 9" xfId="2036"/>
    <cellStyle name="Обычный 11 3 2 5 3" xfId="2037"/>
    <cellStyle name="Обычный 11 3 2 5 3 2" xfId="2038"/>
    <cellStyle name="Обычный 11 3 2 5 4" xfId="2039"/>
    <cellStyle name="Обычный 11 3 2 5 5" xfId="2040"/>
    <cellStyle name="Обычный 11 3 2 5 6" xfId="2041"/>
    <cellStyle name="Обычный 11 3 2 5 7" xfId="2042"/>
    <cellStyle name="Обычный 11 3 2 5 8" xfId="2043"/>
    <cellStyle name="Обычный 11 3 2 5 9" xfId="2044"/>
    <cellStyle name="Обычный 11 3 2 6" xfId="2045"/>
    <cellStyle name="Обычный 11 3 2 6 10" xfId="2046"/>
    <cellStyle name="Обычный 11 3 2 6 11" xfId="18113"/>
    <cellStyle name="Обычный 11 3 2 6 12" xfId="19818"/>
    <cellStyle name="Обычный 11 3 2 6 13" xfId="21432"/>
    <cellStyle name="Обычный 11 3 2 6 2" xfId="2047"/>
    <cellStyle name="Обычный 11 3 2 6 2 2" xfId="2048"/>
    <cellStyle name="Обычный 11 3 2 6 3" xfId="2049"/>
    <cellStyle name="Обычный 11 3 2 6 4" xfId="2050"/>
    <cellStyle name="Обычный 11 3 2 6 5" xfId="2051"/>
    <cellStyle name="Обычный 11 3 2 6 6" xfId="2052"/>
    <cellStyle name="Обычный 11 3 2 6 7" xfId="2053"/>
    <cellStyle name="Обычный 11 3 2 6 8" xfId="2054"/>
    <cellStyle name="Обычный 11 3 2 6 9" xfId="2055"/>
    <cellStyle name="Обычный 11 3 2 7" xfId="2056"/>
    <cellStyle name="Обычный 11 3 2 7 10" xfId="19819"/>
    <cellStyle name="Обычный 11 3 2 7 11" xfId="21433"/>
    <cellStyle name="Обычный 11 3 2 7 2" xfId="2057"/>
    <cellStyle name="Обычный 11 3 2 7 2 2" xfId="2058"/>
    <cellStyle name="Обычный 11 3 2 7 3" xfId="2059"/>
    <cellStyle name="Обычный 11 3 2 7 4" xfId="2060"/>
    <cellStyle name="Обычный 11 3 2 7 5" xfId="2061"/>
    <cellStyle name="Обычный 11 3 2 7 6" xfId="2062"/>
    <cellStyle name="Обычный 11 3 2 7 7" xfId="2063"/>
    <cellStyle name="Обычный 11 3 2 7 8" xfId="2064"/>
    <cellStyle name="Обычный 11 3 2 7 9" xfId="18114"/>
    <cellStyle name="Обычный 11 3 2 8" xfId="2065"/>
    <cellStyle name="Обычный 11 3 2 8 2" xfId="2066"/>
    <cellStyle name="Обычный 11 3 2 9" xfId="2067"/>
    <cellStyle name="Обычный 11 3 20" xfId="18103"/>
    <cellStyle name="Обычный 11 3 21" xfId="19808"/>
    <cellStyle name="Обычный 11 3 22" xfId="21422"/>
    <cellStyle name="Обычный 11 3 3" xfId="2068"/>
    <cellStyle name="Обычный 11 3 3 10" xfId="2069"/>
    <cellStyle name="Обычный 11 3 3 11" xfId="2070"/>
    <cellStyle name="Обычный 11 3 3 12" xfId="2071"/>
    <cellStyle name="Обычный 11 3 3 13" xfId="2072"/>
    <cellStyle name="Обычный 11 3 3 14" xfId="2073"/>
    <cellStyle name="Обычный 11 3 3 15" xfId="2074"/>
    <cellStyle name="Обычный 11 3 3 16" xfId="2075"/>
    <cellStyle name="Обычный 11 3 3 17" xfId="2076"/>
    <cellStyle name="Обычный 11 3 3 18" xfId="18115"/>
    <cellStyle name="Обычный 11 3 3 19" xfId="19820"/>
    <cellStyle name="Обычный 11 3 3 2" xfId="2077"/>
    <cellStyle name="Обычный 11 3 3 2 10" xfId="2078"/>
    <cellStyle name="Обычный 11 3 3 2 11" xfId="2079"/>
    <cellStyle name="Обычный 11 3 3 2 12" xfId="18116"/>
    <cellStyle name="Обычный 11 3 3 2 13" xfId="19821"/>
    <cellStyle name="Обычный 11 3 3 2 14" xfId="21435"/>
    <cellStyle name="Обычный 11 3 3 2 2" xfId="2080"/>
    <cellStyle name="Обычный 11 3 3 2 2 10" xfId="2081"/>
    <cellStyle name="Обычный 11 3 3 2 2 11" xfId="18117"/>
    <cellStyle name="Обычный 11 3 3 2 2 12" xfId="19822"/>
    <cellStyle name="Обычный 11 3 3 2 2 13" xfId="21436"/>
    <cellStyle name="Обычный 11 3 3 2 2 2" xfId="2082"/>
    <cellStyle name="Обычный 11 3 3 2 2 2 2" xfId="2083"/>
    <cellStyle name="Обычный 11 3 3 2 2 3" xfId="2084"/>
    <cellStyle name="Обычный 11 3 3 2 2 4" xfId="2085"/>
    <cellStyle name="Обычный 11 3 3 2 2 5" xfId="2086"/>
    <cellStyle name="Обычный 11 3 3 2 2 6" xfId="2087"/>
    <cellStyle name="Обычный 11 3 3 2 2 7" xfId="2088"/>
    <cellStyle name="Обычный 11 3 3 2 2 8" xfId="2089"/>
    <cellStyle name="Обычный 11 3 3 2 2 9" xfId="2090"/>
    <cellStyle name="Обычный 11 3 3 2 3" xfId="2091"/>
    <cellStyle name="Обычный 11 3 3 2 3 2" xfId="2092"/>
    <cellStyle name="Обычный 11 3 3 2 4" xfId="2093"/>
    <cellStyle name="Обычный 11 3 3 2 5" xfId="2094"/>
    <cellStyle name="Обычный 11 3 3 2 6" xfId="2095"/>
    <cellStyle name="Обычный 11 3 3 2 7" xfId="2096"/>
    <cellStyle name="Обычный 11 3 3 2 8" xfId="2097"/>
    <cellStyle name="Обычный 11 3 3 2 9" xfId="2098"/>
    <cellStyle name="Обычный 11 3 3 20" xfId="21434"/>
    <cellStyle name="Обычный 11 3 3 3" xfId="2099"/>
    <cellStyle name="Обычный 11 3 3 3 10" xfId="2100"/>
    <cellStyle name="Обычный 11 3 3 3 11" xfId="2101"/>
    <cellStyle name="Обычный 11 3 3 3 12" xfId="18118"/>
    <cellStyle name="Обычный 11 3 3 3 13" xfId="19823"/>
    <cellStyle name="Обычный 11 3 3 3 14" xfId="21437"/>
    <cellStyle name="Обычный 11 3 3 3 2" xfId="2102"/>
    <cellStyle name="Обычный 11 3 3 3 2 10" xfId="2103"/>
    <cellStyle name="Обычный 11 3 3 3 2 11" xfId="18119"/>
    <cellStyle name="Обычный 11 3 3 3 2 12" xfId="19824"/>
    <cellStyle name="Обычный 11 3 3 3 2 13" xfId="21438"/>
    <cellStyle name="Обычный 11 3 3 3 2 2" xfId="2104"/>
    <cellStyle name="Обычный 11 3 3 3 2 2 2" xfId="2105"/>
    <cellStyle name="Обычный 11 3 3 3 2 3" xfId="2106"/>
    <cellStyle name="Обычный 11 3 3 3 2 4" xfId="2107"/>
    <cellStyle name="Обычный 11 3 3 3 2 5" xfId="2108"/>
    <cellStyle name="Обычный 11 3 3 3 2 6" xfId="2109"/>
    <cellStyle name="Обычный 11 3 3 3 2 7" xfId="2110"/>
    <cellStyle name="Обычный 11 3 3 3 2 8" xfId="2111"/>
    <cellStyle name="Обычный 11 3 3 3 2 9" xfId="2112"/>
    <cellStyle name="Обычный 11 3 3 3 3" xfId="2113"/>
    <cellStyle name="Обычный 11 3 3 3 3 2" xfId="2114"/>
    <cellStyle name="Обычный 11 3 3 3 4" xfId="2115"/>
    <cellStyle name="Обычный 11 3 3 3 5" xfId="2116"/>
    <cellStyle name="Обычный 11 3 3 3 6" xfId="2117"/>
    <cellStyle name="Обычный 11 3 3 3 7" xfId="2118"/>
    <cellStyle name="Обычный 11 3 3 3 8" xfId="2119"/>
    <cellStyle name="Обычный 11 3 3 3 9" xfId="2120"/>
    <cellStyle name="Обычный 11 3 3 4" xfId="2121"/>
    <cellStyle name="Обычный 11 3 3 4 10" xfId="2122"/>
    <cellStyle name="Обычный 11 3 3 4 11" xfId="2123"/>
    <cellStyle name="Обычный 11 3 3 4 12" xfId="18120"/>
    <cellStyle name="Обычный 11 3 3 4 13" xfId="19825"/>
    <cellStyle name="Обычный 11 3 3 4 14" xfId="21439"/>
    <cellStyle name="Обычный 11 3 3 4 2" xfId="2124"/>
    <cellStyle name="Обычный 11 3 3 4 2 10" xfId="2125"/>
    <cellStyle name="Обычный 11 3 3 4 2 11" xfId="18121"/>
    <cellStyle name="Обычный 11 3 3 4 2 12" xfId="19826"/>
    <cellStyle name="Обычный 11 3 3 4 2 13" xfId="21440"/>
    <cellStyle name="Обычный 11 3 3 4 2 2" xfId="2126"/>
    <cellStyle name="Обычный 11 3 3 4 2 2 2" xfId="2127"/>
    <cellStyle name="Обычный 11 3 3 4 2 3" xfId="2128"/>
    <cellStyle name="Обычный 11 3 3 4 2 4" xfId="2129"/>
    <cellStyle name="Обычный 11 3 3 4 2 5" xfId="2130"/>
    <cellStyle name="Обычный 11 3 3 4 2 6" xfId="2131"/>
    <cellStyle name="Обычный 11 3 3 4 2 7" xfId="2132"/>
    <cellStyle name="Обычный 11 3 3 4 2 8" xfId="2133"/>
    <cellStyle name="Обычный 11 3 3 4 2 9" xfId="2134"/>
    <cellStyle name="Обычный 11 3 3 4 3" xfId="2135"/>
    <cellStyle name="Обычный 11 3 3 4 3 2" xfId="2136"/>
    <cellStyle name="Обычный 11 3 3 4 4" xfId="2137"/>
    <cellStyle name="Обычный 11 3 3 4 5" xfId="2138"/>
    <cellStyle name="Обычный 11 3 3 4 6" xfId="2139"/>
    <cellStyle name="Обычный 11 3 3 4 7" xfId="2140"/>
    <cellStyle name="Обычный 11 3 3 4 8" xfId="2141"/>
    <cellStyle name="Обычный 11 3 3 4 9" xfId="2142"/>
    <cellStyle name="Обычный 11 3 3 5" xfId="2143"/>
    <cellStyle name="Обычный 11 3 3 5 10" xfId="2144"/>
    <cellStyle name="Обычный 11 3 3 5 11" xfId="2145"/>
    <cellStyle name="Обычный 11 3 3 5 12" xfId="18122"/>
    <cellStyle name="Обычный 11 3 3 5 13" xfId="19827"/>
    <cellStyle name="Обычный 11 3 3 5 14" xfId="21441"/>
    <cellStyle name="Обычный 11 3 3 5 2" xfId="2146"/>
    <cellStyle name="Обычный 11 3 3 5 2 10" xfId="2147"/>
    <cellStyle name="Обычный 11 3 3 5 2 11" xfId="18123"/>
    <cellStyle name="Обычный 11 3 3 5 2 12" xfId="19828"/>
    <cellStyle name="Обычный 11 3 3 5 2 13" xfId="21442"/>
    <cellStyle name="Обычный 11 3 3 5 2 2" xfId="2148"/>
    <cellStyle name="Обычный 11 3 3 5 2 2 2" xfId="2149"/>
    <cellStyle name="Обычный 11 3 3 5 2 3" xfId="2150"/>
    <cellStyle name="Обычный 11 3 3 5 2 4" xfId="2151"/>
    <cellStyle name="Обычный 11 3 3 5 2 5" xfId="2152"/>
    <cellStyle name="Обычный 11 3 3 5 2 6" xfId="2153"/>
    <cellStyle name="Обычный 11 3 3 5 2 7" xfId="2154"/>
    <cellStyle name="Обычный 11 3 3 5 2 8" xfId="2155"/>
    <cellStyle name="Обычный 11 3 3 5 2 9" xfId="2156"/>
    <cellStyle name="Обычный 11 3 3 5 3" xfId="2157"/>
    <cellStyle name="Обычный 11 3 3 5 3 2" xfId="2158"/>
    <cellStyle name="Обычный 11 3 3 5 4" xfId="2159"/>
    <cellStyle name="Обычный 11 3 3 5 5" xfId="2160"/>
    <cellStyle name="Обычный 11 3 3 5 6" xfId="2161"/>
    <cellStyle name="Обычный 11 3 3 5 7" xfId="2162"/>
    <cellStyle name="Обычный 11 3 3 5 8" xfId="2163"/>
    <cellStyle name="Обычный 11 3 3 5 9" xfId="2164"/>
    <cellStyle name="Обычный 11 3 3 6" xfId="2165"/>
    <cellStyle name="Обычный 11 3 3 6 10" xfId="2166"/>
    <cellStyle name="Обычный 11 3 3 6 11" xfId="18124"/>
    <cellStyle name="Обычный 11 3 3 6 12" xfId="19829"/>
    <cellStyle name="Обычный 11 3 3 6 13" xfId="21443"/>
    <cellStyle name="Обычный 11 3 3 6 2" xfId="2167"/>
    <cellStyle name="Обычный 11 3 3 6 2 2" xfId="2168"/>
    <cellStyle name="Обычный 11 3 3 6 3" xfId="2169"/>
    <cellStyle name="Обычный 11 3 3 6 4" xfId="2170"/>
    <cellStyle name="Обычный 11 3 3 6 5" xfId="2171"/>
    <cellStyle name="Обычный 11 3 3 6 6" xfId="2172"/>
    <cellStyle name="Обычный 11 3 3 6 7" xfId="2173"/>
    <cellStyle name="Обычный 11 3 3 6 8" xfId="2174"/>
    <cellStyle name="Обычный 11 3 3 6 9" xfId="2175"/>
    <cellStyle name="Обычный 11 3 3 7" xfId="2176"/>
    <cellStyle name="Обычный 11 3 3 7 10" xfId="19830"/>
    <cellStyle name="Обычный 11 3 3 7 11" xfId="21444"/>
    <cellStyle name="Обычный 11 3 3 7 2" xfId="2177"/>
    <cellStyle name="Обычный 11 3 3 7 2 2" xfId="2178"/>
    <cellStyle name="Обычный 11 3 3 7 3" xfId="2179"/>
    <cellStyle name="Обычный 11 3 3 7 4" xfId="2180"/>
    <cellStyle name="Обычный 11 3 3 7 5" xfId="2181"/>
    <cellStyle name="Обычный 11 3 3 7 6" xfId="2182"/>
    <cellStyle name="Обычный 11 3 3 7 7" xfId="2183"/>
    <cellStyle name="Обычный 11 3 3 7 8" xfId="2184"/>
    <cellStyle name="Обычный 11 3 3 7 9" xfId="18125"/>
    <cellStyle name="Обычный 11 3 3 8" xfId="2185"/>
    <cellStyle name="Обычный 11 3 3 8 2" xfId="2186"/>
    <cellStyle name="Обычный 11 3 3 9" xfId="2187"/>
    <cellStyle name="Обычный 11 3 4" xfId="2188"/>
    <cellStyle name="Обычный 11 3 4 10" xfId="2189"/>
    <cellStyle name="Обычный 11 3 4 11" xfId="2190"/>
    <cellStyle name="Обычный 11 3 4 12" xfId="18126"/>
    <cellStyle name="Обычный 11 3 4 13" xfId="19831"/>
    <cellStyle name="Обычный 11 3 4 14" xfId="21445"/>
    <cellStyle name="Обычный 11 3 4 2" xfId="2191"/>
    <cellStyle name="Обычный 11 3 4 2 10" xfId="2192"/>
    <cellStyle name="Обычный 11 3 4 2 11" xfId="18127"/>
    <cellStyle name="Обычный 11 3 4 2 12" xfId="19832"/>
    <cellStyle name="Обычный 11 3 4 2 13" xfId="21446"/>
    <cellStyle name="Обычный 11 3 4 2 2" xfId="2193"/>
    <cellStyle name="Обычный 11 3 4 2 2 2" xfId="2194"/>
    <cellStyle name="Обычный 11 3 4 2 3" xfId="2195"/>
    <cellStyle name="Обычный 11 3 4 2 4" xfId="2196"/>
    <cellStyle name="Обычный 11 3 4 2 5" xfId="2197"/>
    <cellStyle name="Обычный 11 3 4 2 6" xfId="2198"/>
    <cellStyle name="Обычный 11 3 4 2 7" xfId="2199"/>
    <cellStyle name="Обычный 11 3 4 2 8" xfId="2200"/>
    <cellStyle name="Обычный 11 3 4 2 9" xfId="2201"/>
    <cellStyle name="Обычный 11 3 4 3" xfId="2202"/>
    <cellStyle name="Обычный 11 3 4 3 2" xfId="2203"/>
    <cellStyle name="Обычный 11 3 4 4" xfId="2204"/>
    <cellStyle name="Обычный 11 3 4 5" xfId="2205"/>
    <cellStyle name="Обычный 11 3 4 6" xfId="2206"/>
    <cellStyle name="Обычный 11 3 4 7" xfId="2207"/>
    <cellStyle name="Обычный 11 3 4 8" xfId="2208"/>
    <cellStyle name="Обычный 11 3 4 9" xfId="2209"/>
    <cellStyle name="Обычный 11 3 5" xfId="2210"/>
    <cellStyle name="Обычный 11 3 5 10" xfId="2211"/>
    <cellStyle name="Обычный 11 3 5 11" xfId="2212"/>
    <cellStyle name="Обычный 11 3 5 12" xfId="18128"/>
    <cellStyle name="Обычный 11 3 5 13" xfId="19833"/>
    <cellStyle name="Обычный 11 3 5 14" xfId="21447"/>
    <cellStyle name="Обычный 11 3 5 2" xfId="2213"/>
    <cellStyle name="Обычный 11 3 5 2 10" xfId="2214"/>
    <cellStyle name="Обычный 11 3 5 2 11" xfId="18129"/>
    <cellStyle name="Обычный 11 3 5 2 12" xfId="19834"/>
    <cellStyle name="Обычный 11 3 5 2 13" xfId="21448"/>
    <cellStyle name="Обычный 11 3 5 2 2" xfId="2215"/>
    <cellStyle name="Обычный 11 3 5 2 2 2" xfId="2216"/>
    <cellStyle name="Обычный 11 3 5 2 3" xfId="2217"/>
    <cellStyle name="Обычный 11 3 5 2 4" xfId="2218"/>
    <cellStyle name="Обычный 11 3 5 2 5" xfId="2219"/>
    <cellStyle name="Обычный 11 3 5 2 6" xfId="2220"/>
    <cellStyle name="Обычный 11 3 5 2 7" xfId="2221"/>
    <cellStyle name="Обычный 11 3 5 2 8" xfId="2222"/>
    <cellStyle name="Обычный 11 3 5 2 9" xfId="2223"/>
    <cellStyle name="Обычный 11 3 5 3" xfId="2224"/>
    <cellStyle name="Обычный 11 3 5 3 2" xfId="2225"/>
    <cellStyle name="Обычный 11 3 5 4" xfId="2226"/>
    <cellStyle name="Обычный 11 3 5 5" xfId="2227"/>
    <cellStyle name="Обычный 11 3 5 6" xfId="2228"/>
    <cellStyle name="Обычный 11 3 5 7" xfId="2229"/>
    <cellStyle name="Обычный 11 3 5 8" xfId="2230"/>
    <cellStyle name="Обычный 11 3 5 9" xfId="2231"/>
    <cellStyle name="Обычный 11 3 6" xfId="2232"/>
    <cellStyle name="Обычный 11 3 6 10" xfId="2233"/>
    <cellStyle name="Обычный 11 3 6 11" xfId="2234"/>
    <cellStyle name="Обычный 11 3 6 12" xfId="18130"/>
    <cellStyle name="Обычный 11 3 6 13" xfId="19835"/>
    <cellStyle name="Обычный 11 3 6 14" xfId="21449"/>
    <cellStyle name="Обычный 11 3 6 2" xfId="2235"/>
    <cellStyle name="Обычный 11 3 6 2 10" xfId="2236"/>
    <cellStyle name="Обычный 11 3 6 2 11" xfId="18131"/>
    <cellStyle name="Обычный 11 3 6 2 12" xfId="19836"/>
    <cellStyle name="Обычный 11 3 6 2 13" xfId="21450"/>
    <cellStyle name="Обычный 11 3 6 2 2" xfId="2237"/>
    <cellStyle name="Обычный 11 3 6 2 2 2" xfId="2238"/>
    <cellStyle name="Обычный 11 3 6 2 3" xfId="2239"/>
    <cellStyle name="Обычный 11 3 6 2 4" xfId="2240"/>
    <cellStyle name="Обычный 11 3 6 2 5" xfId="2241"/>
    <cellStyle name="Обычный 11 3 6 2 6" xfId="2242"/>
    <cellStyle name="Обычный 11 3 6 2 7" xfId="2243"/>
    <cellStyle name="Обычный 11 3 6 2 8" xfId="2244"/>
    <cellStyle name="Обычный 11 3 6 2 9" xfId="2245"/>
    <cellStyle name="Обычный 11 3 6 3" xfId="2246"/>
    <cellStyle name="Обычный 11 3 6 3 2" xfId="2247"/>
    <cellStyle name="Обычный 11 3 6 4" xfId="2248"/>
    <cellStyle name="Обычный 11 3 6 5" xfId="2249"/>
    <cellStyle name="Обычный 11 3 6 6" xfId="2250"/>
    <cellStyle name="Обычный 11 3 6 7" xfId="2251"/>
    <cellStyle name="Обычный 11 3 6 8" xfId="2252"/>
    <cellStyle name="Обычный 11 3 6 9" xfId="2253"/>
    <cellStyle name="Обычный 11 3 7" xfId="2254"/>
    <cellStyle name="Обычный 11 3 7 10" xfId="2255"/>
    <cellStyle name="Обычный 11 3 7 11" xfId="2256"/>
    <cellStyle name="Обычный 11 3 7 12" xfId="18132"/>
    <cellStyle name="Обычный 11 3 7 13" xfId="19837"/>
    <cellStyle name="Обычный 11 3 7 14" xfId="21451"/>
    <cellStyle name="Обычный 11 3 7 2" xfId="2257"/>
    <cellStyle name="Обычный 11 3 7 2 10" xfId="2258"/>
    <cellStyle name="Обычный 11 3 7 2 11" xfId="18133"/>
    <cellStyle name="Обычный 11 3 7 2 12" xfId="19838"/>
    <cellStyle name="Обычный 11 3 7 2 13" xfId="21452"/>
    <cellStyle name="Обычный 11 3 7 2 2" xfId="2259"/>
    <cellStyle name="Обычный 11 3 7 2 2 2" xfId="2260"/>
    <cellStyle name="Обычный 11 3 7 2 3" xfId="2261"/>
    <cellStyle name="Обычный 11 3 7 2 4" xfId="2262"/>
    <cellStyle name="Обычный 11 3 7 2 5" xfId="2263"/>
    <cellStyle name="Обычный 11 3 7 2 6" xfId="2264"/>
    <cellStyle name="Обычный 11 3 7 2 7" xfId="2265"/>
    <cellStyle name="Обычный 11 3 7 2 8" xfId="2266"/>
    <cellStyle name="Обычный 11 3 7 2 9" xfId="2267"/>
    <cellStyle name="Обычный 11 3 7 3" xfId="2268"/>
    <cellStyle name="Обычный 11 3 7 3 2" xfId="2269"/>
    <cellStyle name="Обычный 11 3 7 4" xfId="2270"/>
    <cellStyle name="Обычный 11 3 7 5" xfId="2271"/>
    <cellStyle name="Обычный 11 3 7 6" xfId="2272"/>
    <cellStyle name="Обычный 11 3 7 7" xfId="2273"/>
    <cellStyle name="Обычный 11 3 7 8" xfId="2274"/>
    <cellStyle name="Обычный 11 3 7 9" xfId="2275"/>
    <cellStyle name="Обычный 11 3 8" xfId="2276"/>
    <cellStyle name="Обычный 11 3 8 10" xfId="2277"/>
    <cellStyle name="Обычный 11 3 8 11" xfId="18134"/>
    <cellStyle name="Обычный 11 3 8 12" xfId="19839"/>
    <cellStyle name="Обычный 11 3 8 13" xfId="21453"/>
    <cellStyle name="Обычный 11 3 8 2" xfId="2278"/>
    <cellStyle name="Обычный 11 3 8 2 2" xfId="2279"/>
    <cellStyle name="Обычный 11 3 8 3" xfId="2280"/>
    <cellStyle name="Обычный 11 3 8 4" xfId="2281"/>
    <cellStyle name="Обычный 11 3 8 5" xfId="2282"/>
    <cellStyle name="Обычный 11 3 8 6" xfId="2283"/>
    <cellStyle name="Обычный 11 3 8 7" xfId="2284"/>
    <cellStyle name="Обычный 11 3 8 8" xfId="2285"/>
    <cellStyle name="Обычный 11 3 8 9" xfId="2286"/>
    <cellStyle name="Обычный 11 3 9" xfId="2287"/>
    <cellStyle name="Обычный 11 3 9 10" xfId="19840"/>
    <cellStyle name="Обычный 11 3 9 11" xfId="21454"/>
    <cellStyle name="Обычный 11 3 9 2" xfId="2288"/>
    <cellStyle name="Обычный 11 3 9 2 2" xfId="2289"/>
    <cellStyle name="Обычный 11 3 9 3" xfId="2290"/>
    <cellStyle name="Обычный 11 3 9 4" xfId="2291"/>
    <cellStyle name="Обычный 11 3 9 5" xfId="2292"/>
    <cellStyle name="Обычный 11 3 9 6" xfId="2293"/>
    <cellStyle name="Обычный 11 3 9 7" xfId="2294"/>
    <cellStyle name="Обычный 11 3 9 8" xfId="2295"/>
    <cellStyle name="Обычный 11 3 9 9" xfId="18135"/>
    <cellStyle name="Обычный 11 4" xfId="2296"/>
    <cellStyle name="Обычный 11 4 10" xfId="2297"/>
    <cellStyle name="Обычный 11 4 11" xfId="2298"/>
    <cellStyle name="Обычный 11 4 12" xfId="2299"/>
    <cellStyle name="Обычный 11 4 13" xfId="2300"/>
    <cellStyle name="Обычный 11 4 14" xfId="2301"/>
    <cellStyle name="Обычный 11 4 15" xfId="2302"/>
    <cellStyle name="Обычный 11 4 16" xfId="2303"/>
    <cellStyle name="Обычный 11 4 17" xfId="2304"/>
    <cellStyle name="Обычный 11 4 18" xfId="18136"/>
    <cellStyle name="Обычный 11 4 19" xfId="19841"/>
    <cellStyle name="Обычный 11 4 2" xfId="2305"/>
    <cellStyle name="Обычный 11 4 2 10" xfId="2306"/>
    <cellStyle name="Обычный 11 4 2 11" xfId="2307"/>
    <cellStyle name="Обычный 11 4 2 12" xfId="18137"/>
    <cellStyle name="Обычный 11 4 2 13" xfId="19842"/>
    <cellStyle name="Обычный 11 4 2 14" xfId="21456"/>
    <cellStyle name="Обычный 11 4 2 2" xfId="2308"/>
    <cellStyle name="Обычный 11 4 2 2 10" xfId="2309"/>
    <cellStyle name="Обычный 11 4 2 2 11" xfId="18138"/>
    <cellStyle name="Обычный 11 4 2 2 12" xfId="19843"/>
    <cellStyle name="Обычный 11 4 2 2 13" xfId="21457"/>
    <cellStyle name="Обычный 11 4 2 2 2" xfId="2310"/>
    <cellStyle name="Обычный 11 4 2 2 2 2" xfId="2311"/>
    <cellStyle name="Обычный 11 4 2 2 3" xfId="2312"/>
    <cellStyle name="Обычный 11 4 2 2 4" xfId="2313"/>
    <cellStyle name="Обычный 11 4 2 2 5" xfId="2314"/>
    <cellStyle name="Обычный 11 4 2 2 6" xfId="2315"/>
    <cellStyle name="Обычный 11 4 2 2 7" xfId="2316"/>
    <cellStyle name="Обычный 11 4 2 2 8" xfId="2317"/>
    <cellStyle name="Обычный 11 4 2 2 9" xfId="2318"/>
    <cellStyle name="Обычный 11 4 2 3" xfId="2319"/>
    <cellStyle name="Обычный 11 4 2 3 2" xfId="2320"/>
    <cellStyle name="Обычный 11 4 2 4" xfId="2321"/>
    <cellStyle name="Обычный 11 4 2 5" xfId="2322"/>
    <cellStyle name="Обычный 11 4 2 6" xfId="2323"/>
    <cellStyle name="Обычный 11 4 2 7" xfId="2324"/>
    <cellStyle name="Обычный 11 4 2 8" xfId="2325"/>
    <cellStyle name="Обычный 11 4 2 9" xfId="2326"/>
    <cellStyle name="Обычный 11 4 20" xfId="21455"/>
    <cellStyle name="Обычный 11 4 3" xfId="2327"/>
    <cellStyle name="Обычный 11 4 3 10" xfId="2328"/>
    <cellStyle name="Обычный 11 4 3 11" xfId="2329"/>
    <cellStyle name="Обычный 11 4 3 12" xfId="18139"/>
    <cellStyle name="Обычный 11 4 3 13" xfId="19844"/>
    <cellStyle name="Обычный 11 4 3 14" xfId="21458"/>
    <cellStyle name="Обычный 11 4 3 2" xfId="2330"/>
    <cellStyle name="Обычный 11 4 3 2 10" xfId="2331"/>
    <cellStyle name="Обычный 11 4 3 2 11" xfId="18140"/>
    <cellStyle name="Обычный 11 4 3 2 12" xfId="19845"/>
    <cellStyle name="Обычный 11 4 3 2 13" xfId="21459"/>
    <cellStyle name="Обычный 11 4 3 2 2" xfId="2332"/>
    <cellStyle name="Обычный 11 4 3 2 2 2" xfId="2333"/>
    <cellStyle name="Обычный 11 4 3 2 3" xfId="2334"/>
    <cellStyle name="Обычный 11 4 3 2 4" xfId="2335"/>
    <cellStyle name="Обычный 11 4 3 2 5" xfId="2336"/>
    <cellStyle name="Обычный 11 4 3 2 6" xfId="2337"/>
    <cellStyle name="Обычный 11 4 3 2 7" xfId="2338"/>
    <cellStyle name="Обычный 11 4 3 2 8" xfId="2339"/>
    <cellStyle name="Обычный 11 4 3 2 9" xfId="2340"/>
    <cellStyle name="Обычный 11 4 3 3" xfId="2341"/>
    <cellStyle name="Обычный 11 4 3 3 2" xfId="2342"/>
    <cellStyle name="Обычный 11 4 3 4" xfId="2343"/>
    <cellStyle name="Обычный 11 4 3 5" xfId="2344"/>
    <cellStyle name="Обычный 11 4 3 6" xfId="2345"/>
    <cellStyle name="Обычный 11 4 3 7" xfId="2346"/>
    <cellStyle name="Обычный 11 4 3 8" xfId="2347"/>
    <cellStyle name="Обычный 11 4 3 9" xfId="2348"/>
    <cellStyle name="Обычный 11 4 4" xfId="2349"/>
    <cellStyle name="Обычный 11 4 4 10" xfId="2350"/>
    <cellStyle name="Обычный 11 4 4 11" xfId="2351"/>
    <cellStyle name="Обычный 11 4 4 12" xfId="18141"/>
    <cellStyle name="Обычный 11 4 4 13" xfId="19846"/>
    <cellStyle name="Обычный 11 4 4 14" xfId="21460"/>
    <cellStyle name="Обычный 11 4 4 2" xfId="2352"/>
    <cellStyle name="Обычный 11 4 4 2 10" xfId="2353"/>
    <cellStyle name="Обычный 11 4 4 2 11" xfId="18142"/>
    <cellStyle name="Обычный 11 4 4 2 12" xfId="19847"/>
    <cellStyle name="Обычный 11 4 4 2 13" xfId="21461"/>
    <cellStyle name="Обычный 11 4 4 2 2" xfId="2354"/>
    <cellStyle name="Обычный 11 4 4 2 2 2" xfId="2355"/>
    <cellStyle name="Обычный 11 4 4 2 3" xfId="2356"/>
    <cellStyle name="Обычный 11 4 4 2 4" xfId="2357"/>
    <cellStyle name="Обычный 11 4 4 2 5" xfId="2358"/>
    <cellStyle name="Обычный 11 4 4 2 6" xfId="2359"/>
    <cellStyle name="Обычный 11 4 4 2 7" xfId="2360"/>
    <cellStyle name="Обычный 11 4 4 2 8" xfId="2361"/>
    <cellStyle name="Обычный 11 4 4 2 9" xfId="2362"/>
    <cellStyle name="Обычный 11 4 4 3" xfId="2363"/>
    <cellStyle name="Обычный 11 4 4 3 2" xfId="2364"/>
    <cellStyle name="Обычный 11 4 4 4" xfId="2365"/>
    <cellStyle name="Обычный 11 4 4 5" xfId="2366"/>
    <cellStyle name="Обычный 11 4 4 6" xfId="2367"/>
    <cellStyle name="Обычный 11 4 4 7" xfId="2368"/>
    <cellStyle name="Обычный 11 4 4 8" xfId="2369"/>
    <cellStyle name="Обычный 11 4 4 9" xfId="2370"/>
    <cellStyle name="Обычный 11 4 5" xfId="2371"/>
    <cellStyle name="Обычный 11 4 5 10" xfId="2372"/>
    <cellStyle name="Обычный 11 4 5 11" xfId="2373"/>
    <cellStyle name="Обычный 11 4 5 12" xfId="18143"/>
    <cellStyle name="Обычный 11 4 5 13" xfId="19848"/>
    <cellStyle name="Обычный 11 4 5 14" xfId="21462"/>
    <cellStyle name="Обычный 11 4 5 2" xfId="2374"/>
    <cellStyle name="Обычный 11 4 5 2 10" xfId="2375"/>
    <cellStyle name="Обычный 11 4 5 2 11" xfId="18144"/>
    <cellStyle name="Обычный 11 4 5 2 12" xfId="19849"/>
    <cellStyle name="Обычный 11 4 5 2 13" xfId="21463"/>
    <cellStyle name="Обычный 11 4 5 2 2" xfId="2376"/>
    <cellStyle name="Обычный 11 4 5 2 2 2" xfId="2377"/>
    <cellStyle name="Обычный 11 4 5 2 3" xfId="2378"/>
    <cellStyle name="Обычный 11 4 5 2 4" xfId="2379"/>
    <cellStyle name="Обычный 11 4 5 2 5" xfId="2380"/>
    <cellStyle name="Обычный 11 4 5 2 6" xfId="2381"/>
    <cellStyle name="Обычный 11 4 5 2 7" xfId="2382"/>
    <cellStyle name="Обычный 11 4 5 2 8" xfId="2383"/>
    <cellStyle name="Обычный 11 4 5 2 9" xfId="2384"/>
    <cellStyle name="Обычный 11 4 5 3" xfId="2385"/>
    <cellStyle name="Обычный 11 4 5 3 2" xfId="2386"/>
    <cellStyle name="Обычный 11 4 5 4" xfId="2387"/>
    <cellStyle name="Обычный 11 4 5 5" xfId="2388"/>
    <cellStyle name="Обычный 11 4 5 6" xfId="2389"/>
    <cellStyle name="Обычный 11 4 5 7" xfId="2390"/>
    <cellStyle name="Обычный 11 4 5 8" xfId="2391"/>
    <cellStyle name="Обычный 11 4 5 9" xfId="2392"/>
    <cellStyle name="Обычный 11 4 6" xfId="2393"/>
    <cellStyle name="Обычный 11 4 6 10" xfId="2394"/>
    <cellStyle name="Обычный 11 4 6 11" xfId="18145"/>
    <cellStyle name="Обычный 11 4 6 12" xfId="19850"/>
    <cellStyle name="Обычный 11 4 6 13" xfId="21464"/>
    <cellStyle name="Обычный 11 4 6 2" xfId="2395"/>
    <cellStyle name="Обычный 11 4 6 2 2" xfId="2396"/>
    <cellStyle name="Обычный 11 4 6 3" xfId="2397"/>
    <cellStyle name="Обычный 11 4 6 4" xfId="2398"/>
    <cellStyle name="Обычный 11 4 6 5" xfId="2399"/>
    <cellStyle name="Обычный 11 4 6 6" xfId="2400"/>
    <cellStyle name="Обычный 11 4 6 7" xfId="2401"/>
    <cellStyle name="Обычный 11 4 6 8" xfId="2402"/>
    <cellStyle name="Обычный 11 4 6 9" xfId="2403"/>
    <cellStyle name="Обычный 11 4 7" xfId="2404"/>
    <cellStyle name="Обычный 11 4 7 10" xfId="19851"/>
    <cellStyle name="Обычный 11 4 7 11" xfId="21465"/>
    <cellStyle name="Обычный 11 4 7 2" xfId="2405"/>
    <cellStyle name="Обычный 11 4 7 2 2" xfId="2406"/>
    <cellStyle name="Обычный 11 4 7 3" xfId="2407"/>
    <cellStyle name="Обычный 11 4 7 4" xfId="2408"/>
    <cellStyle name="Обычный 11 4 7 5" xfId="2409"/>
    <cellStyle name="Обычный 11 4 7 6" xfId="2410"/>
    <cellStyle name="Обычный 11 4 7 7" xfId="2411"/>
    <cellStyle name="Обычный 11 4 7 8" xfId="2412"/>
    <cellStyle name="Обычный 11 4 7 9" xfId="18146"/>
    <cellStyle name="Обычный 11 4 8" xfId="2413"/>
    <cellStyle name="Обычный 11 4 8 2" xfId="2414"/>
    <cellStyle name="Обычный 11 4 9" xfId="2415"/>
    <cellStyle name="Обычный 11 5" xfId="2416"/>
    <cellStyle name="Обычный 11 5 10" xfId="2417"/>
    <cellStyle name="Обычный 11 5 11" xfId="2418"/>
    <cellStyle name="Обычный 11 5 12" xfId="2419"/>
    <cellStyle name="Обычный 11 5 13" xfId="2420"/>
    <cellStyle name="Обычный 11 5 14" xfId="2421"/>
    <cellStyle name="Обычный 11 5 15" xfId="2422"/>
    <cellStyle name="Обычный 11 5 16" xfId="2423"/>
    <cellStyle name="Обычный 11 5 17" xfId="2424"/>
    <cellStyle name="Обычный 11 5 18" xfId="18147"/>
    <cellStyle name="Обычный 11 5 19" xfId="19852"/>
    <cellStyle name="Обычный 11 5 2" xfId="2425"/>
    <cellStyle name="Обычный 11 5 2 10" xfId="2426"/>
    <cellStyle name="Обычный 11 5 2 11" xfId="2427"/>
    <cellStyle name="Обычный 11 5 2 12" xfId="18148"/>
    <cellStyle name="Обычный 11 5 2 13" xfId="19853"/>
    <cellStyle name="Обычный 11 5 2 14" xfId="21467"/>
    <cellStyle name="Обычный 11 5 2 2" xfId="2428"/>
    <cellStyle name="Обычный 11 5 2 2 10" xfId="2429"/>
    <cellStyle name="Обычный 11 5 2 2 11" xfId="18149"/>
    <cellStyle name="Обычный 11 5 2 2 12" xfId="19854"/>
    <cellStyle name="Обычный 11 5 2 2 13" xfId="21468"/>
    <cellStyle name="Обычный 11 5 2 2 2" xfId="2430"/>
    <cellStyle name="Обычный 11 5 2 2 2 2" xfId="2431"/>
    <cellStyle name="Обычный 11 5 2 2 3" xfId="2432"/>
    <cellStyle name="Обычный 11 5 2 2 4" xfId="2433"/>
    <cellStyle name="Обычный 11 5 2 2 5" xfId="2434"/>
    <cellStyle name="Обычный 11 5 2 2 6" xfId="2435"/>
    <cellStyle name="Обычный 11 5 2 2 7" xfId="2436"/>
    <cellStyle name="Обычный 11 5 2 2 8" xfId="2437"/>
    <cellStyle name="Обычный 11 5 2 2 9" xfId="2438"/>
    <cellStyle name="Обычный 11 5 2 3" xfId="2439"/>
    <cellStyle name="Обычный 11 5 2 3 2" xfId="2440"/>
    <cellStyle name="Обычный 11 5 2 4" xfId="2441"/>
    <cellStyle name="Обычный 11 5 2 5" xfId="2442"/>
    <cellStyle name="Обычный 11 5 2 6" xfId="2443"/>
    <cellStyle name="Обычный 11 5 2 7" xfId="2444"/>
    <cellStyle name="Обычный 11 5 2 8" xfId="2445"/>
    <cellStyle name="Обычный 11 5 2 9" xfId="2446"/>
    <cellStyle name="Обычный 11 5 20" xfId="21466"/>
    <cellStyle name="Обычный 11 5 3" xfId="2447"/>
    <cellStyle name="Обычный 11 5 3 10" xfId="2448"/>
    <cellStyle name="Обычный 11 5 3 11" xfId="2449"/>
    <cellStyle name="Обычный 11 5 3 12" xfId="18150"/>
    <cellStyle name="Обычный 11 5 3 13" xfId="19855"/>
    <cellStyle name="Обычный 11 5 3 14" xfId="21469"/>
    <cellStyle name="Обычный 11 5 3 2" xfId="2450"/>
    <cellStyle name="Обычный 11 5 3 2 10" xfId="2451"/>
    <cellStyle name="Обычный 11 5 3 2 11" xfId="18151"/>
    <cellStyle name="Обычный 11 5 3 2 12" xfId="19856"/>
    <cellStyle name="Обычный 11 5 3 2 13" xfId="21470"/>
    <cellStyle name="Обычный 11 5 3 2 2" xfId="2452"/>
    <cellStyle name="Обычный 11 5 3 2 2 2" xfId="2453"/>
    <cellStyle name="Обычный 11 5 3 2 3" xfId="2454"/>
    <cellStyle name="Обычный 11 5 3 2 4" xfId="2455"/>
    <cellStyle name="Обычный 11 5 3 2 5" xfId="2456"/>
    <cellStyle name="Обычный 11 5 3 2 6" xfId="2457"/>
    <cellStyle name="Обычный 11 5 3 2 7" xfId="2458"/>
    <cellStyle name="Обычный 11 5 3 2 8" xfId="2459"/>
    <cellStyle name="Обычный 11 5 3 2 9" xfId="2460"/>
    <cellStyle name="Обычный 11 5 3 3" xfId="2461"/>
    <cellStyle name="Обычный 11 5 3 3 2" xfId="2462"/>
    <cellStyle name="Обычный 11 5 3 4" xfId="2463"/>
    <cellStyle name="Обычный 11 5 3 5" xfId="2464"/>
    <cellStyle name="Обычный 11 5 3 6" xfId="2465"/>
    <cellStyle name="Обычный 11 5 3 7" xfId="2466"/>
    <cellStyle name="Обычный 11 5 3 8" xfId="2467"/>
    <cellStyle name="Обычный 11 5 3 9" xfId="2468"/>
    <cellStyle name="Обычный 11 5 4" xfId="2469"/>
    <cellStyle name="Обычный 11 5 4 10" xfId="2470"/>
    <cellStyle name="Обычный 11 5 4 11" xfId="2471"/>
    <cellStyle name="Обычный 11 5 4 12" xfId="18152"/>
    <cellStyle name="Обычный 11 5 4 13" xfId="19857"/>
    <cellStyle name="Обычный 11 5 4 14" xfId="21471"/>
    <cellStyle name="Обычный 11 5 4 2" xfId="2472"/>
    <cellStyle name="Обычный 11 5 4 2 10" xfId="2473"/>
    <cellStyle name="Обычный 11 5 4 2 11" xfId="18153"/>
    <cellStyle name="Обычный 11 5 4 2 12" xfId="19858"/>
    <cellStyle name="Обычный 11 5 4 2 13" xfId="21472"/>
    <cellStyle name="Обычный 11 5 4 2 2" xfId="2474"/>
    <cellStyle name="Обычный 11 5 4 2 2 2" xfId="2475"/>
    <cellStyle name="Обычный 11 5 4 2 3" xfId="2476"/>
    <cellStyle name="Обычный 11 5 4 2 4" xfId="2477"/>
    <cellStyle name="Обычный 11 5 4 2 5" xfId="2478"/>
    <cellStyle name="Обычный 11 5 4 2 6" xfId="2479"/>
    <cellStyle name="Обычный 11 5 4 2 7" xfId="2480"/>
    <cellStyle name="Обычный 11 5 4 2 8" xfId="2481"/>
    <cellStyle name="Обычный 11 5 4 2 9" xfId="2482"/>
    <cellStyle name="Обычный 11 5 4 3" xfId="2483"/>
    <cellStyle name="Обычный 11 5 4 3 2" xfId="2484"/>
    <cellStyle name="Обычный 11 5 4 4" xfId="2485"/>
    <cellStyle name="Обычный 11 5 4 5" xfId="2486"/>
    <cellStyle name="Обычный 11 5 4 6" xfId="2487"/>
    <cellStyle name="Обычный 11 5 4 7" xfId="2488"/>
    <cellStyle name="Обычный 11 5 4 8" xfId="2489"/>
    <cellStyle name="Обычный 11 5 4 9" xfId="2490"/>
    <cellStyle name="Обычный 11 5 5" xfId="2491"/>
    <cellStyle name="Обычный 11 5 5 10" xfId="2492"/>
    <cellStyle name="Обычный 11 5 5 11" xfId="2493"/>
    <cellStyle name="Обычный 11 5 5 12" xfId="18154"/>
    <cellStyle name="Обычный 11 5 5 13" xfId="19859"/>
    <cellStyle name="Обычный 11 5 5 14" xfId="21473"/>
    <cellStyle name="Обычный 11 5 5 2" xfId="2494"/>
    <cellStyle name="Обычный 11 5 5 2 10" xfId="2495"/>
    <cellStyle name="Обычный 11 5 5 2 11" xfId="18155"/>
    <cellStyle name="Обычный 11 5 5 2 12" xfId="19860"/>
    <cellStyle name="Обычный 11 5 5 2 13" xfId="21474"/>
    <cellStyle name="Обычный 11 5 5 2 2" xfId="2496"/>
    <cellStyle name="Обычный 11 5 5 2 2 2" xfId="2497"/>
    <cellStyle name="Обычный 11 5 5 2 3" xfId="2498"/>
    <cellStyle name="Обычный 11 5 5 2 4" xfId="2499"/>
    <cellStyle name="Обычный 11 5 5 2 5" xfId="2500"/>
    <cellStyle name="Обычный 11 5 5 2 6" xfId="2501"/>
    <cellStyle name="Обычный 11 5 5 2 7" xfId="2502"/>
    <cellStyle name="Обычный 11 5 5 2 8" xfId="2503"/>
    <cellStyle name="Обычный 11 5 5 2 9" xfId="2504"/>
    <cellStyle name="Обычный 11 5 5 3" xfId="2505"/>
    <cellStyle name="Обычный 11 5 5 3 2" xfId="2506"/>
    <cellStyle name="Обычный 11 5 5 4" xfId="2507"/>
    <cellStyle name="Обычный 11 5 5 5" xfId="2508"/>
    <cellStyle name="Обычный 11 5 5 6" xfId="2509"/>
    <cellStyle name="Обычный 11 5 5 7" xfId="2510"/>
    <cellStyle name="Обычный 11 5 5 8" xfId="2511"/>
    <cellStyle name="Обычный 11 5 5 9" xfId="2512"/>
    <cellStyle name="Обычный 11 5 6" xfId="2513"/>
    <cellStyle name="Обычный 11 5 6 10" xfId="2514"/>
    <cellStyle name="Обычный 11 5 6 11" xfId="18156"/>
    <cellStyle name="Обычный 11 5 6 12" xfId="19861"/>
    <cellStyle name="Обычный 11 5 6 13" xfId="21475"/>
    <cellStyle name="Обычный 11 5 6 2" xfId="2515"/>
    <cellStyle name="Обычный 11 5 6 2 2" xfId="2516"/>
    <cellStyle name="Обычный 11 5 6 3" xfId="2517"/>
    <cellStyle name="Обычный 11 5 6 4" xfId="2518"/>
    <cellStyle name="Обычный 11 5 6 5" xfId="2519"/>
    <cellStyle name="Обычный 11 5 6 6" xfId="2520"/>
    <cellStyle name="Обычный 11 5 6 7" xfId="2521"/>
    <cellStyle name="Обычный 11 5 6 8" xfId="2522"/>
    <cellStyle name="Обычный 11 5 6 9" xfId="2523"/>
    <cellStyle name="Обычный 11 5 7" xfId="2524"/>
    <cellStyle name="Обычный 11 5 7 10" xfId="19862"/>
    <cellStyle name="Обычный 11 5 7 11" xfId="21476"/>
    <cellStyle name="Обычный 11 5 7 2" xfId="2525"/>
    <cellStyle name="Обычный 11 5 7 2 2" xfId="2526"/>
    <cellStyle name="Обычный 11 5 7 3" xfId="2527"/>
    <cellStyle name="Обычный 11 5 7 4" xfId="2528"/>
    <cellStyle name="Обычный 11 5 7 5" xfId="2529"/>
    <cellStyle name="Обычный 11 5 7 6" xfId="2530"/>
    <cellStyle name="Обычный 11 5 7 7" xfId="2531"/>
    <cellStyle name="Обычный 11 5 7 8" xfId="2532"/>
    <cellStyle name="Обычный 11 5 7 9" xfId="18157"/>
    <cellStyle name="Обычный 11 5 8" xfId="2533"/>
    <cellStyle name="Обычный 11 5 8 2" xfId="2534"/>
    <cellStyle name="Обычный 11 5 9" xfId="2535"/>
    <cellStyle name="Обычный 11 6" xfId="2536"/>
    <cellStyle name="Обычный 11 6 10" xfId="2537"/>
    <cellStyle name="Обычный 11 6 11" xfId="2538"/>
    <cellStyle name="Обычный 11 6 12" xfId="18158"/>
    <cellStyle name="Обычный 11 6 13" xfId="19863"/>
    <cellStyle name="Обычный 11 6 14" xfId="21477"/>
    <cellStyle name="Обычный 11 6 2" xfId="2539"/>
    <cellStyle name="Обычный 11 6 2 10" xfId="2540"/>
    <cellStyle name="Обычный 11 6 2 11" xfId="18159"/>
    <cellStyle name="Обычный 11 6 2 12" xfId="19864"/>
    <cellStyle name="Обычный 11 6 2 13" xfId="21478"/>
    <cellStyle name="Обычный 11 6 2 2" xfId="2541"/>
    <cellStyle name="Обычный 11 6 2 2 2" xfId="2542"/>
    <cellStyle name="Обычный 11 6 2 3" xfId="2543"/>
    <cellStyle name="Обычный 11 6 2 4" xfId="2544"/>
    <cellStyle name="Обычный 11 6 2 5" xfId="2545"/>
    <cellStyle name="Обычный 11 6 2 6" xfId="2546"/>
    <cellStyle name="Обычный 11 6 2 7" xfId="2547"/>
    <cellStyle name="Обычный 11 6 2 8" xfId="2548"/>
    <cellStyle name="Обычный 11 6 2 9" xfId="2549"/>
    <cellStyle name="Обычный 11 6 3" xfId="2550"/>
    <cellStyle name="Обычный 11 6 3 2" xfId="2551"/>
    <cellStyle name="Обычный 11 6 4" xfId="2552"/>
    <cellStyle name="Обычный 11 6 5" xfId="2553"/>
    <cellStyle name="Обычный 11 6 6" xfId="2554"/>
    <cellStyle name="Обычный 11 6 7" xfId="2555"/>
    <cellStyle name="Обычный 11 6 8" xfId="2556"/>
    <cellStyle name="Обычный 11 6 9" xfId="2557"/>
    <cellStyle name="Обычный 11 7" xfId="2558"/>
    <cellStyle name="Обычный 11 7 10" xfId="2559"/>
    <cellStyle name="Обычный 11 7 11" xfId="2560"/>
    <cellStyle name="Обычный 11 7 12" xfId="18160"/>
    <cellStyle name="Обычный 11 7 13" xfId="19865"/>
    <cellStyle name="Обычный 11 7 14" xfId="21479"/>
    <cellStyle name="Обычный 11 7 2" xfId="2561"/>
    <cellStyle name="Обычный 11 7 2 10" xfId="2562"/>
    <cellStyle name="Обычный 11 7 2 11" xfId="18161"/>
    <cellStyle name="Обычный 11 7 2 12" xfId="19866"/>
    <cellStyle name="Обычный 11 7 2 13" xfId="21480"/>
    <cellStyle name="Обычный 11 7 2 2" xfId="2563"/>
    <cellStyle name="Обычный 11 7 2 2 2" xfId="2564"/>
    <cellStyle name="Обычный 11 7 2 3" xfId="2565"/>
    <cellStyle name="Обычный 11 7 2 4" xfId="2566"/>
    <cellStyle name="Обычный 11 7 2 5" xfId="2567"/>
    <cellStyle name="Обычный 11 7 2 6" xfId="2568"/>
    <cellStyle name="Обычный 11 7 2 7" xfId="2569"/>
    <cellStyle name="Обычный 11 7 2 8" xfId="2570"/>
    <cellStyle name="Обычный 11 7 2 9" xfId="2571"/>
    <cellStyle name="Обычный 11 7 3" xfId="2572"/>
    <cellStyle name="Обычный 11 7 3 2" xfId="2573"/>
    <cellStyle name="Обычный 11 7 4" xfId="2574"/>
    <cellStyle name="Обычный 11 7 5" xfId="2575"/>
    <cellStyle name="Обычный 11 7 6" xfId="2576"/>
    <cellStyle name="Обычный 11 7 7" xfId="2577"/>
    <cellStyle name="Обычный 11 7 8" xfId="2578"/>
    <cellStyle name="Обычный 11 7 9" xfId="2579"/>
    <cellStyle name="Обычный 11 8" xfId="2580"/>
    <cellStyle name="Обычный 11 8 10" xfId="2581"/>
    <cellStyle name="Обычный 11 8 11" xfId="2582"/>
    <cellStyle name="Обычный 11 8 12" xfId="18162"/>
    <cellStyle name="Обычный 11 8 13" xfId="19867"/>
    <cellStyle name="Обычный 11 8 14" xfId="21481"/>
    <cellStyle name="Обычный 11 8 2" xfId="2583"/>
    <cellStyle name="Обычный 11 8 2 10" xfId="2584"/>
    <cellStyle name="Обычный 11 8 2 11" xfId="18163"/>
    <cellStyle name="Обычный 11 8 2 12" xfId="19868"/>
    <cellStyle name="Обычный 11 8 2 13" xfId="21482"/>
    <cellStyle name="Обычный 11 8 2 2" xfId="2585"/>
    <cellStyle name="Обычный 11 8 2 2 2" xfId="2586"/>
    <cellStyle name="Обычный 11 8 2 3" xfId="2587"/>
    <cellStyle name="Обычный 11 8 2 4" xfId="2588"/>
    <cellStyle name="Обычный 11 8 2 5" xfId="2589"/>
    <cellStyle name="Обычный 11 8 2 6" xfId="2590"/>
    <cellStyle name="Обычный 11 8 2 7" xfId="2591"/>
    <cellStyle name="Обычный 11 8 2 8" xfId="2592"/>
    <cellStyle name="Обычный 11 8 2 9" xfId="2593"/>
    <cellStyle name="Обычный 11 8 3" xfId="2594"/>
    <cellStyle name="Обычный 11 8 3 2" xfId="2595"/>
    <cellStyle name="Обычный 11 8 4" xfId="2596"/>
    <cellStyle name="Обычный 11 8 5" xfId="2597"/>
    <cellStyle name="Обычный 11 8 6" xfId="2598"/>
    <cellStyle name="Обычный 11 8 7" xfId="2599"/>
    <cellStyle name="Обычный 11 8 8" xfId="2600"/>
    <cellStyle name="Обычный 11 8 9" xfId="2601"/>
    <cellStyle name="Обычный 11 9" xfId="2602"/>
    <cellStyle name="Обычный 11 9 10" xfId="2603"/>
    <cellStyle name="Обычный 11 9 11" xfId="2604"/>
    <cellStyle name="Обычный 11 9 12" xfId="18164"/>
    <cellStyle name="Обычный 11 9 13" xfId="19869"/>
    <cellStyle name="Обычный 11 9 14" xfId="21483"/>
    <cellStyle name="Обычный 11 9 2" xfId="2605"/>
    <cellStyle name="Обычный 11 9 2 10" xfId="2606"/>
    <cellStyle name="Обычный 11 9 2 11" xfId="18165"/>
    <cellStyle name="Обычный 11 9 2 12" xfId="19870"/>
    <cellStyle name="Обычный 11 9 2 13" xfId="21484"/>
    <cellStyle name="Обычный 11 9 2 2" xfId="2607"/>
    <cellStyle name="Обычный 11 9 2 2 2" xfId="2608"/>
    <cellStyle name="Обычный 11 9 2 3" xfId="2609"/>
    <cellStyle name="Обычный 11 9 2 4" xfId="2610"/>
    <cellStyle name="Обычный 11 9 2 5" xfId="2611"/>
    <cellStyle name="Обычный 11 9 2 6" xfId="2612"/>
    <cellStyle name="Обычный 11 9 2 7" xfId="2613"/>
    <cellStyle name="Обычный 11 9 2 8" xfId="2614"/>
    <cellStyle name="Обычный 11 9 2 9" xfId="2615"/>
    <cellStyle name="Обычный 11 9 3" xfId="2616"/>
    <cellStyle name="Обычный 11 9 3 2" xfId="2617"/>
    <cellStyle name="Обычный 11 9 4" xfId="2618"/>
    <cellStyle name="Обычный 11 9 5" xfId="2619"/>
    <cellStyle name="Обычный 11 9 6" xfId="2620"/>
    <cellStyle name="Обычный 11 9 7" xfId="2621"/>
    <cellStyle name="Обычный 11 9 8" xfId="2622"/>
    <cellStyle name="Обычный 11 9 9" xfId="2623"/>
    <cellStyle name="Обычный 11_5. общ.V" xfId="2624"/>
    <cellStyle name="Обычный 12" xfId="2625"/>
    <cellStyle name="Обычный 12 10" xfId="2626"/>
    <cellStyle name="Обычный 12 10 10" xfId="2627"/>
    <cellStyle name="Обычный 12 10 11" xfId="2628"/>
    <cellStyle name="Обычный 12 10 12" xfId="18167"/>
    <cellStyle name="Обычный 12 10 13" xfId="19872"/>
    <cellStyle name="Обычный 12 10 14" xfId="21486"/>
    <cellStyle name="Обычный 12 10 2" xfId="2629"/>
    <cellStyle name="Обычный 12 10 2 10" xfId="2630"/>
    <cellStyle name="Обычный 12 10 2 11" xfId="18168"/>
    <cellStyle name="Обычный 12 10 2 12" xfId="19873"/>
    <cellStyle name="Обычный 12 10 2 13" xfId="21487"/>
    <cellStyle name="Обычный 12 10 2 2" xfId="2631"/>
    <cellStyle name="Обычный 12 10 2 2 2" xfId="2632"/>
    <cellStyle name="Обычный 12 10 2 3" xfId="2633"/>
    <cellStyle name="Обычный 12 10 2 4" xfId="2634"/>
    <cellStyle name="Обычный 12 10 2 5" xfId="2635"/>
    <cellStyle name="Обычный 12 10 2 6" xfId="2636"/>
    <cellStyle name="Обычный 12 10 2 7" xfId="2637"/>
    <cellStyle name="Обычный 12 10 2 8" xfId="2638"/>
    <cellStyle name="Обычный 12 10 2 9" xfId="2639"/>
    <cellStyle name="Обычный 12 10 3" xfId="2640"/>
    <cellStyle name="Обычный 12 10 3 2" xfId="2641"/>
    <cellStyle name="Обычный 12 10 4" xfId="2642"/>
    <cellStyle name="Обычный 12 10 5" xfId="2643"/>
    <cellStyle name="Обычный 12 10 6" xfId="2644"/>
    <cellStyle name="Обычный 12 10 7" xfId="2645"/>
    <cellStyle name="Обычный 12 10 8" xfId="2646"/>
    <cellStyle name="Обычный 12 10 9" xfId="2647"/>
    <cellStyle name="Обычный 12 11" xfId="2648"/>
    <cellStyle name="Обычный 12 11 10" xfId="2649"/>
    <cellStyle name="Обычный 12 11 11" xfId="18169"/>
    <cellStyle name="Обычный 12 11 12" xfId="19874"/>
    <cellStyle name="Обычный 12 11 13" xfId="21488"/>
    <cellStyle name="Обычный 12 11 2" xfId="2650"/>
    <cellStyle name="Обычный 12 11 2 2" xfId="2651"/>
    <cellStyle name="Обычный 12 11 3" xfId="2652"/>
    <cellStyle name="Обычный 12 11 4" xfId="2653"/>
    <cellStyle name="Обычный 12 11 5" xfId="2654"/>
    <cellStyle name="Обычный 12 11 6" xfId="2655"/>
    <cellStyle name="Обычный 12 11 7" xfId="2656"/>
    <cellStyle name="Обычный 12 11 8" xfId="2657"/>
    <cellStyle name="Обычный 12 11 9" xfId="2658"/>
    <cellStyle name="Обычный 12 12" xfId="2659"/>
    <cellStyle name="Обычный 12 12 10" xfId="19875"/>
    <cellStyle name="Обычный 12 12 11" xfId="21489"/>
    <cellStyle name="Обычный 12 12 2" xfId="2660"/>
    <cellStyle name="Обычный 12 12 2 2" xfId="2661"/>
    <cellStyle name="Обычный 12 12 3" xfId="2662"/>
    <cellStyle name="Обычный 12 12 4" xfId="2663"/>
    <cellStyle name="Обычный 12 12 5" xfId="2664"/>
    <cellStyle name="Обычный 12 12 6" xfId="2665"/>
    <cellStyle name="Обычный 12 12 7" xfId="2666"/>
    <cellStyle name="Обычный 12 12 8" xfId="2667"/>
    <cellStyle name="Обычный 12 12 9" xfId="18170"/>
    <cellStyle name="Обычный 12 13" xfId="2668"/>
    <cellStyle name="Обычный 12 13 10" xfId="19876"/>
    <cellStyle name="Обычный 12 13 11" xfId="21490"/>
    <cellStyle name="Обычный 12 13 2" xfId="2669"/>
    <cellStyle name="Обычный 12 13 2 2" xfId="2670"/>
    <cellStyle name="Обычный 12 13 3" xfId="2671"/>
    <cellStyle name="Обычный 12 13 4" xfId="2672"/>
    <cellStyle name="Обычный 12 13 5" xfId="2673"/>
    <cellStyle name="Обычный 12 13 6" xfId="2674"/>
    <cellStyle name="Обычный 12 13 7" xfId="2675"/>
    <cellStyle name="Обычный 12 13 8" xfId="2676"/>
    <cellStyle name="Обычный 12 13 9" xfId="18171"/>
    <cellStyle name="Обычный 12 14" xfId="2677"/>
    <cellStyle name="Обычный 12 14 2" xfId="2678"/>
    <cellStyle name="Обычный 12 15" xfId="2679"/>
    <cellStyle name="Обычный 12 16" xfId="2680"/>
    <cellStyle name="Обычный 12 17" xfId="2681"/>
    <cellStyle name="Обычный 12 18" xfId="2682"/>
    <cellStyle name="Обычный 12 19" xfId="2683"/>
    <cellStyle name="Обычный 12 2" xfId="2684"/>
    <cellStyle name="Обычный 12 2 10" xfId="2685"/>
    <cellStyle name="Обычный 12 2 10 2" xfId="2686"/>
    <cellStyle name="Обычный 12 2 11" xfId="2687"/>
    <cellStyle name="Обычный 12 2 12" xfId="2688"/>
    <cellStyle name="Обычный 12 2 13" xfId="2689"/>
    <cellStyle name="Обычный 12 2 14" xfId="2690"/>
    <cellStyle name="Обычный 12 2 15" xfId="2691"/>
    <cellStyle name="Обычный 12 2 16" xfId="2692"/>
    <cellStyle name="Обычный 12 2 17" xfId="2693"/>
    <cellStyle name="Обычный 12 2 18" xfId="2694"/>
    <cellStyle name="Обычный 12 2 19" xfId="2695"/>
    <cellStyle name="Обычный 12 2 2" xfId="2696"/>
    <cellStyle name="Обычный 12 2 2 10" xfId="2697"/>
    <cellStyle name="Обычный 12 2 2 11" xfId="2698"/>
    <cellStyle name="Обычный 12 2 2 12" xfId="2699"/>
    <cellStyle name="Обычный 12 2 2 13" xfId="2700"/>
    <cellStyle name="Обычный 12 2 2 14" xfId="2701"/>
    <cellStyle name="Обычный 12 2 2 15" xfId="2702"/>
    <cellStyle name="Обычный 12 2 2 16" xfId="2703"/>
    <cellStyle name="Обычный 12 2 2 17" xfId="2704"/>
    <cellStyle name="Обычный 12 2 2 18" xfId="18173"/>
    <cellStyle name="Обычный 12 2 2 19" xfId="19878"/>
    <cellStyle name="Обычный 12 2 2 2" xfId="2705"/>
    <cellStyle name="Обычный 12 2 2 2 10" xfId="2706"/>
    <cellStyle name="Обычный 12 2 2 2 11" xfId="2707"/>
    <cellStyle name="Обычный 12 2 2 2 12" xfId="18174"/>
    <cellStyle name="Обычный 12 2 2 2 13" xfId="19879"/>
    <cellStyle name="Обычный 12 2 2 2 14" xfId="21493"/>
    <cellStyle name="Обычный 12 2 2 2 2" xfId="2708"/>
    <cellStyle name="Обычный 12 2 2 2 2 10" xfId="2709"/>
    <cellStyle name="Обычный 12 2 2 2 2 11" xfId="18175"/>
    <cellStyle name="Обычный 12 2 2 2 2 12" xfId="19880"/>
    <cellStyle name="Обычный 12 2 2 2 2 13" xfId="21494"/>
    <cellStyle name="Обычный 12 2 2 2 2 2" xfId="2710"/>
    <cellStyle name="Обычный 12 2 2 2 2 2 2" xfId="2711"/>
    <cellStyle name="Обычный 12 2 2 2 2 3" xfId="2712"/>
    <cellStyle name="Обычный 12 2 2 2 2 4" xfId="2713"/>
    <cellStyle name="Обычный 12 2 2 2 2 5" xfId="2714"/>
    <cellStyle name="Обычный 12 2 2 2 2 6" xfId="2715"/>
    <cellStyle name="Обычный 12 2 2 2 2 7" xfId="2716"/>
    <cellStyle name="Обычный 12 2 2 2 2 8" xfId="2717"/>
    <cellStyle name="Обычный 12 2 2 2 2 9" xfId="2718"/>
    <cellStyle name="Обычный 12 2 2 2 3" xfId="2719"/>
    <cellStyle name="Обычный 12 2 2 2 3 2" xfId="2720"/>
    <cellStyle name="Обычный 12 2 2 2 4" xfId="2721"/>
    <cellStyle name="Обычный 12 2 2 2 5" xfId="2722"/>
    <cellStyle name="Обычный 12 2 2 2 6" xfId="2723"/>
    <cellStyle name="Обычный 12 2 2 2 7" xfId="2724"/>
    <cellStyle name="Обычный 12 2 2 2 8" xfId="2725"/>
    <cellStyle name="Обычный 12 2 2 2 9" xfId="2726"/>
    <cellStyle name="Обычный 12 2 2 20" xfId="21492"/>
    <cellStyle name="Обычный 12 2 2 3" xfId="2727"/>
    <cellStyle name="Обычный 12 2 2 3 10" xfId="2728"/>
    <cellStyle name="Обычный 12 2 2 3 11" xfId="2729"/>
    <cellStyle name="Обычный 12 2 2 3 12" xfId="18176"/>
    <cellStyle name="Обычный 12 2 2 3 13" xfId="19881"/>
    <cellStyle name="Обычный 12 2 2 3 14" xfId="21495"/>
    <cellStyle name="Обычный 12 2 2 3 2" xfId="2730"/>
    <cellStyle name="Обычный 12 2 2 3 2 10" xfId="2731"/>
    <cellStyle name="Обычный 12 2 2 3 2 11" xfId="18177"/>
    <cellStyle name="Обычный 12 2 2 3 2 12" xfId="19882"/>
    <cellStyle name="Обычный 12 2 2 3 2 13" xfId="21496"/>
    <cellStyle name="Обычный 12 2 2 3 2 2" xfId="2732"/>
    <cellStyle name="Обычный 12 2 2 3 2 2 2" xfId="2733"/>
    <cellStyle name="Обычный 12 2 2 3 2 3" xfId="2734"/>
    <cellStyle name="Обычный 12 2 2 3 2 4" xfId="2735"/>
    <cellStyle name="Обычный 12 2 2 3 2 5" xfId="2736"/>
    <cellStyle name="Обычный 12 2 2 3 2 6" xfId="2737"/>
    <cellStyle name="Обычный 12 2 2 3 2 7" xfId="2738"/>
    <cellStyle name="Обычный 12 2 2 3 2 8" xfId="2739"/>
    <cellStyle name="Обычный 12 2 2 3 2 9" xfId="2740"/>
    <cellStyle name="Обычный 12 2 2 3 3" xfId="2741"/>
    <cellStyle name="Обычный 12 2 2 3 3 2" xfId="2742"/>
    <cellStyle name="Обычный 12 2 2 3 4" xfId="2743"/>
    <cellStyle name="Обычный 12 2 2 3 5" xfId="2744"/>
    <cellStyle name="Обычный 12 2 2 3 6" xfId="2745"/>
    <cellStyle name="Обычный 12 2 2 3 7" xfId="2746"/>
    <cellStyle name="Обычный 12 2 2 3 8" xfId="2747"/>
    <cellStyle name="Обычный 12 2 2 3 9" xfId="2748"/>
    <cellStyle name="Обычный 12 2 2 4" xfId="2749"/>
    <cellStyle name="Обычный 12 2 2 4 10" xfId="2750"/>
    <cellStyle name="Обычный 12 2 2 4 11" xfId="2751"/>
    <cellStyle name="Обычный 12 2 2 4 12" xfId="18178"/>
    <cellStyle name="Обычный 12 2 2 4 13" xfId="19883"/>
    <cellStyle name="Обычный 12 2 2 4 14" xfId="21497"/>
    <cellStyle name="Обычный 12 2 2 4 2" xfId="2752"/>
    <cellStyle name="Обычный 12 2 2 4 2 10" xfId="2753"/>
    <cellStyle name="Обычный 12 2 2 4 2 11" xfId="18179"/>
    <cellStyle name="Обычный 12 2 2 4 2 12" xfId="19884"/>
    <cellStyle name="Обычный 12 2 2 4 2 13" xfId="21498"/>
    <cellStyle name="Обычный 12 2 2 4 2 2" xfId="2754"/>
    <cellStyle name="Обычный 12 2 2 4 2 2 2" xfId="2755"/>
    <cellStyle name="Обычный 12 2 2 4 2 3" xfId="2756"/>
    <cellStyle name="Обычный 12 2 2 4 2 4" xfId="2757"/>
    <cellStyle name="Обычный 12 2 2 4 2 5" xfId="2758"/>
    <cellStyle name="Обычный 12 2 2 4 2 6" xfId="2759"/>
    <cellStyle name="Обычный 12 2 2 4 2 7" xfId="2760"/>
    <cellStyle name="Обычный 12 2 2 4 2 8" xfId="2761"/>
    <cellStyle name="Обычный 12 2 2 4 2 9" xfId="2762"/>
    <cellStyle name="Обычный 12 2 2 4 3" xfId="2763"/>
    <cellStyle name="Обычный 12 2 2 4 3 2" xfId="2764"/>
    <cellStyle name="Обычный 12 2 2 4 4" xfId="2765"/>
    <cellStyle name="Обычный 12 2 2 4 5" xfId="2766"/>
    <cellStyle name="Обычный 12 2 2 4 6" xfId="2767"/>
    <cellStyle name="Обычный 12 2 2 4 7" xfId="2768"/>
    <cellStyle name="Обычный 12 2 2 4 8" xfId="2769"/>
    <cellStyle name="Обычный 12 2 2 4 9" xfId="2770"/>
    <cellStyle name="Обычный 12 2 2 5" xfId="2771"/>
    <cellStyle name="Обычный 12 2 2 5 10" xfId="2772"/>
    <cellStyle name="Обычный 12 2 2 5 11" xfId="2773"/>
    <cellStyle name="Обычный 12 2 2 5 12" xfId="18180"/>
    <cellStyle name="Обычный 12 2 2 5 13" xfId="19885"/>
    <cellStyle name="Обычный 12 2 2 5 14" xfId="21499"/>
    <cellStyle name="Обычный 12 2 2 5 2" xfId="2774"/>
    <cellStyle name="Обычный 12 2 2 5 2 10" xfId="2775"/>
    <cellStyle name="Обычный 12 2 2 5 2 11" xfId="18181"/>
    <cellStyle name="Обычный 12 2 2 5 2 12" xfId="19886"/>
    <cellStyle name="Обычный 12 2 2 5 2 13" xfId="21500"/>
    <cellStyle name="Обычный 12 2 2 5 2 2" xfId="2776"/>
    <cellStyle name="Обычный 12 2 2 5 2 2 2" xfId="2777"/>
    <cellStyle name="Обычный 12 2 2 5 2 3" xfId="2778"/>
    <cellStyle name="Обычный 12 2 2 5 2 4" xfId="2779"/>
    <cellStyle name="Обычный 12 2 2 5 2 5" xfId="2780"/>
    <cellStyle name="Обычный 12 2 2 5 2 6" xfId="2781"/>
    <cellStyle name="Обычный 12 2 2 5 2 7" xfId="2782"/>
    <cellStyle name="Обычный 12 2 2 5 2 8" xfId="2783"/>
    <cellStyle name="Обычный 12 2 2 5 2 9" xfId="2784"/>
    <cellStyle name="Обычный 12 2 2 5 3" xfId="2785"/>
    <cellStyle name="Обычный 12 2 2 5 3 2" xfId="2786"/>
    <cellStyle name="Обычный 12 2 2 5 4" xfId="2787"/>
    <cellStyle name="Обычный 12 2 2 5 5" xfId="2788"/>
    <cellStyle name="Обычный 12 2 2 5 6" xfId="2789"/>
    <cellStyle name="Обычный 12 2 2 5 7" xfId="2790"/>
    <cellStyle name="Обычный 12 2 2 5 8" xfId="2791"/>
    <cellStyle name="Обычный 12 2 2 5 9" xfId="2792"/>
    <cellStyle name="Обычный 12 2 2 6" xfId="2793"/>
    <cellStyle name="Обычный 12 2 2 6 10" xfId="2794"/>
    <cellStyle name="Обычный 12 2 2 6 11" xfId="18182"/>
    <cellStyle name="Обычный 12 2 2 6 12" xfId="19887"/>
    <cellStyle name="Обычный 12 2 2 6 13" xfId="21501"/>
    <cellStyle name="Обычный 12 2 2 6 2" xfId="2795"/>
    <cellStyle name="Обычный 12 2 2 6 2 2" xfId="2796"/>
    <cellStyle name="Обычный 12 2 2 6 3" xfId="2797"/>
    <cellStyle name="Обычный 12 2 2 6 4" xfId="2798"/>
    <cellStyle name="Обычный 12 2 2 6 5" xfId="2799"/>
    <cellStyle name="Обычный 12 2 2 6 6" xfId="2800"/>
    <cellStyle name="Обычный 12 2 2 6 7" xfId="2801"/>
    <cellStyle name="Обычный 12 2 2 6 8" xfId="2802"/>
    <cellStyle name="Обычный 12 2 2 6 9" xfId="2803"/>
    <cellStyle name="Обычный 12 2 2 7" xfId="2804"/>
    <cellStyle name="Обычный 12 2 2 7 10" xfId="19888"/>
    <cellStyle name="Обычный 12 2 2 7 11" xfId="21502"/>
    <cellStyle name="Обычный 12 2 2 7 2" xfId="2805"/>
    <cellStyle name="Обычный 12 2 2 7 2 2" xfId="2806"/>
    <cellStyle name="Обычный 12 2 2 7 3" xfId="2807"/>
    <cellStyle name="Обычный 12 2 2 7 4" xfId="2808"/>
    <cellStyle name="Обычный 12 2 2 7 5" xfId="2809"/>
    <cellStyle name="Обычный 12 2 2 7 6" xfId="2810"/>
    <cellStyle name="Обычный 12 2 2 7 7" xfId="2811"/>
    <cellStyle name="Обычный 12 2 2 7 8" xfId="2812"/>
    <cellStyle name="Обычный 12 2 2 7 9" xfId="18183"/>
    <cellStyle name="Обычный 12 2 2 8" xfId="2813"/>
    <cellStyle name="Обычный 12 2 2 8 2" xfId="2814"/>
    <cellStyle name="Обычный 12 2 2 9" xfId="2815"/>
    <cellStyle name="Обычный 12 2 20" xfId="18172"/>
    <cellStyle name="Обычный 12 2 21" xfId="19877"/>
    <cellStyle name="Обычный 12 2 22" xfId="21491"/>
    <cellStyle name="Обычный 12 2 3" xfId="2816"/>
    <cellStyle name="Обычный 12 2 3 10" xfId="2817"/>
    <cellStyle name="Обычный 12 2 3 11" xfId="2818"/>
    <cellStyle name="Обычный 12 2 3 12" xfId="2819"/>
    <cellStyle name="Обычный 12 2 3 13" xfId="2820"/>
    <cellStyle name="Обычный 12 2 3 14" xfId="2821"/>
    <cellStyle name="Обычный 12 2 3 15" xfId="2822"/>
    <cellStyle name="Обычный 12 2 3 16" xfId="2823"/>
    <cellStyle name="Обычный 12 2 3 17" xfId="2824"/>
    <cellStyle name="Обычный 12 2 3 18" xfId="18184"/>
    <cellStyle name="Обычный 12 2 3 19" xfId="19889"/>
    <cellStyle name="Обычный 12 2 3 2" xfId="2825"/>
    <cellStyle name="Обычный 12 2 3 2 10" xfId="2826"/>
    <cellStyle name="Обычный 12 2 3 2 11" xfId="2827"/>
    <cellStyle name="Обычный 12 2 3 2 12" xfId="18185"/>
    <cellStyle name="Обычный 12 2 3 2 13" xfId="19890"/>
    <cellStyle name="Обычный 12 2 3 2 14" xfId="21504"/>
    <cellStyle name="Обычный 12 2 3 2 2" xfId="2828"/>
    <cellStyle name="Обычный 12 2 3 2 2 10" xfId="2829"/>
    <cellStyle name="Обычный 12 2 3 2 2 11" xfId="18186"/>
    <cellStyle name="Обычный 12 2 3 2 2 12" xfId="19891"/>
    <cellStyle name="Обычный 12 2 3 2 2 13" xfId="21505"/>
    <cellStyle name="Обычный 12 2 3 2 2 2" xfId="2830"/>
    <cellStyle name="Обычный 12 2 3 2 2 2 2" xfId="2831"/>
    <cellStyle name="Обычный 12 2 3 2 2 3" xfId="2832"/>
    <cellStyle name="Обычный 12 2 3 2 2 4" xfId="2833"/>
    <cellStyle name="Обычный 12 2 3 2 2 5" xfId="2834"/>
    <cellStyle name="Обычный 12 2 3 2 2 6" xfId="2835"/>
    <cellStyle name="Обычный 12 2 3 2 2 7" xfId="2836"/>
    <cellStyle name="Обычный 12 2 3 2 2 8" xfId="2837"/>
    <cellStyle name="Обычный 12 2 3 2 2 9" xfId="2838"/>
    <cellStyle name="Обычный 12 2 3 2 3" xfId="2839"/>
    <cellStyle name="Обычный 12 2 3 2 3 2" xfId="2840"/>
    <cellStyle name="Обычный 12 2 3 2 4" xfId="2841"/>
    <cellStyle name="Обычный 12 2 3 2 5" xfId="2842"/>
    <cellStyle name="Обычный 12 2 3 2 6" xfId="2843"/>
    <cellStyle name="Обычный 12 2 3 2 7" xfId="2844"/>
    <cellStyle name="Обычный 12 2 3 2 8" xfId="2845"/>
    <cellStyle name="Обычный 12 2 3 2 9" xfId="2846"/>
    <cellStyle name="Обычный 12 2 3 20" xfId="21503"/>
    <cellStyle name="Обычный 12 2 3 3" xfId="2847"/>
    <cellStyle name="Обычный 12 2 3 3 10" xfId="2848"/>
    <cellStyle name="Обычный 12 2 3 3 11" xfId="2849"/>
    <cellStyle name="Обычный 12 2 3 3 12" xfId="18187"/>
    <cellStyle name="Обычный 12 2 3 3 13" xfId="19892"/>
    <cellStyle name="Обычный 12 2 3 3 14" xfId="21506"/>
    <cellStyle name="Обычный 12 2 3 3 2" xfId="2850"/>
    <cellStyle name="Обычный 12 2 3 3 2 10" xfId="2851"/>
    <cellStyle name="Обычный 12 2 3 3 2 11" xfId="18188"/>
    <cellStyle name="Обычный 12 2 3 3 2 12" xfId="19893"/>
    <cellStyle name="Обычный 12 2 3 3 2 13" xfId="21507"/>
    <cellStyle name="Обычный 12 2 3 3 2 2" xfId="2852"/>
    <cellStyle name="Обычный 12 2 3 3 2 2 2" xfId="2853"/>
    <cellStyle name="Обычный 12 2 3 3 2 3" xfId="2854"/>
    <cellStyle name="Обычный 12 2 3 3 2 4" xfId="2855"/>
    <cellStyle name="Обычный 12 2 3 3 2 5" xfId="2856"/>
    <cellStyle name="Обычный 12 2 3 3 2 6" xfId="2857"/>
    <cellStyle name="Обычный 12 2 3 3 2 7" xfId="2858"/>
    <cellStyle name="Обычный 12 2 3 3 2 8" xfId="2859"/>
    <cellStyle name="Обычный 12 2 3 3 2 9" xfId="2860"/>
    <cellStyle name="Обычный 12 2 3 3 3" xfId="2861"/>
    <cellStyle name="Обычный 12 2 3 3 3 2" xfId="2862"/>
    <cellStyle name="Обычный 12 2 3 3 4" xfId="2863"/>
    <cellStyle name="Обычный 12 2 3 3 5" xfId="2864"/>
    <cellStyle name="Обычный 12 2 3 3 6" xfId="2865"/>
    <cellStyle name="Обычный 12 2 3 3 7" xfId="2866"/>
    <cellStyle name="Обычный 12 2 3 3 8" xfId="2867"/>
    <cellStyle name="Обычный 12 2 3 3 9" xfId="2868"/>
    <cellStyle name="Обычный 12 2 3 4" xfId="2869"/>
    <cellStyle name="Обычный 12 2 3 4 10" xfId="2870"/>
    <cellStyle name="Обычный 12 2 3 4 11" xfId="2871"/>
    <cellStyle name="Обычный 12 2 3 4 12" xfId="18189"/>
    <cellStyle name="Обычный 12 2 3 4 13" xfId="19894"/>
    <cellStyle name="Обычный 12 2 3 4 14" xfId="21508"/>
    <cellStyle name="Обычный 12 2 3 4 2" xfId="2872"/>
    <cellStyle name="Обычный 12 2 3 4 2 10" xfId="2873"/>
    <cellStyle name="Обычный 12 2 3 4 2 11" xfId="18190"/>
    <cellStyle name="Обычный 12 2 3 4 2 12" xfId="19895"/>
    <cellStyle name="Обычный 12 2 3 4 2 13" xfId="21509"/>
    <cellStyle name="Обычный 12 2 3 4 2 2" xfId="2874"/>
    <cellStyle name="Обычный 12 2 3 4 2 2 2" xfId="2875"/>
    <cellStyle name="Обычный 12 2 3 4 2 3" xfId="2876"/>
    <cellStyle name="Обычный 12 2 3 4 2 4" xfId="2877"/>
    <cellStyle name="Обычный 12 2 3 4 2 5" xfId="2878"/>
    <cellStyle name="Обычный 12 2 3 4 2 6" xfId="2879"/>
    <cellStyle name="Обычный 12 2 3 4 2 7" xfId="2880"/>
    <cellStyle name="Обычный 12 2 3 4 2 8" xfId="2881"/>
    <cellStyle name="Обычный 12 2 3 4 2 9" xfId="2882"/>
    <cellStyle name="Обычный 12 2 3 4 3" xfId="2883"/>
    <cellStyle name="Обычный 12 2 3 4 3 2" xfId="2884"/>
    <cellStyle name="Обычный 12 2 3 4 4" xfId="2885"/>
    <cellStyle name="Обычный 12 2 3 4 5" xfId="2886"/>
    <cellStyle name="Обычный 12 2 3 4 6" xfId="2887"/>
    <cellStyle name="Обычный 12 2 3 4 7" xfId="2888"/>
    <cellStyle name="Обычный 12 2 3 4 8" xfId="2889"/>
    <cellStyle name="Обычный 12 2 3 4 9" xfId="2890"/>
    <cellStyle name="Обычный 12 2 3 5" xfId="2891"/>
    <cellStyle name="Обычный 12 2 3 5 10" xfId="2892"/>
    <cellStyle name="Обычный 12 2 3 5 11" xfId="2893"/>
    <cellStyle name="Обычный 12 2 3 5 12" xfId="18191"/>
    <cellStyle name="Обычный 12 2 3 5 13" xfId="19896"/>
    <cellStyle name="Обычный 12 2 3 5 14" xfId="21510"/>
    <cellStyle name="Обычный 12 2 3 5 2" xfId="2894"/>
    <cellStyle name="Обычный 12 2 3 5 2 10" xfId="2895"/>
    <cellStyle name="Обычный 12 2 3 5 2 11" xfId="18192"/>
    <cellStyle name="Обычный 12 2 3 5 2 12" xfId="19897"/>
    <cellStyle name="Обычный 12 2 3 5 2 13" xfId="21511"/>
    <cellStyle name="Обычный 12 2 3 5 2 2" xfId="2896"/>
    <cellStyle name="Обычный 12 2 3 5 2 2 2" xfId="2897"/>
    <cellStyle name="Обычный 12 2 3 5 2 3" xfId="2898"/>
    <cellStyle name="Обычный 12 2 3 5 2 4" xfId="2899"/>
    <cellStyle name="Обычный 12 2 3 5 2 5" xfId="2900"/>
    <cellStyle name="Обычный 12 2 3 5 2 6" xfId="2901"/>
    <cellStyle name="Обычный 12 2 3 5 2 7" xfId="2902"/>
    <cellStyle name="Обычный 12 2 3 5 2 8" xfId="2903"/>
    <cellStyle name="Обычный 12 2 3 5 2 9" xfId="2904"/>
    <cellStyle name="Обычный 12 2 3 5 3" xfId="2905"/>
    <cellStyle name="Обычный 12 2 3 5 3 2" xfId="2906"/>
    <cellStyle name="Обычный 12 2 3 5 4" xfId="2907"/>
    <cellStyle name="Обычный 12 2 3 5 5" xfId="2908"/>
    <cellStyle name="Обычный 12 2 3 5 6" xfId="2909"/>
    <cellStyle name="Обычный 12 2 3 5 7" xfId="2910"/>
    <cellStyle name="Обычный 12 2 3 5 8" xfId="2911"/>
    <cellStyle name="Обычный 12 2 3 5 9" xfId="2912"/>
    <cellStyle name="Обычный 12 2 3 6" xfId="2913"/>
    <cellStyle name="Обычный 12 2 3 6 10" xfId="2914"/>
    <cellStyle name="Обычный 12 2 3 6 11" xfId="18193"/>
    <cellStyle name="Обычный 12 2 3 6 12" xfId="19898"/>
    <cellStyle name="Обычный 12 2 3 6 13" xfId="21512"/>
    <cellStyle name="Обычный 12 2 3 6 2" xfId="2915"/>
    <cellStyle name="Обычный 12 2 3 6 2 2" xfId="2916"/>
    <cellStyle name="Обычный 12 2 3 6 3" xfId="2917"/>
    <cellStyle name="Обычный 12 2 3 6 4" xfId="2918"/>
    <cellStyle name="Обычный 12 2 3 6 5" xfId="2919"/>
    <cellStyle name="Обычный 12 2 3 6 6" xfId="2920"/>
    <cellStyle name="Обычный 12 2 3 6 7" xfId="2921"/>
    <cellStyle name="Обычный 12 2 3 6 8" xfId="2922"/>
    <cellStyle name="Обычный 12 2 3 6 9" xfId="2923"/>
    <cellStyle name="Обычный 12 2 3 7" xfId="2924"/>
    <cellStyle name="Обычный 12 2 3 7 10" xfId="19899"/>
    <cellStyle name="Обычный 12 2 3 7 11" xfId="21513"/>
    <cellStyle name="Обычный 12 2 3 7 2" xfId="2925"/>
    <cellStyle name="Обычный 12 2 3 7 2 2" xfId="2926"/>
    <cellStyle name="Обычный 12 2 3 7 3" xfId="2927"/>
    <cellStyle name="Обычный 12 2 3 7 4" xfId="2928"/>
    <cellStyle name="Обычный 12 2 3 7 5" xfId="2929"/>
    <cellStyle name="Обычный 12 2 3 7 6" xfId="2930"/>
    <cellStyle name="Обычный 12 2 3 7 7" xfId="2931"/>
    <cellStyle name="Обычный 12 2 3 7 8" xfId="2932"/>
    <cellStyle name="Обычный 12 2 3 7 9" xfId="18194"/>
    <cellStyle name="Обычный 12 2 3 8" xfId="2933"/>
    <cellStyle name="Обычный 12 2 3 8 2" xfId="2934"/>
    <cellStyle name="Обычный 12 2 3 9" xfId="2935"/>
    <cellStyle name="Обычный 12 2 4" xfId="2936"/>
    <cellStyle name="Обычный 12 2 4 10" xfId="2937"/>
    <cellStyle name="Обычный 12 2 4 11" xfId="2938"/>
    <cellStyle name="Обычный 12 2 4 12" xfId="18195"/>
    <cellStyle name="Обычный 12 2 4 13" xfId="19900"/>
    <cellStyle name="Обычный 12 2 4 14" xfId="21514"/>
    <cellStyle name="Обычный 12 2 4 2" xfId="2939"/>
    <cellStyle name="Обычный 12 2 4 2 10" xfId="2940"/>
    <cellStyle name="Обычный 12 2 4 2 11" xfId="18196"/>
    <cellStyle name="Обычный 12 2 4 2 12" xfId="19901"/>
    <cellStyle name="Обычный 12 2 4 2 13" xfId="21515"/>
    <cellStyle name="Обычный 12 2 4 2 2" xfId="2941"/>
    <cellStyle name="Обычный 12 2 4 2 2 2" xfId="2942"/>
    <cellStyle name="Обычный 12 2 4 2 3" xfId="2943"/>
    <cellStyle name="Обычный 12 2 4 2 4" xfId="2944"/>
    <cellStyle name="Обычный 12 2 4 2 5" xfId="2945"/>
    <cellStyle name="Обычный 12 2 4 2 6" xfId="2946"/>
    <cellStyle name="Обычный 12 2 4 2 7" xfId="2947"/>
    <cellStyle name="Обычный 12 2 4 2 8" xfId="2948"/>
    <cellStyle name="Обычный 12 2 4 2 9" xfId="2949"/>
    <cellStyle name="Обычный 12 2 4 3" xfId="2950"/>
    <cellStyle name="Обычный 12 2 4 3 2" xfId="2951"/>
    <cellStyle name="Обычный 12 2 4 4" xfId="2952"/>
    <cellStyle name="Обычный 12 2 4 5" xfId="2953"/>
    <cellStyle name="Обычный 12 2 4 6" xfId="2954"/>
    <cellStyle name="Обычный 12 2 4 7" xfId="2955"/>
    <cellStyle name="Обычный 12 2 4 8" xfId="2956"/>
    <cellStyle name="Обычный 12 2 4 9" xfId="2957"/>
    <cellStyle name="Обычный 12 2 5" xfId="2958"/>
    <cellStyle name="Обычный 12 2 5 10" xfId="2959"/>
    <cellStyle name="Обычный 12 2 5 11" xfId="2960"/>
    <cellStyle name="Обычный 12 2 5 12" xfId="18197"/>
    <cellStyle name="Обычный 12 2 5 13" xfId="19902"/>
    <cellStyle name="Обычный 12 2 5 14" xfId="21516"/>
    <cellStyle name="Обычный 12 2 5 2" xfId="2961"/>
    <cellStyle name="Обычный 12 2 5 2 10" xfId="2962"/>
    <cellStyle name="Обычный 12 2 5 2 11" xfId="18198"/>
    <cellStyle name="Обычный 12 2 5 2 12" xfId="19903"/>
    <cellStyle name="Обычный 12 2 5 2 13" xfId="21517"/>
    <cellStyle name="Обычный 12 2 5 2 2" xfId="2963"/>
    <cellStyle name="Обычный 12 2 5 2 2 2" xfId="2964"/>
    <cellStyle name="Обычный 12 2 5 2 3" xfId="2965"/>
    <cellStyle name="Обычный 12 2 5 2 4" xfId="2966"/>
    <cellStyle name="Обычный 12 2 5 2 5" xfId="2967"/>
    <cellStyle name="Обычный 12 2 5 2 6" xfId="2968"/>
    <cellStyle name="Обычный 12 2 5 2 7" xfId="2969"/>
    <cellStyle name="Обычный 12 2 5 2 8" xfId="2970"/>
    <cellStyle name="Обычный 12 2 5 2 9" xfId="2971"/>
    <cellStyle name="Обычный 12 2 5 3" xfId="2972"/>
    <cellStyle name="Обычный 12 2 5 3 2" xfId="2973"/>
    <cellStyle name="Обычный 12 2 5 4" xfId="2974"/>
    <cellStyle name="Обычный 12 2 5 5" xfId="2975"/>
    <cellStyle name="Обычный 12 2 5 6" xfId="2976"/>
    <cellStyle name="Обычный 12 2 5 7" xfId="2977"/>
    <cellStyle name="Обычный 12 2 5 8" xfId="2978"/>
    <cellStyle name="Обычный 12 2 5 9" xfId="2979"/>
    <cellStyle name="Обычный 12 2 6" xfId="2980"/>
    <cellStyle name="Обычный 12 2 6 10" xfId="2981"/>
    <cellStyle name="Обычный 12 2 6 11" xfId="2982"/>
    <cellStyle name="Обычный 12 2 6 12" xfId="18199"/>
    <cellStyle name="Обычный 12 2 6 13" xfId="19904"/>
    <cellStyle name="Обычный 12 2 6 14" xfId="21518"/>
    <cellStyle name="Обычный 12 2 6 2" xfId="2983"/>
    <cellStyle name="Обычный 12 2 6 2 10" xfId="2984"/>
    <cellStyle name="Обычный 12 2 6 2 11" xfId="18200"/>
    <cellStyle name="Обычный 12 2 6 2 12" xfId="19905"/>
    <cellStyle name="Обычный 12 2 6 2 13" xfId="21519"/>
    <cellStyle name="Обычный 12 2 6 2 2" xfId="2985"/>
    <cellStyle name="Обычный 12 2 6 2 2 2" xfId="2986"/>
    <cellStyle name="Обычный 12 2 6 2 3" xfId="2987"/>
    <cellStyle name="Обычный 12 2 6 2 4" xfId="2988"/>
    <cellStyle name="Обычный 12 2 6 2 5" xfId="2989"/>
    <cellStyle name="Обычный 12 2 6 2 6" xfId="2990"/>
    <cellStyle name="Обычный 12 2 6 2 7" xfId="2991"/>
    <cellStyle name="Обычный 12 2 6 2 8" xfId="2992"/>
    <cellStyle name="Обычный 12 2 6 2 9" xfId="2993"/>
    <cellStyle name="Обычный 12 2 6 3" xfId="2994"/>
    <cellStyle name="Обычный 12 2 6 3 2" xfId="2995"/>
    <cellStyle name="Обычный 12 2 6 4" xfId="2996"/>
    <cellStyle name="Обычный 12 2 6 5" xfId="2997"/>
    <cellStyle name="Обычный 12 2 6 6" xfId="2998"/>
    <cellStyle name="Обычный 12 2 6 7" xfId="2999"/>
    <cellStyle name="Обычный 12 2 6 8" xfId="3000"/>
    <cellStyle name="Обычный 12 2 6 9" xfId="3001"/>
    <cellStyle name="Обычный 12 2 7" xfId="3002"/>
    <cellStyle name="Обычный 12 2 7 10" xfId="3003"/>
    <cellStyle name="Обычный 12 2 7 11" xfId="3004"/>
    <cellStyle name="Обычный 12 2 7 12" xfId="18201"/>
    <cellStyle name="Обычный 12 2 7 13" xfId="19906"/>
    <cellStyle name="Обычный 12 2 7 14" xfId="21520"/>
    <cellStyle name="Обычный 12 2 7 2" xfId="3005"/>
    <cellStyle name="Обычный 12 2 7 2 10" xfId="3006"/>
    <cellStyle name="Обычный 12 2 7 2 11" xfId="18202"/>
    <cellStyle name="Обычный 12 2 7 2 12" xfId="19907"/>
    <cellStyle name="Обычный 12 2 7 2 13" xfId="21521"/>
    <cellStyle name="Обычный 12 2 7 2 2" xfId="3007"/>
    <cellStyle name="Обычный 12 2 7 2 2 2" xfId="3008"/>
    <cellStyle name="Обычный 12 2 7 2 3" xfId="3009"/>
    <cellStyle name="Обычный 12 2 7 2 4" xfId="3010"/>
    <cellStyle name="Обычный 12 2 7 2 5" xfId="3011"/>
    <cellStyle name="Обычный 12 2 7 2 6" xfId="3012"/>
    <cellStyle name="Обычный 12 2 7 2 7" xfId="3013"/>
    <cellStyle name="Обычный 12 2 7 2 8" xfId="3014"/>
    <cellStyle name="Обычный 12 2 7 2 9" xfId="3015"/>
    <cellStyle name="Обычный 12 2 7 3" xfId="3016"/>
    <cellStyle name="Обычный 12 2 7 3 2" xfId="3017"/>
    <cellStyle name="Обычный 12 2 7 4" xfId="3018"/>
    <cellStyle name="Обычный 12 2 7 5" xfId="3019"/>
    <cellStyle name="Обычный 12 2 7 6" xfId="3020"/>
    <cellStyle name="Обычный 12 2 7 7" xfId="3021"/>
    <cellStyle name="Обычный 12 2 7 8" xfId="3022"/>
    <cellStyle name="Обычный 12 2 7 9" xfId="3023"/>
    <cellStyle name="Обычный 12 2 8" xfId="3024"/>
    <cellStyle name="Обычный 12 2 8 10" xfId="3025"/>
    <cellStyle name="Обычный 12 2 8 11" xfId="18203"/>
    <cellStyle name="Обычный 12 2 8 12" xfId="19908"/>
    <cellStyle name="Обычный 12 2 8 13" xfId="21522"/>
    <cellStyle name="Обычный 12 2 8 2" xfId="3026"/>
    <cellStyle name="Обычный 12 2 8 2 2" xfId="3027"/>
    <cellStyle name="Обычный 12 2 8 3" xfId="3028"/>
    <cellStyle name="Обычный 12 2 8 4" xfId="3029"/>
    <cellStyle name="Обычный 12 2 8 5" xfId="3030"/>
    <cellStyle name="Обычный 12 2 8 6" xfId="3031"/>
    <cellStyle name="Обычный 12 2 8 7" xfId="3032"/>
    <cellStyle name="Обычный 12 2 8 8" xfId="3033"/>
    <cellStyle name="Обычный 12 2 8 9" xfId="3034"/>
    <cellStyle name="Обычный 12 2 9" xfId="3035"/>
    <cellStyle name="Обычный 12 2 9 10" xfId="19909"/>
    <cellStyle name="Обычный 12 2 9 11" xfId="21523"/>
    <cellStyle name="Обычный 12 2 9 2" xfId="3036"/>
    <cellStyle name="Обычный 12 2 9 2 2" xfId="3037"/>
    <cellStyle name="Обычный 12 2 9 3" xfId="3038"/>
    <cellStyle name="Обычный 12 2 9 4" xfId="3039"/>
    <cellStyle name="Обычный 12 2 9 5" xfId="3040"/>
    <cellStyle name="Обычный 12 2 9 6" xfId="3041"/>
    <cellStyle name="Обычный 12 2 9 7" xfId="3042"/>
    <cellStyle name="Обычный 12 2 9 8" xfId="3043"/>
    <cellStyle name="Обычный 12 2 9 9" xfId="18204"/>
    <cellStyle name="Обычный 12 20" xfId="3044"/>
    <cellStyle name="Обычный 12 21" xfId="3045"/>
    <cellStyle name="Обычный 12 22" xfId="3046"/>
    <cellStyle name="Обычный 12 23" xfId="3047"/>
    <cellStyle name="Обычный 12 24" xfId="18166"/>
    <cellStyle name="Обычный 12 25" xfId="19624"/>
    <cellStyle name="Обычный 12 26" xfId="19871"/>
    <cellStyle name="Обычный 12 27" xfId="21485"/>
    <cellStyle name="Обычный 12 3" xfId="3048"/>
    <cellStyle name="Обычный 12 3 10" xfId="3049"/>
    <cellStyle name="Обычный 12 3 11" xfId="3050"/>
    <cellStyle name="Обычный 12 3 12" xfId="3051"/>
    <cellStyle name="Обычный 12 3 13" xfId="3052"/>
    <cellStyle name="Обычный 12 3 14" xfId="3053"/>
    <cellStyle name="Обычный 12 3 15" xfId="3054"/>
    <cellStyle name="Обычный 12 3 16" xfId="3055"/>
    <cellStyle name="Обычный 12 3 17" xfId="3056"/>
    <cellStyle name="Обычный 12 3 18" xfId="18205"/>
    <cellStyle name="Обычный 12 3 19" xfId="19910"/>
    <cellStyle name="Обычный 12 3 2" xfId="3057"/>
    <cellStyle name="Обычный 12 3 2 10" xfId="3058"/>
    <cellStyle name="Обычный 12 3 2 11" xfId="3059"/>
    <cellStyle name="Обычный 12 3 2 12" xfId="18206"/>
    <cellStyle name="Обычный 12 3 2 13" xfId="19911"/>
    <cellStyle name="Обычный 12 3 2 14" xfId="21525"/>
    <cellStyle name="Обычный 12 3 2 2" xfId="3060"/>
    <cellStyle name="Обычный 12 3 2 2 10" xfId="3061"/>
    <cellStyle name="Обычный 12 3 2 2 11" xfId="18207"/>
    <cellStyle name="Обычный 12 3 2 2 12" xfId="19912"/>
    <cellStyle name="Обычный 12 3 2 2 13" xfId="21526"/>
    <cellStyle name="Обычный 12 3 2 2 2" xfId="3062"/>
    <cellStyle name="Обычный 12 3 2 2 2 2" xfId="3063"/>
    <cellStyle name="Обычный 12 3 2 2 3" xfId="3064"/>
    <cellStyle name="Обычный 12 3 2 2 4" xfId="3065"/>
    <cellStyle name="Обычный 12 3 2 2 5" xfId="3066"/>
    <cellStyle name="Обычный 12 3 2 2 6" xfId="3067"/>
    <cellStyle name="Обычный 12 3 2 2 7" xfId="3068"/>
    <cellStyle name="Обычный 12 3 2 2 8" xfId="3069"/>
    <cellStyle name="Обычный 12 3 2 2 9" xfId="3070"/>
    <cellStyle name="Обычный 12 3 2 3" xfId="3071"/>
    <cellStyle name="Обычный 12 3 2 3 2" xfId="3072"/>
    <cellStyle name="Обычный 12 3 2 4" xfId="3073"/>
    <cellStyle name="Обычный 12 3 2 5" xfId="3074"/>
    <cellStyle name="Обычный 12 3 2 6" xfId="3075"/>
    <cellStyle name="Обычный 12 3 2 7" xfId="3076"/>
    <cellStyle name="Обычный 12 3 2 8" xfId="3077"/>
    <cellStyle name="Обычный 12 3 2 9" xfId="3078"/>
    <cellStyle name="Обычный 12 3 20" xfId="21524"/>
    <cellStyle name="Обычный 12 3 3" xfId="3079"/>
    <cellStyle name="Обычный 12 3 3 10" xfId="3080"/>
    <cellStyle name="Обычный 12 3 3 11" xfId="3081"/>
    <cellStyle name="Обычный 12 3 3 12" xfId="18208"/>
    <cellStyle name="Обычный 12 3 3 13" xfId="19913"/>
    <cellStyle name="Обычный 12 3 3 14" xfId="21527"/>
    <cellStyle name="Обычный 12 3 3 2" xfId="3082"/>
    <cellStyle name="Обычный 12 3 3 2 10" xfId="3083"/>
    <cellStyle name="Обычный 12 3 3 2 11" xfId="18209"/>
    <cellStyle name="Обычный 12 3 3 2 12" xfId="19914"/>
    <cellStyle name="Обычный 12 3 3 2 13" xfId="21528"/>
    <cellStyle name="Обычный 12 3 3 2 2" xfId="3084"/>
    <cellStyle name="Обычный 12 3 3 2 2 2" xfId="3085"/>
    <cellStyle name="Обычный 12 3 3 2 3" xfId="3086"/>
    <cellStyle name="Обычный 12 3 3 2 4" xfId="3087"/>
    <cellStyle name="Обычный 12 3 3 2 5" xfId="3088"/>
    <cellStyle name="Обычный 12 3 3 2 6" xfId="3089"/>
    <cellStyle name="Обычный 12 3 3 2 7" xfId="3090"/>
    <cellStyle name="Обычный 12 3 3 2 8" xfId="3091"/>
    <cellStyle name="Обычный 12 3 3 2 9" xfId="3092"/>
    <cellStyle name="Обычный 12 3 3 3" xfId="3093"/>
    <cellStyle name="Обычный 12 3 3 3 2" xfId="3094"/>
    <cellStyle name="Обычный 12 3 3 4" xfId="3095"/>
    <cellStyle name="Обычный 12 3 3 5" xfId="3096"/>
    <cellStyle name="Обычный 12 3 3 6" xfId="3097"/>
    <cellStyle name="Обычный 12 3 3 7" xfId="3098"/>
    <cellStyle name="Обычный 12 3 3 8" xfId="3099"/>
    <cellStyle name="Обычный 12 3 3 9" xfId="3100"/>
    <cellStyle name="Обычный 12 3 4" xfId="3101"/>
    <cellStyle name="Обычный 12 3 4 10" xfId="3102"/>
    <cellStyle name="Обычный 12 3 4 11" xfId="3103"/>
    <cellStyle name="Обычный 12 3 4 12" xfId="18210"/>
    <cellStyle name="Обычный 12 3 4 13" xfId="19915"/>
    <cellStyle name="Обычный 12 3 4 14" xfId="21529"/>
    <cellStyle name="Обычный 12 3 4 2" xfId="3104"/>
    <cellStyle name="Обычный 12 3 4 2 10" xfId="3105"/>
    <cellStyle name="Обычный 12 3 4 2 11" xfId="18211"/>
    <cellStyle name="Обычный 12 3 4 2 12" xfId="19916"/>
    <cellStyle name="Обычный 12 3 4 2 13" xfId="21530"/>
    <cellStyle name="Обычный 12 3 4 2 2" xfId="3106"/>
    <cellStyle name="Обычный 12 3 4 2 2 2" xfId="3107"/>
    <cellStyle name="Обычный 12 3 4 2 3" xfId="3108"/>
    <cellStyle name="Обычный 12 3 4 2 4" xfId="3109"/>
    <cellStyle name="Обычный 12 3 4 2 5" xfId="3110"/>
    <cellStyle name="Обычный 12 3 4 2 6" xfId="3111"/>
    <cellStyle name="Обычный 12 3 4 2 7" xfId="3112"/>
    <cellStyle name="Обычный 12 3 4 2 8" xfId="3113"/>
    <cellStyle name="Обычный 12 3 4 2 9" xfId="3114"/>
    <cellStyle name="Обычный 12 3 4 3" xfId="3115"/>
    <cellStyle name="Обычный 12 3 4 3 2" xfId="3116"/>
    <cellStyle name="Обычный 12 3 4 4" xfId="3117"/>
    <cellStyle name="Обычный 12 3 4 5" xfId="3118"/>
    <cellStyle name="Обычный 12 3 4 6" xfId="3119"/>
    <cellStyle name="Обычный 12 3 4 7" xfId="3120"/>
    <cellStyle name="Обычный 12 3 4 8" xfId="3121"/>
    <cellStyle name="Обычный 12 3 4 9" xfId="3122"/>
    <cellStyle name="Обычный 12 3 5" xfId="3123"/>
    <cellStyle name="Обычный 12 3 5 10" xfId="3124"/>
    <cellStyle name="Обычный 12 3 5 11" xfId="3125"/>
    <cellStyle name="Обычный 12 3 5 12" xfId="18212"/>
    <cellStyle name="Обычный 12 3 5 13" xfId="19917"/>
    <cellStyle name="Обычный 12 3 5 14" xfId="21531"/>
    <cellStyle name="Обычный 12 3 5 2" xfId="3126"/>
    <cellStyle name="Обычный 12 3 5 2 10" xfId="3127"/>
    <cellStyle name="Обычный 12 3 5 2 11" xfId="18213"/>
    <cellStyle name="Обычный 12 3 5 2 12" xfId="19918"/>
    <cellStyle name="Обычный 12 3 5 2 13" xfId="21532"/>
    <cellStyle name="Обычный 12 3 5 2 2" xfId="3128"/>
    <cellStyle name="Обычный 12 3 5 2 2 2" xfId="3129"/>
    <cellStyle name="Обычный 12 3 5 2 3" xfId="3130"/>
    <cellStyle name="Обычный 12 3 5 2 4" xfId="3131"/>
    <cellStyle name="Обычный 12 3 5 2 5" xfId="3132"/>
    <cellStyle name="Обычный 12 3 5 2 6" xfId="3133"/>
    <cellStyle name="Обычный 12 3 5 2 7" xfId="3134"/>
    <cellStyle name="Обычный 12 3 5 2 8" xfId="3135"/>
    <cellStyle name="Обычный 12 3 5 2 9" xfId="3136"/>
    <cellStyle name="Обычный 12 3 5 3" xfId="3137"/>
    <cellStyle name="Обычный 12 3 5 3 2" xfId="3138"/>
    <cellStyle name="Обычный 12 3 5 4" xfId="3139"/>
    <cellStyle name="Обычный 12 3 5 5" xfId="3140"/>
    <cellStyle name="Обычный 12 3 5 6" xfId="3141"/>
    <cellStyle name="Обычный 12 3 5 7" xfId="3142"/>
    <cellStyle name="Обычный 12 3 5 8" xfId="3143"/>
    <cellStyle name="Обычный 12 3 5 9" xfId="3144"/>
    <cellStyle name="Обычный 12 3 6" xfId="3145"/>
    <cellStyle name="Обычный 12 3 6 10" xfId="3146"/>
    <cellStyle name="Обычный 12 3 6 11" xfId="18214"/>
    <cellStyle name="Обычный 12 3 6 12" xfId="19919"/>
    <cellStyle name="Обычный 12 3 6 13" xfId="21533"/>
    <cellStyle name="Обычный 12 3 6 2" xfId="3147"/>
    <cellStyle name="Обычный 12 3 6 2 2" xfId="3148"/>
    <cellStyle name="Обычный 12 3 6 3" xfId="3149"/>
    <cellStyle name="Обычный 12 3 6 4" xfId="3150"/>
    <cellStyle name="Обычный 12 3 6 5" xfId="3151"/>
    <cellStyle name="Обычный 12 3 6 6" xfId="3152"/>
    <cellStyle name="Обычный 12 3 6 7" xfId="3153"/>
    <cellStyle name="Обычный 12 3 6 8" xfId="3154"/>
    <cellStyle name="Обычный 12 3 6 9" xfId="3155"/>
    <cellStyle name="Обычный 12 3 7" xfId="3156"/>
    <cellStyle name="Обычный 12 3 7 10" xfId="19920"/>
    <cellStyle name="Обычный 12 3 7 11" xfId="21534"/>
    <cellStyle name="Обычный 12 3 7 2" xfId="3157"/>
    <cellStyle name="Обычный 12 3 7 2 2" xfId="3158"/>
    <cellStyle name="Обычный 12 3 7 3" xfId="3159"/>
    <cellStyle name="Обычный 12 3 7 4" xfId="3160"/>
    <cellStyle name="Обычный 12 3 7 5" xfId="3161"/>
    <cellStyle name="Обычный 12 3 7 6" xfId="3162"/>
    <cellStyle name="Обычный 12 3 7 7" xfId="3163"/>
    <cellStyle name="Обычный 12 3 7 8" xfId="3164"/>
    <cellStyle name="Обычный 12 3 7 9" xfId="18215"/>
    <cellStyle name="Обычный 12 3 8" xfId="3165"/>
    <cellStyle name="Обычный 12 3 8 2" xfId="3166"/>
    <cellStyle name="Обычный 12 3 9" xfId="3167"/>
    <cellStyle name="Обычный 12 4" xfId="3168"/>
    <cellStyle name="Обычный 12 4 10" xfId="3169"/>
    <cellStyle name="Обычный 12 4 11" xfId="3170"/>
    <cellStyle name="Обычный 12 4 12" xfId="3171"/>
    <cellStyle name="Обычный 12 4 13" xfId="3172"/>
    <cellStyle name="Обычный 12 4 14" xfId="3173"/>
    <cellStyle name="Обычный 12 4 15" xfId="3174"/>
    <cellStyle name="Обычный 12 4 16" xfId="3175"/>
    <cellStyle name="Обычный 12 4 17" xfId="3176"/>
    <cellStyle name="Обычный 12 4 18" xfId="18216"/>
    <cellStyle name="Обычный 12 4 19" xfId="19921"/>
    <cellStyle name="Обычный 12 4 2" xfId="3177"/>
    <cellStyle name="Обычный 12 4 2 10" xfId="3178"/>
    <cellStyle name="Обычный 12 4 2 11" xfId="3179"/>
    <cellStyle name="Обычный 12 4 2 12" xfId="18217"/>
    <cellStyle name="Обычный 12 4 2 13" xfId="19922"/>
    <cellStyle name="Обычный 12 4 2 14" xfId="21536"/>
    <cellStyle name="Обычный 12 4 2 2" xfId="3180"/>
    <cellStyle name="Обычный 12 4 2 2 10" xfId="3181"/>
    <cellStyle name="Обычный 12 4 2 2 11" xfId="18218"/>
    <cellStyle name="Обычный 12 4 2 2 12" xfId="19923"/>
    <cellStyle name="Обычный 12 4 2 2 13" xfId="21537"/>
    <cellStyle name="Обычный 12 4 2 2 2" xfId="3182"/>
    <cellStyle name="Обычный 12 4 2 2 2 2" xfId="3183"/>
    <cellStyle name="Обычный 12 4 2 2 3" xfId="3184"/>
    <cellStyle name="Обычный 12 4 2 2 4" xfId="3185"/>
    <cellStyle name="Обычный 12 4 2 2 5" xfId="3186"/>
    <cellStyle name="Обычный 12 4 2 2 6" xfId="3187"/>
    <cellStyle name="Обычный 12 4 2 2 7" xfId="3188"/>
    <cellStyle name="Обычный 12 4 2 2 8" xfId="3189"/>
    <cellStyle name="Обычный 12 4 2 2 9" xfId="3190"/>
    <cellStyle name="Обычный 12 4 2 3" xfId="3191"/>
    <cellStyle name="Обычный 12 4 2 3 2" xfId="3192"/>
    <cellStyle name="Обычный 12 4 2 4" xfId="3193"/>
    <cellStyle name="Обычный 12 4 2 5" xfId="3194"/>
    <cellStyle name="Обычный 12 4 2 6" xfId="3195"/>
    <cellStyle name="Обычный 12 4 2 7" xfId="3196"/>
    <cellStyle name="Обычный 12 4 2 8" xfId="3197"/>
    <cellStyle name="Обычный 12 4 2 9" xfId="3198"/>
    <cellStyle name="Обычный 12 4 20" xfId="21535"/>
    <cellStyle name="Обычный 12 4 3" xfId="3199"/>
    <cellStyle name="Обычный 12 4 3 10" xfId="3200"/>
    <cellStyle name="Обычный 12 4 3 11" xfId="3201"/>
    <cellStyle name="Обычный 12 4 3 12" xfId="18219"/>
    <cellStyle name="Обычный 12 4 3 13" xfId="19924"/>
    <cellStyle name="Обычный 12 4 3 14" xfId="21538"/>
    <cellStyle name="Обычный 12 4 3 2" xfId="3202"/>
    <cellStyle name="Обычный 12 4 3 2 10" xfId="3203"/>
    <cellStyle name="Обычный 12 4 3 2 11" xfId="18220"/>
    <cellStyle name="Обычный 12 4 3 2 12" xfId="19925"/>
    <cellStyle name="Обычный 12 4 3 2 13" xfId="21539"/>
    <cellStyle name="Обычный 12 4 3 2 2" xfId="3204"/>
    <cellStyle name="Обычный 12 4 3 2 2 2" xfId="3205"/>
    <cellStyle name="Обычный 12 4 3 2 3" xfId="3206"/>
    <cellStyle name="Обычный 12 4 3 2 4" xfId="3207"/>
    <cellStyle name="Обычный 12 4 3 2 5" xfId="3208"/>
    <cellStyle name="Обычный 12 4 3 2 6" xfId="3209"/>
    <cellStyle name="Обычный 12 4 3 2 7" xfId="3210"/>
    <cellStyle name="Обычный 12 4 3 2 8" xfId="3211"/>
    <cellStyle name="Обычный 12 4 3 2 9" xfId="3212"/>
    <cellStyle name="Обычный 12 4 3 3" xfId="3213"/>
    <cellStyle name="Обычный 12 4 3 3 2" xfId="3214"/>
    <cellStyle name="Обычный 12 4 3 4" xfId="3215"/>
    <cellStyle name="Обычный 12 4 3 5" xfId="3216"/>
    <cellStyle name="Обычный 12 4 3 6" xfId="3217"/>
    <cellStyle name="Обычный 12 4 3 7" xfId="3218"/>
    <cellStyle name="Обычный 12 4 3 8" xfId="3219"/>
    <cellStyle name="Обычный 12 4 3 9" xfId="3220"/>
    <cellStyle name="Обычный 12 4 4" xfId="3221"/>
    <cellStyle name="Обычный 12 4 4 10" xfId="3222"/>
    <cellStyle name="Обычный 12 4 4 11" xfId="3223"/>
    <cellStyle name="Обычный 12 4 4 12" xfId="18221"/>
    <cellStyle name="Обычный 12 4 4 13" xfId="19926"/>
    <cellStyle name="Обычный 12 4 4 14" xfId="21540"/>
    <cellStyle name="Обычный 12 4 4 2" xfId="3224"/>
    <cellStyle name="Обычный 12 4 4 2 10" xfId="3225"/>
    <cellStyle name="Обычный 12 4 4 2 11" xfId="18222"/>
    <cellStyle name="Обычный 12 4 4 2 12" xfId="19927"/>
    <cellStyle name="Обычный 12 4 4 2 13" xfId="21541"/>
    <cellStyle name="Обычный 12 4 4 2 2" xfId="3226"/>
    <cellStyle name="Обычный 12 4 4 2 2 2" xfId="3227"/>
    <cellStyle name="Обычный 12 4 4 2 3" xfId="3228"/>
    <cellStyle name="Обычный 12 4 4 2 4" xfId="3229"/>
    <cellStyle name="Обычный 12 4 4 2 5" xfId="3230"/>
    <cellStyle name="Обычный 12 4 4 2 6" xfId="3231"/>
    <cellStyle name="Обычный 12 4 4 2 7" xfId="3232"/>
    <cellStyle name="Обычный 12 4 4 2 8" xfId="3233"/>
    <cellStyle name="Обычный 12 4 4 2 9" xfId="3234"/>
    <cellStyle name="Обычный 12 4 4 3" xfId="3235"/>
    <cellStyle name="Обычный 12 4 4 3 2" xfId="3236"/>
    <cellStyle name="Обычный 12 4 4 4" xfId="3237"/>
    <cellStyle name="Обычный 12 4 4 5" xfId="3238"/>
    <cellStyle name="Обычный 12 4 4 6" xfId="3239"/>
    <cellStyle name="Обычный 12 4 4 7" xfId="3240"/>
    <cellStyle name="Обычный 12 4 4 8" xfId="3241"/>
    <cellStyle name="Обычный 12 4 4 9" xfId="3242"/>
    <cellStyle name="Обычный 12 4 5" xfId="3243"/>
    <cellStyle name="Обычный 12 4 5 10" xfId="3244"/>
    <cellStyle name="Обычный 12 4 5 11" xfId="3245"/>
    <cellStyle name="Обычный 12 4 5 12" xfId="18223"/>
    <cellStyle name="Обычный 12 4 5 13" xfId="19928"/>
    <cellStyle name="Обычный 12 4 5 14" xfId="21542"/>
    <cellStyle name="Обычный 12 4 5 2" xfId="3246"/>
    <cellStyle name="Обычный 12 4 5 2 10" xfId="3247"/>
    <cellStyle name="Обычный 12 4 5 2 11" xfId="18224"/>
    <cellStyle name="Обычный 12 4 5 2 12" xfId="19929"/>
    <cellStyle name="Обычный 12 4 5 2 13" xfId="21543"/>
    <cellStyle name="Обычный 12 4 5 2 2" xfId="3248"/>
    <cellStyle name="Обычный 12 4 5 2 2 2" xfId="3249"/>
    <cellStyle name="Обычный 12 4 5 2 3" xfId="3250"/>
    <cellStyle name="Обычный 12 4 5 2 4" xfId="3251"/>
    <cellStyle name="Обычный 12 4 5 2 5" xfId="3252"/>
    <cellStyle name="Обычный 12 4 5 2 6" xfId="3253"/>
    <cellStyle name="Обычный 12 4 5 2 7" xfId="3254"/>
    <cellStyle name="Обычный 12 4 5 2 8" xfId="3255"/>
    <cellStyle name="Обычный 12 4 5 2 9" xfId="3256"/>
    <cellStyle name="Обычный 12 4 5 3" xfId="3257"/>
    <cellStyle name="Обычный 12 4 5 3 2" xfId="3258"/>
    <cellStyle name="Обычный 12 4 5 4" xfId="3259"/>
    <cellStyle name="Обычный 12 4 5 5" xfId="3260"/>
    <cellStyle name="Обычный 12 4 5 6" xfId="3261"/>
    <cellStyle name="Обычный 12 4 5 7" xfId="3262"/>
    <cellStyle name="Обычный 12 4 5 8" xfId="3263"/>
    <cellStyle name="Обычный 12 4 5 9" xfId="3264"/>
    <cellStyle name="Обычный 12 4 6" xfId="3265"/>
    <cellStyle name="Обычный 12 4 6 10" xfId="3266"/>
    <cellStyle name="Обычный 12 4 6 11" xfId="18225"/>
    <cellStyle name="Обычный 12 4 6 12" xfId="19930"/>
    <cellStyle name="Обычный 12 4 6 13" xfId="21544"/>
    <cellStyle name="Обычный 12 4 6 2" xfId="3267"/>
    <cellStyle name="Обычный 12 4 6 2 2" xfId="3268"/>
    <cellStyle name="Обычный 12 4 6 3" xfId="3269"/>
    <cellStyle name="Обычный 12 4 6 4" xfId="3270"/>
    <cellStyle name="Обычный 12 4 6 5" xfId="3271"/>
    <cellStyle name="Обычный 12 4 6 6" xfId="3272"/>
    <cellStyle name="Обычный 12 4 6 7" xfId="3273"/>
    <cellStyle name="Обычный 12 4 6 8" xfId="3274"/>
    <cellStyle name="Обычный 12 4 6 9" xfId="3275"/>
    <cellStyle name="Обычный 12 4 7" xfId="3276"/>
    <cellStyle name="Обычный 12 4 7 10" xfId="19931"/>
    <cellStyle name="Обычный 12 4 7 11" xfId="21545"/>
    <cellStyle name="Обычный 12 4 7 2" xfId="3277"/>
    <cellStyle name="Обычный 12 4 7 2 2" xfId="3278"/>
    <cellStyle name="Обычный 12 4 7 3" xfId="3279"/>
    <cellStyle name="Обычный 12 4 7 4" xfId="3280"/>
    <cellStyle name="Обычный 12 4 7 5" xfId="3281"/>
    <cellStyle name="Обычный 12 4 7 6" xfId="3282"/>
    <cellStyle name="Обычный 12 4 7 7" xfId="3283"/>
    <cellStyle name="Обычный 12 4 7 8" xfId="3284"/>
    <cellStyle name="Обычный 12 4 7 9" xfId="18226"/>
    <cellStyle name="Обычный 12 4 8" xfId="3285"/>
    <cellStyle name="Обычный 12 4 8 2" xfId="3286"/>
    <cellStyle name="Обычный 12 4 9" xfId="3287"/>
    <cellStyle name="Обычный 12 5" xfId="3288"/>
    <cellStyle name="Обычный 12 5 10" xfId="3289"/>
    <cellStyle name="Обычный 12 5 11" xfId="3290"/>
    <cellStyle name="Обычный 12 5 12" xfId="18227"/>
    <cellStyle name="Обычный 12 5 13" xfId="19932"/>
    <cellStyle name="Обычный 12 5 14" xfId="21546"/>
    <cellStyle name="Обычный 12 5 2" xfId="3291"/>
    <cellStyle name="Обычный 12 5 2 10" xfId="3292"/>
    <cellStyle name="Обычный 12 5 2 11" xfId="18228"/>
    <cellStyle name="Обычный 12 5 2 12" xfId="19933"/>
    <cellStyle name="Обычный 12 5 2 13" xfId="21547"/>
    <cellStyle name="Обычный 12 5 2 2" xfId="3293"/>
    <cellStyle name="Обычный 12 5 2 2 2" xfId="3294"/>
    <cellStyle name="Обычный 12 5 2 3" xfId="3295"/>
    <cellStyle name="Обычный 12 5 2 4" xfId="3296"/>
    <cellStyle name="Обычный 12 5 2 5" xfId="3297"/>
    <cellStyle name="Обычный 12 5 2 6" xfId="3298"/>
    <cellStyle name="Обычный 12 5 2 7" xfId="3299"/>
    <cellStyle name="Обычный 12 5 2 8" xfId="3300"/>
    <cellStyle name="Обычный 12 5 2 9" xfId="3301"/>
    <cellStyle name="Обычный 12 5 3" xfId="3302"/>
    <cellStyle name="Обычный 12 5 3 2" xfId="3303"/>
    <cellStyle name="Обычный 12 5 4" xfId="3304"/>
    <cellStyle name="Обычный 12 5 5" xfId="3305"/>
    <cellStyle name="Обычный 12 5 6" xfId="3306"/>
    <cellStyle name="Обычный 12 5 7" xfId="3307"/>
    <cellStyle name="Обычный 12 5 8" xfId="3308"/>
    <cellStyle name="Обычный 12 5 9" xfId="3309"/>
    <cellStyle name="Обычный 12 6" xfId="3310"/>
    <cellStyle name="Обычный 12 6 10" xfId="3311"/>
    <cellStyle name="Обычный 12 6 11" xfId="3312"/>
    <cellStyle name="Обычный 12 6 12" xfId="18229"/>
    <cellStyle name="Обычный 12 6 13" xfId="19934"/>
    <cellStyle name="Обычный 12 6 14" xfId="21548"/>
    <cellStyle name="Обычный 12 6 2" xfId="3313"/>
    <cellStyle name="Обычный 12 6 2 10" xfId="3314"/>
    <cellStyle name="Обычный 12 6 2 11" xfId="18230"/>
    <cellStyle name="Обычный 12 6 2 12" xfId="19935"/>
    <cellStyle name="Обычный 12 6 2 13" xfId="21549"/>
    <cellStyle name="Обычный 12 6 2 2" xfId="3315"/>
    <cellStyle name="Обычный 12 6 2 2 2" xfId="3316"/>
    <cellStyle name="Обычный 12 6 2 3" xfId="3317"/>
    <cellStyle name="Обычный 12 6 2 4" xfId="3318"/>
    <cellStyle name="Обычный 12 6 2 5" xfId="3319"/>
    <cellStyle name="Обычный 12 6 2 6" xfId="3320"/>
    <cellStyle name="Обычный 12 6 2 7" xfId="3321"/>
    <cellStyle name="Обычный 12 6 2 8" xfId="3322"/>
    <cellStyle name="Обычный 12 6 2 9" xfId="3323"/>
    <cellStyle name="Обычный 12 6 3" xfId="3324"/>
    <cellStyle name="Обычный 12 6 3 2" xfId="3325"/>
    <cellStyle name="Обычный 12 6 4" xfId="3326"/>
    <cellStyle name="Обычный 12 6 5" xfId="3327"/>
    <cellStyle name="Обычный 12 6 6" xfId="3328"/>
    <cellStyle name="Обычный 12 6 7" xfId="3329"/>
    <cellStyle name="Обычный 12 6 8" xfId="3330"/>
    <cellStyle name="Обычный 12 6 9" xfId="3331"/>
    <cellStyle name="Обычный 12 7" xfId="3332"/>
    <cellStyle name="Обычный 12 7 10" xfId="3333"/>
    <cellStyle name="Обычный 12 7 11" xfId="3334"/>
    <cellStyle name="Обычный 12 7 12" xfId="18231"/>
    <cellStyle name="Обычный 12 7 13" xfId="19936"/>
    <cellStyle name="Обычный 12 7 14" xfId="21550"/>
    <cellStyle name="Обычный 12 7 2" xfId="3335"/>
    <cellStyle name="Обычный 12 7 2 10" xfId="3336"/>
    <cellStyle name="Обычный 12 7 2 11" xfId="18232"/>
    <cellStyle name="Обычный 12 7 2 12" xfId="19937"/>
    <cellStyle name="Обычный 12 7 2 13" xfId="21551"/>
    <cellStyle name="Обычный 12 7 2 2" xfId="3337"/>
    <cellStyle name="Обычный 12 7 2 2 2" xfId="3338"/>
    <cellStyle name="Обычный 12 7 2 3" xfId="3339"/>
    <cellStyle name="Обычный 12 7 2 4" xfId="3340"/>
    <cellStyle name="Обычный 12 7 2 5" xfId="3341"/>
    <cellStyle name="Обычный 12 7 2 6" xfId="3342"/>
    <cellStyle name="Обычный 12 7 2 7" xfId="3343"/>
    <cellStyle name="Обычный 12 7 2 8" xfId="3344"/>
    <cellStyle name="Обычный 12 7 2 9" xfId="3345"/>
    <cellStyle name="Обычный 12 7 3" xfId="3346"/>
    <cellStyle name="Обычный 12 7 3 2" xfId="3347"/>
    <cellStyle name="Обычный 12 7 4" xfId="3348"/>
    <cellStyle name="Обычный 12 7 5" xfId="3349"/>
    <cellStyle name="Обычный 12 7 6" xfId="3350"/>
    <cellStyle name="Обычный 12 7 7" xfId="3351"/>
    <cellStyle name="Обычный 12 7 8" xfId="3352"/>
    <cellStyle name="Обычный 12 7 9" xfId="3353"/>
    <cellStyle name="Обычный 12 8" xfId="3354"/>
    <cellStyle name="Обычный 12 8 10" xfId="3355"/>
    <cellStyle name="Обычный 12 8 11" xfId="3356"/>
    <cellStyle name="Обычный 12 8 12" xfId="18233"/>
    <cellStyle name="Обычный 12 8 13" xfId="19938"/>
    <cellStyle name="Обычный 12 8 14" xfId="21552"/>
    <cellStyle name="Обычный 12 8 2" xfId="3357"/>
    <cellStyle name="Обычный 12 8 2 10" xfId="3358"/>
    <cellStyle name="Обычный 12 8 2 11" xfId="18234"/>
    <cellStyle name="Обычный 12 8 2 12" xfId="19939"/>
    <cellStyle name="Обычный 12 8 2 13" xfId="21553"/>
    <cellStyle name="Обычный 12 8 2 2" xfId="3359"/>
    <cellStyle name="Обычный 12 8 2 2 2" xfId="3360"/>
    <cellStyle name="Обычный 12 8 2 3" xfId="3361"/>
    <cellStyle name="Обычный 12 8 2 4" xfId="3362"/>
    <cellStyle name="Обычный 12 8 2 5" xfId="3363"/>
    <cellStyle name="Обычный 12 8 2 6" xfId="3364"/>
    <cellStyle name="Обычный 12 8 2 7" xfId="3365"/>
    <cellStyle name="Обычный 12 8 2 8" xfId="3366"/>
    <cellStyle name="Обычный 12 8 2 9" xfId="3367"/>
    <cellStyle name="Обычный 12 8 3" xfId="3368"/>
    <cellStyle name="Обычный 12 8 3 2" xfId="3369"/>
    <cellStyle name="Обычный 12 8 4" xfId="3370"/>
    <cellStyle name="Обычный 12 8 5" xfId="3371"/>
    <cellStyle name="Обычный 12 8 6" xfId="3372"/>
    <cellStyle name="Обычный 12 8 7" xfId="3373"/>
    <cellStyle name="Обычный 12 8 8" xfId="3374"/>
    <cellStyle name="Обычный 12 8 9" xfId="3375"/>
    <cellStyle name="Обычный 12 9" xfId="3376"/>
    <cellStyle name="Обычный 12 9 10" xfId="3377"/>
    <cellStyle name="Обычный 12 9 11" xfId="3378"/>
    <cellStyle name="Обычный 12 9 12" xfId="18235"/>
    <cellStyle name="Обычный 12 9 13" xfId="19940"/>
    <cellStyle name="Обычный 12 9 14" xfId="21554"/>
    <cellStyle name="Обычный 12 9 2" xfId="3379"/>
    <cellStyle name="Обычный 12 9 2 10" xfId="3380"/>
    <cellStyle name="Обычный 12 9 2 11" xfId="18236"/>
    <cellStyle name="Обычный 12 9 2 12" xfId="19941"/>
    <cellStyle name="Обычный 12 9 2 13" xfId="21555"/>
    <cellStyle name="Обычный 12 9 2 2" xfId="3381"/>
    <cellStyle name="Обычный 12 9 2 2 2" xfId="3382"/>
    <cellStyle name="Обычный 12 9 2 3" xfId="3383"/>
    <cellStyle name="Обычный 12 9 2 4" xfId="3384"/>
    <cellStyle name="Обычный 12 9 2 5" xfId="3385"/>
    <cellStyle name="Обычный 12 9 2 6" xfId="3386"/>
    <cellStyle name="Обычный 12 9 2 7" xfId="3387"/>
    <cellStyle name="Обычный 12 9 2 8" xfId="3388"/>
    <cellStyle name="Обычный 12 9 2 9" xfId="3389"/>
    <cellStyle name="Обычный 12 9 3" xfId="3390"/>
    <cellStyle name="Обычный 12 9 3 2" xfId="3391"/>
    <cellStyle name="Обычный 12 9 4" xfId="3392"/>
    <cellStyle name="Обычный 12 9 5" xfId="3393"/>
    <cellStyle name="Обычный 12 9 6" xfId="3394"/>
    <cellStyle name="Обычный 12 9 7" xfId="3395"/>
    <cellStyle name="Обычный 12 9 8" xfId="3396"/>
    <cellStyle name="Обычный 12 9 9" xfId="3397"/>
    <cellStyle name="Обычный 13" xfId="3398"/>
    <cellStyle name="Обычный 13 2" xfId="18237"/>
    <cellStyle name="Обычный 14" xfId="3399"/>
    <cellStyle name="Обычный 14 10" xfId="3400"/>
    <cellStyle name="Обычный 14 11" xfId="3401"/>
    <cellStyle name="Обычный 14 12" xfId="3402"/>
    <cellStyle name="Обычный 14 13" xfId="18238"/>
    <cellStyle name="Обычный 14 14" xfId="19942"/>
    <cellStyle name="Обычный 14 15" xfId="21556"/>
    <cellStyle name="Обычный 14 2" xfId="3403"/>
    <cellStyle name="Обычный 14 2 2" xfId="18239"/>
    <cellStyle name="Обычный 14 3" xfId="3404"/>
    <cellStyle name="Обычный 14 3 10" xfId="3405"/>
    <cellStyle name="Обычный 14 3 11" xfId="18240"/>
    <cellStyle name="Обычный 14 3 12" xfId="19943"/>
    <cellStyle name="Обычный 14 3 13" xfId="21557"/>
    <cellStyle name="Обычный 14 3 2" xfId="3406"/>
    <cellStyle name="Обычный 14 3 2 2" xfId="3407"/>
    <cellStyle name="Обычный 14 3 3" xfId="3408"/>
    <cellStyle name="Обычный 14 3 4" xfId="3409"/>
    <cellStyle name="Обычный 14 3 5" xfId="3410"/>
    <cellStyle name="Обычный 14 3 6" xfId="3411"/>
    <cellStyle name="Обычный 14 3 7" xfId="3412"/>
    <cellStyle name="Обычный 14 3 8" xfId="3413"/>
    <cellStyle name="Обычный 14 3 9" xfId="3414"/>
    <cellStyle name="Обычный 14 4" xfId="3415"/>
    <cellStyle name="Обычный 14 4 2" xfId="3416"/>
    <cellStyle name="Обычный 14 5" xfId="3417"/>
    <cellStyle name="Обычный 14 6" xfId="3418"/>
    <cellStyle name="Обычный 14 7" xfId="3419"/>
    <cellStyle name="Обычный 14 8" xfId="3420"/>
    <cellStyle name="Обычный 14 9" xfId="3421"/>
    <cellStyle name="Обычный 15" xfId="3422"/>
    <cellStyle name="Обычный 15 10" xfId="3423"/>
    <cellStyle name="Обычный 15 11" xfId="3424"/>
    <cellStyle name="Обычный 15 12" xfId="18241"/>
    <cellStyle name="Обычный 15 13" xfId="19944"/>
    <cellStyle name="Обычный 15 14" xfId="21558"/>
    <cellStyle name="Обычный 15 2" xfId="3425"/>
    <cellStyle name="Обычный 15 2 10" xfId="3426"/>
    <cellStyle name="Обычный 15 2 11" xfId="18242"/>
    <cellStyle name="Обычный 15 2 12" xfId="19945"/>
    <cellStyle name="Обычный 15 2 13" xfId="21559"/>
    <cellStyle name="Обычный 15 2 2" xfId="3427"/>
    <cellStyle name="Обычный 15 2 2 2" xfId="3428"/>
    <cellStyle name="Обычный 15 2 3" xfId="3429"/>
    <cellStyle name="Обычный 15 2 4" xfId="3430"/>
    <cellStyle name="Обычный 15 2 5" xfId="3431"/>
    <cellStyle name="Обычный 15 2 6" xfId="3432"/>
    <cellStyle name="Обычный 15 2 7" xfId="3433"/>
    <cellStyle name="Обычный 15 2 8" xfId="3434"/>
    <cellStyle name="Обычный 15 2 9" xfId="3435"/>
    <cellStyle name="Обычный 15 3" xfId="3436"/>
    <cellStyle name="Обычный 15 3 2" xfId="3437"/>
    <cellStyle name="Обычный 15 4" xfId="3438"/>
    <cellStyle name="Обычный 15 5" xfId="3439"/>
    <cellStyle name="Обычный 15 6" xfId="3440"/>
    <cellStyle name="Обычный 15 7" xfId="3441"/>
    <cellStyle name="Обычный 15 8" xfId="3442"/>
    <cellStyle name="Обычный 15 9" xfId="3443"/>
    <cellStyle name="Обычный 16" xfId="3444"/>
    <cellStyle name="Обычный 16 10" xfId="3445"/>
    <cellStyle name="Обычный 16 11" xfId="3446"/>
    <cellStyle name="Обычный 16 12" xfId="18243"/>
    <cellStyle name="Обычный 16 13" xfId="19946"/>
    <cellStyle name="Обычный 16 14" xfId="21560"/>
    <cellStyle name="Обычный 16 2" xfId="3447"/>
    <cellStyle name="Обычный 16 2 10" xfId="3448"/>
    <cellStyle name="Обычный 16 2 11" xfId="18244"/>
    <cellStyle name="Обычный 16 2 12" xfId="19947"/>
    <cellStyle name="Обычный 16 2 13" xfId="21561"/>
    <cellStyle name="Обычный 16 2 2" xfId="3449"/>
    <cellStyle name="Обычный 16 2 2 2" xfId="3450"/>
    <cellStyle name="Обычный 16 2 3" xfId="3451"/>
    <cellStyle name="Обычный 16 2 4" xfId="3452"/>
    <cellStyle name="Обычный 16 2 5" xfId="3453"/>
    <cellStyle name="Обычный 16 2 6" xfId="3454"/>
    <cellStyle name="Обычный 16 2 7" xfId="3455"/>
    <cellStyle name="Обычный 16 2 8" xfId="3456"/>
    <cellStyle name="Обычный 16 2 9" xfId="3457"/>
    <cellStyle name="Обычный 16 3" xfId="3458"/>
    <cellStyle name="Обычный 16 3 2" xfId="3459"/>
    <cellStyle name="Обычный 16 4" xfId="3460"/>
    <cellStyle name="Обычный 16 5" xfId="3461"/>
    <cellStyle name="Обычный 16 6" xfId="3462"/>
    <cellStyle name="Обычный 16 7" xfId="3463"/>
    <cellStyle name="Обычный 16 8" xfId="3464"/>
    <cellStyle name="Обычный 16 9" xfId="3465"/>
    <cellStyle name="Обычный 17" xfId="3466"/>
    <cellStyle name="Обычный 17 10" xfId="3467"/>
    <cellStyle name="Обычный 17 11" xfId="3468"/>
    <cellStyle name="Обычный 17 12" xfId="18245"/>
    <cellStyle name="Обычный 17 13" xfId="19948"/>
    <cellStyle name="Обычный 17 14" xfId="21562"/>
    <cellStyle name="Обычный 17 2" xfId="3469"/>
    <cellStyle name="Обычный 17 2 10" xfId="3470"/>
    <cellStyle name="Обычный 17 2 11" xfId="18246"/>
    <cellStyle name="Обычный 17 2 12" xfId="19949"/>
    <cellStyle name="Обычный 17 2 13" xfId="21563"/>
    <cellStyle name="Обычный 17 2 2" xfId="3471"/>
    <cellStyle name="Обычный 17 2 2 2" xfId="3472"/>
    <cellStyle name="Обычный 17 2 3" xfId="3473"/>
    <cellStyle name="Обычный 17 2 4" xfId="3474"/>
    <cellStyle name="Обычный 17 2 5" xfId="3475"/>
    <cellStyle name="Обычный 17 2 6" xfId="3476"/>
    <cellStyle name="Обычный 17 2 7" xfId="3477"/>
    <cellStyle name="Обычный 17 2 8" xfId="3478"/>
    <cellStyle name="Обычный 17 2 9" xfId="3479"/>
    <cellStyle name="Обычный 17 3" xfId="3480"/>
    <cellStyle name="Обычный 17 3 2" xfId="3481"/>
    <cellStyle name="Обычный 17 4" xfId="3482"/>
    <cellStyle name="Обычный 17 5" xfId="3483"/>
    <cellStyle name="Обычный 17 6" xfId="3484"/>
    <cellStyle name="Обычный 17 7" xfId="3485"/>
    <cellStyle name="Обычный 17 8" xfId="3486"/>
    <cellStyle name="Обычный 17 9" xfId="3487"/>
    <cellStyle name="Обычный 18" xfId="3488"/>
    <cellStyle name="Обычный 18 10" xfId="3489"/>
    <cellStyle name="Обычный 18 11" xfId="3490"/>
    <cellStyle name="Обычный 18 12" xfId="18247"/>
    <cellStyle name="Обычный 18 13" xfId="19950"/>
    <cellStyle name="Обычный 18 14" xfId="21564"/>
    <cellStyle name="Обычный 18 2" xfId="3491"/>
    <cellStyle name="Обычный 18 2 10" xfId="3492"/>
    <cellStyle name="Обычный 18 2 11" xfId="18248"/>
    <cellStyle name="Обычный 18 2 12" xfId="19951"/>
    <cellStyle name="Обычный 18 2 13" xfId="21565"/>
    <cellStyle name="Обычный 18 2 2" xfId="3493"/>
    <cellStyle name="Обычный 18 2 2 2" xfId="3494"/>
    <cellStyle name="Обычный 18 2 3" xfId="3495"/>
    <cellStyle name="Обычный 18 2 4" xfId="3496"/>
    <cellStyle name="Обычный 18 2 5" xfId="3497"/>
    <cellStyle name="Обычный 18 2 6" xfId="3498"/>
    <cellStyle name="Обычный 18 2 7" xfId="3499"/>
    <cellStyle name="Обычный 18 2 8" xfId="3500"/>
    <cellStyle name="Обычный 18 2 9" xfId="3501"/>
    <cellStyle name="Обычный 18 3" xfId="3502"/>
    <cellStyle name="Обычный 18 3 2" xfId="3503"/>
    <cellStyle name="Обычный 18 4" xfId="3504"/>
    <cellStyle name="Обычный 18 5" xfId="3505"/>
    <cellStyle name="Обычный 18 6" xfId="3506"/>
    <cellStyle name="Обычный 18 7" xfId="3507"/>
    <cellStyle name="Обычный 18 8" xfId="3508"/>
    <cellStyle name="Обычный 18 9" xfId="3509"/>
    <cellStyle name="Обычный 19" xfId="3510"/>
    <cellStyle name="Обычный 19 10" xfId="3511"/>
    <cellStyle name="Обычный 19 11" xfId="3512"/>
    <cellStyle name="Обычный 19 12" xfId="18249"/>
    <cellStyle name="Обычный 19 13" xfId="19952"/>
    <cellStyle name="Обычный 19 14" xfId="21566"/>
    <cellStyle name="Обычный 19 2" xfId="3513"/>
    <cellStyle name="Обычный 19 2 10" xfId="3514"/>
    <cellStyle name="Обычный 19 2 11" xfId="18250"/>
    <cellStyle name="Обычный 19 2 12" xfId="19953"/>
    <cellStyle name="Обычный 19 2 13" xfId="21567"/>
    <cellStyle name="Обычный 19 2 2" xfId="3515"/>
    <cellStyle name="Обычный 19 2 2 2" xfId="3516"/>
    <cellStyle name="Обычный 19 2 3" xfId="3517"/>
    <cellStyle name="Обычный 19 2 4" xfId="3518"/>
    <cellStyle name="Обычный 19 2 5" xfId="3519"/>
    <cellStyle name="Обычный 19 2 6" xfId="3520"/>
    <cellStyle name="Обычный 19 2 7" xfId="3521"/>
    <cellStyle name="Обычный 19 2 8" xfId="3522"/>
    <cellStyle name="Обычный 19 2 9" xfId="3523"/>
    <cellStyle name="Обычный 19 3" xfId="3524"/>
    <cellStyle name="Обычный 19 3 2" xfId="3525"/>
    <cellStyle name="Обычный 19 4" xfId="3526"/>
    <cellStyle name="Обычный 19 5" xfId="3527"/>
    <cellStyle name="Обычный 19 6" xfId="3528"/>
    <cellStyle name="Обычный 19 7" xfId="3529"/>
    <cellStyle name="Обычный 19 8" xfId="3530"/>
    <cellStyle name="Обычный 19 9" xfId="3531"/>
    <cellStyle name="Обычный 2" xfId="3532"/>
    <cellStyle name="Обычный 2 10" xfId="21264"/>
    <cellStyle name="Обычный 2 2" xfId="3533"/>
    <cellStyle name="Обычный 2 2 10" xfId="21267"/>
    <cellStyle name="Обычный 2 2 2" xfId="3534"/>
    <cellStyle name="Обычный 2 2 2 2" xfId="3535"/>
    <cellStyle name="Обычный 2 2 2 2 2" xfId="18254"/>
    <cellStyle name="Обычный 2 2 2 3" xfId="18253"/>
    <cellStyle name="Обычный 2 2 2_5. общ.V" xfId="3536"/>
    <cellStyle name="Обычный 2 2 3" xfId="18252"/>
    <cellStyle name="Обычный 2 2 4" xfId="19626"/>
    <cellStyle name="Обычный 2 2 5" xfId="19647"/>
    <cellStyle name="Обычный 2 2 6" xfId="19955"/>
    <cellStyle name="Обычный 2 2 7" xfId="21265"/>
    <cellStyle name="Обычный 2 2 8" xfId="21266"/>
    <cellStyle name="Обычный 2 2 9" xfId="21263"/>
    <cellStyle name="Обычный 2 3" xfId="3537"/>
    <cellStyle name="Обычный 2 3 2" xfId="3538"/>
    <cellStyle name="Обычный 2 3 2 10" xfId="3539"/>
    <cellStyle name="Обычный 2 3 2 10 10" xfId="3540"/>
    <cellStyle name="Обычный 2 3 2 10 11" xfId="3541"/>
    <cellStyle name="Обычный 2 3 2 10 12" xfId="18257"/>
    <cellStyle name="Обычный 2 3 2 10 13" xfId="19957"/>
    <cellStyle name="Обычный 2 3 2 10 14" xfId="21569"/>
    <cellStyle name="Обычный 2 3 2 10 2" xfId="3542"/>
    <cellStyle name="Обычный 2 3 2 10 2 10" xfId="3543"/>
    <cellStyle name="Обычный 2 3 2 10 2 11" xfId="18258"/>
    <cellStyle name="Обычный 2 3 2 10 2 12" xfId="19958"/>
    <cellStyle name="Обычный 2 3 2 10 2 13" xfId="21570"/>
    <cellStyle name="Обычный 2 3 2 10 2 2" xfId="3544"/>
    <cellStyle name="Обычный 2 3 2 10 2 2 2" xfId="3545"/>
    <cellStyle name="Обычный 2 3 2 10 2 3" xfId="3546"/>
    <cellStyle name="Обычный 2 3 2 10 2 4" xfId="3547"/>
    <cellStyle name="Обычный 2 3 2 10 2 5" xfId="3548"/>
    <cellStyle name="Обычный 2 3 2 10 2 6" xfId="3549"/>
    <cellStyle name="Обычный 2 3 2 10 2 7" xfId="3550"/>
    <cellStyle name="Обычный 2 3 2 10 2 8" xfId="3551"/>
    <cellStyle name="Обычный 2 3 2 10 2 9" xfId="3552"/>
    <cellStyle name="Обычный 2 3 2 10 3" xfId="3553"/>
    <cellStyle name="Обычный 2 3 2 10 3 2" xfId="3554"/>
    <cellStyle name="Обычный 2 3 2 10 4" xfId="3555"/>
    <cellStyle name="Обычный 2 3 2 10 5" xfId="3556"/>
    <cellStyle name="Обычный 2 3 2 10 6" xfId="3557"/>
    <cellStyle name="Обычный 2 3 2 10 7" xfId="3558"/>
    <cellStyle name="Обычный 2 3 2 10 8" xfId="3559"/>
    <cellStyle name="Обычный 2 3 2 10 9" xfId="3560"/>
    <cellStyle name="Обычный 2 3 2 11" xfId="3561"/>
    <cellStyle name="Обычный 2 3 2 11 10" xfId="3562"/>
    <cellStyle name="Обычный 2 3 2 11 11" xfId="3563"/>
    <cellStyle name="Обычный 2 3 2 11 12" xfId="18259"/>
    <cellStyle name="Обычный 2 3 2 11 13" xfId="19959"/>
    <cellStyle name="Обычный 2 3 2 11 14" xfId="21571"/>
    <cellStyle name="Обычный 2 3 2 11 2" xfId="3564"/>
    <cellStyle name="Обычный 2 3 2 11 2 10" xfId="3565"/>
    <cellStyle name="Обычный 2 3 2 11 2 11" xfId="18260"/>
    <cellStyle name="Обычный 2 3 2 11 2 12" xfId="19960"/>
    <cellStyle name="Обычный 2 3 2 11 2 13" xfId="21572"/>
    <cellStyle name="Обычный 2 3 2 11 2 2" xfId="3566"/>
    <cellStyle name="Обычный 2 3 2 11 2 2 2" xfId="3567"/>
    <cellStyle name="Обычный 2 3 2 11 2 3" xfId="3568"/>
    <cellStyle name="Обычный 2 3 2 11 2 4" xfId="3569"/>
    <cellStyle name="Обычный 2 3 2 11 2 5" xfId="3570"/>
    <cellStyle name="Обычный 2 3 2 11 2 6" xfId="3571"/>
    <cellStyle name="Обычный 2 3 2 11 2 7" xfId="3572"/>
    <cellStyle name="Обычный 2 3 2 11 2 8" xfId="3573"/>
    <cellStyle name="Обычный 2 3 2 11 2 9" xfId="3574"/>
    <cellStyle name="Обычный 2 3 2 11 3" xfId="3575"/>
    <cellStyle name="Обычный 2 3 2 11 3 2" xfId="3576"/>
    <cellStyle name="Обычный 2 3 2 11 4" xfId="3577"/>
    <cellStyle name="Обычный 2 3 2 11 5" xfId="3578"/>
    <cellStyle name="Обычный 2 3 2 11 6" xfId="3579"/>
    <cellStyle name="Обычный 2 3 2 11 7" xfId="3580"/>
    <cellStyle name="Обычный 2 3 2 11 8" xfId="3581"/>
    <cellStyle name="Обычный 2 3 2 11 9" xfId="3582"/>
    <cellStyle name="Обычный 2 3 2 12" xfId="3583"/>
    <cellStyle name="Обычный 2 3 2 12 10" xfId="3584"/>
    <cellStyle name="Обычный 2 3 2 12 11" xfId="18261"/>
    <cellStyle name="Обычный 2 3 2 12 12" xfId="19961"/>
    <cellStyle name="Обычный 2 3 2 12 13" xfId="21573"/>
    <cellStyle name="Обычный 2 3 2 12 2" xfId="3585"/>
    <cellStyle name="Обычный 2 3 2 12 2 2" xfId="3586"/>
    <cellStyle name="Обычный 2 3 2 12 3" xfId="3587"/>
    <cellStyle name="Обычный 2 3 2 12 4" xfId="3588"/>
    <cellStyle name="Обычный 2 3 2 12 5" xfId="3589"/>
    <cellStyle name="Обычный 2 3 2 12 6" xfId="3590"/>
    <cellStyle name="Обычный 2 3 2 12 7" xfId="3591"/>
    <cellStyle name="Обычный 2 3 2 12 8" xfId="3592"/>
    <cellStyle name="Обычный 2 3 2 12 9" xfId="3593"/>
    <cellStyle name="Обычный 2 3 2 13" xfId="3594"/>
    <cellStyle name="Обычный 2 3 2 13 10" xfId="19962"/>
    <cellStyle name="Обычный 2 3 2 13 11" xfId="21574"/>
    <cellStyle name="Обычный 2 3 2 13 2" xfId="3595"/>
    <cellStyle name="Обычный 2 3 2 13 2 2" xfId="3596"/>
    <cellStyle name="Обычный 2 3 2 13 3" xfId="3597"/>
    <cellStyle name="Обычный 2 3 2 13 4" xfId="3598"/>
    <cellStyle name="Обычный 2 3 2 13 5" xfId="3599"/>
    <cellStyle name="Обычный 2 3 2 13 6" xfId="3600"/>
    <cellStyle name="Обычный 2 3 2 13 7" xfId="3601"/>
    <cellStyle name="Обычный 2 3 2 13 8" xfId="3602"/>
    <cellStyle name="Обычный 2 3 2 13 9" xfId="18262"/>
    <cellStyle name="Обычный 2 3 2 14" xfId="3603"/>
    <cellStyle name="Обычный 2 3 2 14 10" xfId="19963"/>
    <cellStyle name="Обычный 2 3 2 14 11" xfId="21575"/>
    <cellStyle name="Обычный 2 3 2 14 2" xfId="3604"/>
    <cellStyle name="Обычный 2 3 2 14 2 2" xfId="3605"/>
    <cellStyle name="Обычный 2 3 2 14 3" xfId="3606"/>
    <cellStyle name="Обычный 2 3 2 14 4" xfId="3607"/>
    <cellStyle name="Обычный 2 3 2 14 5" xfId="3608"/>
    <cellStyle name="Обычный 2 3 2 14 6" xfId="3609"/>
    <cellStyle name="Обычный 2 3 2 14 7" xfId="3610"/>
    <cellStyle name="Обычный 2 3 2 14 8" xfId="3611"/>
    <cellStyle name="Обычный 2 3 2 14 9" xfId="18263"/>
    <cellStyle name="Обычный 2 3 2 15" xfId="3612"/>
    <cellStyle name="Обычный 2 3 2 15 2" xfId="3613"/>
    <cellStyle name="Обычный 2 3 2 16" xfId="3614"/>
    <cellStyle name="Обычный 2 3 2 17" xfId="3615"/>
    <cellStyle name="Обычный 2 3 2 18" xfId="3616"/>
    <cellStyle name="Обычный 2 3 2 19" xfId="3617"/>
    <cellStyle name="Обычный 2 3 2 2" xfId="3618"/>
    <cellStyle name="Обычный 2 3 2 2 10" xfId="3619"/>
    <cellStyle name="Обычный 2 3 2 2 10 2" xfId="3620"/>
    <cellStyle name="Обычный 2 3 2 2 11" xfId="3621"/>
    <cellStyle name="Обычный 2 3 2 2 12" xfId="3622"/>
    <cellStyle name="Обычный 2 3 2 2 13" xfId="3623"/>
    <cellStyle name="Обычный 2 3 2 2 14" xfId="3624"/>
    <cellStyle name="Обычный 2 3 2 2 15" xfId="3625"/>
    <cellStyle name="Обычный 2 3 2 2 16" xfId="3626"/>
    <cellStyle name="Обычный 2 3 2 2 17" xfId="3627"/>
    <cellStyle name="Обычный 2 3 2 2 18" xfId="3628"/>
    <cellStyle name="Обычный 2 3 2 2 19" xfId="3629"/>
    <cellStyle name="Обычный 2 3 2 2 2" xfId="3630"/>
    <cellStyle name="Обычный 2 3 2 2 2 10" xfId="3631"/>
    <cellStyle name="Обычный 2 3 2 2 2 11" xfId="3632"/>
    <cellStyle name="Обычный 2 3 2 2 2 12" xfId="3633"/>
    <cellStyle name="Обычный 2 3 2 2 2 13" xfId="3634"/>
    <cellStyle name="Обычный 2 3 2 2 2 14" xfId="3635"/>
    <cellStyle name="Обычный 2 3 2 2 2 15" xfId="3636"/>
    <cellStyle name="Обычный 2 3 2 2 2 16" xfId="3637"/>
    <cellStyle name="Обычный 2 3 2 2 2 17" xfId="3638"/>
    <cellStyle name="Обычный 2 3 2 2 2 18" xfId="18265"/>
    <cellStyle name="Обычный 2 3 2 2 2 19" xfId="19965"/>
    <cellStyle name="Обычный 2 3 2 2 2 2" xfId="3639"/>
    <cellStyle name="Обычный 2 3 2 2 2 2 10" xfId="3640"/>
    <cellStyle name="Обычный 2 3 2 2 2 2 11" xfId="3641"/>
    <cellStyle name="Обычный 2 3 2 2 2 2 12" xfId="18266"/>
    <cellStyle name="Обычный 2 3 2 2 2 2 13" xfId="19966"/>
    <cellStyle name="Обычный 2 3 2 2 2 2 14" xfId="21578"/>
    <cellStyle name="Обычный 2 3 2 2 2 2 2" xfId="3642"/>
    <cellStyle name="Обычный 2 3 2 2 2 2 2 10" xfId="3643"/>
    <cellStyle name="Обычный 2 3 2 2 2 2 2 11" xfId="18267"/>
    <cellStyle name="Обычный 2 3 2 2 2 2 2 12" xfId="19967"/>
    <cellStyle name="Обычный 2 3 2 2 2 2 2 13" xfId="21579"/>
    <cellStyle name="Обычный 2 3 2 2 2 2 2 2" xfId="3644"/>
    <cellStyle name="Обычный 2 3 2 2 2 2 2 2 2" xfId="3645"/>
    <cellStyle name="Обычный 2 3 2 2 2 2 2 3" xfId="3646"/>
    <cellStyle name="Обычный 2 3 2 2 2 2 2 4" xfId="3647"/>
    <cellStyle name="Обычный 2 3 2 2 2 2 2 5" xfId="3648"/>
    <cellStyle name="Обычный 2 3 2 2 2 2 2 6" xfId="3649"/>
    <cellStyle name="Обычный 2 3 2 2 2 2 2 7" xfId="3650"/>
    <cellStyle name="Обычный 2 3 2 2 2 2 2 8" xfId="3651"/>
    <cellStyle name="Обычный 2 3 2 2 2 2 2 9" xfId="3652"/>
    <cellStyle name="Обычный 2 3 2 2 2 2 3" xfId="3653"/>
    <cellStyle name="Обычный 2 3 2 2 2 2 3 2" xfId="3654"/>
    <cellStyle name="Обычный 2 3 2 2 2 2 4" xfId="3655"/>
    <cellStyle name="Обычный 2 3 2 2 2 2 5" xfId="3656"/>
    <cellStyle name="Обычный 2 3 2 2 2 2 6" xfId="3657"/>
    <cellStyle name="Обычный 2 3 2 2 2 2 7" xfId="3658"/>
    <cellStyle name="Обычный 2 3 2 2 2 2 8" xfId="3659"/>
    <cellStyle name="Обычный 2 3 2 2 2 2 9" xfId="3660"/>
    <cellStyle name="Обычный 2 3 2 2 2 20" xfId="21577"/>
    <cellStyle name="Обычный 2 3 2 2 2 3" xfId="3661"/>
    <cellStyle name="Обычный 2 3 2 2 2 3 10" xfId="3662"/>
    <cellStyle name="Обычный 2 3 2 2 2 3 11" xfId="3663"/>
    <cellStyle name="Обычный 2 3 2 2 2 3 12" xfId="18268"/>
    <cellStyle name="Обычный 2 3 2 2 2 3 13" xfId="19968"/>
    <cellStyle name="Обычный 2 3 2 2 2 3 14" xfId="21580"/>
    <cellStyle name="Обычный 2 3 2 2 2 3 2" xfId="3664"/>
    <cellStyle name="Обычный 2 3 2 2 2 3 2 10" xfId="3665"/>
    <cellStyle name="Обычный 2 3 2 2 2 3 2 11" xfId="18269"/>
    <cellStyle name="Обычный 2 3 2 2 2 3 2 12" xfId="19969"/>
    <cellStyle name="Обычный 2 3 2 2 2 3 2 13" xfId="21581"/>
    <cellStyle name="Обычный 2 3 2 2 2 3 2 2" xfId="3666"/>
    <cellStyle name="Обычный 2 3 2 2 2 3 2 2 2" xfId="3667"/>
    <cellStyle name="Обычный 2 3 2 2 2 3 2 3" xfId="3668"/>
    <cellStyle name="Обычный 2 3 2 2 2 3 2 4" xfId="3669"/>
    <cellStyle name="Обычный 2 3 2 2 2 3 2 5" xfId="3670"/>
    <cellStyle name="Обычный 2 3 2 2 2 3 2 6" xfId="3671"/>
    <cellStyle name="Обычный 2 3 2 2 2 3 2 7" xfId="3672"/>
    <cellStyle name="Обычный 2 3 2 2 2 3 2 8" xfId="3673"/>
    <cellStyle name="Обычный 2 3 2 2 2 3 2 9" xfId="3674"/>
    <cellStyle name="Обычный 2 3 2 2 2 3 3" xfId="3675"/>
    <cellStyle name="Обычный 2 3 2 2 2 3 3 2" xfId="3676"/>
    <cellStyle name="Обычный 2 3 2 2 2 3 4" xfId="3677"/>
    <cellStyle name="Обычный 2 3 2 2 2 3 5" xfId="3678"/>
    <cellStyle name="Обычный 2 3 2 2 2 3 6" xfId="3679"/>
    <cellStyle name="Обычный 2 3 2 2 2 3 7" xfId="3680"/>
    <cellStyle name="Обычный 2 3 2 2 2 3 8" xfId="3681"/>
    <cellStyle name="Обычный 2 3 2 2 2 3 9" xfId="3682"/>
    <cellStyle name="Обычный 2 3 2 2 2 4" xfId="3683"/>
    <cellStyle name="Обычный 2 3 2 2 2 4 10" xfId="3684"/>
    <cellStyle name="Обычный 2 3 2 2 2 4 11" xfId="3685"/>
    <cellStyle name="Обычный 2 3 2 2 2 4 12" xfId="18270"/>
    <cellStyle name="Обычный 2 3 2 2 2 4 13" xfId="19970"/>
    <cellStyle name="Обычный 2 3 2 2 2 4 14" xfId="21582"/>
    <cellStyle name="Обычный 2 3 2 2 2 4 2" xfId="3686"/>
    <cellStyle name="Обычный 2 3 2 2 2 4 2 10" xfId="3687"/>
    <cellStyle name="Обычный 2 3 2 2 2 4 2 11" xfId="18271"/>
    <cellStyle name="Обычный 2 3 2 2 2 4 2 12" xfId="19971"/>
    <cellStyle name="Обычный 2 3 2 2 2 4 2 13" xfId="21583"/>
    <cellStyle name="Обычный 2 3 2 2 2 4 2 2" xfId="3688"/>
    <cellStyle name="Обычный 2 3 2 2 2 4 2 2 2" xfId="3689"/>
    <cellStyle name="Обычный 2 3 2 2 2 4 2 3" xfId="3690"/>
    <cellStyle name="Обычный 2 3 2 2 2 4 2 4" xfId="3691"/>
    <cellStyle name="Обычный 2 3 2 2 2 4 2 5" xfId="3692"/>
    <cellStyle name="Обычный 2 3 2 2 2 4 2 6" xfId="3693"/>
    <cellStyle name="Обычный 2 3 2 2 2 4 2 7" xfId="3694"/>
    <cellStyle name="Обычный 2 3 2 2 2 4 2 8" xfId="3695"/>
    <cellStyle name="Обычный 2 3 2 2 2 4 2 9" xfId="3696"/>
    <cellStyle name="Обычный 2 3 2 2 2 4 3" xfId="3697"/>
    <cellStyle name="Обычный 2 3 2 2 2 4 3 2" xfId="3698"/>
    <cellStyle name="Обычный 2 3 2 2 2 4 4" xfId="3699"/>
    <cellStyle name="Обычный 2 3 2 2 2 4 5" xfId="3700"/>
    <cellStyle name="Обычный 2 3 2 2 2 4 6" xfId="3701"/>
    <cellStyle name="Обычный 2 3 2 2 2 4 7" xfId="3702"/>
    <cellStyle name="Обычный 2 3 2 2 2 4 8" xfId="3703"/>
    <cellStyle name="Обычный 2 3 2 2 2 4 9" xfId="3704"/>
    <cellStyle name="Обычный 2 3 2 2 2 5" xfId="3705"/>
    <cellStyle name="Обычный 2 3 2 2 2 5 10" xfId="3706"/>
    <cellStyle name="Обычный 2 3 2 2 2 5 11" xfId="3707"/>
    <cellStyle name="Обычный 2 3 2 2 2 5 12" xfId="18272"/>
    <cellStyle name="Обычный 2 3 2 2 2 5 13" xfId="19972"/>
    <cellStyle name="Обычный 2 3 2 2 2 5 14" xfId="21584"/>
    <cellStyle name="Обычный 2 3 2 2 2 5 2" xfId="3708"/>
    <cellStyle name="Обычный 2 3 2 2 2 5 2 10" xfId="3709"/>
    <cellStyle name="Обычный 2 3 2 2 2 5 2 11" xfId="18273"/>
    <cellStyle name="Обычный 2 3 2 2 2 5 2 12" xfId="19973"/>
    <cellStyle name="Обычный 2 3 2 2 2 5 2 13" xfId="21585"/>
    <cellStyle name="Обычный 2 3 2 2 2 5 2 2" xfId="3710"/>
    <cellStyle name="Обычный 2 3 2 2 2 5 2 2 2" xfId="3711"/>
    <cellStyle name="Обычный 2 3 2 2 2 5 2 3" xfId="3712"/>
    <cellStyle name="Обычный 2 3 2 2 2 5 2 4" xfId="3713"/>
    <cellStyle name="Обычный 2 3 2 2 2 5 2 5" xfId="3714"/>
    <cellStyle name="Обычный 2 3 2 2 2 5 2 6" xfId="3715"/>
    <cellStyle name="Обычный 2 3 2 2 2 5 2 7" xfId="3716"/>
    <cellStyle name="Обычный 2 3 2 2 2 5 2 8" xfId="3717"/>
    <cellStyle name="Обычный 2 3 2 2 2 5 2 9" xfId="3718"/>
    <cellStyle name="Обычный 2 3 2 2 2 5 3" xfId="3719"/>
    <cellStyle name="Обычный 2 3 2 2 2 5 3 2" xfId="3720"/>
    <cellStyle name="Обычный 2 3 2 2 2 5 4" xfId="3721"/>
    <cellStyle name="Обычный 2 3 2 2 2 5 5" xfId="3722"/>
    <cellStyle name="Обычный 2 3 2 2 2 5 6" xfId="3723"/>
    <cellStyle name="Обычный 2 3 2 2 2 5 7" xfId="3724"/>
    <cellStyle name="Обычный 2 3 2 2 2 5 8" xfId="3725"/>
    <cellStyle name="Обычный 2 3 2 2 2 5 9" xfId="3726"/>
    <cellStyle name="Обычный 2 3 2 2 2 6" xfId="3727"/>
    <cellStyle name="Обычный 2 3 2 2 2 6 10" xfId="3728"/>
    <cellStyle name="Обычный 2 3 2 2 2 6 11" xfId="18274"/>
    <cellStyle name="Обычный 2 3 2 2 2 6 12" xfId="19974"/>
    <cellStyle name="Обычный 2 3 2 2 2 6 13" xfId="21586"/>
    <cellStyle name="Обычный 2 3 2 2 2 6 2" xfId="3729"/>
    <cellStyle name="Обычный 2 3 2 2 2 6 2 2" xfId="3730"/>
    <cellStyle name="Обычный 2 3 2 2 2 6 3" xfId="3731"/>
    <cellStyle name="Обычный 2 3 2 2 2 6 4" xfId="3732"/>
    <cellStyle name="Обычный 2 3 2 2 2 6 5" xfId="3733"/>
    <cellStyle name="Обычный 2 3 2 2 2 6 6" xfId="3734"/>
    <cellStyle name="Обычный 2 3 2 2 2 6 7" xfId="3735"/>
    <cellStyle name="Обычный 2 3 2 2 2 6 8" xfId="3736"/>
    <cellStyle name="Обычный 2 3 2 2 2 6 9" xfId="3737"/>
    <cellStyle name="Обычный 2 3 2 2 2 7" xfId="3738"/>
    <cellStyle name="Обычный 2 3 2 2 2 7 10" xfId="19975"/>
    <cellStyle name="Обычный 2 3 2 2 2 7 11" xfId="21587"/>
    <cellStyle name="Обычный 2 3 2 2 2 7 2" xfId="3739"/>
    <cellStyle name="Обычный 2 3 2 2 2 7 2 2" xfId="3740"/>
    <cellStyle name="Обычный 2 3 2 2 2 7 3" xfId="3741"/>
    <cellStyle name="Обычный 2 3 2 2 2 7 4" xfId="3742"/>
    <cellStyle name="Обычный 2 3 2 2 2 7 5" xfId="3743"/>
    <cellStyle name="Обычный 2 3 2 2 2 7 6" xfId="3744"/>
    <cellStyle name="Обычный 2 3 2 2 2 7 7" xfId="3745"/>
    <cellStyle name="Обычный 2 3 2 2 2 7 8" xfId="3746"/>
    <cellStyle name="Обычный 2 3 2 2 2 7 9" xfId="18275"/>
    <cellStyle name="Обычный 2 3 2 2 2 8" xfId="3747"/>
    <cellStyle name="Обычный 2 3 2 2 2 8 2" xfId="3748"/>
    <cellStyle name="Обычный 2 3 2 2 2 9" xfId="3749"/>
    <cellStyle name="Обычный 2 3 2 2 20" xfId="18264"/>
    <cellStyle name="Обычный 2 3 2 2 21" xfId="19964"/>
    <cellStyle name="Обычный 2 3 2 2 22" xfId="21576"/>
    <cellStyle name="Обычный 2 3 2 2 3" xfId="3750"/>
    <cellStyle name="Обычный 2 3 2 2 3 10" xfId="3751"/>
    <cellStyle name="Обычный 2 3 2 2 3 11" xfId="3752"/>
    <cellStyle name="Обычный 2 3 2 2 3 12" xfId="3753"/>
    <cellStyle name="Обычный 2 3 2 2 3 13" xfId="3754"/>
    <cellStyle name="Обычный 2 3 2 2 3 14" xfId="3755"/>
    <cellStyle name="Обычный 2 3 2 2 3 15" xfId="3756"/>
    <cellStyle name="Обычный 2 3 2 2 3 16" xfId="3757"/>
    <cellStyle name="Обычный 2 3 2 2 3 17" xfId="3758"/>
    <cellStyle name="Обычный 2 3 2 2 3 18" xfId="18276"/>
    <cellStyle name="Обычный 2 3 2 2 3 19" xfId="19976"/>
    <cellStyle name="Обычный 2 3 2 2 3 2" xfId="3759"/>
    <cellStyle name="Обычный 2 3 2 2 3 2 10" xfId="3760"/>
    <cellStyle name="Обычный 2 3 2 2 3 2 11" xfId="3761"/>
    <cellStyle name="Обычный 2 3 2 2 3 2 12" xfId="18277"/>
    <cellStyle name="Обычный 2 3 2 2 3 2 13" xfId="19977"/>
    <cellStyle name="Обычный 2 3 2 2 3 2 14" xfId="21589"/>
    <cellStyle name="Обычный 2 3 2 2 3 2 2" xfId="3762"/>
    <cellStyle name="Обычный 2 3 2 2 3 2 2 10" xfId="3763"/>
    <cellStyle name="Обычный 2 3 2 2 3 2 2 11" xfId="18278"/>
    <cellStyle name="Обычный 2 3 2 2 3 2 2 12" xfId="19978"/>
    <cellStyle name="Обычный 2 3 2 2 3 2 2 13" xfId="21590"/>
    <cellStyle name="Обычный 2 3 2 2 3 2 2 2" xfId="3764"/>
    <cellStyle name="Обычный 2 3 2 2 3 2 2 2 2" xfId="3765"/>
    <cellStyle name="Обычный 2 3 2 2 3 2 2 3" xfId="3766"/>
    <cellStyle name="Обычный 2 3 2 2 3 2 2 4" xfId="3767"/>
    <cellStyle name="Обычный 2 3 2 2 3 2 2 5" xfId="3768"/>
    <cellStyle name="Обычный 2 3 2 2 3 2 2 6" xfId="3769"/>
    <cellStyle name="Обычный 2 3 2 2 3 2 2 7" xfId="3770"/>
    <cellStyle name="Обычный 2 3 2 2 3 2 2 8" xfId="3771"/>
    <cellStyle name="Обычный 2 3 2 2 3 2 2 9" xfId="3772"/>
    <cellStyle name="Обычный 2 3 2 2 3 2 3" xfId="3773"/>
    <cellStyle name="Обычный 2 3 2 2 3 2 3 2" xfId="3774"/>
    <cellStyle name="Обычный 2 3 2 2 3 2 4" xfId="3775"/>
    <cellStyle name="Обычный 2 3 2 2 3 2 5" xfId="3776"/>
    <cellStyle name="Обычный 2 3 2 2 3 2 6" xfId="3777"/>
    <cellStyle name="Обычный 2 3 2 2 3 2 7" xfId="3778"/>
    <cellStyle name="Обычный 2 3 2 2 3 2 8" xfId="3779"/>
    <cellStyle name="Обычный 2 3 2 2 3 2 9" xfId="3780"/>
    <cellStyle name="Обычный 2 3 2 2 3 20" xfId="21588"/>
    <cellStyle name="Обычный 2 3 2 2 3 3" xfId="3781"/>
    <cellStyle name="Обычный 2 3 2 2 3 3 10" xfId="3782"/>
    <cellStyle name="Обычный 2 3 2 2 3 3 11" xfId="3783"/>
    <cellStyle name="Обычный 2 3 2 2 3 3 12" xfId="18279"/>
    <cellStyle name="Обычный 2 3 2 2 3 3 13" xfId="19979"/>
    <cellStyle name="Обычный 2 3 2 2 3 3 14" xfId="21591"/>
    <cellStyle name="Обычный 2 3 2 2 3 3 2" xfId="3784"/>
    <cellStyle name="Обычный 2 3 2 2 3 3 2 10" xfId="3785"/>
    <cellStyle name="Обычный 2 3 2 2 3 3 2 11" xfId="18280"/>
    <cellStyle name="Обычный 2 3 2 2 3 3 2 12" xfId="19980"/>
    <cellStyle name="Обычный 2 3 2 2 3 3 2 13" xfId="21592"/>
    <cellStyle name="Обычный 2 3 2 2 3 3 2 2" xfId="3786"/>
    <cellStyle name="Обычный 2 3 2 2 3 3 2 2 2" xfId="3787"/>
    <cellStyle name="Обычный 2 3 2 2 3 3 2 3" xfId="3788"/>
    <cellStyle name="Обычный 2 3 2 2 3 3 2 4" xfId="3789"/>
    <cellStyle name="Обычный 2 3 2 2 3 3 2 5" xfId="3790"/>
    <cellStyle name="Обычный 2 3 2 2 3 3 2 6" xfId="3791"/>
    <cellStyle name="Обычный 2 3 2 2 3 3 2 7" xfId="3792"/>
    <cellStyle name="Обычный 2 3 2 2 3 3 2 8" xfId="3793"/>
    <cellStyle name="Обычный 2 3 2 2 3 3 2 9" xfId="3794"/>
    <cellStyle name="Обычный 2 3 2 2 3 3 3" xfId="3795"/>
    <cellStyle name="Обычный 2 3 2 2 3 3 3 2" xfId="3796"/>
    <cellStyle name="Обычный 2 3 2 2 3 3 4" xfId="3797"/>
    <cellStyle name="Обычный 2 3 2 2 3 3 5" xfId="3798"/>
    <cellStyle name="Обычный 2 3 2 2 3 3 6" xfId="3799"/>
    <cellStyle name="Обычный 2 3 2 2 3 3 7" xfId="3800"/>
    <cellStyle name="Обычный 2 3 2 2 3 3 8" xfId="3801"/>
    <cellStyle name="Обычный 2 3 2 2 3 3 9" xfId="3802"/>
    <cellStyle name="Обычный 2 3 2 2 3 4" xfId="3803"/>
    <cellStyle name="Обычный 2 3 2 2 3 4 10" xfId="3804"/>
    <cellStyle name="Обычный 2 3 2 2 3 4 11" xfId="3805"/>
    <cellStyle name="Обычный 2 3 2 2 3 4 12" xfId="18281"/>
    <cellStyle name="Обычный 2 3 2 2 3 4 13" xfId="19981"/>
    <cellStyle name="Обычный 2 3 2 2 3 4 14" xfId="21593"/>
    <cellStyle name="Обычный 2 3 2 2 3 4 2" xfId="3806"/>
    <cellStyle name="Обычный 2 3 2 2 3 4 2 10" xfId="3807"/>
    <cellStyle name="Обычный 2 3 2 2 3 4 2 11" xfId="18282"/>
    <cellStyle name="Обычный 2 3 2 2 3 4 2 12" xfId="19982"/>
    <cellStyle name="Обычный 2 3 2 2 3 4 2 13" xfId="21594"/>
    <cellStyle name="Обычный 2 3 2 2 3 4 2 2" xfId="3808"/>
    <cellStyle name="Обычный 2 3 2 2 3 4 2 2 2" xfId="3809"/>
    <cellStyle name="Обычный 2 3 2 2 3 4 2 3" xfId="3810"/>
    <cellStyle name="Обычный 2 3 2 2 3 4 2 4" xfId="3811"/>
    <cellStyle name="Обычный 2 3 2 2 3 4 2 5" xfId="3812"/>
    <cellStyle name="Обычный 2 3 2 2 3 4 2 6" xfId="3813"/>
    <cellStyle name="Обычный 2 3 2 2 3 4 2 7" xfId="3814"/>
    <cellStyle name="Обычный 2 3 2 2 3 4 2 8" xfId="3815"/>
    <cellStyle name="Обычный 2 3 2 2 3 4 2 9" xfId="3816"/>
    <cellStyle name="Обычный 2 3 2 2 3 4 3" xfId="3817"/>
    <cellStyle name="Обычный 2 3 2 2 3 4 3 2" xfId="3818"/>
    <cellStyle name="Обычный 2 3 2 2 3 4 4" xfId="3819"/>
    <cellStyle name="Обычный 2 3 2 2 3 4 5" xfId="3820"/>
    <cellStyle name="Обычный 2 3 2 2 3 4 6" xfId="3821"/>
    <cellStyle name="Обычный 2 3 2 2 3 4 7" xfId="3822"/>
    <cellStyle name="Обычный 2 3 2 2 3 4 8" xfId="3823"/>
    <cellStyle name="Обычный 2 3 2 2 3 4 9" xfId="3824"/>
    <cellStyle name="Обычный 2 3 2 2 3 5" xfId="3825"/>
    <cellStyle name="Обычный 2 3 2 2 3 5 10" xfId="3826"/>
    <cellStyle name="Обычный 2 3 2 2 3 5 11" xfId="3827"/>
    <cellStyle name="Обычный 2 3 2 2 3 5 12" xfId="18283"/>
    <cellStyle name="Обычный 2 3 2 2 3 5 13" xfId="19983"/>
    <cellStyle name="Обычный 2 3 2 2 3 5 14" xfId="21595"/>
    <cellStyle name="Обычный 2 3 2 2 3 5 2" xfId="3828"/>
    <cellStyle name="Обычный 2 3 2 2 3 5 2 10" xfId="3829"/>
    <cellStyle name="Обычный 2 3 2 2 3 5 2 11" xfId="18284"/>
    <cellStyle name="Обычный 2 3 2 2 3 5 2 12" xfId="19984"/>
    <cellStyle name="Обычный 2 3 2 2 3 5 2 13" xfId="21596"/>
    <cellStyle name="Обычный 2 3 2 2 3 5 2 2" xfId="3830"/>
    <cellStyle name="Обычный 2 3 2 2 3 5 2 2 2" xfId="3831"/>
    <cellStyle name="Обычный 2 3 2 2 3 5 2 3" xfId="3832"/>
    <cellStyle name="Обычный 2 3 2 2 3 5 2 4" xfId="3833"/>
    <cellStyle name="Обычный 2 3 2 2 3 5 2 5" xfId="3834"/>
    <cellStyle name="Обычный 2 3 2 2 3 5 2 6" xfId="3835"/>
    <cellStyle name="Обычный 2 3 2 2 3 5 2 7" xfId="3836"/>
    <cellStyle name="Обычный 2 3 2 2 3 5 2 8" xfId="3837"/>
    <cellStyle name="Обычный 2 3 2 2 3 5 2 9" xfId="3838"/>
    <cellStyle name="Обычный 2 3 2 2 3 5 3" xfId="3839"/>
    <cellStyle name="Обычный 2 3 2 2 3 5 3 2" xfId="3840"/>
    <cellStyle name="Обычный 2 3 2 2 3 5 4" xfId="3841"/>
    <cellStyle name="Обычный 2 3 2 2 3 5 5" xfId="3842"/>
    <cellStyle name="Обычный 2 3 2 2 3 5 6" xfId="3843"/>
    <cellStyle name="Обычный 2 3 2 2 3 5 7" xfId="3844"/>
    <cellStyle name="Обычный 2 3 2 2 3 5 8" xfId="3845"/>
    <cellStyle name="Обычный 2 3 2 2 3 5 9" xfId="3846"/>
    <cellStyle name="Обычный 2 3 2 2 3 6" xfId="3847"/>
    <cellStyle name="Обычный 2 3 2 2 3 6 10" xfId="3848"/>
    <cellStyle name="Обычный 2 3 2 2 3 6 11" xfId="18285"/>
    <cellStyle name="Обычный 2 3 2 2 3 6 12" xfId="19985"/>
    <cellStyle name="Обычный 2 3 2 2 3 6 13" xfId="21597"/>
    <cellStyle name="Обычный 2 3 2 2 3 6 2" xfId="3849"/>
    <cellStyle name="Обычный 2 3 2 2 3 6 2 2" xfId="3850"/>
    <cellStyle name="Обычный 2 3 2 2 3 6 3" xfId="3851"/>
    <cellStyle name="Обычный 2 3 2 2 3 6 4" xfId="3852"/>
    <cellStyle name="Обычный 2 3 2 2 3 6 5" xfId="3853"/>
    <cellStyle name="Обычный 2 3 2 2 3 6 6" xfId="3854"/>
    <cellStyle name="Обычный 2 3 2 2 3 6 7" xfId="3855"/>
    <cellStyle name="Обычный 2 3 2 2 3 6 8" xfId="3856"/>
    <cellStyle name="Обычный 2 3 2 2 3 6 9" xfId="3857"/>
    <cellStyle name="Обычный 2 3 2 2 3 7" xfId="3858"/>
    <cellStyle name="Обычный 2 3 2 2 3 7 10" xfId="19986"/>
    <cellStyle name="Обычный 2 3 2 2 3 7 11" xfId="21598"/>
    <cellStyle name="Обычный 2 3 2 2 3 7 2" xfId="3859"/>
    <cellStyle name="Обычный 2 3 2 2 3 7 2 2" xfId="3860"/>
    <cellStyle name="Обычный 2 3 2 2 3 7 3" xfId="3861"/>
    <cellStyle name="Обычный 2 3 2 2 3 7 4" xfId="3862"/>
    <cellStyle name="Обычный 2 3 2 2 3 7 5" xfId="3863"/>
    <cellStyle name="Обычный 2 3 2 2 3 7 6" xfId="3864"/>
    <cellStyle name="Обычный 2 3 2 2 3 7 7" xfId="3865"/>
    <cellStyle name="Обычный 2 3 2 2 3 7 8" xfId="3866"/>
    <cellStyle name="Обычный 2 3 2 2 3 7 9" xfId="18286"/>
    <cellStyle name="Обычный 2 3 2 2 3 8" xfId="3867"/>
    <cellStyle name="Обычный 2 3 2 2 3 8 2" xfId="3868"/>
    <cellStyle name="Обычный 2 3 2 2 3 9" xfId="3869"/>
    <cellStyle name="Обычный 2 3 2 2 4" xfId="3870"/>
    <cellStyle name="Обычный 2 3 2 2 4 10" xfId="3871"/>
    <cellStyle name="Обычный 2 3 2 2 4 11" xfId="3872"/>
    <cellStyle name="Обычный 2 3 2 2 4 12" xfId="18287"/>
    <cellStyle name="Обычный 2 3 2 2 4 13" xfId="19987"/>
    <cellStyle name="Обычный 2 3 2 2 4 14" xfId="21599"/>
    <cellStyle name="Обычный 2 3 2 2 4 2" xfId="3873"/>
    <cellStyle name="Обычный 2 3 2 2 4 2 10" xfId="3874"/>
    <cellStyle name="Обычный 2 3 2 2 4 2 11" xfId="18288"/>
    <cellStyle name="Обычный 2 3 2 2 4 2 12" xfId="19988"/>
    <cellStyle name="Обычный 2 3 2 2 4 2 13" xfId="21600"/>
    <cellStyle name="Обычный 2 3 2 2 4 2 2" xfId="3875"/>
    <cellStyle name="Обычный 2 3 2 2 4 2 2 2" xfId="3876"/>
    <cellStyle name="Обычный 2 3 2 2 4 2 3" xfId="3877"/>
    <cellStyle name="Обычный 2 3 2 2 4 2 4" xfId="3878"/>
    <cellStyle name="Обычный 2 3 2 2 4 2 5" xfId="3879"/>
    <cellStyle name="Обычный 2 3 2 2 4 2 6" xfId="3880"/>
    <cellStyle name="Обычный 2 3 2 2 4 2 7" xfId="3881"/>
    <cellStyle name="Обычный 2 3 2 2 4 2 8" xfId="3882"/>
    <cellStyle name="Обычный 2 3 2 2 4 2 9" xfId="3883"/>
    <cellStyle name="Обычный 2 3 2 2 4 3" xfId="3884"/>
    <cellStyle name="Обычный 2 3 2 2 4 3 2" xfId="3885"/>
    <cellStyle name="Обычный 2 3 2 2 4 4" xfId="3886"/>
    <cellStyle name="Обычный 2 3 2 2 4 5" xfId="3887"/>
    <cellStyle name="Обычный 2 3 2 2 4 6" xfId="3888"/>
    <cellStyle name="Обычный 2 3 2 2 4 7" xfId="3889"/>
    <cellStyle name="Обычный 2 3 2 2 4 8" xfId="3890"/>
    <cellStyle name="Обычный 2 3 2 2 4 9" xfId="3891"/>
    <cellStyle name="Обычный 2 3 2 2 5" xfId="3892"/>
    <cellStyle name="Обычный 2 3 2 2 5 10" xfId="3893"/>
    <cellStyle name="Обычный 2 3 2 2 5 11" xfId="3894"/>
    <cellStyle name="Обычный 2 3 2 2 5 12" xfId="18289"/>
    <cellStyle name="Обычный 2 3 2 2 5 13" xfId="19989"/>
    <cellStyle name="Обычный 2 3 2 2 5 14" xfId="21601"/>
    <cellStyle name="Обычный 2 3 2 2 5 2" xfId="3895"/>
    <cellStyle name="Обычный 2 3 2 2 5 2 10" xfId="3896"/>
    <cellStyle name="Обычный 2 3 2 2 5 2 11" xfId="18290"/>
    <cellStyle name="Обычный 2 3 2 2 5 2 12" xfId="19990"/>
    <cellStyle name="Обычный 2 3 2 2 5 2 13" xfId="21602"/>
    <cellStyle name="Обычный 2 3 2 2 5 2 2" xfId="3897"/>
    <cellStyle name="Обычный 2 3 2 2 5 2 2 2" xfId="3898"/>
    <cellStyle name="Обычный 2 3 2 2 5 2 3" xfId="3899"/>
    <cellStyle name="Обычный 2 3 2 2 5 2 4" xfId="3900"/>
    <cellStyle name="Обычный 2 3 2 2 5 2 5" xfId="3901"/>
    <cellStyle name="Обычный 2 3 2 2 5 2 6" xfId="3902"/>
    <cellStyle name="Обычный 2 3 2 2 5 2 7" xfId="3903"/>
    <cellStyle name="Обычный 2 3 2 2 5 2 8" xfId="3904"/>
    <cellStyle name="Обычный 2 3 2 2 5 2 9" xfId="3905"/>
    <cellStyle name="Обычный 2 3 2 2 5 3" xfId="3906"/>
    <cellStyle name="Обычный 2 3 2 2 5 3 2" xfId="3907"/>
    <cellStyle name="Обычный 2 3 2 2 5 4" xfId="3908"/>
    <cellStyle name="Обычный 2 3 2 2 5 5" xfId="3909"/>
    <cellStyle name="Обычный 2 3 2 2 5 6" xfId="3910"/>
    <cellStyle name="Обычный 2 3 2 2 5 7" xfId="3911"/>
    <cellStyle name="Обычный 2 3 2 2 5 8" xfId="3912"/>
    <cellStyle name="Обычный 2 3 2 2 5 9" xfId="3913"/>
    <cellStyle name="Обычный 2 3 2 2 6" xfId="3914"/>
    <cellStyle name="Обычный 2 3 2 2 6 10" xfId="3915"/>
    <cellStyle name="Обычный 2 3 2 2 6 11" xfId="3916"/>
    <cellStyle name="Обычный 2 3 2 2 6 12" xfId="18291"/>
    <cellStyle name="Обычный 2 3 2 2 6 13" xfId="19991"/>
    <cellStyle name="Обычный 2 3 2 2 6 14" xfId="21603"/>
    <cellStyle name="Обычный 2 3 2 2 6 2" xfId="3917"/>
    <cellStyle name="Обычный 2 3 2 2 6 2 10" xfId="3918"/>
    <cellStyle name="Обычный 2 3 2 2 6 2 11" xfId="18292"/>
    <cellStyle name="Обычный 2 3 2 2 6 2 12" xfId="19992"/>
    <cellStyle name="Обычный 2 3 2 2 6 2 13" xfId="21604"/>
    <cellStyle name="Обычный 2 3 2 2 6 2 2" xfId="3919"/>
    <cellStyle name="Обычный 2 3 2 2 6 2 2 2" xfId="3920"/>
    <cellStyle name="Обычный 2 3 2 2 6 2 3" xfId="3921"/>
    <cellStyle name="Обычный 2 3 2 2 6 2 4" xfId="3922"/>
    <cellStyle name="Обычный 2 3 2 2 6 2 5" xfId="3923"/>
    <cellStyle name="Обычный 2 3 2 2 6 2 6" xfId="3924"/>
    <cellStyle name="Обычный 2 3 2 2 6 2 7" xfId="3925"/>
    <cellStyle name="Обычный 2 3 2 2 6 2 8" xfId="3926"/>
    <cellStyle name="Обычный 2 3 2 2 6 2 9" xfId="3927"/>
    <cellStyle name="Обычный 2 3 2 2 6 3" xfId="3928"/>
    <cellStyle name="Обычный 2 3 2 2 6 3 2" xfId="3929"/>
    <cellStyle name="Обычный 2 3 2 2 6 4" xfId="3930"/>
    <cellStyle name="Обычный 2 3 2 2 6 5" xfId="3931"/>
    <cellStyle name="Обычный 2 3 2 2 6 6" xfId="3932"/>
    <cellStyle name="Обычный 2 3 2 2 6 7" xfId="3933"/>
    <cellStyle name="Обычный 2 3 2 2 6 8" xfId="3934"/>
    <cellStyle name="Обычный 2 3 2 2 6 9" xfId="3935"/>
    <cellStyle name="Обычный 2 3 2 2 7" xfId="3936"/>
    <cellStyle name="Обычный 2 3 2 2 7 10" xfId="3937"/>
    <cellStyle name="Обычный 2 3 2 2 7 11" xfId="3938"/>
    <cellStyle name="Обычный 2 3 2 2 7 12" xfId="18293"/>
    <cellStyle name="Обычный 2 3 2 2 7 13" xfId="19993"/>
    <cellStyle name="Обычный 2 3 2 2 7 14" xfId="21605"/>
    <cellStyle name="Обычный 2 3 2 2 7 2" xfId="3939"/>
    <cellStyle name="Обычный 2 3 2 2 7 2 10" xfId="3940"/>
    <cellStyle name="Обычный 2 3 2 2 7 2 11" xfId="18294"/>
    <cellStyle name="Обычный 2 3 2 2 7 2 12" xfId="19994"/>
    <cellStyle name="Обычный 2 3 2 2 7 2 13" xfId="21606"/>
    <cellStyle name="Обычный 2 3 2 2 7 2 2" xfId="3941"/>
    <cellStyle name="Обычный 2 3 2 2 7 2 2 2" xfId="3942"/>
    <cellStyle name="Обычный 2 3 2 2 7 2 3" xfId="3943"/>
    <cellStyle name="Обычный 2 3 2 2 7 2 4" xfId="3944"/>
    <cellStyle name="Обычный 2 3 2 2 7 2 5" xfId="3945"/>
    <cellStyle name="Обычный 2 3 2 2 7 2 6" xfId="3946"/>
    <cellStyle name="Обычный 2 3 2 2 7 2 7" xfId="3947"/>
    <cellStyle name="Обычный 2 3 2 2 7 2 8" xfId="3948"/>
    <cellStyle name="Обычный 2 3 2 2 7 2 9" xfId="3949"/>
    <cellStyle name="Обычный 2 3 2 2 7 3" xfId="3950"/>
    <cellStyle name="Обычный 2 3 2 2 7 3 2" xfId="3951"/>
    <cellStyle name="Обычный 2 3 2 2 7 4" xfId="3952"/>
    <cellStyle name="Обычный 2 3 2 2 7 5" xfId="3953"/>
    <cellStyle name="Обычный 2 3 2 2 7 6" xfId="3954"/>
    <cellStyle name="Обычный 2 3 2 2 7 7" xfId="3955"/>
    <cellStyle name="Обычный 2 3 2 2 7 8" xfId="3956"/>
    <cellStyle name="Обычный 2 3 2 2 7 9" xfId="3957"/>
    <cellStyle name="Обычный 2 3 2 2 8" xfId="3958"/>
    <cellStyle name="Обычный 2 3 2 2 8 10" xfId="3959"/>
    <cellStyle name="Обычный 2 3 2 2 8 11" xfId="18295"/>
    <cellStyle name="Обычный 2 3 2 2 8 12" xfId="19995"/>
    <cellStyle name="Обычный 2 3 2 2 8 13" xfId="21607"/>
    <cellStyle name="Обычный 2 3 2 2 8 2" xfId="3960"/>
    <cellStyle name="Обычный 2 3 2 2 8 2 2" xfId="3961"/>
    <cellStyle name="Обычный 2 3 2 2 8 3" xfId="3962"/>
    <cellStyle name="Обычный 2 3 2 2 8 4" xfId="3963"/>
    <cellStyle name="Обычный 2 3 2 2 8 5" xfId="3964"/>
    <cellStyle name="Обычный 2 3 2 2 8 6" xfId="3965"/>
    <cellStyle name="Обычный 2 3 2 2 8 7" xfId="3966"/>
    <cellStyle name="Обычный 2 3 2 2 8 8" xfId="3967"/>
    <cellStyle name="Обычный 2 3 2 2 8 9" xfId="3968"/>
    <cellStyle name="Обычный 2 3 2 2 9" xfId="3969"/>
    <cellStyle name="Обычный 2 3 2 2 9 10" xfId="19996"/>
    <cellStyle name="Обычный 2 3 2 2 9 11" xfId="21608"/>
    <cellStyle name="Обычный 2 3 2 2 9 2" xfId="3970"/>
    <cellStyle name="Обычный 2 3 2 2 9 2 2" xfId="3971"/>
    <cellStyle name="Обычный 2 3 2 2 9 3" xfId="3972"/>
    <cellStyle name="Обычный 2 3 2 2 9 4" xfId="3973"/>
    <cellStyle name="Обычный 2 3 2 2 9 5" xfId="3974"/>
    <cellStyle name="Обычный 2 3 2 2 9 6" xfId="3975"/>
    <cellStyle name="Обычный 2 3 2 2 9 7" xfId="3976"/>
    <cellStyle name="Обычный 2 3 2 2 9 8" xfId="3977"/>
    <cellStyle name="Обычный 2 3 2 2 9 9" xfId="18296"/>
    <cellStyle name="Обычный 2 3 2 20" xfId="3978"/>
    <cellStyle name="Обычный 2 3 2 21" xfId="3979"/>
    <cellStyle name="Обычный 2 3 2 22" xfId="3980"/>
    <cellStyle name="Обычный 2 3 2 23" xfId="3981"/>
    <cellStyle name="Обычный 2 3 2 24" xfId="3982"/>
    <cellStyle name="Обычный 2 3 2 25" xfId="18256"/>
    <cellStyle name="Обычный 2 3 2 26" xfId="19627"/>
    <cellStyle name="Обычный 2 3 2 27" xfId="19956"/>
    <cellStyle name="Обычный 2 3 2 28" xfId="21568"/>
    <cellStyle name="Обычный 2 3 2 3" xfId="3983"/>
    <cellStyle name="Обычный 2 3 2 3 10" xfId="3984"/>
    <cellStyle name="Обычный 2 3 2 3 11" xfId="3985"/>
    <cellStyle name="Обычный 2 3 2 3 12" xfId="3986"/>
    <cellStyle name="Обычный 2 3 2 3 13" xfId="3987"/>
    <cellStyle name="Обычный 2 3 2 3 14" xfId="3988"/>
    <cellStyle name="Обычный 2 3 2 3 15" xfId="3989"/>
    <cellStyle name="Обычный 2 3 2 3 16" xfId="3990"/>
    <cellStyle name="Обычный 2 3 2 3 17" xfId="3991"/>
    <cellStyle name="Обычный 2 3 2 3 18" xfId="18297"/>
    <cellStyle name="Обычный 2 3 2 3 19" xfId="19997"/>
    <cellStyle name="Обычный 2 3 2 3 2" xfId="3992"/>
    <cellStyle name="Обычный 2 3 2 3 2 10" xfId="3993"/>
    <cellStyle name="Обычный 2 3 2 3 2 11" xfId="3994"/>
    <cellStyle name="Обычный 2 3 2 3 2 12" xfId="18298"/>
    <cellStyle name="Обычный 2 3 2 3 2 13" xfId="19998"/>
    <cellStyle name="Обычный 2 3 2 3 2 14" xfId="21610"/>
    <cellStyle name="Обычный 2 3 2 3 2 2" xfId="3995"/>
    <cellStyle name="Обычный 2 3 2 3 2 2 10" xfId="3996"/>
    <cellStyle name="Обычный 2 3 2 3 2 2 11" xfId="18299"/>
    <cellStyle name="Обычный 2 3 2 3 2 2 12" xfId="19999"/>
    <cellStyle name="Обычный 2 3 2 3 2 2 13" xfId="21611"/>
    <cellStyle name="Обычный 2 3 2 3 2 2 2" xfId="3997"/>
    <cellStyle name="Обычный 2 3 2 3 2 2 2 2" xfId="3998"/>
    <cellStyle name="Обычный 2 3 2 3 2 2 3" xfId="3999"/>
    <cellStyle name="Обычный 2 3 2 3 2 2 4" xfId="4000"/>
    <cellStyle name="Обычный 2 3 2 3 2 2 5" xfId="4001"/>
    <cellStyle name="Обычный 2 3 2 3 2 2 6" xfId="4002"/>
    <cellStyle name="Обычный 2 3 2 3 2 2 7" xfId="4003"/>
    <cellStyle name="Обычный 2 3 2 3 2 2 8" xfId="4004"/>
    <cellStyle name="Обычный 2 3 2 3 2 2 9" xfId="4005"/>
    <cellStyle name="Обычный 2 3 2 3 2 3" xfId="4006"/>
    <cellStyle name="Обычный 2 3 2 3 2 3 2" xfId="4007"/>
    <cellStyle name="Обычный 2 3 2 3 2 4" xfId="4008"/>
    <cellStyle name="Обычный 2 3 2 3 2 5" xfId="4009"/>
    <cellStyle name="Обычный 2 3 2 3 2 6" xfId="4010"/>
    <cellStyle name="Обычный 2 3 2 3 2 7" xfId="4011"/>
    <cellStyle name="Обычный 2 3 2 3 2 8" xfId="4012"/>
    <cellStyle name="Обычный 2 3 2 3 2 9" xfId="4013"/>
    <cellStyle name="Обычный 2 3 2 3 20" xfId="21609"/>
    <cellStyle name="Обычный 2 3 2 3 3" xfId="4014"/>
    <cellStyle name="Обычный 2 3 2 3 3 10" xfId="4015"/>
    <cellStyle name="Обычный 2 3 2 3 3 11" xfId="4016"/>
    <cellStyle name="Обычный 2 3 2 3 3 12" xfId="18300"/>
    <cellStyle name="Обычный 2 3 2 3 3 13" xfId="20000"/>
    <cellStyle name="Обычный 2 3 2 3 3 14" xfId="21612"/>
    <cellStyle name="Обычный 2 3 2 3 3 2" xfId="4017"/>
    <cellStyle name="Обычный 2 3 2 3 3 2 10" xfId="4018"/>
    <cellStyle name="Обычный 2 3 2 3 3 2 11" xfId="18301"/>
    <cellStyle name="Обычный 2 3 2 3 3 2 12" xfId="20001"/>
    <cellStyle name="Обычный 2 3 2 3 3 2 13" xfId="21613"/>
    <cellStyle name="Обычный 2 3 2 3 3 2 2" xfId="4019"/>
    <cellStyle name="Обычный 2 3 2 3 3 2 2 2" xfId="4020"/>
    <cellStyle name="Обычный 2 3 2 3 3 2 3" xfId="4021"/>
    <cellStyle name="Обычный 2 3 2 3 3 2 4" xfId="4022"/>
    <cellStyle name="Обычный 2 3 2 3 3 2 5" xfId="4023"/>
    <cellStyle name="Обычный 2 3 2 3 3 2 6" xfId="4024"/>
    <cellStyle name="Обычный 2 3 2 3 3 2 7" xfId="4025"/>
    <cellStyle name="Обычный 2 3 2 3 3 2 8" xfId="4026"/>
    <cellStyle name="Обычный 2 3 2 3 3 2 9" xfId="4027"/>
    <cellStyle name="Обычный 2 3 2 3 3 3" xfId="4028"/>
    <cellStyle name="Обычный 2 3 2 3 3 3 2" xfId="4029"/>
    <cellStyle name="Обычный 2 3 2 3 3 4" xfId="4030"/>
    <cellStyle name="Обычный 2 3 2 3 3 5" xfId="4031"/>
    <cellStyle name="Обычный 2 3 2 3 3 6" xfId="4032"/>
    <cellStyle name="Обычный 2 3 2 3 3 7" xfId="4033"/>
    <cellStyle name="Обычный 2 3 2 3 3 8" xfId="4034"/>
    <cellStyle name="Обычный 2 3 2 3 3 9" xfId="4035"/>
    <cellStyle name="Обычный 2 3 2 3 4" xfId="4036"/>
    <cellStyle name="Обычный 2 3 2 3 4 10" xfId="4037"/>
    <cellStyle name="Обычный 2 3 2 3 4 11" xfId="4038"/>
    <cellStyle name="Обычный 2 3 2 3 4 12" xfId="18302"/>
    <cellStyle name="Обычный 2 3 2 3 4 13" xfId="20002"/>
    <cellStyle name="Обычный 2 3 2 3 4 14" xfId="21614"/>
    <cellStyle name="Обычный 2 3 2 3 4 2" xfId="4039"/>
    <cellStyle name="Обычный 2 3 2 3 4 2 10" xfId="4040"/>
    <cellStyle name="Обычный 2 3 2 3 4 2 11" xfId="18303"/>
    <cellStyle name="Обычный 2 3 2 3 4 2 12" xfId="20003"/>
    <cellStyle name="Обычный 2 3 2 3 4 2 13" xfId="21615"/>
    <cellStyle name="Обычный 2 3 2 3 4 2 2" xfId="4041"/>
    <cellStyle name="Обычный 2 3 2 3 4 2 2 2" xfId="4042"/>
    <cellStyle name="Обычный 2 3 2 3 4 2 3" xfId="4043"/>
    <cellStyle name="Обычный 2 3 2 3 4 2 4" xfId="4044"/>
    <cellStyle name="Обычный 2 3 2 3 4 2 5" xfId="4045"/>
    <cellStyle name="Обычный 2 3 2 3 4 2 6" xfId="4046"/>
    <cellStyle name="Обычный 2 3 2 3 4 2 7" xfId="4047"/>
    <cellStyle name="Обычный 2 3 2 3 4 2 8" xfId="4048"/>
    <cellStyle name="Обычный 2 3 2 3 4 2 9" xfId="4049"/>
    <cellStyle name="Обычный 2 3 2 3 4 3" xfId="4050"/>
    <cellStyle name="Обычный 2 3 2 3 4 3 2" xfId="4051"/>
    <cellStyle name="Обычный 2 3 2 3 4 4" xfId="4052"/>
    <cellStyle name="Обычный 2 3 2 3 4 5" xfId="4053"/>
    <cellStyle name="Обычный 2 3 2 3 4 6" xfId="4054"/>
    <cellStyle name="Обычный 2 3 2 3 4 7" xfId="4055"/>
    <cellStyle name="Обычный 2 3 2 3 4 8" xfId="4056"/>
    <cellStyle name="Обычный 2 3 2 3 4 9" xfId="4057"/>
    <cellStyle name="Обычный 2 3 2 3 5" xfId="4058"/>
    <cellStyle name="Обычный 2 3 2 3 5 10" xfId="4059"/>
    <cellStyle name="Обычный 2 3 2 3 5 11" xfId="4060"/>
    <cellStyle name="Обычный 2 3 2 3 5 12" xfId="18304"/>
    <cellStyle name="Обычный 2 3 2 3 5 13" xfId="20004"/>
    <cellStyle name="Обычный 2 3 2 3 5 14" xfId="21616"/>
    <cellStyle name="Обычный 2 3 2 3 5 2" xfId="4061"/>
    <cellStyle name="Обычный 2 3 2 3 5 2 10" xfId="4062"/>
    <cellStyle name="Обычный 2 3 2 3 5 2 11" xfId="18305"/>
    <cellStyle name="Обычный 2 3 2 3 5 2 12" xfId="20005"/>
    <cellStyle name="Обычный 2 3 2 3 5 2 13" xfId="21617"/>
    <cellStyle name="Обычный 2 3 2 3 5 2 2" xfId="4063"/>
    <cellStyle name="Обычный 2 3 2 3 5 2 2 2" xfId="4064"/>
    <cellStyle name="Обычный 2 3 2 3 5 2 3" xfId="4065"/>
    <cellStyle name="Обычный 2 3 2 3 5 2 4" xfId="4066"/>
    <cellStyle name="Обычный 2 3 2 3 5 2 5" xfId="4067"/>
    <cellStyle name="Обычный 2 3 2 3 5 2 6" xfId="4068"/>
    <cellStyle name="Обычный 2 3 2 3 5 2 7" xfId="4069"/>
    <cellStyle name="Обычный 2 3 2 3 5 2 8" xfId="4070"/>
    <cellStyle name="Обычный 2 3 2 3 5 2 9" xfId="4071"/>
    <cellStyle name="Обычный 2 3 2 3 5 3" xfId="4072"/>
    <cellStyle name="Обычный 2 3 2 3 5 3 2" xfId="4073"/>
    <cellStyle name="Обычный 2 3 2 3 5 4" xfId="4074"/>
    <cellStyle name="Обычный 2 3 2 3 5 5" xfId="4075"/>
    <cellStyle name="Обычный 2 3 2 3 5 6" xfId="4076"/>
    <cellStyle name="Обычный 2 3 2 3 5 7" xfId="4077"/>
    <cellStyle name="Обычный 2 3 2 3 5 8" xfId="4078"/>
    <cellStyle name="Обычный 2 3 2 3 5 9" xfId="4079"/>
    <cellStyle name="Обычный 2 3 2 3 6" xfId="4080"/>
    <cellStyle name="Обычный 2 3 2 3 6 10" xfId="4081"/>
    <cellStyle name="Обычный 2 3 2 3 6 11" xfId="18306"/>
    <cellStyle name="Обычный 2 3 2 3 6 12" xfId="20006"/>
    <cellStyle name="Обычный 2 3 2 3 6 13" xfId="21618"/>
    <cellStyle name="Обычный 2 3 2 3 6 2" xfId="4082"/>
    <cellStyle name="Обычный 2 3 2 3 6 2 2" xfId="4083"/>
    <cellStyle name="Обычный 2 3 2 3 6 3" xfId="4084"/>
    <cellStyle name="Обычный 2 3 2 3 6 4" xfId="4085"/>
    <cellStyle name="Обычный 2 3 2 3 6 5" xfId="4086"/>
    <cellStyle name="Обычный 2 3 2 3 6 6" xfId="4087"/>
    <cellStyle name="Обычный 2 3 2 3 6 7" xfId="4088"/>
    <cellStyle name="Обычный 2 3 2 3 6 8" xfId="4089"/>
    <cellStyle name="Обычный 2 3 2 3 6 9" xfId="4090"/>
    <cellStyle name="Обычный 2 3 2 3 7" xfId="4091"/>
    <cellStyle name="Обычный 2 3 2 3 7 10" xfId="20007"/>
    <cellStyle name="Обычный 2 3 2 3 7 11" xfId="21619"/>
    <cellStyle name="Обычный 2 3 2 3 7 2" xfId="4092"/>
    <cellStyle name="Обычный 2 3 2 3 7 2 2" xfId="4093"/>
    <cellStyle name="Обычный 2 3 2 3 7 3" xfId="4094"/>
    <cellStyle name="Обычный 2 3 2 3 7 4" xfId="4095"/>
    <cellStyle name="Обычный 2 3 2 3 7 5" xfId="4096"/>
    <cellStyle name="Обычный 2 3 2 3 7 6" xfId="4097"/>
    <cellStyle name="Обычный 2 3 2 3 7 7" xfId="4098"/>
    <cellStyle name="Обычный 2 3 2 3 7 8" xfId="4099"/>
    <cellStyle name="Обычный 2 3 2 3 7 9" xfId="18307"/>
    <cellStyle name="Обычный 2 3 2 3 8" xfId="4100"/>
    <cellStyle name="Обычный 2 3 2 3 8 2" xfId="4101"/>
    <cellStyle name="Обычный 2 3 2 3 9" xfId="4102"/>
    <cellStyle name="Обычный 2 3 2 4" xfId="4103"/>
    <cellStyle name="Обычный 2 3 2 4 10" xfId="4104"/>
    <cellStyle name="Обычный 2 3 2 4 11" xfId="4105"/>
    <cellStyle name="Обычный 2 3 2 4 12" xfId="4106"/>
    <cellStyle name="Обычный 2 3 2 4 13" xfId="4107"/>
    <cellStyle name="Обычный 2 3 2 4 14" xfId="4108"/>
    <cellStyle name="Обычный 2 3 2 4 15" xfId="4109"/>
    <cellStyle name="Обычный 2 3 2 4 16" xfId="4110"/>
    <cellStyle name="Обычный 2 3 2 4 17" xfId="4111"/>
    <cellStyle name="Обычный 2 3 2 4 18" xfId="18308"/>
    <cellStyle name="Обычный 2 3 2 4 19" xfId="20008"/>
    <cellStyle name="Обычный 2 3 2 4 2" xfId="4112"/>
    <cellStyle name="Обычный 2 3 2 4 2 10" xfId="4113"/>
    <cellStyle name="Обычный 2 3 2 4 2 11" xfId="4114"/>
    <cellStyle name="Обычный 2 3 2 4 2 12" xfId="18309"/>
    <cellStyle name="Обычный 2 3 2 4 2 13" xfId="20009"/>
    <cellStyle name="Обычный 2 3 2 4 2 14" xfId="21621"/>
    <cellStyle name="Обычный 2 3 2 4 2 2" xfId="4115"/>
    <cellStyle name="Обычный 2 3 2 4 2 2 10" xfId="4116"/>
    <cellStyle name="Обычный 2 3 2 4 2 2 11" xfId="18310"/>
    <cellStyle name="Обычный 2 3 2 4 2 2 12" xfId="20010"/>
    <cellStyle name="Обычный 2 3 2 4 2 2 13" xfId="21622"/>
    <cellStyle name="Обычный 2 3 2 4 2 2 2" xfId="4117"/>
    <cellStyle name="Обычный 2 3 2 4 2 2 2 2" xfId="4118"/>
    <cellStyle name="Обычный 2 3 2 4 2 2 3" xfId="4119"/>
    <cellStyle name="Обычный 2 3 2 4 2 2 4" xfId="4120"/>
    <cellStyle name="Обычный 2 3 2 4 2 2 5" xfId="4121"/>
    <cellStyle name="Обычный 2 3 2 4 2 2 6" xfId="4122"/>
    <cellStyle name="Обычный 2 3 2 4 2 2 7" xfId="4123"/>
    <cellStyle name="Обычный 2 3 2 4 2 2 8" xfId="4124"/>
    <cellStyle name="Обычный 2 3 2 4 2 2 9" xfId="4125"/>
    <cellStyle name="Обычный 2 3 2 4 2 3" xfId="4126"/>
    <cellStyle name="Обычный 2 3 2 4 2 3 2" xfId="4127"/>
    <cellStyle name="Обычный 2 3 2 4 2 4" xfId="4128"/>
    <cellStyle name="Обычный 2 3 2 4 2 5" xfId="4129"/>
    <cellStyle name="Обычный 2 3 2 4 2 6" xfId="4130"/>
    <cellStyle name="Обычный 2 3 2 4 2 7" xfId="4131"/>
    <cellStyle name="Обычный 2 3 2 4 2 8" xfId="4132"/>
    <cellStyle name="Обычный 2 3 2 4 2 9" xfId="4133"/>
    <cellStyle name="Обычный 2 3 2 4 20" xfId="21620"/>
    <cellStyle name="Обычный 2 3 2 4 3" xfId="4134"/>
    <cellStyle name="Обычный 2 3 2 4 3 10" xfId="4135"/>
    <cellStyle name="Обычный 2 3 2 4 3 11" xfId="4136"/>
    <cellStyle name="Обычный 2 3 2 4 3 12" xfId="18311"/>
    <cellStyle name="Обычный 2 3 2 4 3 13" xfId="20011"/>
    <cellStyle name="Обычный 2 3 2 4 3 14" xfId="21623"/>
    <cellStyle name="Обычный 2 3 2 4 3 2" xfId="4137"/>
    <cellStyle name="Обычный 2 3 2 4 3 2 10" xfId="4138"/>
    <cellStyle name="Обычный 2 3 2 4 3 2 11" xfId="18312"/>
    <cellStyle name="Обычный 2 3 2 4 3 2 12" xfId="20012"/>
    <cellStyle name="Обычный 2 3 2 4 3 2 13" xfId="21624"/>
    <cellStyle name="Обычный 2 3 2 4 3 2 2" xfId="4139"/>
    <cellStyle name="Обычный 2 3 2 4 3 2 2 2" xfId="4140"/>
    <cellStyle name="Обычный 2 3 2 4 3 2 3" xfId="4141"/>
    <cellStyle name="Обычный 2 3 2 4 3 2 4" xfId="4142"/>
    <cellStyle name="Обычный 2 3 2 4 3 2 5" xfId="4143"/>
    <cellStyle name="Обычный 2 3 2 4 3 2 6" xfId="4144"/>
    <cellStyle name="Обычный 2 3 2 4 3 2 7" xfId="4145"/>
    <cellStyle name="Обычный 2 3 2 4 3 2 8" xfId="4146"/>
    <cellStyle name="Обычный 2 3 2 4 3 2 9" xfId="4147"/>
    <cellStyle name="Обычный 2 3 2 4 3 3" xfId="4148"/>
    <cellStyle name="Обычный 2 3 2 4 3 3 2" xfId="4149"/>
    <cellStyle name="Обычный 2 3 2 4 3 4" xfId="4150"/>
    <cellStyle name="Обычный 2 3 2 4 3 5" xfId="4151"/>
    <cellStyle name="Обычный 2 3 2 4 3 6" xfId="4152"/>
    <cellStyle name="Обычный 2 3 2 4 3 7" xfId="4153"/>
    <cellStyle name="Обычный 2 3 2 4 3 8" xfId="4154"/>
    <cellStyle name="Обычный 2 3 2 4 3 9" xfId="4155"/>
    <cellStyle name="Обычный 2 3 2 4 4" xfId="4156"/>
    <cellStyle name="Обычный 2 3 2 4 4 10" xfId="4157"/>
    <cellStyle name="Обычный 2 3 2 4 4 11" xfId="4158"/>
    <cellStyle name="Обычный 2 3 2 4 4 12" xfId="18313"/>
    <cellStyle name="Обычный 2 3 2 4 4 13" xfId="20013"/>
    <cellStyle name="Обычный 2 3 2 4 4 14" xfId="21625"/>
    <cellStyle name="Обычный 2 3 2 4 4 2" xfId="4159"/>
    <cellStyle name="Обычный 2 3 2 4 4 2 10" xfId="4160"/>
    <cellStyle name="Обычный 2 3 2 4 4 2 11" xfId="18314"/>
    <cellStyle name="Обычный 2 3 2 4 4 2 12" xfId="20014"/>
    <cellStyle name="Обычный 2 3 2 4 4 2 13" xfId="21626"/>
    <cellStyle name="Обычный 2 3 2 4 4 2 2" xfId="4161"/>
    <cellStyle name="Обычный 2 3 2 4 4 2 2 2" xfId="4162"/>
    <cellStyle name="Обычный 2 3 2 4 4 2 3" xfId="4163"/>
    <cellStyle name="Обычный 2 3 2 4 4 2 4" xfId="4164"/>
    <cellStyle name="Обычный 2 3 2 4 4 2 5" xfId="4165"/>
    <cellStyle name="Обычный 2 3 2 4 4 2 6" xfId="4166"/>
    <cellStyle name="Обычный 2 3 2 4 4 2 7" xfId="4167"/>
    <cellStyle name="Обычный 2 3 2 4 4 2 8" xfId="4168"/>
    <cellStyle name="Обычный 2 3 2 4 4 2 9" xfId="4169"/>
    <cellStyle name="Обычный 2 3 2 4 4 3" xfId="4170"/>
    <cellStyle name="Обычный 2 3 2 4 4 3 2" xfId="4171"/>
    <cellStyle name="Обычный 2 3 2 4 4 4" xfId="4172"/>
    <cellStyle name="Обычный 2 3 2 4 4 5" xfId="4173"/>
    <cellStyle name="Обычный 2 3 2 4 4 6" xfId="4174"/>
    <cellStyle name="Обычный 2 3 2 4 4 7" xfId="4175"/>
    <cellStyle name="Обычный 2 3 2 4 4 8" xfId="4176"/>
    <cellStyle name="Обычный 2 3 2 4 4 9" xfId="4177"/>
    <cellStyle name="Обычный 2 3 2 4 5" xfId="4178"/>
    <cellStyle name="Обычный 2 3 2 4 5 10" xfId="4179"/>
    <cellStyle name="Обычный 2 3 2 4 5 11" xfId="4180"/>
    <cellStyle name="Обычный 2 3 2 4 5 12" xfId="18315"/>
    <cellStyle name="Обычный 2 3 2 4 5 13" xfId="20015"/>
    <cellStyle name="Обычный 2 3 2 4 5 14" xfId="21627"/>
    <cellStyle name="Обычный 2 3 2 4 5 2" xfId="4181"/>
    <cellStyle name="Обычный 2 3 2 4 5 2 10" xfId="4182"/>
    <cellStyle name="Обычный 2 3 2 4 5 2 11" xfId="18316"/>
    <cellStyle name="Обычный 2 3 2 4 5 2 12" xfId="20016"/>
    <cellStyle name="Обычный 2 3 2 4 5 2 13" xfId="21628"/>
    <cellStyle name="Обычный 2 3 2 4 5 2 2" xfId="4183"/>
    <cellStyle name="Обычный 2 3 2 4 5 2 2 2" xfId="4184"/>
    <cellStyle name="Обычный 2 3 2 4 5 2 3" xfId="4185"/>
    <cellStyle name="Обычный 2 3 2 4 5 2 4" xfId="4186"/>
    <cellStyle name="Обычный 2 3 2 4 5 2 5" xfId="4187"/>
    <cellStyle name="Обычный 2 3 2 4 5 2 6" xfId="4188"/>
    <cellStyle name="Обычный 2 3 2 4 5 2 7" xfId="4189"/>
    <cellStyle name="Обычный 2 3 2 4 5 2 8" xfId="4190"/>
    <cellStyle name="Обычный 2 3 2 4 5 2 9" xfId="4191"/>
    <cellStyle name="Обычный 2 3 2 4 5 3" xfId="4192"/>
    <cellStyle name="Обычный 2 3 2 4 5 3 2" xfId="4193"/>
    <cellStyle name="Обычный 2 3 2 4 5 4" xfId="4194"/>
    <cellStyle name="Обычный 2 3 2 4 5 5" xfId="4195"/>
    <cellStyle name="Обычный 2 3 2 4 5 6" xfId="4196"/>
    <cellStyle name="Обычный 2 3 2 4 5 7" xfId="4197"/>
    <cellStyle name="Обычный 2 3 2 4 5 8" xfId="4198"/>
    <cellStyle name="Обычный 2 3 2 4 5 9" xfId="4199"/>
    <cellStyle name="Обычный 2 3 2 4 6" xfId="4200"/>
    <cellStyle name="Обычный 2 3 2 4 6 10" xfId="4201"/>
    <cellStyle name="Обычный 2 3 2 4 6 11" xfId="18317"/>
    <cellStyle name="Обычный 2 3 2 4 6 12" xfId="20017"/>
    <cellStyle name="Обычный 2 3 2 4 6 13" xfId="21629"/>
    <cellStyle name="Обычный 2 3 2 4 6 2" xfId="4202"/>
    <cellStyle name="Обычный 2 3 2 4 6 2 2" xfId="4203"/>
    <cellStyle name="Обычный 2 3 2 4 6 3" xfId="4204"/>
    <cellStyle name="Обычный 2 3 2 4 6 4" xfId="4205"/>
    <cellStyle name="Обычный 2 3 2 4 6 5" xfId="4206"/>
    <cellStyle name="Обычный 2 3 2 4 6 6" xfId="4207"/>
    <cellStyle name="Обычный 2 3 2 4 6 7" xfId="4208"/>
    <cellStyle name="Обычный 2 3 2 4 6 8" xfId="4209"/>
    <cellStyle name="Обычный 2 3 2 4 6 9" xfId="4210"/>
    <cellStyle name="Обычный 2 3 2 4 7" xfId="4211"/>
    <cellStyle name="Обычный 2 3 2 4 7 10" xfId="20018"/>
    <cellStyle name="Обычный 2 3 2 4 7 11" xfId="21630"/>
    <cellStyle name="Обычный 2 3 2 4 7 2" xfId="4212"/>
    <cellStyle name="Обычный 2 3 2 4 7 2 2" xfId="4213"/>
    <cellStyle name="Обычный 2 3 2 4 7 3" xfId="4214"/>
    <cellStyle name="Обычный 2 3 2 4 7 4" xfId="4215"/>
    <cellStyle name="Обычный 2 3 2 4 7 5" xfId="4216"/>
    <cellStyle name="Обычный 2 3 2 4 7 6" xfId="4217"/>
    <cellStyle name="Обычный 2 3 2 4 7 7" xfId="4218"/>
    <cellStyle name="Обычный 2 3 2 4 7 8" xfId="4219"/>
    <cellStyle name="Обычный 2 3 2 4 7 9" xfId="18318"/>
    <cellStyle name="Обычный 2 3 2 4 8" xfId="4220"/>
    <cellStyle name="Обычный 2 3 2 4 8 2" xfId="4221"/>
    <cellStyle name="Обычный 2 3 2 4 9" xfId="4222"/>
    <cellStyle name="Обычный 2 3 2 5" xfId="4223"/>
    <cellStyle name="Обычный 2 3 2 5 10" xfId="4224"/>
    <cellStyle name="Обычный 2 3 2 5 11" xfId="4225"/>
    <cellStyle name="Обычный 2 3 2 5 12" xfId="18319"/>
    <cellStyle name="Обычный 2 3 2 5 13" xfId="20019"/>
    <cellStyle name="Обычный 2 3 2 5 14" xfId="21631"/>
    <cellStyle name="Обычный 2 3 2 5 2" xfId="4226"/>
    <cellStyle name="Обычный 2 3 2 5 2 10" xfId="4227"/>
    <cellStyle name="Обычный 2 3 2 5 2 11" xfId="18320"/>
    <cellStyle name="Обычный 2 3 2 5 2 12" xfId="20020"/>
    <cellStyle name="Обычный 2 3 2 5 2 13" xfId="21632"/>
    <cellStyle name="Обычный 2 3 2 5 2 2" xfId="4228"/>
    <cellStyle name="Обычный 2 3 2 5 2 2 2" xfId="4229"/>
    <cellStyle name="Обычный 2 3 2 5 2 3" xfId="4230"/>
    <cellStyle name="Обычный 2 3 2 5 2 4" xfId="4231"/>
    <cellStyle name="Обычный 2 3 2 5 2 5" xfId="4232"/>
    <cellStyle name="Обычный 2 3 2 5 2 6" xfId="4233"/>
    <cellStyle name="Обычный 2 3 2 5 2 7" xfId="4234"/>
    <cellStyle name="Обычный 2 3 2 5 2 8" xfId="4235"/>
    <cellStyle name="Обычный 2 3 2 5 2 9" xfId="4236"/>
    <cellStyle name="Обычный 2 3 2 5 3" xfId="4237"/>
    <cellStyle name="Обычный 2 3 2 5 3 2" xfId="4238"/>
    <cellStyle name="Обычный 2 3 2 5 4" xfId="4239"/>
    <cellStyle name="Обычный 2 3 2 5 5" xfId="4240"/>
    <cellStyle name="Обычный 2 3 2 5 6" xfId="4241"/>
    <cellStyle name="Обычный 2 3 2 5 7" xfId="4242"/>
    <cellStyle name="Обычный 2 3 2 5 8" xfId="4243"/>
    <cellStyle name="Обычный 2 3 2 5 9" xfId="4244"/>
    <cellStyle name="Обычный 2 3 2 6" xfId="4245"/>
    <cellStyle name="Обычный 2 3 2 6 10" xfId="4246"/>
    <cellStyle name="Обычный 2 3 2 6 11" xfId="4247"/>
    <cellStyle name="Обычный 2 3 2 6 12" xfId="18321"/>
    <cellStyle name="Обычный 2 3 2 6 13" xfId="20021"/>
    <cellStyle name="Обычный 2 3 2 6 14" xfId="21633"/>
    <cellStyle name="Обычный 2 3 2 6 2" xfId="4248"/>
    <cellStyle name="Обычный 2 3 2 6 2 10" xfId="4249"/>
    <cellStyle name="Обычный 2 3 2 6 2 11" xfId="18322"/>
    <cellStyle name="Обычный 2 3 2 6 2 12" xfId="20022"/>
    <cellStyle name="Обычный 2 3 2 6 2 13" xfId="21634"/>
    <cellStyle name="Обычный 2 3 2 6 2 2" xfId="4250"/>
    <cellStyle name="Обычный 2 3 2 6 2 2 2" xfId="4251"/>
    <cellStyle name="Обычный 2 3 2 6 2 3" xfId="4252"/>
    <cellStyle name="Обычный 2 3 2 6 2 4" xfId="4253"/>
    <cellStyle name="Обычный 2 3 2 6 2 5" xfId="4254"/>
    <cellStyle name="Обычный 2 3 2 6 2 6" xfId="4255"/>
    <cellStyle name="Обычный 2 3 2 6 2 7" xfId="4256"/>
    <cellStyle name="Обычный 2 3 2 6 2 8" xfId="4257"/>
    <cellStyle name="Обычный 2 3 2 6 2 9" xfId="4258"/>
    <cellStyle name="Обычный 2 3 2 6 3" xfId="4259"/>
    <cellStyle name="Обычный 2 3 2 6 3 2" xfId="4260"/>
    <cellStyle name="Обычный 2 3 2 6 4" xfId="4261"/>
    <cellStyle name="Обычный 2 3 2 6 5" xfId="4262"/>
    <cellStyle name="Обычный 2 3 2 6 6" xfId="4263"/>
    <cellStyle name="Обычный 2 3 2 6 7" xfId="4264"/>
    <cellStyle name="Обычный 2 3 2 6 8" xfId="4265"/>
    <cellStyle name="Обычный 2 3 2 6 9" xfId="4266"/>
    <cellStyle name="Обычный 2 3 2 7" xfId="4267"/>
    <cellStyle name="Обычный 2 3 2 7 10" xfId="4268"/>
    <cellStyle name="Обычный 2 3 2 7 11" xfId="4269"/>
    <cellStyle name="Обычный 2 3 2 7 12" xfId="18323"/>
    <cellStyle name="Обычный 2 3 2 7 13" xfId="20023"/>
    <cellStyle name="Обычный 2 3 2 7 14" xfId="21635"/>
    <cellStyle name="Обычный 2 3 2 7 2" xfId="4270"/>
    <cellStyle name="Обычный 2 3 2 7 2 10" xfId="4271"/>
    <cellStyle name="Обычный 2 3 2 7 2 11" xfId="18324"/>
    <cellStyle name="Обычный 2 3 2 7 2 12" xfId="20024"/>
    <cellStyle name="Обычный 2 3 2 7 2 13" xfId="21636"/>
    <cellStyle name="Обычный 2 3 2 7 2 2" xfId="4272"/>
    <cellStyle name="Обычный 2 3 2 7 2 2 2" xfId="4273"/>
    <cellStyle name="Обычный 2 3 2 7 2 3" xfId="4274"/>
    <cellStyle name="Обычный 2 3 2 7 2 4" xfId="4275"/>
    <cellStyle name="Обычный 2 3 2 7 2 5" xfId="4276"/>
    <cellStyle name="Обычный 2 3 2 7 2 6" xfId="4277"/>
    <cellStyle name="Обычный 2 3 2 7 2 7" xfId="4278"/>
    <cellStyle name="Обычный 2 3 2 7 2 8" xfId="4279"/>
    <cellStyle name="Обычный 2 3 2 7 2 9" xfId="4280"/>
    <cellStyle name="Обычный 2 3 2 7 3" xfId="4281"/>
    <cellStyle name="Обычный 2 3 2 7 3 2" xfId="4282"/>
    <cellStyle name="Обычный 2 3 2 7 4" xfId="4283"/>
    <cellStyle name="Обычный 2 3 2 7 5" xfId="4284"/>
    <cellStyle name="Обычный 2 3 2 7 6" xfId="4285"/>
    <cellStyle name="Обычный 2 3 2 7 7" xfId="4286"/>
    <cellStyle name="Обычный 2 3 2 7 8" xfId="4287"/>
    <cellStyle name="Обычный 2 3 2 7 9" xfId="4288"/>
    <cellStyle name="Обычный 2 3 2 8" xfId="4289"/>
    <cellStyle name="Обычный 2 3 2 8 10" xfId="4290"/>
    <cellStyle name="Обычный 2 3 2 8 11" xfId="4291"/>
    <cellStyle name="Обычный 2 3 2 8 12" xfId="18325"/>
    <cellStyle name="Обычный 2 3 2 8 13" xfId="20025"/>
    <cellStyle name="Обычный 2 3 2 8 14" xfId="21637"/>
    <cellStyle name="Обычный 2 3 2 8 2" xfId="4292"/>
    <cellStyle name="Обычный 2 3 2 8 2 10" xfId="4293"/>
    <cellStyle name="Обычный 2 3 2 8 2 11" xfId="18326"/>
    <cellStyle name="Обычный 2 3 2 8 2 12" xfId="20026"/>
    <cellStyle name="Обычный 2 3 2 8 2 13" xfId="21638"/>
    <cellStyle name="Обычный 2 3 2 8 2 2" xfId="4294"/>
    <cellStyle name="Обычный 2 3 2 8 2 2 2" xfId="4295"/>
    <cellStyle name="Обычный 2 3 2 8 2 3" xfId="4296"/>
    <cellStyle name="Обычный 2 3 2 8 2 4" xfId="4297"/>
    <cellStyle name="Обычный 2 3 2 8 2 5" xfId="4298"/>
    <cellStyle name="Обычный 2 3 2 8 2 6" xfId="4299"/>
    <cellStyle name="Обычный 2 3 2 8 2 7" xfId="4300"/>
    <cellStyle name="Обычный 2 3 2 8 2 8" xfId="4301"/>
    <cellStyle name="Обычный 2 3 2 8 2 9" xfId="4302"/>
    <cellStyle name="Обычный 2 3 2 8 3" xfId="4303"/>
    <cellStyle name="Обычный 2 3 2 8 3 2" xfId="4304"/>
    <cellStyle name="Обычный 2 3 2 8 4" xfId="4305"/>
    <cellStyle name="Обычный 2 3 2 8 5" xfId="4306"/>
    <cellStyle name="Обычный 2 3 2 8 6" xfId="4307"/>
    <cellStyle name="Обычный 2 3 2 8 7" xfId="4308"/>
    <cellStyle name="Обычный 2 3 2 8 8" xfId="4309"/>
    <cellStyle name="Обычный 2 3 2 8 9" xfId="4310"/>
    <cellStyle name="Обычный 2 3 2 9" xfId="4311"/>
    <cellStyle name="Обычный 2 3 2 9 10" xfId="4312"/>
    <cellStyle name="Обычный 2 3 2 9 11" xfId="4313"/>
    <cellStyle name="Обычный 2 3 2 9 12" xfId="18327"/>
    <cellStyle name="Обычный 2 3 2 9 13" xfId="20027"/>
    <cellStyle name="Обычный 2 3 2 9 14" xfId="21639"/>
    <cellStyle name="Обычный 2 3 2 9 2" xfId="4314"/>
    <cellStyle name="Обычный 2 3 2 9 2 10" xfId="4315"/>
    <cellStyle name="Обычный 2 3 2 9 2 11" xfId="18328"/>
    <cellStyle name="Обычный 2 3 2 9 2 12" xfId="20028"/>
    <cellStyle name="Обычный 2 3 2 9 2 13" xfId="21640"/>
    <cellStyle name="Обычный 2 3 2 9 2 2" xfId="4316"/>
    <cellStyle name="Обычный 2 3 2 9 2 2 2" xfId="4317"/>
    <cellStyle name="Обычный 2 3 2 9 2 3" xfId="4318"/>
    <cellStyle name="Обычный 2 3 2 9 2 4" xfId="4319"/>
    <cellStyle name="Обычный 2 3 2 9 2 5" xfId="4320"/>
    <cellStyle name="Обычный 2 3 2 9 2 6" xfId="4321"/>
    <cellStyle name="Обычный 2 3 2 9 2 7" xfId="4322"/>
    <cellStyle name="Обычный 2 3 2 9 2 8" xfId="4323"/>
    <cellStyle name="Обычный 2 3 2 9 2 9" xfId="4324"/>
    <cellStyle name="Обычный 2 3 2 9 3" xfId="4325"/>
    <cellStyle name="Обычный 2 3 2 9 3 2" xfId="4326"/>
    <cellStyle name="Обычный 2 3 2 9 4" xfId="4327"/>
    <cellStyle name="Обычный 2 3 2 9 5" xfId="4328"/>
    <cellStyle name="Обычный 2 3 2 9 6" xfId="4329"/>
    <cellStyle name="Обычный 2 3 2 9 7" xfId="4330"/>
    <cellStyle name="Обычный 2 3 2 9 8" xfId="4331"/>
    <cellStyle name="Обычный 2 3 2 9 9" xfId="4332"/>
    <cellStyle name="Обычный 2 3 3" xfId="4333"/>
    <cellStyle name="Обычный 2 3 3 2" xfId="18329"/>
    <cellStyle name="Обычный 2 3 4" xfId="18255"/>
    <cellStyle name="Обычный 2 4" xfId="4334"/>
    <cellStyle name="Обычный 2 4 10" xfId="4335"/>
    <cellStyle name="Обычный 2 4 10 10" xfId="4336"/>
    <cellStyle name="Обычный 2 4 10 11" xfId="4337"/>
    <cellStyle name="Обычный 2 4 10 12" xfId="18331"/>
    <cellStyle name="Обычный 2 4 10 13" xfId="20030"/>
    <cellStyle name="Обычный 2 4 10 14" xfId="21642"/>
    <cellStyle name="Обычный 2 4 10 2" xfId="4338"/>
    <cellStyle name="Обычный 2 4 10 2 10" xfId="4339"/>
    <cellStyle name="Обычный 2 4 10 2 11" xfId="18332"/>
    <cellStyle name="Обычный 2 4 10 2 12" xfId="20031"/>
    <cellStyle name="Обычный 2 4 10 2 13" xfId="21643"/>
    <cellStyle name="Обычный 2 4 10 2 2" xfId="4340"/>
    <cellStyle name="Обычный 2 4 10 2 2 2" xfId="4341"/>
    <cellStyle name="Обычный 2 4 10 2 3" xfId="4342"/>
    <cellStyle name="Обычный 2 4 10 2 4" xfId="4343"/>
    <cellStyle name="Обычный 2 4 10 2 5" xfId="4344"/>
    <cellStyle name="Обычный 2 4 10 2 6" xfId="4345"/>
    <cellStyle name="Обычный 2 4 10 2 7" xfId="4346"/>
    <cellStyle name="Обычный 2 4 10 2 8" xfId="4347"/>
    <cellStyle name="Обычный 2 4 10 2 9" xfId="4348"/>
    <cellStyle name="Обычный 2 4 10 3" xfId="4349"/>
    <cellStyle name="Обычный 2 4 10 3 2" xfId="4350"/>
    <cellStyle name="Обычный 2 4 10 4" xfId="4351"/>
    <cellStyle name="Обычный 2 4 10 5" xfId="4352"/>
    <cellStyle name="Обычный 2 4 10 6" xfId="4353"/>
    <cellStyle name="Обычный 2 4 10 7" xfId="4354"/>
    <cellStyle name="Обычный 2 4 10 8" xfId="4355"/>
    <cellStyle name="Обычный 2 4 10 9" xfId="4356"/>
    <cellStyle name="Обычный 2 4 11" xfId="4357"/>
    <cellStyle name="Обычный 2 4 11 10" xfId="4358"/>
    <cellStyle name="Обычный 2 4 11 11" xfId="4359"/>
    <cellStyle name="Обычный 2 4 11 12" xfId="18333"/>
    <cellStyle name="Обычный 2 4 11 13" xfId="20032"/>
    <cellStyle name="Обычный 2 4 11 14" xfId="21644"/>
    <cellStyle name="Обычный 2 4 11 2" xfId="4360"/>
    <cellStyle name="Обычный 2 4 11 2 10" xfId="4361"/>
    <cellStyle name="Обычный 2 4 11 2 11" xfId="18334"/>
    <cellStyle name="Обычный 2 4 11 2 12" xfId="20033"/>
    <cellStyle name="Обычный 2 4 11 2 13" xfId="21645"/>
    <cellStyle name="Обычный 2 4 11 2 2" xfId="4362"/>
    <cellStyle name="Обычный 2 4 11 2 2 2" xfId="4363"/>
    <cellStyle name="Обычный 2 4 11 2 3" xfId="4364"/>
    <cellStyle name="Обычный 2 4 11 2 4" xfId="4365"/>
    <cellStyle name="Обычный 2 4 11 2 5" xfId="4366"/>
    <cellStyle name="Обычный 2 4 11 2 6" xfId="4367"/>
    <cellStyle name="Обычный 2 4 11 2 7" xfId="4368"/>
    <cellStyle name="Обычный 2 4 11 2 8" xfId="4369"/>
    <cellStyle name="Обычный 2 4 11 2 9" xfId="4370"/>
    <cellStyle name="Обычный 2 4 11 3" xfId="4371"/>
    <cellStyle name="Обычный 2 4 11 3 2" xfId="4372"/>
    <cellStyle name="Обычный 2 4 11 4" xfId="4373"/>
    <cellStyle name="Обычный 2 4 11 5" xfId="4374"/>
    <cellStyle name="Обычный 2 4 11 6" xfId="4375"/>
    <cellStyle name="Обычный 2 4 11 7" xfId="4376"/>
    <cellStyle name="Обычный 2 4 11 8" xfId="4377"/>
    <cellStyle name="Обычный 2 4 11 9" xfId="4378"/>
    <cellStyle name="Обычный 2 4 12" xfId="4379"/>
    <cellStyle name="Обычный 2 4 12 10" xfId="4380"/>
    <cellStyle name="Обычный 2 4 12 11" xfId="18335"/>
    <cellStyle name="Обычный 2 4 12 12" xfId="20034"/>
    <cellStyle name="Обычный 2 4 12 13" xfId="21646"/>
    <cellStyle name="Обычный 2 4 12 2" xfId="4381"/>
    <cellStyle name="Обычный 2 4 12 2 2" xfId="4382"/>
    <cellStyle name="Обычный 2 4 12 3" xfId="4383"/>
    <cellStyle name="Обычный 2 4 12 4" xfId="4384"/>
    <cellStyle name="Обычный 2 4 12 5" xfId="4385"/>
    <cellStyle name="Обычный 2 4 12 6" xfId="4386"/>
    <cellStyle name="Обычный 2 4 12 7" xfId="4387"/>
    <cellStyle name="Обычный 2 4 12 8" xfId="4388"/>
    <cellStyle name="Обычный 2 4 12 9" xfId="4389"/>
    <cellStyle name="Обычный 2 4 13" xfId="4390"/>
    <cellStyle name="Обычный 2 4 13 10" xfId="20035"/>
    <cellStyle name="Обычный 2 4 13 11" xfId="21647"/>
    <cellStyle name="Обычный 2 4 13 2" xfId="4391"/>
    <cellStyle name="Обычный 2 4 13 2 2" xfId="4392"/>
    <cellStyle name="Обычный 2 4 13 3" xfId="4393"/>
    <cellStyle name="Обычный 2 4 13 4" xfId="4394"/>
    <cellStyle name="Обычный 2 4 13 5" xfId="4395"/>
    <cellStyle name="Обычный 2 4 13 6" xfId="4396"/>
    <cellStyle name="Обычный 2 4 13 7" xfId="4397"/>
    <cellStyle name="Обычный 2 4 13 8" xfId="4398"/>
    <cellStyle name="Обычный 2 4 13 9" xfId="18336"/>
    <cellStyle name="Обычный 2 4 14" xfId="4399"/>
    <cellStyle name="Обычный 2 4 14 10" xfId="20036"/>
    <cellStyle name="Обычный 2 4 14 11" xfId="21648"/>
    <cellStyle name="Обычный 2 4 14 2" xfId="4400"/>
    <cellStyle name="Обычный 2 4 14 2 2" xfId="4401"/>
    <cellStyle name="Обычный 2 4 14 3" xfId="4402"/>
    <cellStyle name="Обычный 2 4 14 4" xfId="4403"/>
    <cellStyle name="Обычный 2 4 14 5" xfId="4404"/>
    <cellStyle name="Обычный 2 4 14 6" xfId="4405"/>
    <cellStyle name="Обычный 2 4 14 7" xfId="4406"/>
    <cellStyle name="Обычный 2 4 14 8" xfId="4407"/>
    <cellStyle name="Обычный 2 4 14 9" xfId="18337"/>
    <cellStyle name="Обычный 2 4 15" xfId="4408"/>
    <cellStyle name="Обычный 2 4 15 2" xfId="4409"/>
    <cellStyle name="Обычный 2 4 16" xfId="4410"/>
    <cellStyle name="Обычный 2 4 17" xfId="4411"/>
    <cellStyle name="Обычный 2 4 18" xfId="4412"/>
    <cellStyle name="Обычный 2 4 19" xfId="4413"/>
    <cellStyle name="Обычный 2 4 2" xfId="4414"/>
    <cellStyle name="Обычный 2 4 2 10" xfId="4415"/>
    <cellStyle name="Обычный 2 4 2 10 2" xfId="4416"/>
    <cellStyle name="Обычный 2 4 2 11" xfId="4417"/>
    <cellStyle name="Обычный 2 4 2 12" xfId="4418"/>
    <cellStyle name="Обычный 2 4 2 13" xfId="4419"/>
    <cellStyle name="Обычный 2 4 2 14" xfId="4420"/>
    <cellStyle name="Обычный 2 4 2 15" xfId="4421"/>
    <cellStyle name="Обычный 2 4 2 16" xfId="4422"/>
    <cellStyle name="Обычный 2 4 2 17" xfId="4423"/>
    <cellStyle name="Обычный 2 4 2 18" xfId="4424"/>
    <cellStyle name="Обычный 2 4 2 19" xfId="4425"/>
    <cellStyle name="Обычный 2 4 2 2" xfId="4426"/>
    <cellStyle name="Обычный 2 4 2 2 10" xfId="4427"/>
    <cellStyle name="Обычный 2 4 2 2 11" xfId="4428"/>
    <cellStyle name="Обычный 2 4 2 2 12" xfId="4429"/>
    <cellStyle name="Обычный 2 4 2 2 13" xfId="4430"/>
    <cellStyle name="Обычный 2 4 2 2 14" xfId="4431"/>
    <cellStyle name="Обычный 2 4 2 2 15" xfId="4432"/>
    <cellStyle name="Обычный 2 4 2 2 16" xfId="4433"/>
    <cellStyle name="Обычный 2 4 2 2 17" xfId="4434"/>
    <cellStyle name="Обычный 2 4 2 2 18" xfId="18339"/>
    <cellStyle name="Обычный 2 4 2 2 19" xfId="20038"/>
    <cellStyle name="Обычный 2 4 2 2 2" xfId="4435"/>
    <cellStyle name="Обычный 2 4 2 2 2 10" xfId="4436"/>
    <cellStyle name="Обычный 2 4 2 2 2 11" xfId="4437"/>
    <cellStyle name="Обычный 2 4 2 2 2 12" xfId="18340"/>
    <cellStyle name="Обычный 2 4 2 2 2 13" xfId="20039"/>
    <cellStyle name="Обычный 2 4 2 2 2 14" xfId="21651"/>
    <cellStyle name="Обычный 2 4 2 2 2 2" xfId="4438"/>
    <cellStyle name="Обычный 2 4 2 2 2 2 10" xfId="4439"/>
    <cellStyle name="Обычный 2 4 2 2 2 2 11" xfId="18341"/>
    <cellStyle name="Обычный 2 4 2 2 2 2 12" xfId="20040"/>
    <cellStyle name="Обычный 2 4 2 2 2 2 13" xfId="21652"/>
    <cellStyle name="Обычный 2 4 2 2 2 2 2" xfId="4440"/>
    <cellStyle name="Обычный 2 4 2 2 2 2 2 2" xfId="4441"/>
    <cellStyle name="Обычный 2 4 2 2 2 2 3" xfId="4442"/>
    <cellStyle name="Обычный 2 4 2 2 2 2 4" xfId="4443"/>
    <cellStyle name="Обычный 2 4 2 2 2 2 5" xfId="4444"/>
    <cellStyle name="Обычный 2 4 2 2 2 2 6" xfId="4445"/>
    <cellStyle name="Обычный 2 4 2 2 2 2 7" xfId="4446"/>
    <cellStyle name="Обычный 2 4 2 2 2 2 8" xfId="4447"/>
    <cellStyle name="Обычный 2 4 2 2 2 2 9" xfId="4448"/>
    <cellStyle name="Обычный 2 4 2 2 2 3" xfId="4449"/>
    <cellStyle name="Обычный 2 4 2 2 2 3 2" xfId="4450"/>
    <cellStyle name="Обычный 2 4 2 2 2 4" xfId="4451"/>
    <cellStyle name="Обычный 2 4 2 2 2 5" xfId="4452"/>
    <cellStyle name="Обычный 2 4 2 2 2 6" xfId="4453"/>
    <cellStyle name="Обычный 2 4 2 2 2 7" xfId="4454"/>
    <cellStyle name="Обычный 2 4 2 2 2 8" xfId="4455"/>
    <cellStyle name="Обычный 2 4 2 2 2 9" xfId="4456"/>
    <cellStyle name="Обычный 2 4 2 2 20" xfId="21650"/>
    <cellStyle name="Обычный 2 4 2 2 3" xfId="4457"/>
    <cellStyle name="Обычный 2 4 2 2 3 10" xfId="4458"/>
    <cellStyle name="Обычный 2 4 2 2 3 11" xfId="4459"/>
    <cellStyle name="Обычный 2 4 2 2 3 12" xfId="18342"/>
    <cellStyle name="Обычный 2 4 2 2 3 13" xfId="20041"/>
    <cellStyle name="Обычный 2 4 2 2 3 14" xfId="21653"/>
    <cellStyle name="Обычный 2 4 2 2 3 2" xfId="4460"/>
    <cellStyle name="Обычный 2 4 2 2 3 2 10" xfId="4461"/>
    <cellStyle name="Обычный 2 4 2 2 3 2 11" xfId="18343"/>
    <cellStyle name="Обычный 2 4 2 2 3 2 12" xfId="20042"/>
    <cellStyle name="Обычный 2 4 2 2 3 2 13" xfId="21654"/>
    <cellStyle name="Обычный 2 4 2 2 3 2 2" xfId="4462"/>
    <cellStyle name="Обычный 2 4 2 2 3 2 2 2" xfId="4463"/>
    <cellStyle name="Обычный 2 4 2 2 3 2 3" xfId="4464"/>
    <cellStyle name="Обычный 2 4 2 2 3 2 4" xfId="4465"/>
    <cellStyle name="Обычный 2 4 2 2 3 2 5" xfId="4466"/>
    <cellStyle name="Обычный 2 4 2 2 3 2 6" xfId="4467"/>
    <cellStyle name="Обычный 2 4 2 2 3 2 7" xfId="4468"/>
    <cellStyle name="Обычный 2 4 2 2 3 2 8" xfId="4469"/>
    <cellStyle name="Обычный 2 4 2 2 3 2 9" xfId="4470"/>
    <cellStyle name="Обычный 2 4 2 2 3 3" xfId="4471"/>
    <cellStyle name="Обычный 2 4 2 2 3 3 2" xfId="4472"/>
    <cellStyle name="Обычный 2 4 2 2 3 4" xfId="4473"/>
    <cellStyle name="Обычный 2 4 2 2 3 5" xfId="4474"/>
    <cellStyle name="Обычный 2 4 2 2 3 6" xfId="4475"/>
    <cellStyle name="Обычный 2 4 2 2 3 7" xfId="4476"/>
    <cellStyle name="Обычный 2 4 2 2 3 8" xfId="4477"/>
    <cellStyle name="Обычный 2 4 2 2 3 9" xfId="4478"/>
    <cellStyle name="Обычный 2 4 2 2 4" xfId="4479"/>
    <cellStyle name="Обычный 2 4 2 2 4 10" xfId="4480"/>
    <cellStyle name="Обычный 2 4 2 2 4 11" xfId="4481"/>
    <cellStyle name="Обычный 2 4 2 2 4 12" xfId="18344"/>
    <cellStyle name="Обычный 2 4 2 2 4 13" xfId="20043"/>
    <cellStyle name="Обычный 2 4 2 2 4 14" xfId="21655"/>
    <cellStyle name="Обычный 2 4 2 2 4 2" xfId="4482"/>
    <cellStyle name="Обычный 2 4 2 2 4 2 10" xfId="4483"/>
    <cellStyle name="Обычный 2 4 2 2 4 2 11" xfId="18345"/>
    <cellStyle name="Обычный 2 4 2 2 4 2 12" xfId="20044"/>
    <cellStyle name="Обычный 2 4 2 2 4 2 13" xfId="21656"/>
    <cellStyle name="Обычный 2 4 2 2 4 2 2" xfId="4484"/>
    <cellStyle name="Обычный 2 4 2 2 4 2 2 2" xfId="4485"/>
    <cellStyle name="Обычный 2 4 2 2 4 2 3" xfId="4486"/>
    <cellStyle name="Обычный 2 4 2 2 4 2 4" xfId="4487"/>
    <cellStyle name="Обычный 2 4 2 2 4 2 5" xfId="4488"/>
    <cellStyle name="Обычный 2 4 2 2 4 2 6" xfId="4489"/>
    <cellStyle name="Обычный 2 4 2 2 4 2 7" xfId="4490"/>
    <cellStyle name="Обычный 2 4 2 2 4 2 8" xfId="4491"/>
    <cellStyle name="Обычный 2 4 2 2 4 2 9" xfId="4492"/>
    <cellStyle name="Обычный 2 4 2 2 4 3" xfId="4493"/>
    <cellStyle name="Обычный 2 4 2 2 4 3 2" xfId="4494"/>
    <cellStyle name="Обычный 2 4 2 2 4 4" xfId="4495"/>
    <cellStyle name="Обычный 2 4 2 2 4 5" xfId="4496"/>
    <cellStyle name="Обычный 2 4 2 2 4 6" xfId="4497"/>
    <cellStyle name="Обычный 2 4 2 2 4 7" xfId="4498"/>
    <cellStyle name="Обычный 2 4 2 2 4 8" xfId="4499"/>
    <cellStyle name="Обычный 2 4 2 2 4 9" xfId="4500"/>
    <cellStyle name="Обычный 2 4 2 2 5" xfId="4501"/>
    <cellStyle name="Обычный 2 4 2 2 5 10" xfId="4502"/>
    <cellStyle name="Обычный 2 4 2 2 5 11" xfId="4503"/>
    <cellStyle name="Обычный 2 4 2 2 5 12" xfId="18346"/>
    <cellStyle name="Обычный 2 4 2 2 5 13" xfId="20045"/>
    <cellStyle name="Обычный 2 4 2 2 5 14" xfId="21657"/>
    <cellStyle name="Обычный 2 4 2 2 5 2" xfId="4504"/>
    <cellStyle name="Обычный 2 4 2 2 5 2 10" xfId="4505"/>
    <cellStyle name="Обычный 2 4 2 2 5 2 11" xfId="18347"/>
    <cellStyle name="Обычный 2 4 2 2 5 2 12" xfId="20046"/>
    <cellStyle name="Обычный 2 4 2 2 5 2 13" xfId="21658"/>
    <cellStyle name="Обычный 2 4 2 2 5 2 2" xfId="4506"/>
    <cellStyle name="Обычный 2 4 2 2 5 2 2 2" xfId="4507"/>
    <cellStyle name="Обычный 2 4 2 2 5 2 3" xfId="4508"/>
    <cellStyle name="Обычный 2 4 2 2 5 2 4" xfId="4509"/>
    <cellStyle name="Обычный 2 4 2 2 5 2 5" xfId="4510"/>
    <cellStyle name="Обычный 2 4 2 2 5 2 6" xfId="4511"/>
    <cellStyle name="Обычный 2 4 2 2 5 2 7" xfId="4512"/>
    <cellStyle name="Обычный 2 4 2 2 5 2 8" xfId="4513"/>
    <cellStyle name="Обычный 2 4 2 2 5 2 9" xfId="4514"/>
    <cellStyle name="Обычный 2 4 2 2 5 3" xfId="4515"/>
    <cellStyle name="Обычный 2 4 2 2 5 3 2" xfId="4516"/>
    <cellStyle name="Обычный 2 4 2 2 5 4" xfId="4517"/>
    <cellStyle name="Обычный 2 4 2 2 5 5" xfId="4518"/>
    <cellStyle name="Обычный 2 4 2 2 5 6" xfId="4519"/>
    <cellStyle name="Обычный 2 4 2 2 5 7" xfId="4520"/>
    <cellStyle name="Обычный 2 4 2 2 5 8" xfId="4521"/>
    <cellStyle name="Обычный 2 4 2 2 5 9" xfId="4522"/>
    <cellStyle name="Обычный 2 4 2 2 6" xfId="4523"/>
    <cellStyle name="Обычный 2 4 2 2 6 10" xfId="4524"/>
    <cellStyle name="Обычный 2 4 2 2 6 11" xfId="18348"/>
    <cellStyle name="Обычный 2 4 2 2 6 12" xfId="20047"/>
    <cellStyle name="Обычный 2 4 2 2 6 13" xfId="21659"/>
    <cellStyle name="Обычный 2 4 2 2 6 2" xfId="4525"/>
    <cellStyle name="Обычный 2 4 2 2 6 2 2" xfId="4526"/>
    <cellStyle name="Обычный 2 4 2 2 6 3" xfId="4527"/>
    <cellStyle name="Обычный 2 4 2 2 6 4" xfId="4528"/>
    <cellStyle name="Обычный 2 4 2 2 6 5" xfId="4529"/>
    <cellStyle name="Обычный 2 4 2 2 6 6" xfId="4530"/>
    <cellStyle name="Обычный 2 4 2 2 6 7" xfId="4531"/>
    <cellStyle name="Обычный 2 4 2 2 6 8" xfId="4532"/>
    <cellStyle name="Обычный 2 4 2 2 6 9" xfId="4533"/>
    <cellStyle name="Обычный 2 4 2 2 7" xfId="4534"/>
    <cellStyle name="Обычный 2 4 2 2 7 10" xfId="20048"/>
    <cellStyle name="Обычный 2 4 2 2 7 11" xfId="21660"/>
    <cellStyle name="Обычный 2 4 2 2 7 2" xfId="4535"/>
    <cellStyle name="Обычный 2 4 2 2 7 2 2" xfId="4536"/>
    <cellStyle name="Обычный 2 4 2 2 7 3" xfId="4537"/>
    <cellStyle name="Обычный 2 4 2 2 7 4" xfId="4538"/>
    <cellStyle name="Обычный 2 4 2 2 7 5" xfId="4539"/>
    <cellStyle name="Обычный 2 4 2 2 7 6" xfId="4540"/>
    <cellStyle name="Обычный 2 4 2 2 7 7" xfId="4541"/>
    <cellStyle name="Обычный 2 4 2 2 7 8" xfId="4542"/>
    <cellStyle name="Обычный 2 4 2 2 7 9" xfId="18349"/>
    <cellStyle name="Обычный 2 4 2 2 8" xfId="4543"/>
    <cellStyle name="Обычный 2 4 2 2 8 2" xfId="4544"/>
    <cellStyle name="Обычный 2 4 2 2 9" xfId="4545"/>
    <cellStyle name="Обычный 2 4 2 20" xfId="18338"/>
    <cellStyle name="Обычный 2 4 2 21" xfId="20037"/>
    <cellStyle name="Обычный 2 4 2 22" xfId="21649"/>
    <cellStyle name="Обычный 2 4 2 3" xfId="4546"/>
    <cellStyle name="Обычный 2 4 2 3 10" xfId="4547"/>
    <cellStyle name="Обычный 2 4 2 3 11" xfId="4548"/>
    <cellStyle name="Обычный 2 4 2 3 12" xfId="4549"/>
    <cellStyle name="Обычный 2 4 2 3 13" xfId="4550"/>
    <cellStyle name="Обычный 2 4 2 3 14" xfId="4551"/>
    <cellStyle name="Обычный 2 4 2 3 15" xfId="4552"/>
    <cellStyle name="Обычный 2 4 2 3 16" xfId="4553"/>
    <cellStyle name="Обычный 2 4 2 3 17" xfId="4554"/>
    <cellStyle name="Обычный 2 4 2 3 18" xfId="18350"/>
    <cellStyle name="Обычный 2 4 2 3 19" xfId="20049"/>
    <cellStyle name="Обычный 2 4 2 3 2" xfId="4555"/>
    <cellStyle name="Обычный 2 4 2 3 2 10" xfId="4556"/>
    <cellStyle name="Обычный 2 4 2 3 2 11" xfId="4557"/>
    <cellStyle name="Обычный 2 4 2 3 2 12" xfId="18351"/>
    <cellStyle name="Обычный 2 4 2 3 2 13" xfId="20050"/>
    <cellStyle name="Обычный 2 4 2 3 2 14" xfId="21662"/>
    <cellStyle name="Обычный 2 4 2 3 2 2" xfId="4558"/>
    <cellStyle name="Обычный 2 4 2 3 2 2 10" xfId="4559"/>
    <cellStyle name="Обычный 2 4 2 3 2 2 11" xfId="18352"/>
    <cellStyle name="Обычный 2 4 2 3 2 2 12" xfId="20051"/>
    <cellStyle name="Обычный 2 4 2 3 2 2 13" xfId="21663"/>
    <cellStyle name="Обычный 2 4 2 3 2 2 2" xfId="4560"/>
    <cellStyle name="Обычный 2 4 2 3 2 2 2 2" xfId="4561"/>
    <cellStyle name="Обычный 2 4 2 3 2 2 3" xfId="4562"/>
    <cellStyle name="Обычный 2 4 2 3 2 2 4" xfId="4563"/>
    <cellStyle name="Обычный 2 4 2 3 2 2 5" xfId="4564"/>
    <cellStyle name="Обычный 2 4 2 3 2 2 6" xfId="4565"/>
    <cellStyle name="Обычный 2 4 2 3 2 2 7" xfId="4566"/>
    <cellStyle name="Обычный 2 4 2 3 2 2 8" xfId="4567"/>
    <cellStyle name="Обычный 2 4 2 3 2 2 9" xfId="4568"/>
    <cellStyle name="Обычный 2 4 2 3 2 3" xfId="4569"/>
    <cellStyle name="Обычный 2 4 2 3 2 3 2" xfId="4570"/>
    <cellStyle name="Обычный 2 4 2 3 2 4" xfId="4571"/>
    <cellStyle name="Обычный 2 4 2 3 2 5" xfId="4572"/>
    <cellStyle name="Обычный 2 4 2 3 2 6" xfId="4573"/>
    <cellStyle name="Обычный 2 4 2 3 2 7" xfId="4574"/>
    <cellStyle name="Обычный 2 4 2 3 2 8" xfId="4575"/>
    <cellStyle name="Обычный 2 4 2 3 2 9" xfId="4576"/>
    <cellStyle name="Обычный 2 4 2 3 20" xfId="21661"/>
    <cellStyle name="Обычный 2 4 2 3 3" xfId="4577"/>
    <cellStyle name="Обычный 2 4 2 3 3 10" xfId="4578"/>
    <cellStyle name="Обычный 2 4 2 3 3 11" xfId="4579"/>
    <cellStyle name="Обычный 2 4 2 3 3 12" xfId="18353"/>
    <cellStyle name="Обычный 2 4 2 3 3 13" xfId="20052"/>
    <cellStyle name="Обычный 2 4 2 3 3 14" xfId="21664"/>
    <cellStyle name="Обычный 2 4 2 3 3 2" xfId="4580"/>
    <cellStyle name="Обычный 2 4 2 3 3 2 10" xfId="4581"/>
    <cellStyle name="Обычный 2 4 2 3 3 2 11" xfId="18354"/>
    <cellStyle name="Обычный 2 4 2 3 3 2 12" xfId="20053"/>
    <cellStyle name="Обычный 2 4 2 3 3 2 13" xfId="21665"/>
    <cellStyle name="Обычный 2 4 2 3 3 2 2" xfId="4582"/>
    <cellStyle name="Обычный 2 4 2 3 3 2 2 2" xfId="4583"/>
    <cellStyle name="Обычный 2 4 2 3 3 2 3" xfId="4584"/>
    <cellStyle name="Обычный 2 4 2 3 3 2 4" xfId="4585"/>
    <cellStyle name="Обычный 2 4 2 3 3 2 5" xfId="4586"/>
    <cellStyle name="Обычный 2 4 2 3 3 2 6" xfId="4587"/>
    <cellStyle name="Обычный 2 4 2 3 3 2 7" xfId="4588"/>
    <cellStyle name="Обычный 2 4 2 3 3 2 8" xfId="4589"/>
    <cellStyle name="Обычный 2 4 2 3 3 2 9" xfId="4590"/>
    <cellStyle name="Обычный 2 4 2 3 3 3" xfId="4591"/>
    <cellStyle name="Обычный 2 4 2 3 3 3 2" xfId="4592"/>
    <cellStyle name="Обычный 2 4 2 3 3 4" xfId="4593"/>
    <cellStyle name="Обычный 2 4 2 3 3 5" xfId="4594"/>
    <cellStyle name="Обычный 2 4 2 3 3 6" xfId="4595"/>
    <cellStyle name="Обычный 2 4 2 3 3 7" xfId="4596"/>
    <cellStyle name="Обычный 2 4 2 3 3 8" xfId="4597"/>
    <cellStyle name="Обычный 2 4 2 3 3 9" xfId="4598"/>
    <cellStyle name="Обычный 2 4 2 3 4" xfId="4599"/>
    <cellStyle name="Обычный 2 4 2 3 4 10" xfId="4600"/>
    <cellStyle name="Обычный 2 4 2 3 4 11" xfId="4601"/>
    <cellStyle name="Обычный 2 4 2 3 4 12" xfId="18355"/>
    <cellStyle name="Обычный 2 4 2 3 4 13" xfId="20054"/>
    <cellStyle name="Обычный 2 4 2 3 4 14" xfId="21666"/>
    <cellStyle name="Обычный 2 4 2 3 4 2" xfId="4602"/>
    <cellStyle name="Обычный 2 4 2 3 4 2 10" xfId="4603"/>
    <cellStyle name="Обычный 2 4 2 3 4 2 11" xfId="18356"/>
    <cellStyle name="Обычный 2 4 2 3 4 2 12" xfId="20055"/>
    <cellStyle name="Обычный 2 4 2 3 4 2 13" xfId="21667"/>
    <cellStyle name="Обычный 2 4 2 3 4 2 2" xfId="4604"/>
    <cellStyle name="Обычный 2 4 2 3 4 2 2 2" xfId="4605"/>
    <cellStyle name="Обычный 2 4 2 3 4 2 3" xfId="4606"/>
    <cellStyle name="Обычный 2 4 2 3 4 2 4" xfId="4607"/>
    <cellStyle name="Обычный 2 4 2 3 4 2 5" xfId="4608"/>
    <cellStyle name="Обычный 2 4 2 3 4 2 6" xfId="4609"/>
    <cellStyle name="Обычный 2 4 2 3 4 2 7" xfId="4610"/>
    <cellStyle name="Обычный 2 4 2 3 4 2 8" xfId="4611"/>
    <cellStyle name="Обычный 2 4 2 3 4 2 9" xfId="4612"/>
    <cellStyle name="Обычный 2 4 2 3 4 3" xfId="4613"/>
    <cellStyle name="Обычный 2 4 2 3 4 3 2" xfId="4614"/>
    <cellStyle name="Обычный 2 4 2 3 4 4" xfId="4615"/>
    <cellStyle name="Обычный 2 4 2 3 4 5" xfId="4616"/>
    <cellStyle name="Обычный 2 4 2 3 4 6" xfId="4617"/>
    <cellStyle name="Обычный 2 4 2 3 4 7" xfId="4618"/>
    <cellStyle name="Обычный 2 4 2 3 4 8" xfId="4619"/>
    <cellStyle name="Обычный 2 4 2 3 4 9" xfId="4620"/>
    <cellStyle name="Обычный 2 4 2 3 5" xfId="4621"/>
    <cellStyle name="Обычный 2 4 2 3 5 10" xfId="4622"/>
    <cellStyle name="Обычный 2 4 2 3 5 11" xfId="4623"/>
    <cellStyle name="Обычный 2 4 2 3 5 12" xfId="18357"/>
    <cellStyle name="Обычный 2 4 2 3 5 13" xfId="20056"/>
    <cellStyle name="Обычный 2 4 2 3 5 14" xfId="21668"/>
    <cellStyle name="Обычный 2 4 2 3 5 2" xfId="4624"/>
    <cellStyle name="Обычный 2 4 2 3 5 2 10" xfId="4625"/>
    <cellStyle name="Обычный 2 4 2 3 5 2 11" xfId="18358"/>
    <cellStyle name="Обычный 2 4 2 3 5 2 12" xfId="20057"/>
    <cellStyle name="Обычный 2 4 2 3 5 2 13" xfId="21669"/>
    <cellStyle name="Обычный 2 4 2 3 5 2 2" xfId="4626"/>
    <cellStyle name="Обычный 2 4 2 3 5 2 2 2" xfId="4627"/>
    <cellStyle name="Обычный 2 4 2 3 5 2 3" xfId="4628"/>
    <cellStyle name="Обычный 2 4 2 3 5 2 4" xfId="4629"/>
    <cellStyle name="Обычный 2 4 2 3 5 2 5" xfId="4630"/>
    <cellStyle name="Обычный 2 4 2 3 5 2 6" xfId="4631"/>
    <cellStyle name="Обычный 2 4 2 3 5 2 7" xfId="4632"/>
    <cellStyle name="Обычный 2 4 2 3 5 2 8" xfId="4633"/>
    <cellStyle name="Обычный 2 4 2 3 5 2 9" xfId="4634"/>
    <cellStyle name="Обычный 2 4 2 3 5 3" xfId="4635"/>
    <cellStyle name="Обычный 2 4 2 3 5 3 2" xfId="4636"/>
    <cellStyle name="Обычный 2 4 2 3 5 4" xfId="4637"/>
    <cellStyle name="Обычный 2 4 2 3 5 5" xfId="4638"/>
    <cellStyle name="Обычный 2 4 2 3 5 6" xfId="4639"/>
    <cellStyle name="Обычный 2 4 2 3 5 7" xfId="4640"/>
    <cellStyle name="Обычный 2 4 2 3 5 8" xfId="4641"/>
    <cellStyle name="Обычный 2 4 2 3 5 9" xfId="4642"/>
    <cellStyle name="Обычный 2 4 2 3 6" xfId="4643"/>
    <cellStyle name="Обычный 2 4 2 3 6 10" xfId="4644"/>
    <cellStyle name="Обычный 2 4 2 3 6 11" xfId="18359"/>
    <cellStyle name="Обычный 2 4 2 3 6 12" xfId="20058"/>
    <cellStyle name="Обычный 2 4 2 3 6 13" xfId="21670"/>
    <cellStyle name="Обычный 2 4 2 3 6 2" xfId="4645"/>
    <cellStyle name="Обычный 2 4 2 3 6 2 2" xfId="4646"/>
    <cellStyle name="Обычный 2 4 2 3 6 3" xfId="4647"/>
    <cellStyle name="Обычный 2 4 2 3 6 4" xfId="4648"/>
    <cellStyle name="Обычный 2 4 2 3 6 5" xfId="4649"/>
    <cellStyle name="Обычный 2 4 2 3 6 6" xfId="4650"/>
    <cellStyle name="Обычный 2 4 2 3 6 7" xfId="4651"/>
    <cellStyle name="Обычный 2 4 2 3 6 8" xfId="4652"/>
    <cellStyle name="Обычный 2 4 2 3 6 9" xfId="4653"/>
    <cellStyle name="Обычный 2 4 2 3 7" xfId="4654"/>
    <cellStyle name="Обычный 2 4 2 3 7 10" xfId="20059"/>
    <cellStyle name="Обычный 2 4 2 3 7 11" xfId="21671"/>
    <cellStyle name="Обычный 2 4 2 3 7 2" xfId="4655"/>
    <cellStyle name="Обычный 2 4 2 3 7 2 2" xfId="4656"/>
    <cellStyle name="Обычный 2 4 2 3 7 3" xfId="4657"/>
    <cellStyle name="Обычный 2 4 2 3 7 4" xfId="4658"/>
    <cellStyle name="Обычный 2 4 2 3 7 5" xfId="4659"/>
    <cellStyle name="Обычный 2 4 2 3 7 6" xfId="4660"/>
    <cellStyle name="Обычный 2 4 2 3 7 7" xfId="4661"/>
    <cellStyle name="Обычный 2 4 2 3 7 8" xfId="4662"/>
    <cellStyle name="Обычный 2 4 2 3 7 9" xfId="18360"/>
    <cellStyle name="Обычный 2 4 2 3 8" xfId="4663"/>
    <cellStyle name="Обычный 2 4 2 3 8 2" xfId="4664"/>
    <cellStyle name="Обычный 2 4 2 3 9" xfId="4665"/>
    <cellStyle name="Обычный 2 4 2 4" xfId="4666"/>
    <cellStyle name="Обычный 2 4 2 4 10" xfId="4667"/>
    <cellStyle name="Обычный 2 4 2 4 11" xfId="4668"/>
    <cellStyle name="Обычный 2 4 2 4 12" xfId="18361"/>
    <cellStyle name="Обычный 2 4 2 4 13" xfId="20060"/>
    <cellStyle name="Обычный 2 4 2 4 14" xfId="21672"/>
    <cellStyle name="Обычный 2 4 2 4 2" xfId="4669"/>
    <cellStyle name="Обычный 2 4 2 4 2 10" xfId="4670"/>
    <cellStyle name="Обычный 2 4 2 4 2 11" xfId="18362"/>
    <cellStyle name="Обычный 2 4 2 4 2 12" xfId="20061"/>
    <cellStyle name="Обычный 2 4 2 4 2 13" xfId="21673"/>
    <cellStyle name="Обычный 2 4 2 4 2 2" xfId="4671"/>
    <cellStyle name="Обычный 2 4 2 4 2 2 2" xfId="4672"/>
    <cellStyle name="Обычный 2 4 2 4 2 3" xfId="4673"/>
    <cellStyle name="Обычный 2 4 2 4 2 4" xfId="4674"/>
    <cellStyle name="Обычный 2 4 2 4 2 5" xfId="4675"/>
    <cellStyle name="Обычный 2 4 2 4 2 6" xfId="4676"/>
    <cellStyle name="Обычный 2 4 2 4 2 7" xfId="4677"/>
    <cellStyle name="Обычный 2 4 2 4 2 8" xfId="4678"/>
    <cellStyle name="Обычный 2 4 2 4 2 9" xfId="4679"/>
    <cellStyle name="Обычный 2 4 2 4 3" xfId="4680"/>
    <cellStyle name="Обычный 2 4 2 4 3 2" xfId="4681"/>
    <cellStyle name="Обычный 2 4 2 4 4" xfId="4682"/>
    <cellStyle name="Обычный 2 4 2 4 5" xfId="4683"/>
    <cellStyle name="Обычный 2 4 2 4 6" xfId="4684"/>
    <cellStyle name="Обычный 2 4 2 4 7" xfId="4685"/>
    <cellStyle name="Обычный 2 4 2 4 8" xfId="4686"/>
    <cellStyle name="Обычный 2 4 2 4 9" xfId="4687"/>
    <cellStyle name="Обычный 2 4 2 5" xfId="4688"/>
    <cellStyle name="Обычный 2 4 2 5 10" xfId="4689"/>
    <cellStyle name="Обычный 2 4 2 5 11" xfId="4690"/>
    <cellStyle name="Обычный 2 4 2 5 12" xfId="18363"/>
    <cellStyle name="Обычный 2 4 2 5 13" xfId="20062"/>
    <cellStyle name="Обычный 2 4 2 5 14" xfId="21674"/>
    <cellStyle name="Обычный 2 4 2 5 2" xfId="4691"/>
    <cellStyle name="Обычный 2 4 2 5 2 10" xfId="4692"/>
    <cellStyle name="Обычный 2 4 2 5 2 11" xfId="18364"/>
    <cellStyle name="Обычный 2 4 2 5 2 12" xfId="20063"/>
    <cellStyle name="Обычный 2 4 2 5 2 13" xfId="21675"/>
    <cellStyle name="Обычный 2 4 2 5 2 2" xfId="4693"/>
    <cellStyle name="Обычный 2 4 2 5 2 2 2" xfId="4694"/>
    <cellStyle name="Обычный 2 4 2 5 2 3" xfId="4695"/>
    <cellStyle name="Обычный 2 4 2 5 2 4" xfId="4696"/>
    <cellStyle name="Обычный 2 4 2 5 2 5" xfId="4697"/>
    <cellStyle name="Обычный 2 4 2 5 2 6" xfId="4698"/>
    <cellStyle name="Обычный 2 4 2 5 2 7" xfId="4699"/>
    <cellStyle name="Обычный 2 4 2 5 2 8" xfId="4700"/>
    <cellStyle name="Обычный 2 4 2 5 2 9" xfId="4701"/>
    <cellStyle name="Обычный 2 4 2 5 3" xfId="4702"/>
    <cellStyle name="Обычный 2 4 2 5 3 2" xfId="4703"/>
    <cellStyle name="Обычный 2 4 2 5 4" xfId="4704"/>
    <cellStyle name="Обычный 2 4 2 5 5" xfId="4705"/>
    <cellStyle name="Обычный 2 4 2 5 6" xfId="4706"/>
    <cellStyle name="Обычный 2 4 2 5 7" xfId="4707"/>
    <cellStyle name="Обычный 2 4 2 5 8" xfId="4708"/>
    <cellStyle name="Обычный 2 4 2 5 9" xfId="4709"/>
    <cellStyle name="Обычный 2 4 2 6" xfId="4710"/>
    <cellStyle name="Обычный 2 4 2 6 10" xfId="4711"/>
    <cellStyle name="Обычный 2 4 2 6 11" xfId="4712"/>
    <cellStyle name="Обычный 2 4 2 6 12" xfId="18365"/>
    <cellStyle name="Обычный 2 4 2 6 13" xfId="20064"/>
    <cellStyle name="Обычный 2 4 2 6 14" xfId="21676"/>
    <cellStyle name="Обычный 2 4 2 6 2" xfId="4713"/>
    <cellStyle name="Обычный 2 4 2 6 2 10" xfId="4714"/>
    <cellStyle name="Обычный 2 4 2 6 2 11" xfId="18366"/>
    <cellStyle name="Обычный 2 4 2 6 2 12" xfId="20065"/>
    <cellStyle name="Обычный 2 4 2 6 2 13" xfId="21677"/>
    <cellStyle name="Обычный 2 4 2 6 2 2" xfId="4715"/>
    <cellStyle name="Обычный 2 4 2 6 2 2 2" xfId="4716"/>
    <cellStyle name="Обычный 2 4 2 6 2 3" xfId="4717"/>
    <cellStyle name="Обычный 2 4 2 6 2 4" xfId="4718"/>
    <cellStyle name="Обычный 2 4 2 6 2 5" xfId="4719"/>
    <cellStyle name="Обычный 2 4 2 6 2 6" xfId="4720"/>
    <cellStyle name="Обычный 2 4 2 6 2 7" xfId="4721"/>
    <cellStyle name="Обычный 2 4 2 6 2 8" xfId="4722"/>
    <cellStyle name="Обычный 2 4 2 6 2 9" xfId="4723"/>
    <cellStyle name="Обычный 2 4 2 6 3" xfId="4724"/>
    <cellStyle name="Обычный 2 4 2 6 3 2" xfId="4725"/>
    <cellStyle name="Обычный 2 4 2 6 4" xfId="4726"/>
    <cellStyle name="Обычный 2 4 2 6 5" xfId="4727"/>
    <cellStyle name="Обычный 2 4 2 6 6" xfId="4728"/>
    <cellStyle name="Обычный 2 4 2 6 7" xfId="4729"/>
    <cellStyle name="Обычный 2 4 2 6 8" xfId="4730"/>
    <cellStyle name="Обычный 2 4 2 6 9" xfId="4731"/>
    <cellStyle name="Обычный 2 4 2 7" xfId="4732"/>
    <cellStyle name="Обычный 2 4 2 7 10" xfId="4733"/>
    <cellStyle name="Обычный 2 4 2 7 11" xfId="4734"/>
    <cellStyle name="Обычный 2 4 2 7 12" xfId="18367"/>
    <cellStyle name="Обычный 2 4 2 7 13" xfId="20066"/>
    <cellStyle name="Обычный 2 4 2 7 14" xfId="21678"/>
    <cellStyle name="Обычный 2 4 2 7 2" xfId="4735"/>
    <cellStyle name="Обычный 2 4 2 7 2 10" xfId="4736"/>
    <cellStyle name="Обычный 2 4 2 7 2 11" xfId="18368"/>
    <cellStyle name="Обычный 2 4 2 7 2 12" xfId="20067"/>
    <cellStyle name="Обычный 2 4 2 7 2 13" xfId="21679"/>
    <cellStyle name="Обычный 2 4 2 7 2 2" xfId="4737"/>
    <cellStyle name="Обычный 2 4 2 7 2 2 2" xfId="4738"/>
    <cellStyle name="Обычный 2 4 2 7 2 3" xfId="4739"/>
    <cellStyle name="Обычный 2 4 2 7 2 4" xfId="4740"/>
    <cellStyle name="Обычный 2 4 2 7 2 5" xfId="4741"/>
    <cellStyle name="Обычный 2 4 2 7 2 6" xfId="4742"/>
    <cellStyle name="Обычный 2 4 2 7 2 7" xfId="4743"/>
    <cellStyle name="Обычный 2 4 2 7 2 8" xfId="4744"/>
    <cellStyle name="Обычный 2 4 2 7 2 9" xfId="4745"/>
    <cellStyle name="Обычный 2 4 2 7 3" xfId="4746"/>
    <cellStyle name="Обычный 2 4 2 7 3 2" xfId="4747"/>
    <cellStyle name="Обычный 2 4 2 7 4" xfId="4748"/>
    <cellStyle name="Обычный 2 4 2 7 5" xfId="4749"/>
    <cellStyle name="Обычный 2 4 2 7 6" xfId="4750"/>
    <cellStyle name="Обычный 2 4 2 7 7" xfId="4751"/>
    <cellStyle name="Обычный 2 4 2 7 8" xfId="4752"/>
    <cellStyle name="Обычный 2 4 2 7 9" xfId="4753"/>
    <cellStyle name="Обычный 2 4 2 8" xfId="4754"/>
    <cellStyle name="Обычный 2 4 2 8 10" xfId="4755"/>
    <cellStyle name="Обычный 2 4 2 8 11" xfId="18369"/>
    <cellStyle name="Обычный 2 4 2 8 12" xfId="20068"/>
    <cellStyle name="Обычный 2 4 2 8 13" xfId="21680"/>
    <cellStyle name="Обычный 2 4 2 8 2" xfId="4756"/>
    <cellStyle name="Обычный 2 4 2 8 2 2" xfId="4757"/>
    <cellStyle name="Обычный 2 4 2 8 3" xfId="4758"/>
    <cellStyle name="Обычный 2 4 2 8 4" xfId="4759"/>
    <cellStyle name="Обычный 2 4 2 8 5" xfId="4760"/>
    <cellStyle name="Обычный 2 4 2 8 6" xfId="4761"/>
    <cellStyle name="Обычный 2 4 2 8 7" xfId="4762"/>
    <cellStyle name="Обычный 2 4 2 8 8" xfId="4763"/>
    <cellStyle name="Обычный 2 4 2 8 9" xfId="4764"/>
    <cellStyle name="Обычный 2 4 2 9" xfId="4765"/>
    <cellStyle name="Обычный 2 4 2 9 10" xfId="20069"/>
    <cellStyle name="Обычный 2 4 2 9 11" xfId="21681"/>
    <cellStyle name="Обычный 2 4 2 9 2" xfId="4766"/>
    <cellStyle name="Обычный 2 4 2 9 2 2" xfId="4767"/>
    <cellStyle name="Обычный 2 4 2 9 3" xfId="4768"/>
    <cellStyle name="Обычный 2 4 2 9 4" xfId="4769"/>
    <cellStyle name="Обычный 2 4 2 9 5" xfId="4770"/>
    <cellStyle name="Обычный 2 4 2 9 6" xfId="4771"/>
    <cellStyle name="Обычный 2 4 2 9 7" xfId="4772"/>
    <cellStyle name="Обычный 2 4 2 9 8" xfId="4773"/>
    <cellStyle name="Обычный 2 4 2 9 9" xfId="18370"/>
    <cellStyle name="Обычный 2 4 20" xfId="4774"/>
    <cellStyle name="Обычный 2 4 21" xfId="4775"/>
    <cellStyle name="Обычный 2 4 22" xfId="4776"/>
    <cellStyle name="Обычный 2 4 23" xfId="4777"/>
    <cellStyle name="Обычный 2 4 24" xfId="4778"/>
    <cellStyle name="Обычный 2 4 25" xfId="18330"/>
    <cellStyle name="Обычный 2 4 26" xfId="19628"/>
    <cellStyle name="Обычный 2 4 27" xfId="20029"/>
    <cellStyle name="Обычный 2 4 28" xfId="21641"/>
    <cellStyle name="Обычный 2 4 3" xfId="4779"/>
    <cellStyle name="Обычный 2 4 3 10" xfId="4780"/>
    <cellStyle name="Обычный 2 4 3 11" xfId="4781"/>
    <cellStyle name="Обычный 2 4 3 12" xfId="4782"/>
    <cellStyle name="Обычный 2 4 3 13" xfId="4783"/>
    <cellStyle name="Обычный 2 4 3 14" xfId="4784"/>
    <cellStyle name="Обычный 2 4 3 15" xfId="4785"/>
    <cellStyle name="Обычный 2 4 3 16" xfId="4786"/>
    <cellStyle name="Обычный 2 4 3 17" xfId="4787"/>
    <cellStyle name="Обычный 2 4 3 18" xfId="18371"/>
    <cellStyle name="Обычный 2 4 3 19" xfId="20070"/>
    <cellStyle name="Обычный 2 4 3 2" xfId="4788"/>
    <cellStyle name="Обычный 2 4 3 2 10" xfId="4789"/>
    <cellStyle name="Обычный 2 4 3 2 11" xfId="4790"/>
    <cellStyle name="Обычный 2 4 3 2 12" xfId="18372"/>
    <cellStyle name="Обычный 2 4 3 2 13" xfId="20071"/>
    <cellStyle name="Обычный 2 4 3 2 14" xfId="21683"/>
    <cellStyle name="Обычный 2 4 3 2 2" xfId="4791"/>
    <cellStyle name="Обычный 2 4 3 2 2 10" xfId="4792"/>
    <cellStyle name="Обычный 2 4 3 2 2 11" xfId="18373"/>
    <cellStyle name="Обычный 2 4 3 2 2 12" xfId="20072"/>
    <cellStyle name="Обычный 2 4 3 2 2 13" xfId="21684"/>
    <cellStyle name="Обычный 2 4 3 2 2 2" xfId="4793"/>
    <cellStyle name="Обычный 2 4 3 2 2 2 2" xfId="4794"/>
    <cellStyle name="Обычный 2 4 3 2 2 3" xfId="4795"/>
    <cellStyle name="Обычный 2 4 3 2 2 4" xfId="4796"/>
    <cellStyle name="Обычный 2 4 3 2 2 5" xfId="4797"/>
    <cellStyle name="Обычный 2 4 3 2 2 6" xfId="4798"/>
    <cellStyle name="Обычный 2 4 3 2 2 7" xfId="4799"/>
    <cellStyle name="Обычный 2 4 3 2 2 8" xfId="4800"/>
    <cellStyle name="Обычный 2 4 3 2 2 9" xfId="4801"/>
    <cellStyle name="Обычный 2 4 3 2 3" xfId="4802"/>
    <cellStyle name="Обычный 2 4 3 2 3 2" xfId="4803"/>
    <cellStyle name="Обычный 2 4 3 2 4" xfId="4804"/>
    <cellStyle name="Обычный 2 4 3 2 5" xfId="4805"/>
    <cellStyle name="Обычный 2 4 3 2 6" xfId="4806"/>
    <cellStyle name="Обычный 2 4 3 2 7" xfId="4807"/>
    <cellStyle name="Обычный 2 4 3 2 8" xfId="4808"/>
    <cellStyle name="Обычный 2 4 3 2 9" xfId="4809"/>
    <cellStyle name="Обычный 2 4 3 20" xfId="21682"/>
    <cellStyle name="Обычный 2 4 3 3" xfId="4810"/>
    <cellStyle name="Обычный 2 4 3 3 10" xfId="4811"/>
    <cellStyle name="Обычный 2 4 3 3 11" xfId="4812"/>
    <cellStyle name="Обычный 2 4 3 3 12" xfId="18374"/>
    <cellStyle name="Обычный 2 4 3 3 13" xfId="20073"/>
    <cellStyle name="Обычный 2 4 3 3 14" xfId="21685"/>
    <cellStyle name="Обычный 2 4 3 3 2" xfId="4813"/>
    <cellStyle name="Обычный 2 4 3 3 2 10" xfId="4814"/>
    <cellStyle name="Обычный 2 4 3 3 2 11" xfId="18375"/>
    <cellStyle name="Обычный 2 4 3 3 2 12" xfId="20074"/>
    <cellStyle name="Обычный 2 4 3 3 2 13" xfId="21686"/>
    <cellStyle name="Обычный 2 4 3 3 2 2" xfId="4815"/>
    <cellStyle name="Обычный 2 4 3 3 2 2 2" xfId="4816"/>
    <cellStyle name="Обычный 2 4 3 3 2 3" xfId="4817"/>
    <cellStyle name="Обычный 2 4 3 3 2 4" xfId="4818"/>
    <cellStyle name="Обычный 2 4 3 3 2 5" xfId="4819"/>
    <cellStyle name="Обычный 2 4 3 3 2 6" xfId="4820"/>
    <cellStyle name="Обычный 2 4 3 3 2 7" xfId="4821"/>
    <cellStyle name="Обычный 2 4 3 3 2 8" xfId="4822"/>
    <cellStyle name="Обычный 2 4 3 3 2 9" xfId="4823"/>
    <cellStyle name="Обычный 2 4 3 3 3" xfId="4824"/>
    <cellStyle name="Обычный 2 4 3 3 3 2" xfId="4825"/>
    <cellStyle name="Обычный 2 4 3 3 4" xfId="4826"/>
    <cellStyle name="Обычный 2 4 3 3 5" xfId="4827"/>
    <cellStyle name="Обычный 2 4 3 3 6" xfId="4828"/>
    <cellStyle name="Обычный 2 4 3 3 7" xfId="4829"/>
    <cellStyle name="Обычный 2 4 3 3 8" xfId="4830"/>
    <cellStyle name="Обычный 2 4 3 3 9" xfId="4831"/>
    <cellStyle name="Обычный 2 4 3 4" xfId="4832"/>
    <cellStyle name="Обычный 2 4 3 4 10" xfId="4833"/>
    <cellStyle name="Обычный 2 4 3 4 11" xfId="4834"/>
    <cellStyle name="Обычный 2 4 3 4 12" xfId="18376"/>
    <cellStyle name="Обычный 2 4 3 4 13" xfId="20075"/>
    <cellStyle name="Обычный 2 4 3 4 14" xfId="21687"/>
    <cellStyle name="Обычный 2 4 3 4 2" xfId="4835"/>
    <cellStyle name="Обычный 2 4 3 4 2 10" xfId="4836"/>
    <cellStyle name="Обычный 2 4 3 4 2 11" xfId="18377"/>
    <cellStyle name="Обычный 2 4 3 4 2 12" xfId="20076"/>
    <cellStyle name="Обычный 2 4 3 4 2 13" xfId="21688"/>
    <cellStyle name="Обычный 2 4 3 4 2 2" xfId="4837"/>
    <cellStyle name="Обычный 2 4 3 4 2 2 2" xfId="4838"/>
    <cellStyle name="Обычный 2 4 3 4 2 3" xfId="4839"/>
    <cellStyle name="Обычный 2 4 3 4 2 4" xfId="4840"/>
    <cellStyle name="Обычный 2 4 3 4 2 5" xfId="4841"/>
    <cellStyle name="Обычный 2 4 3 4 2 6" xfId="4842"/>
    <cellStyle name="Обычный 2 4 3 4 2 7" xfId="4843"/>
    <cellStyle name="Обычный 2 4 3 4 2 8" xfId="4844"/>
    <cellStyle name="Обычный 2 4 3 4 2 9" xfId="4845"/>
    <cellStyle name="Обычный 2 4 3 4 3" xfId="4846"/>
    <cellStyle name="Обычный 2 4 3 4 3 2" xfId="4847"/>
    <cellStyle name="Обычный 2 4 3 4 4" xfId="4848"/>
    <cellStyle name="Обычный 2 4 3 4 5" xfId="4849"/>
    <cellStyle name="Обычный 2 4 3 4 6" xfId="4850"/>
    <cellStyle name="Обычный 2 4 3 4 7" xfId="4851"/>
    <cellStyle name="Обычный 2 4 3 4 8" xfId="4852"/>
    <cellStyle name="Обычный 2 4 3 4 9" xfId="4853"/>
    <cellStyle name="Обычный 2 4 3 5" xfId="4854"/>
    <cellStyle name="Обычный 2 4 3 5 10" xfId="4855"/>
    <cellStyle name="Обычный 2 4 3 5 11" xfId="4856"/>
    <cellStyle name="Обычный 2 4 3 5 12" xfId="18378"/>
    <cellStyle name="Обычный 2 4 3 5 13" xfId="20077"/>
    <cellStyle name="Обычный 2 4 3 5 14" xfId="21689"/>
    <cellStyle name="Обычный 2 4 3 5 2" xfId="4857"/>
    <cellStyle name="Обычный 2 4 3 5 2 10" xfId="4858"/>
    <cellStyle name="Обычный 2 4 3 5 2 11" xfId="18379"/>
    <cellStyle name="Обычный 2 4 3 5 2 12" xfId="20078"/>
    <cellStyle name="Обычный 2 4 3 5 2 13" xfId="21690"/>
    <cellStyle name="Обычный 2 4 3 5 2 2" xfId="4859"/>
    <cellStyle name="Обычный 2 4 3 5 2 2 2" xfId="4860"/>
    <cellStyle name="Обычный 2 4 3 5 2 3" xfId="4861"/>
    <cellStyle name="Обычный 2 4 3 5 2 4" xfId="4862"/>
    <cellStyle name="Обычный 2 4 3 5 2 5" xfId="4863"/>
    <cellStyle name="Обычный 2 4 3 5 2 6" xfId="4864"/>
    <cellStyle name="Обычный 2 4 3 5 2 7" xfId="4865"/>
    <cellStyle name="Обычный 2 4 3 5 2 8" xfId="4866"/>
    <cellStyle name="Обычный 2 4 3 5 2 9" xfId="4867"/>
    <cellStyle name="Обычный 2 4 3 5 3" xfId="4868"/>
    <cellStyle name="Обычный 2 4 3 5 3 2" xfId="4869"/>
    <cellStyle name="Обычный 2 4 3 5 4" xfId="4870"/>
    <cellStyle name="Обычный 2 4 3 5 5" xfId="4871"/>
    <cellStyle name="Обычный 2 4 3 5 6" xfId="4872"/>
    <cellStyle name="Обычный 2 4 3 5 7" xfId="4873"/>
    <cellStyle name="Обычный 2 4 3 5 8" xfId="4874"/>
    <cellStyle name="Обычный 2 4 3 5 9" xfId="4875"/>
    <cellStyle name="Обычный 2 4 3 6" xfId="4876"/>
    <cellStyle name="Обычный 2 4 3 6 10" xfId="4877"/>
    <cellStyle name="Обычный 2 4 3 6 11" xfId="18380"/>
    <cellStyle name="Обычный 2 4 3 6 12" xfId="20079"/>
    <cellStyle name="Обычный 2 4 3 6 13" xfId="21691"/>
    <cellStyle name="Обычный 2 4 3 6 2" xfId="4878"/>
    <cellStyle name="Обычный 2 4 3 6 2 2" xfId="4879"/>
    <cellStyle name="Обычный 2 4 3 6 3" xfId="4880"/>
    <cellStyle name="Обычный 2 4 3 6 4" xfId="4881"/>
    <cellStyle name="Обычный 2 4 3 6 5" xfId="4882"/>
    <cellStyle name="Обычный 2 4 3 6 6" xfId="4883"/>
    <cellStyle name="Обычный 2 4 3 6 7" xfId="4884"/>
    <cellStyle name="Обычный 2 4 3 6 8" xfId="4885"/>
    <cellStyle name="Обычный 2 4 3 6 9" xfId="4886"/>
    <cellStyle name="Обычный 2 4 3 7" xfId="4887"/>
    <cellStyle name="Обычный 2 4 3 7 10" xfId="20080"/>
    <cellStyle name="Обычный 2 4 3 7 11" xfId="21692"/>
    <cellStyle name="Обычный 2 4 3 7 2" xfId="4888"/>
    <cellStyle name="Обычный 2 4 3 7 2 2" xfId="4889"/>
    <cellStyle name="Обычный 2 4 3 7 3" xfId="4890"/>
    <cellStyle name="Обычный 2 4 3 7 4" xfId="4891"/>
    <cellStyle name="Обычный 2 4 3 7 5" xfId="4892"/>
    <cellStyle name="Обычный 2 4 3 7 6" xfId="4893"/>
    <cellStyle name="Обычный 2 4 3 7 7" xfId="4894"/>
    <cellStyle name="Обычный 2 4 3 7 8" xfId="4895"/>
    <cellStyle name="Обычный 2 4 3 7 9" xfId="18381"/>
    <cellStyle name="Обычный 2 4 3 8" xfId="4896"/>
    <cellStyle name="Обычный 2 4 3 8 2" xfId="4897"/>
    <cellStyle name="Обычный 2 4 3 9" xfId="4898"/>
    <cellStyle name="Обычный 2 4 4" xfId="4899"/>
    <cellStyle name="Обычный 2 4 4 10" xfId="4900"/>
    <cellStyle name="Обычный 2 4 4 11" xfId="4901"/>
    <cellStyle name="Обычный 2 4 4 12" xfId="4902"/>
    <cellStyle name="Обычный 2 4 4 13" xfId="4903"/>
    <cellStyle name="Обычный 2 4 4 14" xfId="4904"/>
    <cellStyle name="Обычный 2 4 4 15" xfId="4905"/>
    <cellStyle name="Обычный 2 4 4 16" xfId="4906"/>
    <cellStyle name="Обычный 2 4 4 17" xfId="4907"/>
    <cellStyle name="Обычный 2 4 4 18" xfId="18382"/>
    <cellStyle name="Обычный 2 4 4 19" xfId="20081"/>
    <cellStyle name="Обычный 2 4 4 2" xfId="4908"/>
    <cellStyle name="Обычный 2 4 4 2 10" xfId="4909"/>
    <cellStyle name="Обычный 2 4 4 2 11" xfId="4910"/>
    <cellStyle name="Обычный 2 4 4 2 12" xfId="18383"/>
    <cellStyle name="Обычный 2 4 4 2 13" xfId="20082"/>
    <cellStyle name="Обычный 2 4 4 2 14" xfId="21694"/>
    <cellStyle name="Обычный 2 4 4 2 2" xfId="4911"/>
    <cellStyle name="Обычный 2 4 4 2 2 10" xfId="4912"/>
    <cellStyle name="Обычный 2 4 4 2 2 11" xfId="18384"/>
    <cellStyle name="Обычный 2 4 4 2 2 12" xfId="20083"/>
    <cellStyle name="Обычный 2 4 4 2 2 13" xfId="21695"/>
    <cellStyle name="Обычный 2 4 4 2 2 2" xfId="4913"/>
    <cellStyle name="Обычный 2 4 4 2 2 2 2" xfId="4914"/>
    <cellStyle name="Обычный 2 4 4 2 2 3" xfId="4915"/>
    <cellStyle name="Обычный 2 4 4 2 2 4" xfId="4916"/>
    <cellStyle name="Обычный 2 4 4 2 2 5" xfId="4917"/>
    <cellStyle name="Обычный 2 4 4 2 2 6" xfId="4918"/>
    <cellStyle name="Обычный 2 4 4 2 2 7" xfId="4919"/>
    <cellStyle name="Обычный 2 4 4 2 2 8" xfId="4920"/>
    <cellStyle name="Обычный 2 4 4 2 2 9" xfId="4921"/>
    <cellStyle name="Обычный 2 4 4 2 3" xfId="4922"/>
    <cellStyle name="Обычный 2 4 4 2 3 2" xfId="4923"/>
    <cellStyle name="Обычный 2 4 4 2 4" xfId="4924"/>
    <cellStyle name="Обычный 2 4 4 2 5" xfId="4925"/>
    <cellStyle name="Обычный 2 4 4 2 6" xfId="4926"/>
    <cellStyle name="Обычный 2 4 4 2 7" xfId="4927"/>
    <cellStyle name="Обычный 2 4 4 2 8" xfId="4928"/>
    <cellStyle name="Обычный 2 4 4 2 9" xfId="4929"/>
    <cellStyle name="Обычный 2 4 4 20" xfId="21693"/>
    <cellStyle name="Обычный 2 4 4 3" xfId="4930"/>
    <cellStyle name="Обычный 2 4 4 3 10" xfId="4931"/>
    <cellStyle name="Обычный 2 4 4 3 11" xfId="4932"/>
    <cellStyle name="Обычный 2 4 4 3 12" xfId="18385"/>
    <cellStyle name="Обычный 2 4 4 3 13" xfId="20084"/>
    <cellStyle name="Обычный 2 4 4 3 14" xfId="21696"/>
    <cellStyle name="Обычный 2 4 4 3 2" xfId="4933"/>
    <cellStyle name="Обычный 2 4 4 3 2 10" xfId="4934"/>
    <cellStyle name="Обычный 2 4 4 3 2 11" xfId="18386"/>
    <cellStyle name="Обычный 2 4 4 3 2 12" xfId="20085"/>
    <cellStyle name="Обычный 2 4 4 3 2 13" xfId="21697"/>
    <cellStyle name="Обычный 2 4 4 3 2 2" xfId="4935"/>
    <cellStyle name="Обычный 2 4 4 3 2 2 2" xfId="4936"/>
    <cellStyle name="Обычный 2 4 4 3 2 3" xfId="4937"/>
    <cellStyle name="Обычный 2 4 4 3 2 4" xfId="4938"/>
    <cellStyle name="Обычный 2 4 4 3 2 5" xfId="4939"/>
    <cellStyle name="Обычный 2 4 4 3 2 6" xfId="4940"/>
    <cellStyle name="Обычный 2 4 4 3 2 7" xfId="4941"/>
    <cellStyle name="Обычный 2 4 4 3 2 8" xfId="4942"/>
    <cellStyle name="Обычный 2 4 4 3 2 9" xfId="4943"/>
    <cellStyle name="Обычный 2 4 4 3 3" xfId="4944"/>
    <cellStyle name="Обычный 2 4 4 3 3 2" xfId="4945"/>
    <cellStyle name="Обычный 2 4 4 3 4" xfId="4946"/>
    <cellStyle name="Обычный 2 4 4 3 5" xfId="4947"/>
    <cellStyle name="Обычный 2 4 4 3 6" xfId="4948"/>
    <cellStyle name="Обычный 2 4 4 3 7" xfId="4949"/>
    <cellStyle name="Обычный 2 4 4 3 8" xfId="4950"/>
    <cellStyle name="Обычный 2 4 4 3 9" xfId="4951"/>
    <cellStyle name="Обычный 2 4 4 4" xfId="4952"/>
    <cellStyle name="Обычный 2 4 4 4 10" xfId="4953"/>
    <cellStyle name="Обычный 2 4 4 4 11" xfId="4954"/>
    <cellStyle name="Обычный 2 4 4 4 12" xfId="18387"/>
    <cellStyle name="Обычный 2 4 4 4 13" xfId="20086"/>
    <cellStyle name="Обычный 2 4 4 4 14" xfId="21698"/>
    <cellStyle name="Обычный 2 4 4 4 2" xfId="4955"/>
    <cellStyle name="Обычный 2 4 4 4 2 10" xfId="4956"/>
    <cellStyle name="Обычный 2 4 4 4 2 11" xfId="18388"/>
    <cellStyle name="Обычный 2 4 4 4 2 12" xfId="20087"/>
    <cellStyle name="Обычный 2 4 4 4 2 13" xfId="21699"/>
    <cellStyle name="Обычный 2 4 4 4 2 2" xfId="4957"/>
    <cellStyle name="Обычный 2 4 4 4 2 2 2" xfId="4958"/>
    <cellStyle name="Обычный 2 4 4 4 2 3" xfId="4959"/>
    <cellStyle name="Обычный 2 4 4 4 2 4" xfId="4960"/>
    <cellStyle name="Обычный 2 4 4 4 2 5" xfId="4961"/>
    <cellStyle name="Обычный 2 4 4 4 2 6" xfId="4962"/>
    <cellStyle name="Обычный 2 4 4 4 2 7" xfId="4963"/>
    <cellStyle name="Обычный 2 4 4 4 2 8" xfId="4964"/>
    <cellStyle name="Обычный 2 4 4 4 2 9" xfId="4965"/>
    <cellStyle name="Обычный 2 4 4 4 3" xfId="4966"/>
    <cellStyle name="Обычный 2 4 4 4 3 2" xfId="4967"/>
    <cellStyle name="Обычный 2 4 4 4 4" xfId="4968"/>
    <cellStyle name="Обычный 2 4 4 4 5" xfId="4969"/>
    <cellStyle name="Обычный 2 4 4 4 6" xfId="4970"/>
    <cellStyle name="Обычный 2 4 4 4 7" xfId="4971"/>
    <cellStyle name="Обычный 2 4 4 4 8" xfId="4972"/>
    <cellStyle name="Обычный 2 4 4 4 9" xfId="4973"/>
    <cellStyle name="Обычный 2 4 4 5" xfId="4974"/>
    <cellStyle name="Обычный 2 4 4 5 10" xfId="4975"/>
    <cellStyle name="Обычный 2 4 4 5 11" xfId="4976"/>
    <cellStyle name="Обычный 2 4 4 5 12" xfId="18389"/>
    <cellStyle name="Обычный 2 4 4 5 13" xfId="20088"/>
    <cellStyle name="Обычный 2 4 4 5 14" xfId="21700"/>
    <cellStyle name="Обычный 2 4 4 5 2" xfId="4977"/>
    <cellStyle name="Обычный 2 4 4 5 2 10" xfId="4978"/>
    <cellStyle name="Обычный 2 4 4 5 2 11" xfId="18390"/>
    <cellStyle name="Обычный 2 4 4 5 2 12" xfId="20089"/>
    <cellStyle name="Обычный 2 4 4 5 2 13" xfId="21701"/>
    <cellStyle name="Обычный 2 4 4 5 2 2" xfId="4979"/>
    <cellStyle name="Обычный 2 4 4 5 2 2 2" xfId="4980"/>
    <cellStyle name="Обычный 2 4 4 5 2 3" xfId="4981"/>
    <cellStyle name="Обычный 2 4 4 5 2 4" xfId="4982"/>
    <cellStyle name="Обычный 2 4 4 5 2 5" xfId="4983"/>
    <cellStyle name="Обычный 2 4 4 5 2 6" xfId="4984"/>
    <cellStyle name="Обычный 2 4 4 5 2 7" xfId="4985"/>
    <cellStyle name="Обычный 2 4 4 5 2 8" xfId="4986"/>
    <cellStyle name="Обычный 2 4 4 5 2 9" xfId="4987"/>
    <cellStyle name="Обычный 2 4 4 5 3" xfId="4988"/>
    <cellStyle name="Обычный 2 4 4 5 3 2" xfId="4989"/>
    <cellStyle name="Обычный 2 4 4 5 4" xfId="4990"/>
    <cellStyle name="Обычный 2 4 4 5 5" xfId="4991"/>
    <cellStyle name="Обычный 2 4 4 5 6" xfId="4992"/>
    <cellStyle name="Обычный 2 4 4 5 7" xfId="4993"/>
    <cellStyle name="Обычный 2 4 4 5 8" xfId="4994"/>
    <cellStyle name="Обычный 2 4 4 5 9" xfId="4995"/>
    <cellStyle name="Обычный 2 4 4 6" xfId="4996"/>
    <cellStyle name="Обычный 2 4 4 6 10" xfId="4997"/>
    <cellStyle name="Обычный 2 4 4 6 11" xfId="18391"/>
    <cellStyle name="Обычный 2 4 4 6 12" xfId="20090"/>
    <cellStyle name="Обычный 2 4 4 6 13" xfId="21702"/>
    <cellStyle name="Обычный 2 4 4 6 2" xfId="4998"/>
    <cellStyle name="Обычный 2 4 4 6 2 2" xfId="4999"/>
    <cellStyle name="Обычный 2 4 4 6 3" xfId="5000"/>
    <cellStyle name="Обычный 2 4 4 6 4" xfId="5001"/>
    <cellStyle name="Обычный 2 4 4 6 5" xfId="5002"/>
    <cellStyle name="Обычный 2 4 4 6 6" xfId="5003"/>
    <cellStyle name="Обычный 2 4 4 6 7" xfId="5004"/>
    <cellStyle name="Обычный 2 4 4 6 8" xfId="5005"/>
    <cellStyle name="Обычный 2 4 4 6 9" xfId="5006"/>
    <cellStyle name="Обычный 2 4 4 7" xfId="5007"/>
    <cellStyle name="Обычный 2 4 4 7 10" xfId="20091"/>
    <cellStyle name="Обычный 2 4 4 7 11" xfId="21703"/>
    <cellStyle name="Обычный 2 4 4 7 2" xfId="5008"/>
    <cellStyle name="Обычный 2 4 4 7 2 2" xfId="5009"/>
    <cellStyle name="Обычный 2 4 4 7 3" xfId="5010"/>
    <cellStyle name="Обычный 2 4 4 7 4" xfId="5011"/>
    <cellStyle name="Обычный 2 4 4 7 5" xfId="5012"/>
    <cellStyle name="Обычный 2 4 4 7 6" xfId="5013"/>
    <cellStyle name="Обычный 2 4 4 7 7" xfId="5014"/>
    <cellStyle name="Обычный 2 4 4 7 8" xfId="5015"/>
    <cellStyle name="Обычный 2 4 4 7 9" xfId="18392"/>
    <cellStyle name="Обычный 2 4 4 8" xfId="5016"/>
    <cellStyle name="Обычный 2 4 4 8 2" xfId="5017"/>
    <cellStyle name="Обычный 2 4 4 9" xfId="5018"/>
    <cellStyle name="Обычный 2 4 5" xfId="5019"/>
    <cellStyle name="Обычный 2 4 5 10" xfId="5020"/>
    <cellStyle name="Обычный 2 4 5 11" xfId="5021"/>
    <cellStyle name="Обычный 2 4 5 12" xfId="18393"/>
    <cellStyle name="Обычный 2 4 5 13" xfId="20092"/>
    <cellStyle name="Обычный 2 4 5 14" xfId="21704"/>
    <cellStyle name="Обычный 2 4 5 2" xfId="5022"/>
    <cellStyle name="Обычный 2 4 5 2 10" xfId="5023"/>
    <cellStyle name="Обычный 2 4 5 2 11" xfId="18394"/>
    <cellStyle name="Обычный 2 4 5 2 12" xfId="20093"/>
    <cellStyle name="Обычный 2 4 5 2 13" xfId="21705"/>
    <cellStyle name="Обычный 2 4 5 2 2" xfId="5024"/>
    <cellStyle name="Обычный 2 4 5 2 2 2" xfId="5025"/>
    <cellStyle name="Обычный 2 4 5 2 3" xfId="5026"/>
    <cellStyle name="Обычный 2 4 5 2 4" xfId="5027"/>
    <cellStyle name="Обычный 2 4 5 2 5" xfId="5028"/>
    <cellStyle name="Обычный 2 4 5 2 6" xfId="5029"/>
    <cellStyle name="Обычный 2 4 5 2 7" xfId="5030"/>
    <cellStyle name="Обычный 2 4 5 2 8" xfId="5031"/>
    <cellStyle name="Обычный 2 4 5 2 9" xfId="5032"/>
    <cellStyle name="Обычный 2 4 5 3" xfId="5033"/>
    <cellStyle name="Обычный 2 4 5 3 2" xfId="5034"/>
    <cellStyle name="Обычный 2 4 5 4" xfId="5035"/>
    <cellStyle name="Обычный 2 4 5 5" xfId="5036"/>
    <cellStyle name="Обычный 2 4 5 6" xfId="5037"/>
    <cellStyle name="Обычный 2 4 5 7" xfId="5038"/>
    <cellStyle name="Обычный 2 4 5 8" xfId="5039"/>
    <cellStyle name="Обычный 2 4 5 9" xfId="5040"/>
    <cellStyle name="Обычный 2 4 6" xfId="5041"/>
    <cellStyle name="Обычный 2 4 6 10" xfId="5042"/>
    <cellStyle name="Обычный 2 4 6 11" xfId="5043"/>
    <cellStyle name="Обычный 2 4 6 12" xfId="18395"/>
    <cellStyle name="Обычный 2 4 6 13" xfId="20094"/>
    <cellStyle name="Обычный 2 4 6 14" xfId="21706"/>
    <cellStyle name="Обычный 2 4 6 2" xfId="5044"/>
    <cellStyle name="Обычный 2 4 6 2 10" xfId="5045"/>
    <cellStyle name="Обычный 2 4 6 2 11" xfId="18396"/>
    <cellStyle name="Обычный 2 4 6 2 12" xfId="20095"/>
    <cellStyle name="Обычный 2 4 6 2 13" xfId="21707"/>
    <cellStyle name="Обычный 2 4 6 2 2" xfId="5046"/>
    <cellStyle name="Обычный 2 4 6 2 2 2" xfId="5047"/>
    <cellStyle name="Обычный 2 4 6 2 3" xfId="5048"/>
    <cellStyle name="Обычный 2 4 6 2 4" xfId="5049"/>
    <cellStyle name="Обычный 2 4 6 2 5" xfId="5050"/>
    <cellStyle name="Обычный 2 4 6 2 6" xfId="5051"/>
    <cellStyle name="Обычный 2 4 6 2 7" xfId="5052"/>
    <cellStyle name="Обычный 2 4 6 2 8" xfId="5053"/>
    <cellStyle name="Обычный 2 4 6 2 9" xfId="5054"/>
    <cellStyle name="Обычный 2 4 6 3" xfId="5055"/>
    <cellStyle name="Обычный 2 4 6 3 2" xfId="5056"/>
    <cellStyle name="Обычный 2 4 6 4" xfId="5057"/>
    <cellStyle name="Обычный 2 4 6 5" xfId="5058"/>
    <cellStyle name="Обычный 2 4 6 6" xfId="5059"/>
    <cellStyle name="Обычный 2 4 6 7" xfId="5060"/>
    <cellStyle name="Обычный 2 4 6 8" xfId="5061"/>
    <cellStyle name="Обычный 2 4 6 9" xfId="5062"/>
    <cellStyle name="Обычный 2 4 7" xfId="5063"/>
    <cellStyle name="Обычный 2 4 7 10" xfId="5064"/>
    <cellStyle name="Обычный 2 4 7 11" xfId="5065"/>
    <cellStyle name="Обычный 2 4 7 12" xfId="18397"/>
    <cellStyle name="Обычный 2 4 7 13" xfId="20096"/>
    <cellStyle name="Обычный 2 4 7 14" xfId="21708"/>
    <cellStyle name="Обычный 2 4 7 2" xfId="5066"/>
    <cellStyle name="Обычный 2 4 7 2 10" xfId="5067"/>
    <cellStyle name="Обычный 2 4 7 2 11" xfId="18398"/>
    <cellStyle name="Обычный 2 4 7 2 12" xfId="20097"/>
    <cellStyle name="Обычный 2 4 7 2 13" xfId="21709"/>
    <cellStyle name="Обычный 2 4 7 2 2" xfId="5068"/>
    <cellStyle name="Обычный 2 4 7 2 2 2" xfId="5069"/>
    <cellStyle name="Обычный 2 4 7 2 3" xfId="5070"/>
    <cellStyle name="Обычный 2 4 7 2 4" xfId="5071"/>
    <cellStyle name="Обычный 2 4 7 2 5" xfId="5072"/>
    <cellStyle name="Обычный 2 4 7 2 6" xfId="5073"/>
    <cellStyle name="Обычный 2 4 7 2 7" xfId="5074"/>
    <cellStyle name="Обычный 2 4 7 2 8" xfId="5075"/>
    <cellStyle name="Обычный 2 4 7 2 9" xfId="5076"/>
    <cellStyle name="Обычный 2 4 7 3" xfId="5077"/>
    <cellStyle name="Обычный 2 4 7 3 2" xfId="5078"/>
    <cellStyle name="Обычный 2 4 7 4" xfId="5079"/>
    <cellStyle name="Обычный 2 4 7 5" xfId="5080"/>
    <cellStyle name="Обычный 2 4 7 6" xfId="5081"/>
    <cellStyle name="Обычный 2 4 7 7" xfId="5082"/>
    <cellStyle name="Обычный 2 4 7 8" xfId="5083"/>
    <cellStyle name="Обычный 2 4 7 9" xfId="5084"/>
    <cellStyle name="Обычный 2 4 8" xfId="5085"/>
    <cellStyle name="Обычный 2 4 8 10" xfId="5086"/>
    <cellStyle name="Обычный 2 4 8 11" xfId="5087"/>
    <cellStyle name="Обычный 2 4 8 12" xfId="18399"/>
    <cellStyle name="Обычный 2 4 8 13" xfId="20098"/>
    <cellStyle name="Обычный 2 4 8 14" xfId="21710"/>
    <cellStyle name="Обычный 2 4 8 2" xfId="5088"/>
    <cellStyle name="Обычный 2 4 8 2 10" xfId="5089"/>
    <cellStyle name="Обычный 2 4 8 2 11" xfId="18400"/>
    <cellStyle name="Обычный 2 4 8 2 12" xfId="20099"/>
    <cellStyle name="Обычный 2 4 8 2 13" xfId="21711"/>
    <cellStyle name="Обычный 2 4 8 2 2" xfId="5090"/>
    <cellStyle name="Обычный 2 4 8 2 2 2" xfId="5091"/>
    <cellStyle name="Обычный 2 4 8 2 3" xfId="5092"/>
    <cellStyle name="Обычный 2 4 8 2 4" xfId="5093"/>
    <cellStyle name="Обычный 2 4 8 2 5" xfId="5094"/>
    <cellStyle name="Обычный 2 4 8 2 6" xfId="5095"/>
    <cellStyle name="Обычный 2 4 8 2 7" xfId="5096"/>
    <cellStyle name="Обычный 2 4 8 2 8" xfId="5097"/>
    <cellStyle name="Обычный 2 4 8 2 9" xfId="5098"/>
    <cellStyle name="Обычный 2 4 8 3" xfId="5099"/>
    <cellStyle name="Обычный 2 4 8 3 2" xfId="5100"/>
    <cellStyle name="Обычный 2 4 8 4" xfId="5101"/>
    <cellStyle name="Обычный 2 4 8 5" xfId="5102"/>
    <cellStyle name="Обычный 2 4 8 6" xfId="5103"/>
    <cellStyle name="Обычный 2 4 8 7" xfId="5104"/>
    <cellStyle name="Обычный 2 4 8 8" xfId="5105"/>
    <cellStyle name="Обычный 2 4 8 9" xfId="5106"/>
    <cellStyle name="Обычный 2 4 9" xfId="5107"/>
    <cellStyle name="Обычный 2 4 9 10" xfId="5108"/>
    <cellStyle name="Обычный 2 4 9 11" xfId="5109"/>
    <cellStyle name="Обычный 2 4 9 12" xfId="18401"/>
    <cellStyle name="Обычный 2 4 9 13" xfId="20100"/>
    <cellStyle name="Обычный 2 4 9 14" xfId="21712"/>
    <cellStyle name="Обычный 2 4 9 2" xfId="5110"/>
    <cellStyle name="Обычный 2 4 9 2 10" xfId="5111"/>
    <cellStyle name="Обычный 2 4 9 2 11" xfId="18402"/>
    <cellStyle name="Обычный 2 4 9 2 12" xfId="20101"/>
    <cellStyle name="Обычный 2 4 9 2 13" xfId="21713"/>
    <cellStyle name="Обычный 2 4 9 2 2" xfId="5112"/>
    <cellStyle name="Обычный 2 4 9 2 2 2" xfId="5113"/>
    <cellStyle name="Обычный 2 4 9 2 3" xfId="5114"/>
    <cellStyle name="Обычный 2 4 9 2 4" xfId="5115"/>
    <cellStyle name="Обычный 2 4 9 2 5" xfId="5116"/>
    <cellStyle name="Обычный 2 4 9 2 6" xfId="5117"/>
    <cellStyle name="Обычный 2 4 9 2 7" xfId="5118"/>
    <cellStyle name="Обычный 2 4 9 2 8" xfId="5119"/>
    <cellStyle name="Обычный 2 4 9 2 9" xfId="5120"/>
    <cellStyle name="Обычный 2 4 9 3" xfId="5121"/>
    <cellStyle name="Обычный 2 4 9 3 2" xfId="5122"/>
    <cellStyle name="Обычный 2 4 9 4" xfId="5123"/>
    <cellStyle name="Обычный 2 4 9 5" xfId="5124"/>
    <cellStyle name="Обычный 2 4 9 6" xfId="5125"/>
    <cellStyle name="Обычный 2 4 9 7" xfId="5126"/>
    <cellStyle name="Обычный 2 4 9 8" xfId="5127"/>
    <cellStyle name="Обычный 2 4 9 9" xfId="5128"/>
    <cellStyle name="Обычный 2 5" xfId="5129"/>
    <cellStyle name="Обычный 2 5 2" xfId="5130"/>
    <cellStyle name="Обычный 2 5 2 2" xfId="18404"/>
    <cellStyle name="Обычный 2 5 3" xfId="18403"/>
    <cellStyle name="Обычный 2 5_5. общ.V" xfId="5131"/>
    <cellStyle name="Обычный 2 6" xfId="18251"/>
    <cellStyle name="Обычный 2 7" xfId="19625"/>
    <cellStyle name="Обычный 2 8" xfId="19646"/>
    <cellStyle name="Обычный 2 9" xfId="19954"/>
    <cellStyle name="Обычный 20" xfId="5132"/>
    <cellStyle name="Обычный 20 10" xfId="5133"/>
    <cellStyle name="Обычный 20 11" xfId="5134"/>
    <cellStyle name="Обычный 20 12" xfId="18405"/>
    <cellStyle name="Обычный 20 13" xfId="20102"/>
    <cellStyle name="Обычный 20 14" xfId="21714"/>
    <cellStyle name="Обычный 20 2" xfId="5135"/>
    <cellStyle name="Обычный 20 2 10" xfId="5136"/>
    <cellStyle name="Обычный 20 2 11" xfId="18406"/>
    <cellStyle name="Обычный 20 2 12" xfId="20103"/>
    <cellStyle name="Обычный 20 2 13" xfId="21715"/>
    <cellStyle name="Обычный 20 2 2" xfId="5137"/>
    <cellStyle name="Обычный 20 2 2 2" xfId="5138"/>
    <cellStyle name="Обычный 20 2 3" xfId="5139"/>
    <cellStyle name="Обычный 20 2 4" xfId="5140"/>
    <cellStyle name="Обычный 20 2 5" xfId="5141"/>
    <cellStyle name="Обычный 20 2 6" xfId="5142"/>
    <cellStyle name="Обычный 20 2 7" xfId="5143"/>
    <cellStyle name="Обычный 20 2 8" xfId="5144"/>
    <cellStyle name="Обычный 20 2 9" xfId="5145"/>
    <cellStyle name="Обычный 20 3" xfId="5146"/>
    <cellStyle name="Обычный 20 3 2" xfId="5147"/>
    <cellStyle name="Обычный 20 4" xfId="5148"/>
    <cellStyle name="Обычный 20 5" xfId="5149"/>
    <cellStyle name="Обычный 20 6" xfId="5150"/>
    <cellStyle name="Обычный 20 7" xfId="5151"/>
    <cellStyle name="Обычный 20 8" xfId="5152"/>
    <cellStyle name="Обычный 20 9" xfId="5153"/>
    <cellStyle name="Обычный 21" xfId="5154"/>
    <cellStyle name="Обычный 21 10" xfId="5155"/>
    <cellStyle name="Обычный 21 11" xfId="5156"/>
    <cellStyle name="Обычный 21 12" xfId="18407"/>
    <cellStyle name="Обычный 21 13" xfId="20104"/>
    <cellStyle name="Обычный 21 14" xfId="21716"/>
    <cellStyle name="Обычный 21 2" xfId="5157"/>
    <cellStyle name="Обычный 21 2 10" xfId="5158"/>
    <cellStyle name="Обычный 21 2 11" xfId="18408"/>
    <cellStyle name="Обычный 21 2 12" xfId="20105"/>
    <cellStyle name="Обычный 21 2 13" xfId="21717"/>
    <cellStyle name="Обычный 21 2 2" xfId="5159"/>
    <cellStyle name="Обычный 21 2 2 2" xfId="5160"/>
    <cellStyle name="Обычный 21 2 3" xfId="5161"/>
    <cellStyle name="Обычный 21 2 4" xfId="5162"/>
    <cellStyle name="Обычный 21 2 5" xfId="5163"/>
    <cellStyle name="Обычный 21 2 6" xfId="5164"/>
    <cellStyle name="Обычный 21 2 7" xfId="5165"/>
    <cellStyle name="Обычный 21 2 8" xfId="5166"/>
    <cellStyle name="Обычный 21 2 9" xfId="5167"/>
    <cellStyle name="Обычный 21 3" xfId="5168"/>
    <cellStyle name="Обычный 21 3 2" xfId="5169"/>
    <cellStyle name="Обычный 21 4" xfId="5170"/>
    <cellStyle name="Обычный 21 5" xfId="5171"/>
    <cellStyle name="Обычный 21 6" xfId="5172"/>
    <cellStyle name="Обычный 21 7" xfId="5173"/>
    <cellStyle name="Обычный 21 8" xfId="5174"/>
    <cellStyle name="Обычный 21 9" xfId="5175"/>
    <cellStyle name="Обычный 22" xfId="5176"/>
    <cellStyle name="Обычный 22 10" xfId="5177"/>
    <cellStyle name="Обычный 22 11" xfId="5178"/>
    <cellStyle name="Обычный 22 12" xfId="18409"/>
    <cellStyle name="Обычный 22 13" xfId="20106"/>
    <cellStyle name="Обычный 22 14" xfId="21718"/>
    <cellStyle name="Обычный 22 2" xfId="5179"/>
    <cellStyle name="Обычный 22 2 10" xfId="5180"/>
    <cellStyle name="Обычный 22 2 11" xfId="18410"/>
    <cellStyle name="Обычный 22 2 12" xfId="20107"/>
    <cellStyle name="Обычный 22 2 13" xfId="21719"/>
    <cellStyle name="Обычный 22 2 2" xfId="5181"/>
    <cellStyle name="Обычный 22 2 2 2" xfId="5182"/>
    <cellStyle name="Обычный 22 2 3" xfId="5183"/>
    <cellStyle name="Обычный 22 2 4" xfId="5184"/>
    <cellStyle name="Обычный 22 2 5" xfId="5185"/>
    <cellStyle name="Обычный 22 2 6" xfId="5186"/>
    <cellStyle name="Обычный 22 2 7" xfId="5187"/>
    <cellStyle name="Обычный 22 2 8" xfId="5188"/>
    <cellStyle name="Обычный 22 2 9" xfId="5189"/>
    <cellStyle name="Обычный 22 3" xfId="5190"/>
    <cellStyle name="Обычный 22 3 2" xfId="5191"/>
    <cellStyle name="Обычный 22 4" xfId="5192"/>
    <cellStyle name="Обычный 22 5" xfId="5193"/>
    <cellStyle name="Обычный 22 6" xfId="5194"/>
    <cellStyle name="Обычный 22 7" xfId="5195"/>
    <cellStyle name="Обычный 22 8" xfId="5196"/>
    <cellStyle name="Обычный 22 9" xfId="5197"/>
    <cellStyle name="Обычный 23" xfId="5198"/>
    <cellStyle name="Обычный 23 2" xfId="18411"/>
    <cellStyle name="Обычный 24" xfId="17834"/>
    <cellStyle name="Обычный 25" xfId="19603"/>
    <cellStyle name="Обычный 26" xfId="19620"/>
    <cellStyle name="Обычный 27" xfId="19648"/>
    <cellStyle name="Обычный 28" xfId="19655"/>
    <cellStyle name="Обычный 29" xfId="21268"/>
    <cellStyle name="Обычный 3" xfId="5199"/>
    <cellStyle name="Обычный 3 10" xfId="5200"/>
    <cellStyle name="Обычный 3 10 10" xfId="5201"/>
    <cellStyle name="Обычный 3 10 11" xfId="5202"/>
    <cellStyle name="Обычный 3 10 12" xfId="5203"/>
    <cellStyle name="Обычный 3 10 13" xfId="5204"/>
    <cellStyle name="Обычный 3 10 14" xfId="5205"/>
    <cellStyle name="Обычный 3 10 15" xfId="5206"/>
    <cellStyle name="Обычный 3 10 16" xfId="5207"/>
    <cellStyle name="Обычный 3 10 17" xfId="5208"/>
    <cellStyle name="Обычный 3 10 18" xfId="18413"/>
    <cellStyle name="Обычный 3 10 19" xfId="20109"/>
    <cellStyle name="Обычный 3 10 2" xfId="5209"/>
    <cellStyle name="Обычный 3 10 2 10" xfId="5210"/>
    <cellStyle name="Обычный 3 10 2 11" xfId="5211"/>
    <cellStyle name="Обычный 3 10 2 12" xfId="18414"/>
    <cellStyle name="Обычный 3 10 2 13" xfId="20110"/>
    <cellStyle name="Обычный 3 10 2 14" xfId="21722"/>
    <cellStyle name="Обычный 3 10 2 2" xfId="5212"/>
    <cellStyle name="Обычный 3 10 2 2 10" xfId="5213"/>
    <cellStyle name="Обычный 3 10 2 2 11" xfId="18415"/>
    <cellStyle name="Обычный 3 10 2 2 12" xfId="20111"/>
    <cellStyle name="Обычный 3 10 2 2 13" xfId="21723"/>
    <cellStyle name="Обычный 3 10 2 2 2" xfId="5214"/>
    <cellStyle name="Обычный 3 10 2 2 2 2" xfId="5215"/>
    <cellStyle name="Обычный 3 10 2 2 3" xfId="5216"/>
    <cellStyle name="Обычный 3 10 2 2 4" xfId="5217"/>
    <cellStyle name="Обычный 3 10 2 2 5" xfId="5218"/>
    <cellStyle name="Обычный 3 10 2 2 6" xfId="5219"/>
    <cellStyle name="Обычный 3 10 2 2 7" xfId="5220"/>
    <cellStyle name="Обычный 3 10 2 2 8" xfId="5221"/>
    <cellStyle name="Обычный 3 10 2 2 9" xfId="5222"/>
    <cellStyle name="Обычный 3 10 2 3" xfId="5223"/>
    <cellStyle name="Обычный 3 10 2 3 2" xfId="5224"/>
    <cellStyle name="Обычный 3 10 2 4" xfId="5225"/>
    <cellStyle name="Обычный 3 10 2 5" xfId="5226"/>
    <cellStyle name="Обычный 3 10 2 6" xfId="5227"/>
    <cellStyle name="Обычный 3 10 2 7" xfId="5228"/>
    <cellStyle name="Обычный 3 10 2 8" xfId="5229"/>
    <cellStyle name="Обычный 3 10 2 9" xfId="5230"/>
    <cellStyle name="Обычный 3 10 20" xfId="21721"/>
    <cellStyle name="Обычный 3 10 3" xfId="5231"/>
    <cellStyle name="Обычный 3 10 3 10" xfId="5232"/>
    <cellStyle name="Обычный 3 10 3 11" xfId="5233"/>
    <cellStyle name="Обычный 3 10 3 12" xfId="18416"/>
    <cellStyle name="Обычный 3 10 3 13" xfId="20112"/>
    <cellStyle name="Обычный 3 10 3 14" xfId="21724"/>
    <cellStyle name="Обычный 3 10 3 2" xfId="5234"/>
    <cellStyle name="Обычный 3 10 3 2 10" xfId="5235"/>
    <cellStyle name="Обычный 3 10 3 2 11" xfId="18417"/>
    <cellStyle name="Обычный 3 10 3 2 12" xfId="20113"/>
    <cellStyle name="Обычный 3 10 3 2 13" xfId="21725"/>
    <cellStyle name="Обычный 3 10 3 2 2" xfId="5236"/>
    <cellStyle name="Обычный 3 10 3 2 2 2" xfId="5237"/>
    <cellStyle name="Обычный 3 10 3 2 3" xfId="5238"/>
    <cellStyle name="Обычный 3 10 3 2 4" xfId="5239"/>
    <cellStyle name="Обычный 3 10 3 2 5" xfId="5240"/>
    <cellStyle name="Обычный 3 10 3 2 6" xfId="5241"/>
    <cellStyle name="Обычный 3 10 3 2 7" xfId="5242"/>
    <cellStyle name="Обычный 3 10 3 2 8" xfId="5243"/>
    <cellStyle name="Обычный 3 10 3 2 9" xfId="5244"/>
    <cellStyle name="Обычный 3 10 3 3" xfId="5245"/>
    <cellStyle name="Обычный 3 10 3 3 2" xfId="5246"/>
    <cellStyle name="Обычный 3 10 3 4" xfId="5247"/>
    <cellStyle name="Обычный 3 10 3 5" xfId="5248"/>
    <cellStyle name="Обычный 3 10 3 6" xfId="5249"/>
    <cellStyle name="Обычный 3 10 3 7" xfId="5250"/>
    <cellStyle name="Обычный 3 10 3 8" xfId="5251"/>
    <cellStyle name="Обычный 3 10 3 9" xfId="5252"/>
    <cellStyle name="Обычный 3 10 4" xfId="5253"/>
    <cellStyle name="Обычный 3 10 4 10" xfId="5254"/>
    <cellStyle name="Обычный 3 10 4 11" xfId="5255"/>
    <cellStyle name="Обычный 3 10 4 12" xfId="18418"/>
    <cellStyle name="Обычный 3 10 4 13" xfId="20114"/>
    <cellStyle name="Обычный 3 10 4 14" xfId="21726"/>
    <cellStyle name="Обычный 3 10 4 2" xfId="5256"/>
    <cellStyle name="Обычный 3 10 4 2 10" xfId="5257"/>
    <cellStyle name="Обычный 3 10 4 2 11" xfId="18419"/>
    <cellStyle name="Обычный 3 10 4 2 12" xfId="20115"/>
    <cellStyle name="Обычный 3 10 4 2 13" xfId="21727"/>
    <cellStyle name="Обычный 3 10 4 2 2" xfId="5258"/>
    <cellStyle name="Обычный 3 10 4 2 2 2" xfId="5259"/>
    <cellStyle name="Обычный 3 10 4 2 3" xfId="5260"/>
    <cellStyle name="Обычный 3 10 4 2 4" xfId="5261"/>
    <cellStyle name="Обычный 3 10 4 2 5" xfId="5262"/>
    <cellStyle name="Обычный 3 10 4 2 6" xfId="5263"/>
    <cellStyle name="Обычный 3 10 4 2 7" xfId="5264"/>
    <cellStyle name="Обычный 3 10 4 2 8" xfId="5265"/>
    <cellStyle name="Обычный 3 10 4 2 9" xfId="5266"/>
    <cellStyle name="Обычный 3 10 4 3" xfId="5267"/>
    <cellStyle name="Обычный 3 10 4 3 2" xfId="5268"/>
    <cellStyle name="Обычный 3 10 4 4" xfId="5269"/>
    <cellStyle name="Обычный 3 10 4 5" xfId="5270"/>
    <cellStyle name="Обычный 3 10 4 6" xfId="5271"/>
    <cellStyle name="Обычный 3 10 4 7" xfId="5272"/>
    <cellStyle name="Обычный 3 10 4 8" xfId="5273"/>
    <cellStyle name="Обычный 3 10 4 9" xfId="5274"/>
    <cellStyle name="Обычный 3 10 5" xfId="5275"/>
    <cellStyle name="Обычный 3 10 5 10" xfId="5276"/>
    <cellStyle name="Обычный 3 10 5 11" xfId="5277"/>
    <cellStyle name="Обычный 3 10 5 12" xfId="18420"/>
    <cellStyle name="Обычный 3 10 5 13" xfId="20116"/>
    <cellStyle name="Обычный 3 10 5 14" xfId="21728"/>
    <cellStyle name="Обычный 3 10 5 2" xfId="5278"/>
    <cellStyle name="Обычный 3 10 5 2 10" xfId="5279"/>
    <cellStyle name="Обычный 3 10 5 2 11" xfId="18421"/>
    <cellStyle name="Обычный 3 10 5 2 12" xfId="20117"/>
    <cellStyle name="Обычный 3 10 5 2 13" xfId="21729"/>
    <cellStyle name="Обычный 3 10 5 2 2" xfId="5280"/>
    <cellStyle name="Обычный 3 10 5 2 2 2" xfId="5281"/>
    <cellStyle name="Обычный 3 10 5 2 3" xfId="5282"/>
    <cellStyle name="Обычный 3 10 5 2 4" xfId="5283"/>
    <cellStyle name="Обычный 3 10 5 2 5" xfId="5284"/>
    <cellStyle name="Обычный 3 10 5 2 6" xfId="5285"/>
    <cellStyle name="Обычный 3 10 5 2 7" xfId="5286"/>
    <cellStyle name="Обычный 3 10 5 2 8" xfId="5287"/>
    <cellStyle name="Обычный 3 10 5 2 9" xfId="5288"/>
    <cellStyle name="Обычный 3 10 5 3" xfId="5289"/>
    <cellStyle name="Обычный 3 10 5 3 2" xfId="5290"/>
    <cellStyle name="Обычный 3 10 5 4" xfId="5291"/>
    <cellStyle name="Обычный 3 10 5 5" xfId="5292"/>
    <cellStyle name="Обычный 3 10 5 6" xfId="5293"/>
    <cellStyle name="Обычный 3 10 5 7" xfId="5294"/>
    <cellStyle name="Обычный 3 10 5 8" xfId="5295"/>
    <cellStyle name="Обычный 3 10 5 9" xfId="5296"/>
    <cellStyle name="Обычный 3 10 6" xfId="5297"/>
    <cellStyle name="Обычный 3 10 6 10" xfId="5298"/>
    <cellStyle name="Обычный 3 10 6 11" xfId="18422"/>
    <cellStyle name="Обычный 3 10 6 12" xfId="20118"/>
    <cellStyle name="Обычный 3 10 6 13" xfId="21730"/>
    <cellStyle name="Обычный 3 10 6 2" xfId="5299"/>
    <cellStyle name="Обычный 3 10 6 2 2" xfId="5300"/>
    <cellStyle name="Обычный 3 10 6 3" xfId="5301"/>
    <cellStyle name="Обычный 3 10 6 4" xfId="5302"/>
    <cellStyle name="Обычный 3 10 6 5" xfId="5303"/>
    <cellStyle name="Обычный 3 10 6 6" xfId="5304"/>
    <cellStyle name="Обычный 3 10 6 7" xfId="5305"/>
    <cellStyle name="Обычный 3 10 6 8" xfId="5306"/>
    <cellStyle name="Обычный 3 10 6 9" xfId="5307"/>
    <cellStyle name="Обычный 3 10 7" xfId="5308"/>
    <cellStyle name="Обычный 3 10 7 10" xfId="20119"/>
    <cellStyle name="Обычный 3 10 7 11" xfId="21731"/>
    <cellStyle name="Обычный 3 10 7 2" xfId="5309"/>
    <cellStyle name="Обычный 3 10 7 2 2" xfId="5310"/>
    <cellStyle name="Обычный 3 10 7 3" xfId="5311"/>
    <cellStyle name="Обычный 3 10 7 4" xfId="5312"/>
    <cellStyle name="Обычный 3 10 7 5" xfId="5313"/>
    <cellStyle name="Обычный 3 10 7 6" xfId="5314"/>
    <cellStyle name="Обычный 3 10 7 7" xfId="5315"/>
    <cellStyle name="Обычный 3 10 7 8" xfId="5316"/>
    <cellStyle name="Обычный 3 10 7 9" xfId="18423"/>
    <cellStyle name="Обычный 3 10 8" xfId="5317"/>
    <cellStyle name="Обычный 3 10 8 2" xfId="5318"/>
    <cellStyle name="Обычный 3 10 9" xfId="5319"/>
    <cellStyle name="Обычный 3 11" xfId="5320"/>
    <cellStyle name="Обычный 3 11 10" xfId="5321"/>
    <cellStyle name="Обычный 3 11 11" xfId="5322"/>
    <cellStyle name="Обычный 3 11 12" xfId="18424"/>
    <cellStyle name="Обычный 3 11 13" xfId="20120"/>
    <cellStyle name="Обычный 3 11 14" xfId="21732"/>
    <cellStyle name="Обычный 3 11 2" xfId="5323"/>
    <cellStyle name="Обычный 3 11 2 10" xfId="5324"/>
    <cellStyle name="Обычный 3 11 2 11" xfId="18425"/>
    <cellStyle name="Обычный 3 11 2 12" xfId="20121"/>
    <cellStyle name="Обычный 3 11 2 13" xfId="21733"/>
    <cellStyle name="Обычный 3 11 2 2" xfId="5325"/>
    <cellStyle name="Обычный 3 11 2 2 2" xfId="5326"/>
    <cellStyle name="Обычный 3 11 2 3" xfId="5327"/>
    <cellStyle name="Обычный 3 11 2 4" xfId="5328"/>
    <cellStyle name="Обычный 3 11 2 5" xfId="5329"/>
    <cellStyle name="Обычный 3 11 2 6" xfId="5330"/>
    <cellStyle name="Обычный 3 11 2 7" xfId="5331"/>
    <cellStyle name="Обычный 3 11 2 8" xfId="5332"/>
    <cellStyle name="Обычный 3 11 2 9" xfId="5333"/>
    <cellStyle name="Обычный 3 11 3" xfId="5334"/>
    <cellStyle name="Обычный 3 11 3 2" xfId="5335"/>
    <cellStyle name="Обычный 3 11 4" xfId="5336"/>
    <cellStyle name="Обычный 3 11 5" xfId="5337"/>
    <cellStyle name="Обычный 3 11 6" xfId="5338"/>
    <cellStyle name="Обычный 3 11 7" xfId="5339"/>
    <cellStyle name="Обычный 3 11 8" xfId="5340"/>
    <cellStyle name="Обычный 3 11 9" xfId="5341"/>
    <cellStyle name="Обычный 3 12" xfId="5342"/>
    <cellStyle name="Обычный 3 12 10" xfId="5343"/>
    <cellStyle name="Обычный 3 12 11" xfId="5344"/>
    <cellStyle name="Обычный 3 12 12" xfId="18426"/>
    <cellStyle name="Обычный 3 12 13" xfId="20122"/>
    <cellStyle name="Обычный 3 12 14" xfId="21734"/>
    <cellStyle name="Обычный 3 12 2" xfId="5345"/>
    <cellStyle name="Обычный 3 12 2 10" xfId="5346"/>
    <cellStyle name="Обычный 3 12 2 11" xfId="18427"/>
    <cellStyle name="Обычный 3 12 2 12" xfId="20123"/>
    <cellStyle name="Обычный 3 12 2 13" xfId="21735"/>
    <cellStyle name="Обычный 3 12 2 2" xfId="5347"/>
    <cellStyle name="Обычный 3 12 2 2 2" xfId="5348"/>
    <cellStyle name="Обычный 3 12 2 3" xfId="5349"/>
    <cellStyle name="Обычный 3 12 2 4" xfId="5350"/>
    <cellStyle name="Обычный 3 12 2 5" xfId="5351"/>
    <cellStyle name="Обычный 3 12 2 6" xfId="5352"/>
    <cellStyle name="Обычный 3 12 2 7" xfId="5353"/>
    <cellStyle name="Обычный 3 12 2 8" xfId="5354"/>
    <cellStyle name="Обычный 3 12 2 9" xfId="5355"/>
    <cellStyle name="Обычный 3 12 3" xfId="5356"/>
    <cellStyle name="Обычный 3 12 3 2" xfId="5357"/>
    <cellStyle name="Обычный 3 12 4" xfId="5358"/>
    <cellStyle name="Обычный 3 12 5" xfId="5359"/>
    <cellStyle name="Обычный 3 12 6" xfId="5360"/>
    <cellStyle name="Обычный 3 12 7" xfId="5361"/>
    <cellStyle name="Обычный 3 12 8" xfId="5362"/>
    <cellStyle name="Обычный 3 12 9" xfId="5363"/>
    <cellStyle name="Обычный 3 13" xfId="5364"/>
    <cellStyle name="Обычный 3 13 10" xfId="5365"/>
    <cellStyle name="Обычный 3 13 11" xfId="5366"/>
    <cellStyle name="Обычный 3 13 12" xfId="18428"/>
    <cellStyle name="Обычный 3 13 13" xfId="20124"/>
    <cellStyle name="Обычный 3 13 14" xfId="21736"/>
    <cellStyle name="Обычный 3 13 2" xfId="5367"/>
    <cellStyle name="Обычный 3 13 2 10" xfId="5368"/>
    <cellStyle name="Обычный 3 13 2 11" xfId="18429"/>
    <cellStyle name="Обычный 3 13 2 12" xfId="20125"/>
    <cellStyle name="Обычный 3 13 2 13" xfId="21737"/>
    <cellStyle name="Обычный 3 13 2 2" xfId="5369"/>
    <cellStyle name="Обычный 3 13 2 2 2" xfId="5370"/>
    <cellStyle name="Обычный 3 13 2 3" xfId="5371"/>
    <cellStyle name="Обычный 3 13 2 4" xfId="5372"/>
    <cellStyle name="Обычный 3 13 2 5" xfId="5373"/>
    <cellStyle name="Обычный 3 13 2 6" xfId="5374"/>
    <cellStyle name="Обычный 3 13 2 7" xfId="5375"/>
    <cellStyle name="Обычный 3 13 2 8" xfId="5376"/>
    <cellStyle name="Обычный 3 13 2 9" xfId="5377"/>
    <cellStyle name="Обычный 3 13 3" xfId="5378"/>
    <cellStyle name="Обычный 3 13 3 2" xfId="5379"/>
    <cellStyle name="Обычный 3 13 4" xfId="5380"/>
    <cellStyle name="Обычный 3 13 5" xfId="5381"/>
    <cellStyle name="Обычный 3 13 6" xfId="5382"/>
    <cellStyle name="Обычный 3 13 7" xfId="5383"/>
    <cellStyle name="Обычный 3 13 8" xfId="5384"/>
    <cellStyle name="Обычный 3 13 9" xfId="5385"/>
    <cellStyle name="Обычный 3 14" xfId="5386"/>
    <cellStyle name="Обычный 3 14 10" xfId="5387"/>
    <cellStyle name="Обычный 3 14 11" xfId="5388"/>
    <cellStyle name="Обычный 3 14 12" xfId="18430"/>
    <cellStyle name="Обычный 3 14 13" xfId="20126"/>
    <cellStyle name="Обычный 3 14 14" xfId="21738"/>
    <cellStyle name="Обычный 3 14 2" xfId="5389"/>
    <cellStyle name="Обычный 3 14 2 10" xfId="5390"/>
    <cellStyle name="Обычный 3 14 2 11" xfId="18431"/>
    <cellStyle name="Обычный 3 14 2 12" xfId="20127"/>
    <cellStyle name="Обычный 3 14 2 13" xfId="21739"/>
    <cellStyle name="Обычный 3 14 2 2" xfId="5391"/>
    <cellStyle name="Обычный 3 14 2 2 2" xfId="5392"/>
    <cellStyle name="Обычный 3 14 2 3" xfId="5393"/>
    <cellStyle name="Обычный 3 14 2 4" xfId="5394"/>
    <cellStyle name="Обычный 3 14 2 5" xfId="5395"/>
    <cellStyle name="Обычный 3 14 2 6" xfId="5396"/>
    <cellStyle name="Обычный 3 14 2 7" xfId="5397"/>
    <cellStyle name="Обычный 3 14 2 8" xfId="5398"/>
    <cellStyle name="Обычный 3 14 2 9" xfId="5399"/>
    <cellStyle name="Обычный 3 14 3" xfId="5400"/>
    <cellStyle name="Обычный 3 14 3 2" xfId="5401"/>
    <cellStyle name="Обычный 3 14 4" xfId="5402"/>
    <cellStyle name="Обычный 3 14 5" xfId="5403"/>
    <cellStyle name="Обычный 3 14 6" xfId="5404"/>
    <cellStyle name="Обычный 3 14 7" xfId="5405"/>
    <cellStyle name="Обычный 3 14 8" xfId="5406"/>
    <cellStyle name="Обычный 3 14 9" xfId="5407"/>
    <cellStyle name="Обычный 3 15" xfId="5408"/>
    <cellStyle name="Обычный 3 15 10" xfId="5409"/>
    <cellStyle name="Обычный 3 15 11" xfId="5410"/>
    <cellStyle name="Обычный 3 15 12" xfId="18432"/>
    <cellStyle name="Обычный 3 15 13" xfId="20128"/>
    <cellStyle name="Обычный 3 15 14" xfId="21740"/>
    <cellStyle name="Обычный 3 15 2" xfId="5411"/>
    <cellStyle name="Обычный 3 15 2 10" xfId="5412"/>
    <cellStyle name="Обычный 3 15 2 11" xfId="18433"/>
    <cellStyle name="Обычный 3 15 2 12" xfId="20129"/>
    <cellStyle name="Обычный 3 15 2 13" xfId="21741"/>
    <cellStyle name="Обычный 3 15 2 2" xfId="5413"/>
    <cellStyle name="Обычный 3 15 2 2 2" xfId="5414"/>
    <cellStyle name="Обычный 3 15 2 3" xfId="5415"/>
    <cellStyle name="Обычный 3 15 2 4" xfId="5416"/>
    <cellStyle name="Обычный 3 15 2 5" xfId="5417"/>
    <cellStyle name="Обычный 3 15 2 6" xfId="5418"/>
    <cellStyle name="Обычный 3 15 2 7" xfId="5419"/>
    <cellStyle name="Обычный 3 15 2 8" xfId="5420"/>
    <cellStyle name="Обычный 3 15 2 9" xfId="5421"/>
    <cellStyle name="Обычный 3 15 3" xfId="5422"/>
    <cellStyle name="Обычный 3 15 3 2" xfId="5423"/>
    <cellStyle name="Обычный 3 15 4" xfId="5424"/>
    <cellStyle name="Обычный 3 15 5" xfId="5425"/>
    <cellStyle name="Обычный 3 15 6" xfId="5426"/>
    <cellStyle name="Обычный 3 15 7" xfId="5427"/>
    <cellStyle name="Обычный 3 15 8" xfId="5428"/>
    <cellStyle name="Обычный 3 15 9" xfId="5429"/>
    <cellStyle name="Обычный 3 16" xfId="5430"/>
    <cellStyle name="Обычный 3 16 10" xfId="5431"/>
    <cellStyle name="Обычный 3 16 11" xfId="5432"/>
    <cellStyle name="Обычный 3 16 12" xfId="18434"/>
    <cellStyle name="Обычный 3 16 13" xfId="20130"/>
    <cellStyle name="Обычный 3 16 14" xfId="21742"/>
    <cellStyle name="Обычный 3 16 2" xfId="5433"/>
    <cellStyle name="Обычный 3 16 2 10" xfId="5434"/>
    <cellStyle name="Обычный 3 16 2 11" xfId="18435"/>
    <cellStyle name="Обычный 3 16 2 12" xfId="20131"/>
    <cellStyle name="Обычный 3 16 2 13" xfId="21743"/>
    <cellStyle name="Обычный 3 16 2 2" xfId="5435"/>
    <cellStyle name="Обычный 3 16 2 2 2" xfId="5436"/>
    <cellStyle name="Обычный 3 16 2 3" xfId="5437"/>
    <cellStyle name="Обычный 3 16 2 4" xfId="5438"/>
    <cellStyle name="Обычный 3 16 2 5" xfId="5439"/>
    <cellStyle name="Обычный 3 16 2 6" xfId="5440"/>
    <cellStyle name="Обычный 3 16 2 7" xfId="5441"/>
    <cellStyle name="Обычный 3 16 2 8" xfId="5442"/>
    <cellStyle name="Обычный 3 16 2 9" xfId="5443"/>
    <cellStyle name="Обычный 3 16 3" xfId="5444"/>
    <cellStyle name="Обычный 3 16 3 2" xfId="5445"/>
    <cellStyle name="Обычный 3 16 4" xfId="5446"/>
    <cellStyle name="Обычный 3 16 5" xfId="5447"/>
    <cellStyle name="Обычный 3 16 6" xfId="5448"/>
    <cellStyle name="Обычный 3 16 7" xfId="5449"/>
    <cellStyle name="Обычный 3 16 8" xfId="5450"/>
    <cellStyle name="Обычный 3 16 9" xfId="5451"/>
    <cellStyle name="Обычный 3 17" xfId="5452"/>
    <cellStyle name="Обычный 3 17 10" xfId="5453"/>
    <cellStyle name="Обычный 3 17 11" xfId="5454"/>
    <cellStyle name="Обычный 3 17 12" xfId="18436"/>
    <cellStyle name="Обычный 3 17 13" xfId="20132"/>
    <cellStyle name="Обычный 3 17 14" xfId="21744"/>
    <cellStyle name="Обычный 3 17 2" xfId="5455"/>
    <cellStyle name="Обычный 3 17 2 10" xfId="5456"/>
    <cellStyle name="Обычный 3 17 2 11" xfId="18437"/>
    <cellStyle name="Обычный 3 17 2 12" xfId="20133"/>
    <cellStyle name="Обычный 3 17 2 13" xfId="21745"/>
    <cellStyle name="Обычный 3 17 2 2" xfId="5457"/>
    <cellStyle name="Обычный 3 17 2 2 2" xfId="5458"/>
    <cellStyle name="Обычный 3 17 2 3" xfId="5459"/>
    <cellStyle name="Обычный 3 17 2 4" xfId="5460"/>
    <cellStyle name="Обычный 3 17 2 5" xfId="5461"/>
    <cellStyle name="Обычный 3 17 2 6" xfId="5462"/>
    <cellStyle name="Обычный 3 17 2 7" xfId="5463"/>
    <cellStyle name="Обычный 3 17 2 8" xfId="5464"/>
    <cellStyle name="Обычный 3 17 2 9" xfId="5465"/>
    <cellStyle name="Обычный 3 17 3" xfId="5466"/>
    <cellStyle name="Обычный 3 17 3 2" xfId="5467"/>
    <cellStyle name="Обычный 3 17 4" xfId="5468"/>
    <cellStyle name="Обычный 3 17 5" xfId="5469"/>
    <cellStyle name="Обычный 3 17 6" xfId="5470"/>
    <cellStyle name="Обычный 3 17 7" xfId="5471"/>
    <cellStyle name="Обычный 3 17 8" xfId="5472"/>
    <cellStyle name="Обычный 3 17 9" xfId="5473"/>
    <cellStyle name="Обычный 3 18" xfId="5474"/>
    <cellStyle name="Обычный 3 18 10" xfId="5475"/>
    <cellStyle name="Обычный 3 18 11" xfId="5476"/>
    <cellStyle name="Обычный 3 18 12" xfId="18438"/>
    <cellStyle name="Обычный 3 18 13" xfId="20134"/>
    <cellStyle name="Обычный 3 18 14" xfId="21746"/>
    <cellStyle name="Обычный 3 18 2" xfId="5477"/>
    <cellStyle name="Обычный 3 18 2 10" xfId="5478"/>
    <cellStyle name="Обычный 3 18 2 11" xfId="18439"/>
    <cellStyle name="Обычный 3 18 2 12" xfId="20135"/>
    <cellStyle name="Обычный 3 18 2 13" xfId="21747"/>
    <cellStyle name="Обычный 3 18 2 2" xfId="5479"/>
    <cellStyle name="Обычный 3 18 2 2 2" xfId="5480"/>
    <cellStyle name="Обычный 3 18 2 3" xfId="5481"/>
    <cellStyle name="Обычный 3 18 2 4" xfId="5482"/>
    <cellStyle name="Обычный 3 18 2 5" xfId="5483"/>
    <cellStyle name="Обычный 3 18 2 6" xfId="5484"/>
    <cellStyle name="Обычный 3 18 2 7" xfId="5485"/>
    <cellStyle name="Обычный 3 18 2 8" xfId="5486"/>
    <cellStyle name="Обычный 3 18 2 9" xfId="5487"/>
    <cellStyle name="Обычный 3 18 3" xfId="5488"/>
    <cellStyle name="Обычный 3 18 3 2" xfId="5489"/>
    <cellStyle name="Обычный 3 18 4" xfId="5490"/>
    <cellStyle name="Обычный 3 18 5" xfId="5491"/>
    <cellStyle name="Обычный 3 18 6" xfId="5492"/>
    <cellStyle name="Обычный 3 18 7" xfId="5493"/>
    <cellStyle name="Обычный 3 18 8" xfId="5494"/>
    <cellStyle name="Обычный 3 18 9" xfId="5495"/>
    <cellStyle name="Обычный 3 19" xfId="5496"/>
    <cellStyle name="Обычный 3 19 10" xfId="5497"/>
    <cellStyle name="Обычный 3 19 11" xfId="18440"/>
    <cellStyle name="Обычный 3 19 12" xfId="20136"/>
    <cellStyle name="Обычный 3 19 13" xfId="21748"/>
    <cellStyle name="Обычный 3 19 2" xfId="5498"/>
    <cellStyle name="Обычный 3 19 2 2" xfId="5499"/>
    <cellStyle name="Обычный 3 19 3" xfId="5500"/>
    <cellStyle name="Обычный 3 19 4" xfId="5501"/>
    <cellStyle name="Обычный 3 19 5" xfId="5502"/>
    <cellStyle name="Обычный 3 19 6" xfId="5503"/>
    <cellStyle name="Обычный 3 19 7" xfId="5504"/>
    <cellStyle name="Обычный 3 19 8" xfId="5505"/>
    <cellStyle name="Обычный 3 19 9" xfId="5506"/>
    <cellStyle name="Обычный 3 2" xfId="5507"/>
    <cellStyle name="Обычный 3 2 10" xfId="5508"/>
    <cellStyle name="Обычный 3 2 10 10" xfId="5509"/>
    <cellStyle name="Обычный 3 2 10 11" xfId="5510"/>
    <cellStyle name="Обычный 3 2 10 12" xfId="18442"/>
    <cellStyle name="Обычный 3 2 10 12 2 2 2" xfId="22883"/>
    <cellStyle name="Обычный 3 2 10 12 2 3" xfId="22888"/>
    <cellStyle name="Обычный 3 2 10 13" xfId="20138"/>
    <cellStyle name="Обычный 3 2 10 14" xfId="21750"/>
    <cellStyle name="Обычный 3 2 10 2" xfId="5511"/>
    <cellStyle name="Обычный 3 2 10 2 10" xfId="5512"/>
    <cellStyle name="Обычный 3 2 10 2 11" xfId="18443"/>
    <cellStyle name="Обычный 3 2 10 2 12" xfId="20139"/>
    <cellStyle name="Обычный 3 2 10 2 13" xfId="21751"/>
    <cellStyle name="Обычный 3 2 10 2 2" xfId="5513"/>
    <cellStyle name="Обычный 3 2 10 2 2 2" xfId="5514"/>
    <cellStyle name="Обычный 3 2 10 2 3" xfId="5515"/>
    <cellStyle name="Обычный 3 2 10 2 4" xfId="5516"/>
    <cellStyle name="Обычный 3 2 10 2 5" xfId="5517"/>
    <cellStyle name="Обычный 3 2 10 2 6" xfId="5518"/>
    <cellStyle name="Обычный 3 2 10 2 7" xfId="5519"/>
    <cellStyle name="Обычный 3 2 10 2 8" xfId="5520"/>
    <cellStyle name="Обычный 3 2 10 2 9" xfId="5521"/>
    <cellStyle name="Обычный 3 2 10 3" xfId="5522"/>
    <cellStyle name="Обычный 3 2 10 3 2" xfId="5523"/>
    <cellStyle name="Обычный 3 2 10 4" xfId="5524"/>
    <cellStyle name="Обычный 3 2 10 5" xfId="5525"/>
    <cellStyle name="Обычный 3 2 10 6" xfId="5526"/>
    <cellStyle name="Обычный 3 2 10 7" xfId="5527"/>
    <cellStyle name="Обычный 3 2 10 8" xfId="5528"/>
    <cellStyle name="Обычный 3 2 10 9" xfId="5529"/>
    <cellStyle name="Обычный 3 2 11" xfId="5530"/>
    <cellStyle name="Обычный 3 2 11 10" xfId="5531"/>
    <cellStyle name="Обычный 3 2 11 11" xfId="18444"/>
    <cellStyle name="Обычный 3 2 11 12" xfId="20140"/>
    <cellStyle name="Обычный 3 2 11 13" xfId="21752"/>
    <cellStyle name="Обычный 3 2 11 2" xfId="5532"/>
    <cellStyle name="Обычный 3 2 11 2 2" xfId="5533"/>
    <cellStyle name="Обычный 3 2 11 3" xfId="5534"/>
    <cellStyle name="Обычный 3 2 11 4" xfId="5535"/>
    <cellStyle name="Обычный 3 2 11 5" xfId="5536"/>
    <cellStyle name="Обычный 3 2 11 6" xfId="5537"/>
    <cellStyle name="Обычный 3 2 11 7" xfId="5538"/>
    <cellStyle name="Обычный 3 2 11 8" xfId="5539"/>
    <cellStyle name="Обычный 3 2 11 9" xfId="5540"/>
    <cellStyle name="Обычный 3 2 12" xfId="5541"/>
    <cellStyle name="Обычный 3 2 12 10" xfId="20141"/>
    <cellStyle name="Обычный 3 2 12 11" xfId="21753"/>
    <cellStyle name="Обычный 3 2 12 2" xfId="5542"/>
    <cellStyle name="Обычный 3 2 12 2 2" xfId="5543"/>
    <cellStyle name="Обычный 3 2 12 3" xfId="5544"/>
    <cellStyle name="Обычный 3 2 12 4" xfId="5545"/>
    <cellStyle name="Обычный 3 2 12 5" xfId="5546"/>
    <cellStyle name="Обычный 3 2 12 6" xfId="5547"/>
    <cellStyle name="Обычный 3 2 12 7" xfId="5548"/>
    <cellStyle name="Обычный 3 2 12 8" xfId="5549"/>
    <cellStyle name="Обычный 3 2 12 9" xfId="18445"/>
    <cellStyle name="Обычный 3 2 13" xfId="5550"/>
    <cellStyle name="Обычный 3 2 13 10" xfId="20142"/>
    <cellStyle name="Обычный 3 2 13 11" xfId="21754"/>
    <cellStyle name="Обычный 3 2 13 2" xfId="5551"/>
    <cellStyle name="Обычный 3 2 13 2 2" xfId="5552"/>
    <cellStyle name="Обычный 3 2 13 3" xfId="5553"/>
    <cellStyle name="Обычный 3 2 13 4" xfId="5554"/>
    <cellStyle name="Обычный 3 2 13 5" xfId="5555"/>
    <cellStyle name="Обычный 3 2 13 6" xfId="5556"/>
    <cellStyle name="Обычный 3 2 13 7" xfId="5557"/>
    <cellStyle name="Обычный 3 2 13 8" xfId="5558"/>
    <cellStyle name="Обычный 3 2 13 9" xfId="18446"/>
    <cellStyle name="Обычный 3 2 14" xfId="5559"/>
    <cellStyle name="Обычный 3 2 14 2" xfId="5560"/>
    <cellStyle name="Обычный 3 2 15" xfId="5561"/>
    <cellStyle name="Обычный 3 2 16" xfId="5562"/>
    <cellStyle name="Обычный 3 2 17" xfId="5563"/>
    <cellStyle name="Обычный 3 2 18" xfId="5564"/>
    <cellStyle name="Обычный 3 2 19" xfId="5565"/>
    <cellStyle name="Обычный 3 2 2" xfId="5566"/>
    <cellStyle name="Обычный 3 2 2 10" xfId="5567"/>
    <cellStyle name="Обычный 3 2 2 10 2" xfId="5568"/>
    <cellStyle name="Обычный 3 2 2 11" xfId="5569"/>
    <cellStyle name="Обычный 3 2 2 12" xfId="5570"/>
    <cellStyle name="Обычный 3 2 2 13" xfId="5571"/>
    <cellStyle name="Обычный 3 2 2 14" xfId="5572"/>
    <cellStyle name="Обычный 3 2 2 15" xfId="5573"/>
    <cellStyle name="Обычный 3 2 2 16" xfId="5574"/>
    <cellStyle name="Обычный 3 2 2 17" xfId="5575"/>
    <cellStyle name="Обычный 3 2 2 18" xfId="5576"/>
    <cellStyle name="Обычный 3 2 2 19" xfId="5577"/>
    <cellStyle name="Обычный 3 2 2 2" xfId="5578"/>
    <cellStyle name="Обычный 3 2 2 2 10" xfId="5579"/>
    <cellStyle name="Обычный 3 2 2 2 11" xfId="5580"/>
    <cellStyle name="Обычный 3 2 2 2 12" xfId="5581"/>
    <cellStyle name="Обычный 3 2 2 2 13" xfId="5582"/>
    <cellStyle name="Обычный 3 2 2 2 14" xfId="5583"/>
    <cellStyle name="Обычный 3 2 2 2 15" xfId="5584"/>
    <cellStyle name="Обычный 3 2 2 2 16" xfId="5585"/>
    <cellStyle name="Обычный 3 2 2 2 17" xfId="5586"/>
    <cellStyle name="Обычный 3 2 2 2 18" xfId="18448"/>
    <cellStyle name="Обычный 3 2 2 2 19" xfId="20144"/>
    <cellStyle name="Обычный 3 2 2 2 2" xfId="5587"/>
    <cellStyle name="Обычный 3 2 2 2 2 10" xfId="5588"/>
    <cellStyle name="Обычный 3 2 2 2 2 11" xfId="5589"/>
    <cellStyle name="Обычный 3 2 2 2 2 12" xfId="18449"/>
    <cellStyle name="Обычный 3 2 2 2 2 13" xfId="20145"/>
    <cellStyle name="Обычный 3 2 2 2 2 14" xfId="21757"/>
    <cellStyle name="Обычный 3 2 2 2 2 2" xfId="5590"/>
    <cellStyle name="Обычный 3 2 2 2 2 2 10" xfId="5591"/>
    <cellStyle name="Обычный 3 2 2 2 2 2 11" xfId="18450"/>
    <cellStyle name="Обычный 3 2 2 2 2 2 12" xfId="20146"/>
    <cellStyle name="Обычный 3 2 2 2 2 2 13" xfId="21758"/>
    <cellStyle name="Обычный 3 2 2 2 2 2 2" xfId="5592"/>
    <cellStyle name="Обычный 3 2 2 2 2 2 2 2" xfId="5593"/>
    <cellStyle name="Обычный 3 2 2 2 2 2 3" xfId="5594"/>
    <cellStyle name="Обычный 3 2 2 2 2 2 4" xfId="5595"/>
    <cellStyle name="Обычный 3 2 2 2 2 2 5" xfId="5596"/>
    <cellStyle name="Обычный 3 2 2 2 2 2 6" xfId="5597"/>
    <cellStyle name="Обычный 3 2 2 2 2 2 7" xfId="5598"/>
    <cellStyle name="Обычный 3 2 2 2 2 2 8" xfId="5599"/>
    <cellStyle name="Обычный 3 2 2 2 2 2 9" xfId="5600"/>
    <cellStyle name="Обычный 3 2 2 2 2 3" xfId="5601"/>
    <cellStyle name="Обычный 3 2 2 2 2 3 2" xfId="5602"/>
    <cellStyle name="Обычный 3 2 2 2 2 4" xfId="5603"/>
    <cellStyle name="Обычный 3 2 2 2 2 5" xfId="5604"/>
    <cellStyle name="Обычный 3 2 2 2 2 6" xfId="5605"/>
    <cellStyle name="Обычный 3 2 2 2 2 7" xfId="5606"/>
    <cellStyle name="Обычный 3 2 2 2 2 8" xfId="5607"/>
    <cellStyle name="Обычный 3 2 2 2 2 9" xfId="5608"/>
    <cellStyle name="Обычный 3 2 2 2 20" xfId="21756"/>
    <cellStyle name="Обычный 3 2 2 2 3" xfId="5609"/>
    <cellStyle name="Обычный 3 2 2 2 3 10" xfId="5610"/>
    <cellStyle name="Обычный 3 2 2 2 3 11" xfId="5611"/>
    <cellStyle name="Обычный 3 2 2 2 3 12" xfId="18451"/>
    <cellStyle name="Обычный 3 2 2 2 3 13" xfId="20147"/>
    <cellStyle name="Обычный 3 2 2 2 3 14" xfId="21759"/>
    <cellStyle name="Обычный 3 2 2 2 3 2" xfId="5612"/>
    <cellStyle name="Обычный 3 2 2 2 3 2 10" xfId="5613"/>
    <cellStyle name="Обычный 3 2 2 2 3 2 11" xfId="18452"/>
    <cellStyle name="Обычный 3 2 2 2 3 2 12" xfId="20148"/>
    <cellStyle name="Обычный 3 2 2 2 3 2 13" xfId="21760"/>
    <cellStyle name="Обычный 3 2 2 2 3 2 2" xfId="5614"/>
    <cellStyle name="Обычный 3 2 2 2 3 2 2 2" xfId="5615"/>
    <cellStyle name="Обычный 3 2 2 2 3 2 3" xfId="5616"/>
    <cellStyle name="Обычный 3 2 2 2 3 2 4" xfId="5617"/>
    <cellStyle name="Обычный 3 2 2 2 3 2 5" xfId="5618"/>
    <cellStyle name="Обычный 3 2 2 2 3 2 6" xfId="5619"/>
    <cellStyle name="Обычный 3 2 2 2 3 2 7" xfId="5620"/>
    <cellStyle name="Обычный 3 2 2 2 3 2 8" xfId="5621"/>
    <cellStyle name="Обычный 3 2 2 2 3 2 9" xfId="5622"/>
    <cellStyle name="Обычный 3 2 2 2 3 3" xfId="5623"/>
    <cellStyle name="Обычный 3 2 2 2 3 3 2" xfId="5624"/>
    <cellStyle name="Обычный 3 2 2 2 3 4" xfId="5625"/>
    <cellStyle name="Обычный 3 2 2 2 3 5" xfId="5626"/>
    <cellStyle name="Обычный 3 2 2 2 3 6" xfId="5627"/>
    <cellStyle name="Обычный 3 2 2 2 3 7" xfId="5628"/>
    <cellStyle name="Обычный 3 2 2 2 3 8" xfId="5629"/>
    <cellStyle name="Обычный 3 2 2 2 3 9" xfId="5630"/>
    <cellStyle name="Обычный 3 2 2 2 4" xfId="5631"/>
    <cellStyle name="Обычный 3 2 2 2 4 10" xfId="5632"/>
    <cellStyle name="Обычный 3 2 2 2 4 11" xfId="5633"/>
    <cellStyle name="Обычный 3 2 2 2 4 12" xfId="18453"/>
    <cellStyle name="Обычный 3 2 2 2 4 13" xfId="20149"/>
    <cellStyle name="Обычный 3 2 2 2 4 14" xfId="21761"/>
    <cellStyle name="Обычный 3 2 2 2 4 2" xfId="5634"/>
    <cellStyle name="Обычный 3 2 2 2 4 2 10" xfId="5635"/>
    <cellStyle name="Обычный 3 2 2 2 4 2 11" xfId="18454"/>
    <cellStyle name="Обычный 3 2 2 2 4 2 12" xfId="20150"/>
    <cellStyle name="Обычный 3 2 2 2 4 2 13" xfId="21762"/>
    <cellStyle name="Обычный 3 2 2 2 4 2 2" xfId="5636"/>
    <cellStyle name="Обычный 3 2 2 2 4 2 2 2" xfId="5637"/>
    <cellStyle name="Обычный 3 2 2 2 4 2 3" xfId="5638"/>
    <cellStyle name="Обычный 3 2 2 2 4 2 4" xfId="5639"/>
    <cellStyle name="Обычный 3 2 2 2 4 2 5" xfId="5640"/>
    <cellStyle name="Обычный 3 2 2 2 4 2 6" xfId="5641"/>
    <cellStyle name="Обычный 3 2 2 2 4 2 7" xfId="5642"/>
    <cellStyle name="Обычный 3 2 2 2 4 2 8" xfId="5643"/>
    <cellStyle name="Обычный 3 2 2 2 4 2 9" xfId="5644"/>
    <cellStyle name="Обычный 3 2 2 2 4 3" xfId="5645"/>
    <cellStyle name="Обычный 3 2 2 2 4 3 2" xfId="5646"/>
    <cellStyle name="Обычный 3 2 2 2 4 4" xfId="5647"/>
    <cellStyle name="Обычный 3 2 2 2 4 5" xfId="5648"/>
    <cellStyle name="Обычный 3 2 2 2 4 6" xfId="5649"/>
    <cellStyle name="Обычный 3 2 2 2 4 7" xfId="5650"/>
    <cellStyle name="Обычный 3 2 2 2 4 8" xfId="5651"/>
    <cellStyle name="Обычный 3 2 2 2 4 9" xfId="5652"/>
    <cellStyle name="Обычный 3 2 2 2 5" xfId="5653"/>
    <cellStyle name="Обычный 3 2 2 2 5 10" xfId="5654"/>
    <cellStyle name="Обычный 3 2 2 2 5 11" xfId="5655"/>
    <cellStyle name="Обычный 3 2 2 2 5 12" xfId="18455"/>
    <cellStyle name="Обычный 3 2 2 2 5 13" xfId="20151"/>
    <cellStyle name="Обычный 3 2 2 2 5 14" xfId="21763"/>
    <cellStyle name="Обычный 3 2 2 2 5 2" xfId="5656"/>
    <cellStyle name="Обычный 3 2 2 2 5 2 10" xfId="5657"/>
    <cellStyle name="Обычный 3 2 2 2 5 2 11" xfId="18456"/>
    <cellStyle name="Обычный 3 2 2 2 5 2 12" xfId="20152"/>
    <cellStyle name="Обычный 3 2 2 2 5 2 13" xfId="21764"/>
    <cellStyle name="Обычный 3 2 2 2 5 2 2" xfId="5658"/>
    <cellStyle name="Обычный 3 2 2 2 5 2 2 2" xfId="5659"/>
    <cellStyle name="Обычный 3 2 2 2 5 2 3" xfId="5660"/>
    <cellStyle name="Обычный 3 2 2 2 5 2 4" xfId="5661"/>
    <cellStyle name="Обычный 3 2 2 2 5 2 5" xfId="5662"/>
    <cellStyle name="Обычный 3 2 2 2 5 2 6" xfId="5663"/>
    <cellStyle name="Обычный 3 2 2 2 5 2 7" xfId="5664"/>
    <cellStyle name="Обычный 3 2 2 2 5 2 8" xfId="5665"/>
    <cellStyle name="Обычный 3 2 2 2 5 2 9" xfId="5666"/>
    <cellStyle name="Обычный 3 2 2 2 5 3" xfId="5667"/>
    <cellStyle name="Обычный 3 2 2 2 5 3 2" xfId="5668"/>
    <cellStyle name="Обычный 3 2 2 2 5 4" xfId="5669"/>
    <cellStyle name="Обычный 3 2 2 2 5 5" xfId="5670"/>
    <cellStyle name="Обычный 3 2 2 2 5 6" xfId="5671"/>
    <cellStyle name="Обычный 3 2 2 2 5 7" xfId="5672"/>
    <cellStyle name="Обычный 3 2 2 2 5 8" xfId="5673"/>
    <cellStyle name="Обычный 3 2 2 2 5 9" xfId="5674"/>
    <cellStyle name="Обычный 3 2 2 2 6" xfId="5675"/>
    <cellStyle name="Обычный 3 2 2 2 6 10" xfId="5676"/>
    <cellStyle name="Обычный 3 2 2 2 6 11" xfId="18457"/>
    <cellStyle name="Обычный 3 2 2 2 6 12" xfId="20153"/>
    <cellStyle name="Обычный 3 2 2 2 6 13" xfId="21765"/>
    <cellStyle name="Обычный 3 2 2 2 6 2" xfId="5677"/>
    <cellStyle name="Обычный 3 2 2 2 6 2 2" xfId="5678"/>
    <cellStyle name="Обычный 3 2 2 2 6 3" xfId="5679"/>
    <cellStyle name="Обычный 3 2 2 2 6 4" xfId="5680"/>
    <cellStyle name="Обычный 3 2 2 2 6 5" xfId="5681"/>
    <cellStyle name="Обычный 3 2 2 2 6 6" xfId="5682"/>
    <cellStyle name="Обычный 3 2 2 2 6 7" xfId="5683"/>
    <cellStyle name="Обычный 3 2 2 2 6 8" xfId="5684"/>
    <cellStyle name="Обычный 3 2 2 2 6 9" xfId="5685"/>
    <cellStyle name="Обычный 3 2 2 2 7" xfId="5686"/>
    <cellStyle name="Обычный 3 2 2 2 7 10" xfId="20154"/>
    <cellStyle name="Обычный 3 2 2 2 7 11" xfId="21766"/>
    <cellStyle name="Обычный 3 2 2 2 7 2" xfId="5687"/>
    <cellStyle name="Обычный 3 2 2 2 7 2 2" xfId="5688"/>
    <cellStyle name="Обычный 3 2 2 2 7 3" xfId="5689"/>
    <cellStyle name="Обычный 3 2 2 2 7 4" xfId="5690"/>
    <cellStyle name="Обычный 3 2 2 2 7 5" xfId="5691"/>
    <cellStyle name="Обычный 3 2 2 2 7 6" xfId="5692"/>
    <cellStyle name="Обычный 3 2 2 2 7 7" xfId="5693"/>
    <cellStyle name="Обычный 3 2 2 2 7 8" xfId="5694"/>
    <cellStyle name="Обычный 3 2 2 2 7 9" xfId="18458"/>
    <cellStyle name="Обычный 3 2 2 2 8" xfId="5695"/>
    <cellStyle name="Обычный 3 2 2 2 8 2" xfId="5696"/>
    <cellStyle name="Обычный 3 2 2 2 9" xfId="5697"/>
    <cellStyle name="Обычный 3 2 2 20" xfId="18447"/>
    <cellStyle name="Обычный 3 2 2 21" xfId="20143"/>
    <cellStyle name="Обычный 3 2 2 22" xfId="21755"/>
    <cellStyle name="Обычный 3 2 2 3" xfId="5698"/>
    <cellStyle name="Обычный 3 2 2 3 10" xfId="5699"/>
    <cellStyle name="Обычный 3 2 2 3 11" xfId="5700"/>
    <cellStyle name="Обычный 3 2 2 3 12" xfId="5701"/>
    <cellStyle name="Обычный 3 2 2 3 13" xfId="5702"/>
    <cellStyle name="Обычный 3 2 2 3 14" xfId="5703"/>
    <cellStyle name="Обычный 3 2 2 3 15" xfId="5704"/>
    <cellStyle name="Обычный 3 2 2 3 16" xfId="5705"/>
    <cellStyle name="Обычный 3 2 2 3 17" xfId="5706"/>
    <cellStyle name="Обычный 3 2 2 3 18" xfId="18459"/>
    <cellStyle name="Обычный 3 2 2 3 19" xfId="20155"/>
    <cellStyle name="Обычный 3 2 2 3 2" xfId="5707"/>
    <cellStyle name="Обычный 3 2 2 3 2 10" xfId="5708"/>
    <cellStyle name="Обычный 3 2 2 3 2 11" xfId="5709"/>
    <cellStyle name="Обычный 3 2 2 3 2 12" xfId="18460"/>
    <cellStyle name="Обычный 3 2 2 3 2 13" xfId="20156"/>
    <cellStyle name="Обычный 3 2 2 3 2 14" xfId="21768"/>
    <cellStyle name="Обычный 3 2 2 3 2 2" xfId="5710"/>
    <cellStyle name="Обычный 3 2 2 3 2 2 10" xfId="5711"/>
    <cellStyle name="Обычный 3 2 2 3 2 2 11" xfId="18461"/>
    <cellStyle name="Обычный 3 2 2 3 2 2 12" xfId="20157"/>
    <cellStyle name="Обычный 3 2 2 3 2 2 13" xfId="21769"/>
    <cellStyle name="Обычный 3 2 2 3 2 2 2" xfId="5712"/>
    <cellStyle name="Обычный 3 2 2 3 2 2 2 2" xfId="5713"/>
    <cellStyle name="Обычный 3 2 2 3 2 2 3" xfId="5714"/>
    <cellStyle name="Обычный 3 2 2 3 2 2 4" xfId="5715"/>
    <cellStyle name="Обычный 3 2 2 3 2 2 5" xfId="5716"/>
    <cellStyle name="Обычный 3 2 2 3 2 2 6" xfId="5717"/>
    <cellStyle name="Обычный 3 2 2 3 2 2 7" xfId="5718"/>
    <cellStyle name="Обычный 3 2 2 3 2 2 8" xfId="5719"/>
    <cellStyle name="Обычный 3 2 2 3 2 2 9" xfId="5720"/>
    <cellStyle name="Обычный 3 2 2 3 2 3" xfId="5721"/>
    <cellStyle name="Обычный 3 2 2 3 2 3 2" xfId="5722"/>
    <cellStyle name="Обычный 3 2 2 3 2 4" xfId="5723"/>
    <cellStyle name="Обычный 3 2 2 3 2 5" xfId="5724"/>
    <cellStyle name="Обычный 3 2 2 3 2 6" xfId="5725"/>
    <cellStyle name="Обычный 3 2 2 3 2 7" xfId="5726"/>
    <cellStyle name="Обычный 3 2 2 3 2 8" xfId="5727"/>
    <cellStyle name="Обычный 3 2 2 3 2 9" xfId="5728"/>
    <cellStyle name="Обычный 3 2 2 3 20" xfId="21767"/>
    <cellStyle name="Обычный 3 2 2 3 3" xfId="5729"/>
    <cellStyle name="Обычный 3 2 2 3 3 10" xfId="5730"/>
    <cellStyle name="Обычный 3 2 2 3 3 11" xfId="5731"/>
    <cellStyle name="Обычный 3 2 2 3 3 12" xfId="18462"/>
    <cellStyle name="Обычный 3 2 2 3 3 13" xfId="20158"/>
    <cellStyle name="Обычный 3 2 2 3 3 14" xfId="21770"/>
    <cellStyle name="Обычный 3 2 2 3 3 2" xfId="5732"/>
    <cellStyle name="Обычный 3 2 2 3 3 2 10" xfId="5733"/>
    <cellStyle name="Обычный 3 2 2 3 3 2 11" xfId="18463"/>
    <cellStyle name="Обычный 3 2 2 3 3 2 12" xfId="20159"/>
    <cellStyle name="Обычный 3 2 2 3 3 2 13" xfId="21771"/>
    <cellStyle name="Обычный 3 2 2 3 3 2 2" xfId="5734"/>
    <cellStyle name="Обычный 3 2 2 3 3 2 2 2" xfId="5735"/>
    <cellStyle name="Обычный 3 2 2 3 3 2 3" xfId="5736"/>
    <cellStyle name="Обычный 3 2 2 3 3 2 4" xfId="5737"/>
    <cellStyle name="Обычный 3 2 2 3 3 2 5" xfId="5738"/>
    <cellStyle name="Обычный 3 2 2 3 3 2 6" xfId="5739"/>
    <cellStyle name="Обычный 3 2 2 3 3 2 7" xfId="5740"/>
    <cellStyle name="Обычный 3 2 2 3 3 2 8" xfId="5741"/>
    <cellStyle name="Обычный 3 2 2 3 3 2 9" xfId="5742"/>
    <cellStyle name="Обычный 3 2 2 3 3 3" xfId="5743"/>
    <cellStyle name="Обычный 3 2 2 3 3 3 2" xfId="5744"/>
    <cellStyle name="Обычный 3 2 2 3 3 4" xfId="5745"/>
    <cellStyle name="Обычный 3 2 2 3 3 5" xfId="5746"/>
    <cellStyle name="Обычный 3 2 2 3 3 6" xfId="5747"/>
    <cellStyle name="Обычный 3 2 2 3 3 7" xfId="5748"/>
    <cellStyle name="Обычный 3 2 2 3 3 8" xfId="5749"/>
    <cellStyle name="Обычный 3 2 2 3 3 9" xfId="5750"/>
    <cellStyle name="Обычный 3 2 2 3 4" xfId="5751"/>
    <cellStyle name="Обычный 3 2 2 3 4 10" xfId="5752"/>
    <cellStyle name="Обычный 3 2 2 3 4 11" xfId="5753"/>
    <cellStyle name="Обычный 3 2 2 3 4 12" xfId="18464"/>
    <cellStyle name="Обычный 3 2 2 3 4 13" xfId="20160"/>
    <cellStyle name="Обычный 3 2 2 3 4 14" xfId="21772"/>
    <cellStyle name="Обычный 3 2 2 3 4 2" xfId="5754"/>
    <cellStyle name="Обычный 3 2 2 3 4 2 10" xfId="5755"/>
    <cellStyle name="Обычный 3 2 2 3 4 2 11" xfId="18465"/>
    <cellStyle name="Обычный 3 2 2 3 4 2 12" xfId="20161"/>
    <cellStyle name="Обычный 3 2 2 3 4 2 13" xfId="21773"/>
    <cellStyle name="Обычный 3 2 2 3 4 2 2" xfId="5756"/>
    <cellStyle name="Обычный 3 2 2 3 4 2 2 2" xfId="5757"/>
    <cellStyle name="Обычный 3 2 2 3 4 2 3" xfId="5758"/>
    <cellStyle name="Обычный 3 2 2 3 4 2 4" xfId="5759"/>
    <cellStyle name="Обычный 3 2 2 3 4 2 5" xfId="5760"/>
    <cellStyle name="Обычный 3 2 2 3 4 2 6" xfId="5761"/>
    <cellStyle name="Обычный 3 2 2 3 4 2 7" xfId="5762"/>
    <cellStyle name="Обычный 3 2 2 3 4 2 8" xfId="5763"/>
    <cellStyle name="Обычный 3 2 2 3 4 2 9" xfId="5764"/>
    <cellStyle name="Обычный 3 2 2 3 4 3" xfId="5765"/>
    <cellStyle name="Обычный 3 2 2 3 4 3 2" xfId="5766"/>
    <cellStyle name="Обычный 3 2 2 3 4 4" xfId="5767"/>
    <cellStyle name="Обычный 3 2 2 3 4 5" xfId="5768"/>
    <cellStyle name="Обычный 3 2 2 3 4 6" xfId="5769"/>
    <cellStyle name="Обычный 3 2 2 3 4 7" xfId="5770"/>
    <cellStyle name="Обычный 3 2 2 3 4 8" xfId="5771"/>
    <cellStyle name="Обычный 3 2 2 3 4 9" xfId="5772"/>
    <cellStyle name="Обычный 3 2 2 3 5" xfId="5773"/>
    <cellStyle name="Обычный 3 2 2 3 5 10" xfId="5774"/>
    <cellStyle name="Обычный 3 2 2 3 5 11" xfId="5775"/>
    <cellStyle name="Обычный 3 2 2 3 5 12" xfId="18466"/>
    <cellStyle name="Обычный 3 2 2 3 5 13" xfId="20162"/>
    <cellStyle name="Обычный 3 2 2 3 5 14" xfId="21774"/>
    <cellStyle name="Обычный 3 2 2 3 5 2" xfId="5776"/>
    <cellStyle name="Обычный 3 2 2 3 5 2 10" xfId="5777"/>
    <cellStyle name="Обычный 3 2 2 3 5 2 11" xfId="18467"/>
    <cellStyle name="Обычный 3 2 2 3 5 2 12" xfId="20163"/>
    <cellStyle name="Обычный 3 2 2 3 5 2 13" xfId="21775"/>
    <cellStyle name="Обычный 3 2 2 3 5 2 2" xfId="5778"/>
    <cellStyle name="Обычный 3 2 2 3 5 2 2 2" xfId="5779"/>
    <cellStyle name="Обычный 3 2 2 3 5 2 3" xfId="5780"/>
    <cellStyle name="Обычный 3 2 2 3 5 2 4" xfId="5781"/>
    <cellStyle name="Обычный 3 2 2 3 5 2 5" xfId="5782"/>
    <cellStyle name="Обычный 3 2 2 3 5 2 6" xfId="5783"/>
    <cellStyle name="Обычный 3 2 2 3 5 2 7" xfId="5784"/>
    <cellStyle name="Обычный 3 2 2 3 5 2 8" xfId="5785"/>
    <cellStyle name="Обычный 3 2 2 3 5 2 9" xfId="5786"/>
    <cellStyle name="Обычный 3 2 2 3 5 3" xfId="5787"/>
    <cellStyle name="Обычный 3 2 2 3 5 3 2" xfId="5788"/>
    <cellStyle name="Обычный 3 2 2 3 5 4" xfId="5789"/>
    <cellStyle name="Обычный 3 2 2 3 5 5" xfId="5790"/>
    <cellStyle name="Обычный 3 2 2 3 5 6" xfId="5791"/>
    <cellStyle name="Обычный 3 2 2 3 5 7" xfId="5792"/>
    <cellStyle name="Обычный 3 2 2 3 5 8" xfId="5793"/>
    <cellStyle name="Обычный 3 2 2 3 5 9" xfId="5794"/>
    <cellStyle name="Обычный 3 2 2 3 6" xfId="5795"/>
    <cellStyle name="Обычный 3 2 2 3 6 10" xfId="5796"/>
    <cellStyle name="Обычный 3 2 2 3 6 11" xfId="18468"/>
    <cellStyle name="Обычный 3 2 2 3 6 12" xfId="20164"/>
    <cellStyle name="Обычный 3 2 2 3 6 13" xfId="21776"/>
    <cellStyle name="Обычный 3 2 2 3 6 2" xfId="5797"/>
    <cellStyle name="Обычный 3 2 2 3 6 2 2" xfId="5798"/>
    <cellStyle name="Обычный 3 2 2 3 6 3" xfId="5799"/>
    <cellStyle name="Обычный 3 2 2 3 6 4" xfId="5800"/>
    <cellStyle name="Обычный 3 2 2 3 6 5" xfId="5801"/>
    <cellStyle name="Обычный 3 2 2 3 6 6" xfId="5802"/>
    <cellStyle name="Обычный 3 2 2 3 6 7" xfId="5803"/>
    <cellStyle name="Обычный 3 2 2 3 6 8" xfId="5804"/>
    <cellStyle name="Обычный 3 2 2 3 6 9" xfId="5805"/>
    <cellStyle name="Обычный 3 2 2 3 7" xfId="5806"/>
    <cellStyle name="Обычный 3 2 2 3 7 10" xfId="20165"/>
    <cellStyle name="Обычный 3 2 2 3 7 11" xfId="21777"/>
    <cellStyle name="Обычный 3 2 2 3 7 2" xfId="5807"/>
    <cellStyle name="Обычный 3 2 2 3 7 2 2" xfId="5808"/>
    <cellStyle name="Обычный 3 2 2 3 7 3" xfId="5809"/>
    <cellStyle name="Обычный 3 2 2 3 7 4" xfId="5810"/>
    <cellStyle name="Обычный 3 2 2 3 7 5" xfId="5811"/>
    <cellStyle name="Обычный 3 2 2 3 7 6" xfId="5812"/>
    <cellStyle name="Обычный 3 2 2 3 7 7" xfId="5813"/>
    <cellStyle name="Обычный 3 2 2 3 7 8" xfId="5814"/>
    <cellStyle name="Обычный 3 2 2 3 7 9" xfId="18469"/>
    <cellStyle name="Обычный 3 2 2 3 8" xfId="5815"/>
    <cellStyle name="Обычный 3 2 2 3 8 2" xfId="5816"/>
    <cellStyle name="Обычный 3 2 2 3 9" xfId="5817"/>
    <cellStyle name="Обычный 3 2 2 4" xfId="5818"/>
    <cellStyle name="Обычный 3 2 2 4 10" xfId="5819"/>
    <cellStyle name="Обычный 3 2 2 4 11" xfId="5820"/>
    <cellStyle name="Обычный 3 2 2 4 12" xfId="18470"/>
    <cellStyle name="Обычный 3 2 2 4 13" xfId="20166"/>
    <cellStyle name="Обычный 3 2 2 4 14" xfId="21778"/>
    <cellStyle name="Обычный 3 2 2 4 2" xfId="5821"/>
    <cellStyle name="Обычный 3 2 2 4 2 10" xfId="5822"/>
    <cellStyle name="Обычный 3 2 2 4 2 11" xfId="18471"/>
    <cellStyle name="Обычный 3 2 2 4 2 12" xfId="20167"/>
    <cellStyle name="Обычный 3 2 2 4 2 13" xfId="21779"/>
    <cellStyle name="Обычный 3 2 2 4 2 2" xfId="5823"/>
    <cellStyle name="Обычный 3 2 2 4 2 2 2" xfId="5824"/>
    <cellStyle name="Обычный 3 2 2 4 2 3" xfId="5825"/>
    <cellStyle name="Обычный 3 2 2 4 2 4" xfId="5826"/>
    <cellStyle name="Обычный 3 2 2 4 2 5" xfId="5827"/>
    <cellStyle name="Обычный 3 2 2 4 2 6" xfId="5828"/>
    <cellStyle name="Обычный 3 2 2 4 2 7" xfId="5829"/>
    <cellStyle name="Обычный 3 2 2 4 2 8" xfId="5830"/>
    <cellStyle name="Обычный 3 2 2 4 2 9" xfId="5831"/>
    <cellStyle name="Обычный 3 2 2 4 3" xfId="5832"/>
    <cellStyle name="Обычный 3 2 2 4 3 2" xfId="5833"/>
    <cellStyle name="Обычный 3 2 2 4 4" xfId="5834"/>
    <cellStyle name="Обычный 3 2 2 4 5" xfId="5835"/>
    <cellStyle name="Обычный 3 2 2 4 6" xfId="5836"/>
    <cellStyle name="Обычный 3 2 2 4 7" xfId="5837"/>
    <cellStyle name="Обычный 3 2 2 4 8" xfId="5838"/>
    <cellStyle name="Обычный 3 2 2 4 9" xfId="5839"/>
    <cellStyle name="Обычный 3 2 2 5" xfId="5840"/>
    <cellStyle name="Обычный 3 2 2 5 10" xfId="5841"/>
    <cellStyle name="Обычный 3 2 2 5 11" xfId="5842"/>
    <cellStyle name="Обычный 3 2 2 5 12" xfId="18472"/>
    <cellStyle name="Обычный 3 2 2 5 13" xfId="20168"/>
    <cellStyle name="Обычный 3 2 2 5 14" xfId="21780"/>
    <cellStyle name="Обычный 3 2 2 5 2" xfId="5843"/>
    <cellStyle name="Обычный 3 2 2 5 2 10" xfId="5844"/>
    <cellStyle name="Обычный 3 2 2 5 2 11" xfId="18473"/>
    <cellStyle name="Обычный 3 2 2 5 2 12" xfId="20169"/>
    <cellStyle name="Обычный 3 2 2 5 2 13" xfId="21781"/>
    <cellStyle name="Обычный 3 2 2 5 2 2" xfId="5845"/>
    <cellStyle name="Обычный 3 2 2 5 2 2 2" xfId="5846"/>
    <cellStyle name="Обычный 3 2 2 5 2 3" xfId="5847"/>
    <cellStyle name="Обычный 3 2 2 5 2 4" xfId="5848"/>
    <cellStyle name="Обычный 3 2 2 5 2 5" xfId="5849"/>
    <cellStyle name="Обычный 3 2 2 5 2 6" xfId="5850"/>
    <cellStyle name="Обычный 3 2 2 5 2 7" xfId="5851"/>
    <cellStyle name="Обычный 3 2 2 5 2 8" xfId="5852"/>
    <cellStyle name="Обычный 3 2 2 5 2 9" xfId="5853"/>
    <cellStyle name="Обычный 3 2 2 5 3" xfId="5854"/>
    <cellStyle name="Обычный 3 2 2 5 3 2" xfId="5855"/>
    <cellStyle name="Обычный 3 2 2 5 4" xfId="5856"/>
    <cellStyle name="Обычный 3 2 2 5 5" xfId="5857"/>
    <cellStyle name="Обычный 3 2 2 5 6" xfId="5858"/>
    <cellStyle name="Обычный 3 2 2 5 7" xfId="5859"/>
    <cellStyle name="Обычный 3 2 2 5 8" xfId="5860"/>
    <cellStyle name="Обычный 3 2 2 5 9" xfId="5861"/>
    <cellStyle name="Обычный 3 2 2 6" xfId="5862"/>
    <cellStyle name="Обычный 3 2 2 6 10" xfId="5863"/>
    <cellStyle name="Обычный 3 2 2 6 11" xfId="5864"/>
    <cellStyle name="Обычный 3 2 2 6 12" xfId="18474"/>
    <cellStyle name="Обычный 3 2 2 6 13" xfId="20170"/>
    <cellStyle name="Обычный 3 2 2 6 14" xfId="21782"/>
    <cellStyle name="Обычный 3 2 2 6 2" xfId="5865"/>
    <cellStyle name="Обычный 3 2 2 6 2 10" xfId="5866"/>
    <cellStyle name="Обычный 3 2 2 6 2 11" xfId="18475"/>
    <cellStyle name="Обычный 3 2 2 6 2 12" xfId="20171"/>
    <cellStyle name="Обычный 3 2 2 6 2 13" xfId="21783"/>
    <cellStyle name="Обычный 3 2 2 6 2 2" xfId="5867"/>
    <cellStyle name="Обычный 3 2 2 6 2 2 2" xfId="5868"/>
    <cellStyle name="Обычный 3 2 2 6 2 3" xfId="5869"/>
    <cellStyle name="Обычный 3 2 2 6 2 4" xfId="5870"/>
    <cellStyle name="Обычный 3 2 2 6 2 5" xfId="5871"/>
    <cellStyle name="Обычный 3 2 2 6 2 6" xfId="5872"/>
    <cellStyle name="Обычный 3 2 2 6 2 7" xfId="5873"/>
    <cellStyle name="Обычный 3 2 2 6 2 8" xfId="5874"/>
    <cellStyle name="Обычный 3 2 2 6 2 9" xfId="5875"/>
    <cellStyle name="Обычный 3 2 2 6 3" xfId="5876"/>
    <cellStyle name="Обычный 3 2 2 6 3 2" xfId="5877"/>
    <cellStyle name="Обычный 3 2 2 6 4" xfId="5878"/>
    <cellStyle name="Обычный 3 2 2 6 5" xfId="5879"/>
    <cellStyle name="Обычный 3 2 2 6 6" xfId="5880"/>
    <cellStyle name="Обычный 3 2 2 6 7" xfId="5881"/>
    <cellStyle name="Обычный 3 2 2 6 8" xfId="5882"/>
    <cellStyle name="Обычный 3 2 2 6 9" xfId="5883"/>
    <cellStyle name="Обычный 3 2 2 7" xfId="5884"/>
    <cellStyle name="Обычный 3 2 2 7 10" xfId="5885"/>
    <cellStyle name="Обычный 3 2 2 7 11" xfId="5886"/>
    <cellStyle name="Обычный 3 2 2 7 12" xfId="18476"/>
    <cellStyle name="Обычный 3 2 2 7 13" xfId="20172"/>
    <cellStyle name="Обычный 3 2 2 7 14" xfId="21784"/>
    <cellStyle name="Обычный 3 2 2 7 2" xfId="5887"/>
    <cellStyle name="Обычный 3 2 2 7 2 10" xfId="5888"/>
    <cellStyle name="Обычный 3 2 2 7 2 11" xfId="18477"/>
    <cellStyle name="Обычный 3 2 2 7 2 12" xfId="20173"/>
    <cellStyle name="Обычный 3 2 2 7 2 13" xfId="21785"/>
    <cellStyle name="Обычный 3 2 2 7 2 2" xfId="5889"/>
    <cellStyle name="Обычный 3 2 2 7 2 2 2" xfId="5890"/>
    <cellStyle name="Обычный 3 2 2 7 2 3" xfId="5891"/>
    <cellStyle name="Обычный 3 2 2 7 2 4" xfId="5892"/>
    <cellStyle name="Обычный 3 2 2 7 2 5" xfId="5893"/>
    <cellStyle name="Обычный 3 2 2 7 2 6" xfId="5894"/>
    <cellStyle name="Обычный 3 2 2 7 2 7" xfId="5895"/>
    <cellStyle name="Обычный 3 2 2 7 2 8" xfId="5896"/>
    <cellStyle name="Обычный 3 2 2 7 2 9" xfId="5897"/>
    <cellStyle name="Обычный 3 2 2 7 3" xfId="5898"/>
    <cellStyle name="Обычный 3 2 2 7 3 2" xfId="5899"/>
    <cellStyle name="Обычный 3 2 2 7 4" xfId="5900"/>
    <cellStyle name="Обычный 3 2 2 7 5" xfId="5901"/>
    <cellStyle name="Обычный 3 2 2 7 6" xfId="5902"/>
    <cellStyle name="Обычный 3 2 2 7 7" xfId="5903"/>
    <cellStyle name="Обычный 3 2 2 7 8" xfId="5904"/>
    <cellStyle name="Обычный 3 2 2 7 9" xfId="5905"/>
    <cellStyle name="Обычный 3 2 2 8" xfId="5906"/>
    <cellStyle name="Обычный 3 2 2 8 10" xfId="5907"/>
    <cellStyle name="Обычный 3 2 2 8 11" xfId="18478"/>
    <cellStyle name="Обычный 3 2 2 8 12" xfId="20174"/>
    <cellStyle name="Обычный 3 2 2 8 13" xfId="21786"/>
    <cellStyle name="Обычный 3 2 2 8 2" xfId="5908"/>
    <cellStyle name="Обычный 3 2 2 8 2 2" xfId="5909"/>
    <cellStyle name="Обычный 3 2 2 8 3" xfId="5910"/>
    <cellStyle name="Обычный 3 2 2 8 4" xfId="5911"/>
    <cellStyle name="Обычный 3 2 2 8 5" xfId="5912"/>
    <cellStyle name="Обычный 3 2 2 8 6" xfId="5913"/>
    <cellStyle name="Обычный 3 2 2 8 7" xfId="5914"/>
    <cellStyle name="Обычный 3 2 2 8 8" xfId="5915"/>
    <cellStyle name="Обычный 3 2 2 8 9" xfId="5916"/>
    <cellStyle name="Обычный 3 2 2 9" xfId="5917"/>
    <cellStyle name="Обычный 3 2 2 9 10" xfId="20175"/>
    <cellStyle name="Обычный 3 2 2 9 11" xfId="21787"/>
    <cellStyle name="Обычный 3 2 2 9 2" xfId="5918"/>
    <cellStyle name="Обычный 3 2 2 9 2 2" xfId="5919"/>
    <cellStyle name="Обычный 3 2 2 9 3" xfId="5920"/>
    <cellStyle name="Обычный 3 2 2 9 4" xfId="5921"/>
    <cellStyle name="Обычный 3 2 2 9 5" xfId="5922"/>
    <cellStyle name="Обычный 3 2 2 9 6" xfId="5923"/>
    <cellStyle name="Обычный 3 2 2 9 7" xfId="5924"/>
    <cellStyle name="Обычный 3 2 2 9 8" xfId="5925"/>
    <cellStyle name="Обычный 3 2 2 9 9" xfId="18479"/>
    <cellStyle name="Обычный 3 2 20" xfId="5926"/>
    <cellStyle name="Обычный 3 2 21" xfId="5927"/>
    <cellStyle name="Обычный 3 2 22" xfId="5928"/>
    <cellStyle name="Обычный 3 2 23" xfId="5929"/>
    <cellStyle name="Обычный 3 2 24" xfId="18441"/>
    <cellStyle name="Обычный 3 2 25" xfId="19630"/>
    <cellStyle name="Обычный 3 2 26" xfId="20137"/>
    <cellStyle name="Обычный 3 2 27" xfId="21749"/>
    <cellStyle name="Обычный 3 2 3" xfId="5930"/>
    <cellStyle name="Обычный 3 2 3 10" xfId="5931"/>
    <cellStyle name="Обычный 3 2 3 11" xfId="5932"/>
    <cellStyle name="Обычный 3 2 3 12" xfId="5933"/>
    <cellStyle name="Обычный 3 2 3 13" xfId="5934"/>
    <cellStyle name="Обычный 3 2 3 14" xfId="5935"/>
    <cellStyle name="Обычный 3 2 3 15" xfId="5936"/>
    <cellStyle name="Обычный 3 2 3 16" xfId="5937"/>
    <cellStyle name="Обычный 3 2 3 17" xfId="5938"/>
    <cellStyle name="Обычный 3 2 3 18" xfId="18480"/>
    <cellStyle name="Обычный 3 2 3 19" xfId="20176"/>
    <cellStyle name="Обычный 3 2 3 2" xfId="5939"/>
    <cellStyle name="Обычный 3 2 3 2 10" xfId="5940"/>
    <cellStyle name="Обычный 3 2 3 2 11" xfId="5941"/>
    <cellStyle name="Обычный 3 2 3 2 12" xfId="18481"/>
    <cellStyle name="Обычный 3 2 3 2 13" xfId="20177"/>
    <cellStyle name="Обычный 3 2 3 2 14" xfId="21789"/>
    <cellStyle name="Обычный 3 2 3 2 2" xfId="5942"/>
    <cellStyle name="Обычный 3 2 3 2 2 10" xfId="5943"/>
    <cellStyle name="Обычный 3 2 3 2 2 11" xfId="18482"/>
    <cellStyle name="Обычный 3 2 3 2 2 12" xfId="20178"/>
    <cellStyle name="Обычный 3 2 3 2 2 13" xfId="21790"/>
    <cellStyle name="Обычный 3 2 3 2 2 2" xfId="5944"/>
    <cellStyle name="Обычный 3 2 3 2 2 2 2" xfId="5945"/>
    <cellStyle name="Обычный 3 2 3 2 2 3" xfId="5946"/>
    <cellStyle name="Обычный 3 2 3 2 2 4" xfId="5947"/>
    <cellStyle name="Обычный 3 2 3 2 2 5" xfId="5948"/>
    <cellStyle name="Обычный 3 2 3 2 2 6" xfId="5949"/>
    <cellStyle name="Обычный 3 2 3 2 2 7" xfId="5950"/>
    <cellStyle name="Обычный 3 2 3 2 2 8" xfId="5951"/>
    <cellStyle name="Обычный 3 2 3 2 2 9" xfId="5952"/>
    <cellStyle name="Обычный 3 2 3 2 3" xfId="5953"/>
    <cellStyle name="Обычный 3 2 3 2 3 2" xfId="5954"/>
    <cellStyle name="Обычный 3 2 3 2 4" xfId="5955"/>
    <cellStyle name="Обычный 3 2 3 2 5" xfId="5956"/>
    <cellStyle name="Обычный 3 2 3 2 6" xfId="5957"/>
    <cellStyle name="Обычный 3 2 3 2 7" xfId="5958"/>
    <cellStyle name="Обычный 3 2 3 2 8" xfId="5959"/>
    <cellStyle name="Обычный 3 2 3 2 9" xfId="5960"/>
    <cellStyle name="Обычный 3 2 3 20" xfId="21788"/>
    <cellStyle name="Обычный 3 2 3 3" xfId="5961"/>
    <cellStyle name="Обычный 3 2 3 3 10" xfId="5962"/>
    <cellStyle name="Обычный 3 2 3 3 11" xfId="5963"/>
    <cellStyle name="Обычный 3 2 3 3 12" xfId="18483"/>
    <cellStyle name="Обычный 3 2 3 3 13" xfId="20179"/>
    <cellStyle name="Обычный 3 2 3 3 14" xfId="21791"/>
    <cellStyle name="Обычный 3 2 3 3 2" xfId="5964"/>
    <cellStyle name="Обычный 3 2 3 3 2 10" xfId="5965"/>
    <cellStyle name="Обычный 3 2 3 3 2 11" xfId="18484"/>
    <cellStyle name="Обычный 3 2 3 3 2 12" xfId="20180"/>
    <cellStyle name="Обычный 3 2 3 3 2 13" xfId="21792"/>
    <cellStyle name="Обычный 3 2 3 3 2 2" xfId="5966"/>
    <cellStyle name="Обычный 3 2 3 3 2 2 2" xfId="5967"/>
    <cellStyle name="Обычный 3 2 3 3 2 3" xfId="5968"/>
    <cellStyle name="Обычный 3 2 3 3 2 4" xfId="5969"/>
    <cellStyle name="Обычный 3 2 3 3 2 5" xfId="5970"/>
    <cellStyle name="Обычный 3 2 3 3 2 6" xfId="5971"/>
    <cellStyle name="Обычный 3 2 3 3 2 7" xfId="5972"/>
    <cellStyle name="Обычный 3 2 3 3 2 8" xfId="5973"/>
    <cellStyle name="Обычный 3 2 3 3 2 9" xfId="5974"/>
    <cellStyle name="Обычный 3 2 3 3 3" xfId="5975"/>
    <cellStyle name="Обычный 3 2 3 3 3 2" xfId="5976"/>
    <cellStyle name="Обычный 3 2 3 3 4" xfId="5977"/>
    <cellStyle name="Обычный 3 2 3 3 5" xfId="5978"/>
    <cellStyle name="Обычный 3 2 3 3 6" xfId="5979"/>
    <cellStyle name="Обычный 3 2 3 3 7" xfId="5980"/>
    <cellStyle name="Обычный 3 2 3 3 8" xfId="5981"/>
    <cellStyle name="Обычный 3 2 3 3 9" xfId="5982"/>
    <cellStyle name="Обычный 3 2 3 4" xfId="5983"/>
    <cellStyle name="Обычный 3 2 3 4 10" xfId="5984"/>
    <cellStyle name="Обычный 3 2 3 4 11" xfId="5985"/>
    <cellStyle name="Обычный 3 2 3 4 12" xfId="18485"/>
    <cellStyle name="Обычный 3 2 3 4 13" xfId="20181"/>
    <cellStyle name="Обычный 3 2 3 4 14" xfId="21793"/>
    <cellStyle name="Обычный 3 2 3 4 2" xfId="5986"/>
    <cellStyle name="Обычный 3 2 3 4 2 10" xfId="5987"/>
    <cellStyle name="Обычный 3 2 3 4 2 11" xfId="18486"/>
    <cellStyle name="Обычный 3 2 3 4 2 12" xfId="20182"/>
    <cellStyle name="Обычный 3 2 3 4 2 13" xfId="21794"/>
    <cellStyle name="Обычный 3 2 3 4 2 2" xfId="5988"/>
    <cellStyle name="Обычный 3 2 3 4 2 2 2" xfId="5989"/>
    <cellStyle name="Обычный 3 2 3 4 2 3" xfId="5990"/>
    <cellStyle name="Обычный 3 2 3 4 2 4" xfId="5991"/>
    <cellStyle name="Обычный 3 2 3 4 2 5" xfId="5992"/>
    <cellStyle name="Обычный 3 2 3 4 2 6" xfId="5993"/>
    <cellStyle name="Обычный 3 2 3 4 2 7" xfId="5994"/>
    <cellStyle name="Обычный 3 2 3 4 2 8" xfId="5995"/>
    <cellStyle name="Обычный 3 2 3 4 2 9" xfId="5996"/>
    <cellStyle name="Обычный 3 2 3 4 3" xfId="5997"/>
    <cellStyle name="Обычный 3 2 3 4 3 2" xfId="5998"/>
    <cellStyle name="Обычный 3 2 3 4 4" xfId="5999"/>
    <cellStyle name="Обычный 3 2 3 4 5" xfId="6000"/>
    <cellStyle name="Обычный 3 2 3 4 6" xfId="6001"/>
    <cellStyle name="Обычный 3 2 3 4 7" xfId="6002"/>
    <cellStyle name="Обычный 3 2 3 4 8" xfId="6003"/>
    <cellStyle name="Обычный 3 2 3 4 9" xfId="6004"/>
    <cellStyle name="Обычный 3 2 3 5" xfId="6005"/>
    <cellStyle name="Обычный 3 2 3 5 10" xfId="6006"/>
    <cellStyle name="Обычный 3 2 3 5 11" xfId="6007"/>
    <cellStyle name="Обычный 3 2 3 5 12" xfId="18487"/>
    <cellStyle name="Обычный 3 2 3 5 13" xfId="20183"/>
    <cellStyle name="Обычный 3 2 3 5 14" xfId="21795"/>
    <cellStyle name="Обычный 3 2 3 5 2" xfId="6008"/>
    <cellStyle name="Обычный 3 2 3 5 2 10" xfId="6009"/>
    <cellStyle name="Обычный 3 2 3 5 2 11" xfId="18488"/>
    <cellStyle name="Обычный 3 2 3 5 2 12" xfId="20184"/>
    <cellStyle name="Обычный 3 2 3 5 2 13" xfId="21796"/>
    <cellStyle name="Обычный 3 2 3 5 2 2" xfId="6010"/>
    <cellStyle name="Обычный 3 2 3 5 2 2 2" xfId="6011"/>
    <cellStyle name="Обычный 3 2 3 5 2 3" xfId="6012"/>
    <cellStyle name="Обычный 3 2 3 5 2 4" xfId="6013"/>
    <cellStyle name="Обычный 3 2 3 5 2 5" xfId="6014"/>
    <cellStyle name="Обычный 3 2 3 5 2 6" xfId="6015"/>
    <cellStyle name="Обычный 3 2 3 5 2 7" xfId="6016"/>
    <cellStyle name="Обычный 3 2 3 5 2 8" xfId="6017"/>
    <cellStyle name="Обычный 3 2 3 5 2 9" xfId="6018"/>
    <cellStyle name="Обычный 3 2 3 5 3" xfId="6019"/>
    <cellStyle name="Обычный 3 2 3 5 3 2" xfId="6020"/>
    <cellStyle name="Обычный 3 2 3 5 4" xfId="6021"/>
    <cellStyle name="Обычный 3 2 3 5 5" xfId="6022"/>
    <cellStyle name="Обычный 3 2 3 5 6" xfId="6023"/>
    <cellStyle name="Обычный 3 2 3 5 7" xfId="6024"/>
    <cellStyle name="Обычный 3 2 3 5 8" xfId="6025"/>
    <cellStyle name="Обычный 3 2 3 5 9" xfId="6026"/>
    <cellStyle name="Обычный 3 2 3 6" xfId="6027"/>
    <cellStyle name="Обычный 3 2 3 6 10" xfId="6028"/>
    <cellStyle name="Обычный 3 2 3 6 11" xfId="18489"/>
    <cellStyle name="Обычный 3 2 3 6 12" xfId="20185"/>
    <cellStyle name="Обычный 3 2 3 6 13" xfId="21797"/>
    <cellStyle name="Обычный 3 2 3 6 2" xfId="6029"/>
    <cellStyle name="Обычный 3 2 3 6 2 2" xfId="6030"/>
    <cellStyle name="Обычный 3 2 3 6 3" xfId="6031"/>
    <cellStyle name="Обычный 3 2 3 6 4" xfId="6032"/>
    <cellStyle name="Обычный 3 2 3 6 5" xfId="6033"/>
    <cellStyle name="Обычный 3 2 3 6 6" xfId="6034"/>
    <cellStyle name="Обычный 3 2 3 6 7" xfId="6035"/>
    <cellStyle name="Обычный 3 2 3 6 8" xfId="6036"/>
    <cellStyle name="Обычный 3 2 3 6 9" xfId="6037"/>
    <cellStyle name="Обычный 3 2 3 7" xfId="6038"/>
    <cellStyle name="Обычный 3 2 3 7 10" xfId="20186"/>
    <cellStyle name="Обычный 3 2 3 7 11" xfId="21798"/>
    <cellStyle name="Обычный 3 2 3 7 2" xfId="6039"/>
    <cellStyle name="Обычный 3 2 3 7 2 2" xfId="6040"/>
    <cellStyle name="Обычный 3 2 3 7 3" xfId="6041"/>
    <cellStyle name="Обычный 3 2 3 7 4" xfId="6042"/>
    <cellStyle name="Обычный 3 2 3 7 5" xfId="6043"/>
    <cellStyle name="Обычный 3 2 3 7 6" xfId="6044"/>
    <cellStyle name="Обычный 3 2 3 7 7" xfId="6045"/>
    <cellStyle name="Обычный 3 2 3 7 8" xfId="6046"/>
    <cellStyle name="Обычный 3 2 3 7 9" xfId="18490"/>
    <cellStyle name="Обычный 3 2 3 8" xfId="6047"/>
    <cellStyle name="Обычный 3 2 3 8 2" xfId="6048"/>
    <cellStyle name="Обычный 3 2 3 9" xfId="6049"/>
    <cellStyle name="Обычный 3 2 4" xfId="6050"/>
    <cellStyle name="Обычный 3 2 4 10" xfId="6051"/>
    <cellStyle name="Обычный 3 2 4 11" xfId="6052"/>
    <cellStyle name="Обычный 3 2 4 12" xfId="6053"/>
    <cellStyle name="Обычный 3 2 4 13" xfId="6054"/>
    <cellStyle name="Обычный 3 2 4 14" xfId="6055"/>
    <cellStyle name="Обычный 3 2 4 15" xfId="6056"/>
    <cellStyle name="Обычный 3 2 4 16" xfId="6057"/>
    <cellStyle name="Обычный 3 2 4 17" xfId="6058"/>
    <cellStyle name="Обычный 3 2 4 18" xfId="18491"/>
    <cellStyle name="Обычный 3 2 4 19" xfId="20187"/>
    <cellStyle name="Обычный 3 2 4 2" xfId="6059"/>
    <cellStyle name="Обычный 3 2 4 2 10" xfId="6060"/>
    <cellStyle name="Обычный 3 2 4 2 11" xfId="6061"/>
    <cellStyle name="Обычный 3 2 4 2 12" xfId="18492"/>
    <cellStyle name="Обычный 3 2 4 2 13" xfId="20188"/>
    <cellStyle name="Обычный 3 2 4 2 14" xfId="21800"/>
    <cellStyle name="Обычный 3 2 4 2 2" xfId="6062"/>
    <cellStyle name="Обычный 3 2 4 2 2 10" xfId="6063"/>
    <cellStyle name="Обычный 3 2 4 2 2 11" xfId="18493"/>
    <cellStyle name="Обычный 3 2 4 2 2 12" xfId="20189"/>
    <cellStyle name="Обычный 3 2 4 2 2 13" xfId="21801"/>
    <cellStyle name="Обычный 3 2 4 2 2 2" xfId="6064"/>
    <cellStyle name="Обычный 3 2 4 2 2 2 2" xfId="6065"/>
    <cellStyle name="Обычный 3 2 4 2 2 3" xfId="6066"/>
    <cellStyle name="Обычный 3 2 4 2 2 4" xfId="6067"/>
    <cellStyle name="Обычный 3 2 4 2 2 5" xfId="6068"/>
    <cellStyle name="Обычный 3 2 4 2 2 6" xfId="6069"/>
    <cellStyle name="Обычный 3 2 4 2 2 7" xfId="6070"/>
    <cellStyle name="Обычный 3 2 4 2 2 8" xfId="6071"/>
    <cellStyle name="Обычный 3 2 4 2 2 9" xfId="6072"/>
    <cellStyle name="Обычный 3 2 4 2 3" xfId="6073"/>
    <cellStyle name="Обычный 3 2 4 2 3 2" xfId="6074"/>
    <cellStyle name="Обычный 3 2 4 2 4" xfId="6075"/>
    <cellStyle name="Обычный 3 2 4 2 5" xfId="6076"/>
    <cellStyle name="Обычный 3 2 4 2 6" xfId="6077"/>
    <cellStyle name="Обычный 3 2 4 2 7" xfId="6078"/>
    <cellStyle name="Обычный 3 2 4 2 8" xfId="6079"/>
    <cellStyle name="Обычный 3 2 4 2 9" xfId="6080"/>
    <cellStyle name="Обычный 3 2 4 20" xfId="21799"/>
    <cellStyle name="Обычный 3 2 4 3" xfId="6081"/>
    <cellStyle name="Обычный 3 2 4 3 10" xfId="6082"/>
    <cellStyle name="Обычный 3 2 4 3 11" xfId="6083"/>
    <cellStyle name="Обычный 3 2 4 3 12" xfId="18494"/>
    <cellStyle name="Обычный 3 2 4 3 13" xfId="20190"/>
    <cellStyle name="Обычный 3 2 4 3 14" xfId="21802"/>
    <cellStyle name="Обычный 3 2 4 3 2" xfId="6084"/>
    <cellStyle name="Обычный 3 2 4 3 2 10" xfId="6085"/>
    <cellStyle name="Обычный 3 2 4 3 2 11" xfId="18495"/>
    <cellStyle name="Обычный 3 2 4 3 2 12" xfId="20191"/>
    <cellStyle name="Обычный 3 2 4 3 2 13" xfId="21803"/>
    <cellStyle name="Обычный 3 2 4 3 2 2" xfId="6086"/>
    <cellStyle name="Обычный 3 2 4 3 2 2 2" xfId="6087"/>
    <cellStyle name="Обычный 3 2 4 3 2 3" xfId="6088"/>
    <cellStyle name="Обычный 3 2 4 3 2 4" xfId="6089"/>
    <cellStyle name="Обычный 3 2 4 3 2 5" xfId="6090"/>
    <cellStyle name="Обычный 3 2 4 3 2 6" xfId="6091"/>
    <cellStyle name="Обычный 3 2 4 3 2 7" xfId="6092"/>
    <cellStyle name="Обычный 3 2 4 3 2 8" xfId="6093"/>
    <cellStyle name="Обычный 3 2 4 3 2 9" xfId="6094"/>
    <cellStyle name="Обычный 3 2 4 3 3" xfId="6095"/>
    <cellStyle name="Обычный 3 2 4 3 3 2" xfId="6096"/>
    <cellStyle name="Обычный 3 2 4 3 4" xfId="6097"/>
    <cellStyle name="Обычный 3 2 4 3 5" xfId="6098"/>
    <cellStyle name="Обычный 3 2 4 3 6" xfId="6099"/>
    <cellStyle name="Обычный 3 2 4 3 7" xfId="6100"/>
    <cellStyle name="Обычный 3 2 4 3 8" xfId="6101"/>
    <cellStyle name="Обычный 3 2 4 3 9" xfId="6102"/>
    <cellStyle name="Обычный 3 2 4 4" xfId="6103"/>
    <cellStyle name="Обычный 3 2 4 4 10" xfId="6104"/>
    <cellStyle name="Обычный 3 2 4 4 11" xfId="6105"/>
    <cellStyle name="Обычный 3 2 4 4 12" xfId="18496"/>
    <cellStyle name="Обычный 3 2 4 4 13" xfId="20192"/>
    <cellStyle name="Обычный 3 2 4 4 14" xfId="21804"/>
    <cellStyle name="Обычный 3 2 4 4 2" xfId="6106"/>
    <cellStyle name="Обычный 3 2 4 4 2 10" xfId="6107"/>
    <cellStyle name="Обычный 3 2 4 4 2 11" xfId="18497"/>
    <cellStyle name="Обычный 3 2 4 4 2 12" xfId="20193"/>
    <cellStyle name="Обычный 3 2 4 4 2 13" xfId="21805"/>
    <cellStyle name="Обычный 3 2 4 4 2 2" xfId="6108"/>
    <cellStyle name="Обычный 3 2 4 4 2 2 2" xfId="6109"/>
    <cellStyle name="Обычный 3 2 4 4 2 3" xfId="6110"/>
    <cellStyle name="Обычный 3 2 4 4 2 4" xfId="6111"/>
    <cellStyle name="Обычный 3 2 4 4 2 5" xfId="6112"/>
    <cellStyle name="Обычный 3 2 4 4 2 6" xfId="6113"/>
    <cellStyle name="Обычный 3 2 4 4 2 7" xfId="6114"/>
    <cellStyle name="Обычный 3 2 4 4 2 8" xfId="6115"/>
    <cellStyle name="Обычный 3 2 4 4 2 9" xfId="6116"/>
    <cellStyle name="Обычный 3 2 4 4 3" xfId="6117"/>
    <cellStyle name="Обычный 3 2 4 4 3 2" xfId="6118"/>
    <cellStyle name="Обычный 3 2 4 4 4" xfId="6119"/>
    <cellStyle name="Обычный 3 2 4 4 5" xfId="6120"/>
    <cellStyle name="Обычный 3 2 4 4 6" xfId="6121"/>
    <cellStyle name="Обычный 3 2 4 4 7" xfId="6122"/>
    <cellStyle name="Обычный 3 2 4 4 8" xfId="6123"/>
    <cellStyle name="Обычный 3 2 4 4 9" xfId="6124"/>
    <cellStyle name="Обычный 3 2 4 5" xfId="6125"/>
    <cellStyle name="Обычный 3 2 4 5 10" xfId="6126"/>
    <cellStyle name="Обычный 3 2 4 5 11" xfId="6127"/>
    <cellStyle name="Обычный 3 2 4 5 12" xfId="18498"/>
    <cellStyle name="Обычный 3 2 4 5 13" xfId="20194"/>
    <cellStyle name="Обычный 3 2 4 5 14" xfId="21806"/>
    <cellStyle name="Обычный 3 2 4 5 2" xfId="6128"/>
    <cellStyle name="Обычный 3 2 4 5 2 10" xfId="6129"/>
    <cellStyle name="Обычный 3 2 4 5 2 11" xfId="18499"/>
    <cellStyle name="Обычный 3 2 4 5 2 12" xfId="20195"/>
    <cellStyle name="Обычный 3 2 4 5 2 13" xfId="21807"/>
    <cellStyle name="Обычный 3 2 4 5 2 2" xfId="6130"/>
    <cellStyle name="Обычный 3 2 4 5 2 2 2" xfId="6131"/>
    <cellStyle name="Обычный 3 2 4 5 2 3" xfId="6132"/>
    <cellStyle name="Обычный 3 2 4 5 2 4" xfId="6133"/>
    <cellStyle name="Обычный 3 2 4 5 2 5" xfId="6134"/>
    <cellStyle name="Обычный 3 2 4 5 2 6" xfId="6135"/>
    <cellStyle name="Обычный 3 2 4 5 2 7" xfId="6136"/>
    <cellStyle name="Обычный 3 2 4 5 2 8" xfId="6137"/>
    <cellStyle name="Обычный 3 2 4 5 2 9" xfId="6138"/>
    <cellStyle name="Обычный 3 2 4 5 3" xfId="6139"/>
    <cellStyle name="Обычный 3 2 4 5 3 2" xfId="6140"/>
    <cellStyle name="Обычный 3 2 4 5 4" xfId="6141"/>
    <cellStyle name="Обычный 3 2 4 5 5" xfId="6142"/>
    <cellStyle name="Обычный 3 2 4 5 6" xfId="6143"/>
    <cellStyle name="Обычный 3 2 4 5 7" xfId="6144"/>
    <cellStyle name="Обычный 3 2 4 5 8" xfId="6145"/>
    <cellStyle name="Обычный 3 2 4 5 9" xfId="6146"/>
    <cellStyle name="Обычный 3 2 4 6" xfId="6147"/>
    <cellStyle name="Обычный 3 2 4 6 10" xfId="6148"/>
    <cellStyle name="Обычный 3 2 4 6 11" xfId="18500"/>
    <cellStyle name="Обычный 3 2 4 6 12" xfId="20196"/>
    <cellStyle name="Обычный 3 2 4 6 13" xfId="21808"/>
    <cellStyle name="Обычный 3 2 4 6 2" xfId="6149"/>
    <cellStyle name="Обычный 3 2 4 6 2 2" xfId="6150"/>
    <cellStyle name="Обычный 3 2 4 6 3" xfId="6151"/>
    <cellStyle name="Обычный 3 2 4 6 4" xfId="6152"/>
    <cellStyle name="Обычный 3 2 4 6 5" xfId="6153"/>
    <cellStyle name="Обычный 3 2 4 6 6" xfId="6154"/>
    <cellStyle name="Обычный 3 2 4 6 7" xfId="6155"/>
    <cellStyle name="Обычный 3 2 4 6 8" xfId="6156"/>
    <cellStyle name="Обычный 3 2 4 6 9" xfId="6157"/>
    <cellStyle name="Обычный 3 2 4 7" xfId="6158"/>
    <cellStyle name="Обычный 3 2 4 7 10" xfId="20197"/>
    <cellStyle name="Обычный 3 2 4 7 11" xfId="21809"/>
    <cellStyle name="Обычный 3 2 4 7 2" xfId="6159"/>
    <cellStyle name="Обычный 3 2 4 7 2 2" xfId="6160"/>
    <cellStyle name="Обычный 3 2 4 7 3" xfId="6161"/>
    <cellStyle name="Обычный 3 2 4 7 4" xfId="6162"/>
    <cellStyle name="Обычный 3 2 4 7 5" xfId="6163"/>
    <cellStyle name="Обычный 3 2 4 7 6" xfId="6164"/>
    <cellStyle name="Обычный 3 2 4 7 7" xfId="6165"/>
    <cellStyle name="Обычный 3 2 4 7 8" xfId="6166"/>
    <cellStyle name="Обычный 3 2 4 7 9" xfId="18501"/>
    <cellStyle name="Обычный 3 2 4 8" xfId="6167"/>
    <cellStyle name="Обычный 3 2 4 8 2" xfId="6168"/>
    <cellStyle name="Обычный 3 2 4 9" xfId="6169"/>
    <cellStyle name="Обычный 3 2 5" xfId="6170"/>
    <cellStyle name="Обычный 3 2 5 10" xfId="6171"/>
    <cellStyle name="Обычный 3 2 5 11" xfId="6172"/>
    <cellStyle name="Обычный 3 2 5 12" xfId="18502"/>
    <cellStyle name="Обычный 3 2 5 13" xfId="20198"/>
    <cellStyle name="Обычный 3 2 5 14" xfId="21810"/>
    <cellStyle name="Обычный 3 2 5 2" xfId="6173"/>
    <cellStyle name="Обычный 3 2 5 2 10" xfId="6174"/>
    <cellStyle name="Обычный 3 2 5 2 11" xfId="18503"/>
    <cellStyle name="Обычный 3 2 5 2 12" xfId="20199"/>
    <cellStyle name="Обычный 3 2 5 2 13" xfId="21811"/>
    <cellStyle name="Обычный 3 2 5 2 2" xfId="6175"/>
    <cellStyle name="Обычный 3 2 5 2 2 2" xfId="6176"/>
    <cellStyle name="Обычный 3 2 5 2 3" xfId="6177"/>
    <cellStyle name="Обычный 3 2 5 2 4" xfId="6178"/>
    <cellStyle name="Обычный 3 2 5 2 5" xfId="6179"/>
    <cellStyle name="Обычный 3 2 5 2 6" xfId="6180"/>
    <cellStyle name="Обычный 3 2 5 2 7" xfId="6181"/>
    <cellStyle name="Обычный 3 2 5 2 8" xfId="6182"/>
    <cellStyle name="Обычный 3 2 5 2 9" xfId="6183"/>
    <cellStyle name="Обычный 3 2 5 3" xfId="6184"/>
    <cellStyle name="Обычный 3 2 5 3 2" xfId="6185"/>
    <cellStyle name="Обычный 3 2 5 4" xfId="6186"/>
    <cellStyle name="Обычный 3 2 5 5" xfId="6187"/>
    <cellStyle name="Обычный 3 2 5 6" xfId="6188"/>
    <cellStyle name="Обычный 3 2 5 7" xfId="6189"/>
    <cellStyle name="Обычный 3 2 5 8" xfId="6190"/>
    <cellStyle name="Обычный 3 2 5 9" xfId="6191"/>
    <cellStyle name="Обычный 3 2 6" xfId="6192"/>
    <cellStyle name="Обычный 3 2 6 10" xfId="6193"/>
    <cellStyle name="Обычный 3 2 6 11" xfId="6194"/>
    <cellStyle name="Обычный 3 2 6 12" xfId="18504"/>
    <cellStyle name="Обычный 3 2 6 13" xfId="20200"/>
    <cellStyle name="Обычный 3 2 6 14" xfId="21812"/>
    <cellStyle name="Обычный 3 2 6 2" xfId="6195"/>
    <cellStyle name="Обычный 3 2 6 2 10" xfId="6196"/>
    <cellStyle name="Обычный 3 2 6 2 11" xfId="18505"/>
    <cellStyle name="Обычный 3 2 6 2 12" xfId="20201"/>
    <cellStyle name="Обычный 3 2 6 2 13" xfId="21813"/>
    <cellStyle name="Обычный 3 2 6 2 2" xfId="6197"/>
    <cellStyle name="Обычный 3 2 6 2 2 2" xfId="6198"/>
    <cellStyle name="Обычный 3 2 6 2 3" xfId="6199"/>
    <cellStyle name="Обычный 3 2 6 2 4" xfId="6200"/>
    <cellStyle name="Обычный 3 2 6 2 5" xfId="6201"/>
    <cellStyle name="Обычный 3 2 6 2 6" xfId="6202"/>
    <cellStyle name="Обычный 3 2 6 2 7" xfId="6203"/>
    <cellStyle name="Обычный 3 2 6 2 8" xfId="6204"/>
    <cellStyle name="Обычный 3 2 6 2 9" xfId="6205"/>
    <cellStyle name="Обычный 3 2 6 3" xfId="6206"/>
    <cellStyle name="Обычный 3 2 6 3 2" xfId="6207"/>
    <cellStyle name="Обычный 3 2 6 4" xfId="6208"/>
    <cellStyle name="Обычный 3 2 6 5" xfId="6209"/>
    <cellStyle name="Обычный 3 2 6 6" xfId="6210"/>
    <cellStyle name="Обычный 3 2 6 7" xfId="6211"/>
    <cellStyle name="Обычный 3 2 6 8" xfId="6212"/>
    <cellStyle name="Обычный 3 2 6 9" xfId="6213"/>
    <cellStyle name="Обычный 3 2 7" xfId="6214"/>
    <cellStyle name="Обычный 3 2 7 10" xfId="6215"/>
    <cellStyle name="Обычный 3 2 7 11" xfId="6216"/>
    <cellStyle name="Обычный 3 2 7 12" xfId="18506"/>
    <cellStyle name="Обычный 3 2 7 13" xfId="20202"/>
    <cellStyle name="Обычный 3 2 7 14" xfId="21814"/>
    <cellStyle name="Обычный 3 2 7 2" xfId="6217"/>
    <cellStyle name="Обычный 3 2 7 2 10" xfId="6218"/>
    <cellStyle name="Обычный 3 2 7 2 11" xfId="18507"/>
    <cellStyle name="Обычный 3 2 7 2 12" xfId="20203"/>
    <cellStyle name="Обычный 3 2 7 2 13" xfId="21815"/>
    <cellStyle name="Обычный 3 2 7 2 2" xfId="6219"/>
    <cellStyle name="Обычный 3 2 7 2 2 2" xfId="6220"/>
    <cellStyle name="Обычный 3 2 7 2 3" xfId="6221"/>
    <cellStyle name="Обычный 3 2 7 2 4" xfId="6222"/>
    <cellStyle name="Обычный 3 2 7 2 5" xfId="6223"/>
    <cellStyle name="Обычный 3 2 7 2 6" xfId="6224"/>
    <cellStyle name="Обычный 3 2 7 2 7" xfId="6225"/>
    <cellStyle name="Обычный 3 2 7 2 8" xfId="6226"/>
    <cellStyle name="Обычный 3 2 7 2 9" xfId="6227"/>
    <cellStyle name="Обычный 3 2 7 3" xfId="6228"/>
    <cellStyle name="Обычный 3 2 7 3 2" xfId="6229"/>
    <cellStyle name="Обычный 3 2 7 4" xfId="6230"/>
    <cellStyle name="Обычный 3 2 7 5" xfId="6231"/>
    <cellStyle name="Обычный 3 2 7 6" xfId="6232"/>
    <cellStyle name="Обычный 3 2 7 7" xfId="6233"/>
    <cellStyle name="Обычный 3 2 7 8" xfId="6234"/>
    <cellStyle name="Обычный 3 2 7 9" xfId="6235"/>
    <cellStyle name="Обычный 3 2 8" xfId="6236"/>
    <cellStyle name="Обычный 3 2 8 10" xfId="6237"/>
    <cellStyle name="Обычный 3 2 8 11" xfId="6238"/>
    <cellStyle name="Обычный 3 2 8 12" xfId="18508"/>
    <cellStyle name="Обычный 3 2 8 13" xfId="20204"/>
    <cellStyle name="Обычный 3 2 8 14" xfId="21816"/>
    <cellStyle name="Обычный 3 2 8 2" xfId="6239"/>
    <cellStyle name="Обычный 3 2 8 2 10" xfId="6240"/>
    <cellStyle name="Обычный 3 2 8 2 11" xfId="18509"/>
    <cellStyle name="Обычный 3 2 8 2 12" xfId="20205"/>
    <cellStyle name="Обычный 3 2 8 2 13" xfId="21817"/>
    <cellStyle name="Обычный 3 2 8 2 2" xfId="6241"/>
    <cellStyle name="Обычный 3 2 8 2 2 2" xfId="6242"/>
    <cellStyle name="Обычный 3 2 8 2 3" xfId="6243"/>
    <cellStyle name="Обычный 3 2 8 2 4" xfId="6244"/>
    <cellStyle name="Обычный 3 2 8 2 5" xfId="6245"/>
    <cellStyle name="Обычный 3 2 8 2 6" xfId="6246"/>
    <cellStyle name="Обычный 3 2 8 2 7" xfId="6247"/>
    <cellStyle name="Обычный 3 2 8 2 8" xfId="6248"/>
    <cellStyle name="Обычный 3 2 8 2 9" xfId="6249"/>
    <cellStyle name="Обычный 3 2 8 3" xfId="6250"/>
    <cellStyle name="Обычный 3 2 8 3 2" xfId="6251"/>
    <cellStyle name="Обычный 3 2 8 4" xfId="6252"/>
    <cellStyle name="Обычный 3 2 8 5" xfId="6253"/>
    <cellStyle name="Обычный 3 2 8 6" xfId="6254"/>
    <cellStyle name="Обычный 3 2 8 7" xfId="6255"/>
    <cellStyle name="Обычный 3 2 8 8" xfId="6256"/>
    <cellStyle name="Обычный 3 2 8 9" xfId="6257"/>
    <cellStyle name="Обычный 3 2 9" xfId="6258"/>
    <cellStyle name="Обычный 3 2 9 10" xfId="6259"/>
    <cellStyle name="Обычный 3 2 9 11" xfId="6260"/>
    <cellStyle name="Обычный 3 2 9 12" xfId="18510"/>
    <cellStyle name="Обычный 3 2 9 13" xfId="20206"/>
    <cellStyle name="Обычный 3 2 9 14" xfId="21818"/>
    <cellStyle name="Обычный 3 2 9 2" xfId="6261"/>
    <cellStyle name="Обычный 3 2 9 2 10" xfId="6262"/>
    <cellStyle name="Обычный 3 2 9 2 11" xfId="18511"/>
    <cellStyle name="Обычный 3 2 9 2 12" xfId="20207"/>
    <cellStyle name="Обычный 3 2 9 2 13" xfId="21819"/>
    <cellStyle name="Обычный 3 2 9 2 2" xfId="6263"/>
    <cellStyle name="Обычный 3 2 9 2 2 2" xfId="6264"/>
    <cellStyle name="Обычный 3 2 9 2 3" xfId="6265"/>
    <cellStyle name="Обычный 3 2 9 2 4" xfId="6266"/>
    <cellStyle name="Обычный 3 2 9 2 5" xfId="6267"/>
    <cellStyle name="Обычный 3 2 9 2 6" xfId="6268"/>
    <cellStyle name="Обычный 3 2 9 2 7" xfId="6269"/>
    <cellStyle name="Обычный 3 2 9 2 8" xfId="6270"/>
    <cellStyle name="Обычный 3 2 9 2 9" xfId="6271"/>
    <cellStyle name="Обычный 3 2 9 3" xfId="6272"/>
    <cellStyle name="Обычный 3 2 9 3 2" xfId="6273"/>
    <cellStyle name="Обычный 3 2 9 4" xfId="6274"/>
    <cellStyle name="Обычный 3 2 9 5" xfId="6275"/>
    <cellStyle name="Обычный 3 2 9 6" xfId="6276"/>
    <cellStyle name="Обычный 3 2 9 7" xfId="6277"/>
    <cellStyle name="Обычный 3 2 9 8" xfId="6278"/>
    <cellStyle name="Обычный 3 2 9 9" xfId="6279"/>
    <cellStyle name="Обычный 3 20" xfId="6280"/>
    <cellStyle name="Обычный 3 20 10" xfId="20208"/>
    <cellStyle name="Обычный 3 20 11" xfId="21820"/>
    <cellStyle name="Обычный 3 20 2" xfId="6281"/>
    <cellStyle name="Обычный 3 20 2 2" xfId="6282"/>
    <cellStyle name="Обычный 3 20 3" xfId="6283"/>
    <cellStyle name="Обычный 3 20 4" xfId="6284"/>
    <cellStyle name="Обычный 3 20 5" xfId="6285"/>
    <cellStyle name="Обычный 3 20 6" xfId="6286"/>
    <cellStyle name="Обычный 3 20 7" xfId="6287"/>
    <cellStyle name="Обычный 3 20 8" xfId="6288"/>
    <cellStyle name="Обычный 3 20 9" xfId="18512"/>
    <cellStyle name="Обычный 3 21" xfId="6289"/>
    <cellStyle name="Обычный 3 21 10" xfId="20209"/>
    <cellStyle name="Обычный 3 21 11" xfId="21821"/>
    <cellStyle name="Обычный 3 21 2" xfId="6290"/>
    <cellStyle name="Обычный 3 21 2 2" xfId="6291"/>
    <cellStyle name="Обычный 3 21 3" xfId="6292"/>
    <cellStyle name="Обычный 3 21 4" xfId="6293"/>
    <cellStyle name="Обычный 3 21 5" xfId="6294"/>
    <cellStyle name="Обычный 3 21 6" xfId="6295"/>
    <cellStyle name="Обычный 3 21 7" xfId="6296"/>
    <cellStyle name="Обычный 3 21 8" xfId="6297"/>
    <cellStyle name="Обычный 3 21 9" xfId="18513"/>
    <cellStyle name="Обычный 3 22" xfId="6298"/>
    <cellStyle name="Обычный 3 22 2" xfId="6299"/>
    <cellStyle name="Обычный 3 23" xfId="6300"/>
    <cellStyle name="Обычный 3 24" xfId="6301"/>
    <cellStyle name="Обычный 3 25" xfId="6302"/>
    <cellStyle name="Обычный 3 26" xfId="6303"/>
    <cellStyle name="Обычный 3 27" xfId="6304"/>
    <cellStyle name="Обычный 3 28" xfId="6305"/>
    <cellStyle name="Обычный 3 29" xfId="6306"/>
    <cellStyle name="Обычный 3 3" xfId="6307"/>
    <cellStyle name="Обычный 3 3 10" xfId="6308"/>
    <cellStyle name="Обычный 3 3 10 10" xfId="6309"/>
    <cellStyle name="Обычный 3 3 10 11" xfId="6310"/>
    <cellStyle name="Обычный 3 3 10 12" xfId="18515"/>
    <cellStyle name="Обычный 3 3 10 13" xfId="20211"/>
    <cellStyle name="Обычный 3 3 10 14" xfId="21823"/>
    <cellStyle name="Обычный 3 3 10 2" xfId="6311"/>
    <cellStyle name="Обычный 3 3 10 2 10" xfId="6312"/>
    <cellStyle name="Обычный 3 3 10 2 11" xfId="18516"/>
    <cellStyle name="Обычный 3 3 10 2 12" xfId="20212"/>
    <cellStyle name="Обычный 3 3 10 2 13" xfId="21824"/>
    <cellStyle name="Обычный 3 3 10 2 2" xfId="6313"/>
    <cellStyle name="Обычный 3 3 10 2 2 2" xfId="6314"/>
    <cellStyle name="Обычный 3 3 10 2 3" xfId="6315"/>
    <cellStyle name="Обычный 3 3 10 2 4" xfId="6316"/>
    <cellStyle name="Обычный 3 3 10 2 5" xfId="6317"/>
    <cellStyle name="Обычный 3 3 10 2 6" xfId="6318"/>
    <cellStyle name="Обычный 3 3 10 2 7" xfId="6319"/>
    <cellStyle name="Обычный 3 3 10 2 8" xfId="6320"/>
    <cellStyle name="Обычный 3 3 10 2 9" xfId="6321"/>
    <cellStyle name="Обычный 3 3 10 3" xfId="6322"/>
    <cellStyle name="Обычный 3 3 10 3 2" xfId="6323"/>
    <cellStyle name="Обычный 3 3 10 4" xfId="6324"/>
    <cellStyle name="Обычный 3 3 10 5" xfId="6325"/>
    <cellStyle name="Обычный 3 3 10 6" xfId="6326"/>
    <cellStyle name="Обычный 3 3 10 7" xfId="6327"/>
    <cellStyle name="Обычный 3 3 10 8" xfId="6328"/>
    <cellStyle name="Обычный 3 3 10 9" xfId="6329"/>
    <cellStyle name="Обычный 3 3 11" xfId="6330"/>
    <cellStyle name="Обычный 3 3 11 10" xfId="6331"/>
    <cellStyle name="Обычный 3 3 11 11" xfId="18517"/>
    <cellStyle name="Обычный 3 3 11 12" xfId="20213"/>
    <cellStyle name="Обычный 3 3 11 13" xfId="21825"/>
    <cellStyle name="Обычный 3 3 11 2" xfId="6332"/>
    <cellStyle name="Обычный 3 3 11 2 2" xfId="6333"/>
    <cellStyle name="Обычный 3 3 11 3" xfId="6334"/>
    <cellStyle name="Обычный 3 3 11 4" xfId="6335"/>
    <cellStyle name="Обычный 3 3 11 5" xfId="6336"/>
    <cellStyle name="Обычный 3 3 11 6" xfId="6337"/>
    <cellStyle name="Обычный 3 3 11 7" xfId="6338"/>
    <cellStyle name="Обычный 3 3 11 8" xfId="6339"/>
    <cellStyle name="Обычный 3 3 11 9" xfId="6340"/>
    <cellStyle name="Обычный 3 3 12" xfId="6341"/>
    <cellStyle name="Обычный 3 3 12 10" xfId="20214"/>
    <cellStyle name="Обычный 3 3 12 11" xfId="21826"/>
    <cellStyle name="Обычный 3 3 12 2" xfId="6342"/>
    <cellStyle name="Обычный 3 3 12 2 2" xfId="6343"/>
    <cellStyle name="Обычный 3 3 12 3" xfId="6344"/>
    <cellStyle name="Обычный 3 3 12 4" xfId="6345"/>
    <cellStyle name="Обычный 3 3 12 5" xfId="6346"/>
    <cellStyle name="Обычный 3 3 12 6" xfId="6347"/>
    <cellStyle name="Обычный 3 3 12 7" xfId="6348"/>
    <cellStyle name="Обычный 3 3 12 8" xfId="6349"/>
    <cellStyle name="Обычный 3 3 12 9" xfId="18518"/>
    <cellStyle name="Обычный 3 3 13" xfId="6350"/>
    <cellStyle name="Обычный 3 3 13 10" xfId="20215"/>
    <cellStyle name="Обычный 3 3 13 11" xfId="21827"/>
    <cellStyle name="Обычный 3 3 13 2" xfId="6351"/>
    <cellStyle name="Обычный 3 3 13 2 2" xfId="6352"/>
    <cellStyle name="Обычный 3 3 13 3" xfId="6353"/>
    <cellStyle name="Обычный 3 3 13 4" xfId="6354"/>
    <cellStyle name="Обычный 3 3 13 5" xfId="6355"/>
    <cellStyle name="Обычный 3 3 13 6" xfId="6356"/>
    <cellStyle name="Обычный 3 3 13 7" xfId="6357"/>
    <cellStyle name="Обычный 3 3 13 8" xfId="6358"/>
    <cellStyle name="Обычный 3 3 13 9" xfId="18519"/>
    <cellStyle name="Обычный 3 3 14" xfId="6359"/>
    <cellStyle name="Обычный 3 3 14 2" xfId="6360"/>
    <cellStyle name="Обычный 3 3 15" xfId="6361"/>
    <cellStyle name="Обычный 3 3 16" xfId="6362"/>
    <cellStyle name="Обычный 3 3 17" xfId="6363"/>
    <cellStyle name="Обычный 3 3 18" xfId="6364"/>
    <cellStyle name="Обычный 3 3 19" xfId="6365"/>
    <cellStyle name="Обычный 3 3 2" xfId="6366"/>
    <cellStyle name="Обычный 3 3 2 10" xfId="6367"/>
    <cellStyle name="Обычный 3 3 2 10 2" xfId="6368"/>
    <cellStyle name="Обычный 3 3 2 11" xfId="6369"/>
    <cellStyle name="Обычный 3 3 2 12" xfId="6370"/>
    <cellStyle name="Обычный 3 3 2 13" xfId="6371"/>
    <cellStyle name="Обычный 3 3 2 14" xfId="6372"/>
    <cellStyle name="Обычный 3 3 2 15" xfId="6373"/>
    <cellStyle name="Обычный 3 3 2 16" xfId="6374"/>
    <cellStyle name="Обычный 3 3 2 17" xfId="6375"/>
    <cellStyle name="Обычный 3 3 2 18" xfId="6376"/>
    <cellStyle name="Обычный 3 3 2 19" xfId="6377"/>
    <cellStyle name="Обычный 3 3 2 2" xfId="6378"/>
    <cellStyle name="Обычный 3 3 2 2 10" xfId="6379"/>
    <cellStyle name="Обычный 3 3 2 2 11" xfId="6380"/>
    <cellStyle name="Обычный 3 3 2 2 12" xfId="6381"/>
    <cellStyle name="Обычный 3 3 2 2 13" xfId="6382"/>
    <cellStyle name="Обычный 3 3 2 2 14" xfId="6383"/>
    <cellStyle name="Обычный 3 3 2 2 15" xfId="6384"/>
    <cellStyle name="Обычный 3 3 2 2 16" xfId="6385"/>
    <cellStyle name="Обычный 3 3 2 2 17" xfId="6386"/>
    <cellStyle name="Обычный 3 3 2 2 18" xfId="18521"/>
    <cellStyle name="Обычный 3 3 2 2 19" xfId="20217"/>
    <cellStyle name="Обычный 3 3 2 2 2" xfId="6387"/>
    <cellStyle name="Обычный 3 3 2 2 2 10" xfId="6388"/>
    <cellStyle name="Обычный 3 3 2 2 2 11" xfId="6389"/>
    <cellStyle name="Обычный 3 3 2 2 2 12" xfId="18522"/>
    <cellStyle name="Обычный 3 3 2 2 2 13" xfId="20218"/>
    <cellStyle name="Обычный 3 3 2 2 2 14" xfId="21830"/>
    <cellStyle name="Обычный 3 3 2 2 2 2" xfId="6390"/>
    <cellStyle name="Обычный 3 3 2 2 2 2 10" xfId="6391"/>
    <cellStyle name="Обычный 3 3 2 2 2 2 11" xfId="18523"/>
    <cellStyle name="Обычный 3 3 2 2 2 2 12" xfId="20219"/>
    <cellStyle name="Обычный 3 3 2 2 2 2 13" xfId="21831"/>
    <cellStyle name="Обычный 3 3 2 2 2 2 2" xfId="6392"/>
    <cellStyle name="Обычный 3 3 2 2 2 2 2 2" xfId="6393"/>
    <cellStyle name="Обычный 3 3 2 2 2 2 3" xfId="6394"/>
    <cellStyle name="Обычный 3 3 2 2 2 2 4" xfId="6395"/>
    <cellStyle name="Обычный 3 3 2 2 2 2 5" xfId="6396"/>
    <cellStyle name="Обычный 3 3 2 2 2 2 6" xfId="6397"/>
    <cellStyle name="Обычный 3 3 2 2 2 2 7" xfId="6398"/>
    <cellStyle name="Обычный 3 3 2 2 2 2 8" xfId="6399"/>
    <cellStyle name="Обычный 3 3 2 2 2 2 9" xfId="6400"/>
    <cellStyle name="Обычный 3 3 2 2 2 3" xfId="6401"/>
    <cellStyle name="Обычный 3 3 2 2 2 3 2" xfId="6402"/>
    <cellStyle name="Обычный 3 3 2 2 2 4" xfId="6403"/>
    <cellStyle name="Обычный 3 3 2 2 2 5" xfId="6404"/>
    <cellStyle name="Обычный 3 3 2 2 2 6" xfId="6405"/>
    <cellStyle name="Обычный 3 3 2 2 2 7" xfId="6406"/>
    <cellStyle name="Обычный 3 3 2 2 2 8" xfId="6407"/>
    <cellStyle name="Обычный 3 3 2 2 2 9" xfId="6408"/>
    <cellStyle name="Обычный 3 3 2 2 20" xfId="21829"/>
    <cellStyle name="Обычный 3 3 2 2 3" xfId="6409"/>
    <cellStyle name="Обычный 3 3 2 2 3 10" xfId="6410"/>
    <cellStyle name="Обычный 3 3 2 2 3 11" xfId="6411"/>
    <cellStyle name="Обычный 3 3 2 2 3 12" xfId="18524"/>
    <cellStyle name="Обычный 3 3 2 2 3 13" xfId="20220"/>
    <cellStyle name="Обычный 3 3 2 2 3 14" xfId="21832"/>
    <cellStyle name="Обычный 3 3 2 2 3 2" xfId="6412"/>
    <cellStyle name="Обычный 3 3 2 2 3 2 10" xfId="6413"/>
    <cellStyle name="Обычный 3 3 2 2 3 2 11" xfId="18525"/>
    <cellStyle name="Обычный 3 3 2 2 3 2 12" xfId="20221"/>
    <cellStyle name="Обычный 3 3 2 2 3 2 13" xfId="21833"/>
    <cellStyle name="Обычный 3 3 2 2 3 2 2" xfId="6414"/>
    <cellStyle name="Обычный 3 3 2 2 3 2 2 2" xfId="6415"/>
    <cellStyle name="Обычный 3 3 2 2 3 2 3" xfId="6416"/>
    <cellStyle name="Обычный 3 3 2 2 3 2 4" xfId="6417"/>
    <cellStyle name="Обычный 3 3 2 2 3 2 5" xfId="6418"/>
    <cellStyle name="Обычный 3 3 2 2 3 2 6" xfId="6419"/>
    <cellStyle name="Обычный 3 3 2 2 3 2 7" xfId="6420"/>
    <cellStyle name="Обычный 3 3 2 2 3 2 8" xfId="6421"/>
    <cellStyle name="Обычный 3 3 2 2 3 2 9" xfId="6422"/>
    <cellStyle name="Обычный 3 3 2 2 3 3" xfId="6423"/>
    <cellStyle name="Обычный 3 3 2 2 3 3 2" xfId="6424"/>
    <cellStyle name="Обычный 3 3 2 2 3 4" xfId="6425"/>
    <cellStyle name="Обычный 3 3 2 2 3 5" xfId="6426"/>
    <cellStyle name="Обычный 3 3 2 2 3 6" xfId="6427"/>
    <cellStyle name="Обычный 3 3 2 2 3 7" xfId="6428"/>
    <cellStyle name="Обычный 3 3 2 2 3 8" xfId="6429"/>
    <cellStyle name="Обычный 3 3 2 2 3 9" xfId="6430"/>
    <cellStyle name="Обычный 3 3 2 2 4" xfId="6431"/>
    <cellStyle name="Обычный 3 3 2 2 4 10" xfId="6432"/>
    <cellStyle name="Обычный 3 3 2 2 4 11" xfId="6433"/>
    <cellStyle name="Обычный 3 3 2 2 4 12" xfId="18526"/>
    <cellStyle name="Обычный 3 3 2 2 4 13" xfId="20222"/>
    <cellStyle name="Обычный 3 3 2 2 4 14" xfId="21834"/>
    <cellStyle name="Обычный 3 3 2 2 4 2" xfId="6434"/>
    <cellStyle name="Обычный 3 3 2 2 4 2 10" xfId="6435"/>
    <cellStyle name="Обычный 3 3 2 2 4 2 11" xfId="18527"/>
    <cellStyle name="Обычный 3 3 2 2 4 2 12" xfId="20223"/>
    <cellStyle name="Обычный 3 3 2 2 4 2 13" xfId="21835"/>
    <cellStyle name="Обычный 3 3 2 2 4 2 2" xfId="6436"/>
    <cellStyle name="Обычный 3 3 2 2 4 2 2 2" xfId="6437"/>
    <cellStyle name="Обычный 3 3 2 2 4 2 3" xfId="6438"/>
    <cellStyle name="Обычный 3 3 2 2 4 2 4" xfId="6439"/>
    <cellStyle name="Обычный 3 3 2 2 4 2 5" xfId="6440"/>
    <cellStyle name="Обычный 3 3 2 2 4 2 6" xfId="6441"/>
    <cellStyle name="Обычный 3 3 2 2 4 2 7" xfId="6442"/>
    <cellStyle name="Обычный 3 3 2 2 4 2 8" xfId="6443"/>
    <cellStyle name="Обычный 3 3 2 2 4 2 9" xfId="6444"/>
    <cellStyle name="Обычный 3 3 2 2 4 3" xfId="6445"/>
    <cellStyle name="Обычный 3 3 2 2 4 3 2" xfId="6446"/>
    <cellStyle name="Обычный 3 3 2 2 4 4" xfId="6447"/>
    <cellStyle name="Обычный 3 3 2 2 4 5" xfId="6448"/>
    <cellStyle name="Обычный 3 3 2 2 4 6" xfId="6449"/>
    <cellStyle name="Обычный 3 3 2 2 4 7" xfId="6450"/>
    <cellStyle name="Обычный 3 3 2 2 4 8" xfId="6451"/>
    <cellStyle name="Обычный 3 3 2 2 4 9" xfId="6452"/>
    <cellStyle name="Обычный 3 3 2 2 5" xfId="6453"/>
    <cellStyle name="Обычный 3 3 2 2 5 10" xfId="6454"/>
    <cellStyle name="Обычный 3 3 2 2 5 11" xfId="6455"/>
    <cellStyle name="Обычный 3 3 2 2 5 12" xfId="18528"/>
    <cellStyle name="Обычный 3 3 2 2 5 13" xfId="20224"/>
    <cellStyle name="Обычный 3 3 2 2 5 14" xfId="21836"/>
    <cellStyle name="Обычный 3 3 2 2 5 2" xfId="6456"/>
    <cellStyle name="Обычный 3 3 2 2 5 2 10" xfId="6457"/>
    <cellStyle name="Обычный 3 3 2 2 5 2 11" xfId="18529"/>
    <cellStyle name="Обычный 3 3 2 2 5 2 12" xfId="20225"/>
    <cellStyle name="Обычный 3 3 2 2 5 2 13" xfId="21837"/>
    <cellStyle name="Обычный 3 3 2 2 5 2 2" xfId="6458"/>
    <cellStyle name="Обычный 3 3 2 2 5 2 2 2" xfId="6459"/>
    <cellStyle name="Обычный 3 3 2 2 5 2 3" xfId="6460"/>
    <cellStyle name="Обычный 3 3 2 2 5 2 4" xfId="6461"/>
    <cellStyle name="Обычный 3 3 2 2 5 2 5" xfId="6462"/>
    <cellStyle name="Обычный 3 3 2 2 5 2 6" xfId="6463"/>
    <cellStyle name="Обычный 3 3 2 2 5 2 7" xfId="6464"/>
    <cellStyle name="Обычный 3 3 2 2 5 2 8" xfId="6465"/>
    <cellStyle name="Обычный 3 3 2 2 5 2 9" xfId="6466"/>
    <cellStyle name="Обычный 3 3 2 2 5 3" xfId="6467"/>
    <cellStyle name="Обычный 3 3 2 2 5 3 2" xfId="6468"/>
    <cellStyle name="Обычный 3 3 2 2 5 4" xfId="6469"/>
    <cellStyle name="Обычный 3 3 2 2 5 5" xfId="6470"/>
    <cellStyle name="Обычный 3 3 2 2 5 6" xfId="6471"/>
    <cellStyle name="Обычный 3 3 2 2 5 7" xfId="6472"/>
    <cellStyle name="Обычный 3 3 2 2 5 8" xfId="6473"/>
    <cellStyle name="Обычный 3 3 2 2 5 9" xfId="6474"/>
    <cellStyle name="Обычный 3 3 2 2 6" xfId="6475"/>
    <cellStyle name="Обычный 3 3 2 2 6 10" xfId="6476"/>
    <cellStyle name="Обычный 3 3 2 2 6 11" xfId="18530"/>
    <cellStyle name="Обычный 3 3 2 2 6 12" xfId="20226"/>
    <cellStyle name="Обычный 3 3 2 2 6 13" xfId="21838"/>
    <cellStyle name="Обычный 3 3 2 2 6 2" xfId="6477"/>
    <cellStyle name="Обычный 3 3 2 2 6 2 2" xfId="6478"/>
    <cellStyle name="Обычный 3 3 2 2 6 3" xfId="6479"/>
    <cellStyle name="Обычный 3 3 2 2 6 4" xfId="6480"/>
    <cellStyle name="Обычный 3 3 2 2 6 5" xfId="6481"/>
    <cellStyle name="Обычный 3 3 2 2 6 6" xfId="6482"/>
    <cellStyle name="Обычный 3 3 2 2 6 7" xfId="6483"/>
    <cellStyle name="Обычный 3 3 2 2 6 8" xfId="6484"/>
    <cellStyle name="Обычный 3 3 2 2 6 9" xfId="6485"/>
    <cellStyle name="Обычный 3 3 2 2 7" xfId="6486"/>
    <cellStyle name="Обычный 3 3 2 2 7 10" xfId="20227"/>
    <cellStyle name="Обычный 3 3 2 2 7 11" xfId="21839"/>
    <cellStyle name="Обычный 3 3 2 2 7 2" xfId="6487"/>
    <cellStyle name="Обычный 3 3 2 2 7 2 2" xfId="6488"/>
    <cellStyle name="Обычный 3 3 2 2 7 3" xfId="6489"/>
    <cellStyle name="Обычный 3 3 2 2 7 4" xfId="6490"/>
    <cellStyle name="Обычный 3 3 2 2 7 5" xfId="6491"/>
    <cellStyle name="Обычный 3 3 2 2 7 6" xfId="6492"/>
    <cellStyle name="Обычный 3 3 2 2 7 7" xfId="6493"/>
    <cellStyle name="Обычный 3 3 2 2 7 8" xfId="6494"/>
    <cellStyle name="Обычный 3 3 2 2 7 9" xfId="18531"/>
    <cellStyle name="Обычный 3 3 2 2 8" xfId="6495"/>
    <cellStyle name="Обычный 3 3 2 2 8 2" xfId="6496"/>
    <cellStyle name="Обычный 3 3 2 2 9" xfId="6497"/>
    <cellStyle name="Обычный 3 3 2 20" xfId="18520"/>
    <cellStyle name="Обычный 3 3 2 21" xfId="20216"/>
    <cellStyle name="Обычный 3 3 2 22" xfId="21828"/>
    <cellStyle name="Обычный 3 3 2 3" xfId="6498"/>
    <cellStyle name="Обычный 3 3 2 3 10" xfId="6499"/>
    <cellStyle name="Обычный 3 3 2 3 11" xfId="6500"/>
    <cellStyle name="Обычный 3 3 2 3 12" xfId="6501"/>
    <cellStyle name="Обычный 3 3 2 3 13" xfId="6502"/>
    <cellStyle name="Обычный 3 3 2 3 14" xfId="6503"/>
    <cellStyle name="Обычный 3 3 2 3 15" xfId="6504"/>
    <cellStyle name="Обычный 3 3 2 3 16" xfId="6505"/>
    <cellStyle name="Обычный 3 3 2 3 17" xfId="6506"/>
    <cellStyle name="Обычный 3 3 2 3 18" xfId="18532"/>
    <cellStyle name="Обычный 3 3 2 3 19" xfId="20228"/>
    <cellStyle name="Обычный 3 3 2 3 2" xfId="6507"/>
    <cellStyle name="Обычный 3 3 2 3 2 10" xfId="6508"/>
    <cellStyle name="Обычный 3 3 2 3 2 11" xfId="6509"/>
    <cellStyle name="Обычный 3 3 2 3 2 12" xfId="18533"/>
    <cellStyle name="Обычный 3 3 2 3 2 13" xfId="20229"/>
    <cellStyle name="Обычный 3 3 2 3 2 14" xfId="21841"/>
    <cellStyle name="Обычный 3 3 2 3 2 2" xfId="6510"/>
    <cellStyle name="Обычный 3 3 2 3 2 2 10" xfId="6511"/>
    <cellStyle name="Обычный 3 3 2 3 2 2 11" xfId="18534"/>
    <cellStyle name="Обычный 3 3 2 3 2 2 12" xfId="20230"/>
    <cellStyle name="Обычный 3 3 2 3 2 2 13" xfId="21842"/>
    <cellStyle name="Обычный 3 3 2 3 2 2 2" xfId="6512"/>
    <cellStyle name="Обычный 3 3 2 3 2 2 2 2" xfId="6513"/>
    <cellStyle name="Обычный 3 3 2 3 2 2 3" xfId="6514"/>
    <cellStyle name="Обычный 3 3 2 3 2 2 4" xfId="6515"/>
    <cellStyle name="Обычный 3 3 2 3 2 2 5" xfId="6516"/>
    <cellStyle name="Обычный 3 3 2 3 2 2 6" xfId="6517"/>
    <cellStyle name="Обычный 3 3 2 3 2 2 7" xfId="6518"/>
    <cellStyle name="Обычный 3 3 2 3 2 2 8" xfId="6519"/>
    <cellStyle name="Обычный 3 3 2 3 2 2 9" xfId="6520"/>
    <cellStyle name="Обычный 3 3 2 3 2 3" xfId="6521"/>
    <cellStyle name="Обычный 3 3 2 3 2 3 2" xfId="6522"/>
    <cellStyle name="Обычный 3 3 2 3 2 4" xfId="6523"/>
    <cellStyle name="Обычный 3 3 2 3 2 5" xfId="6524"/>
    <cellStyle name="Обычный 3 3 2 3 2 6" xfId="6525"/>
    <cellStyle name="Обычный 3 3 2 3 2 7" xfId="6526"/>
    <cellStyle name="Обычный 3 3 2 3 2 8" xfId="6527"/>
    <cellStyle name="Обычный 3 3 2 3 2 9" xfId="6528"/>
    <cellStyle name="Обычный 3 3 2 3 20" xfId="21840"/>
    <cellStyle name="Обычный 3 3 2 3 3" xfId="6529"/>
    <cellStyle name="Обычный 3 3 2 3 3 10" xfId="6530"/>
    <cellStyle name="Обычный 3 3 2 3 3 11" xfId="6531"/>
    <cellStyle name="Обычный 3 3 2 3 3 12" xfId="18535"/>
    <cellStyle name="Обычный 3 3 2 3 3 13" xfId="20231"/>
    <cellStyle name="Обычный 3 3 2 3 3 14" xfId="21843"/>
    <cellStyle name="Обычный 3 3 2 3 3 2" xfId="6532"/>
    <cellStyle name="Обычный 3 3 2 3 3 2 10" xfId="6533"/>
    <cellStyle name="Обычный 3 3 2 3 3 2 11" xfId="18536"/>
    <cellStyle name="Обычный 3 3 2 3 3 2 12" xfId="20232"/>
    <cellStyle name="Обычный 3 3 2 3 3 2 13" xfId="21844"/>
    <cellStyle name="Обычный 3 3 2 3 3 2 2" xfId="6534"/>
    <cellStyle name="Обычный 3 3 2 3 3 2 2 2" xfId="6535"/>
    <cellStyle name="Обычный 3 3 2 3 3 2 3" xfId="6536"/>
    <cellStyle name="Обычный 3 3 2 3 3 2 4" xfId="6537"/>
    <cellStyle name="Обычный 3 3 2 3 3 2 5" xfId="6538"/>
    <cellStyle name="Обычный 3 3 2 3 3 2 6" xfId="6539"/>
    <cellStyle name="Обычный 3 3 2 3 3 2 7" xfId="6540"/>
    <cellStyle name="Обычный 3 3 2 3 3 2 8" xfId="6541"/>
    <cellStyle name="Обычный 3 3 2 3 3 2 9" xfId="6542"/>
    <cellStyle name="Обычный 3 3 2 3 3 3" xfId="6543"/>
    <cellStyle name="Обычный 3 3 2 3 3 3 2" xfId="6544"/>
    <cellStyle name="Обычный 3 3 2 3 3 4" xfId="6545"/>
    <cellStyle name="Обычный 3 3 2 3 3 5" xfId="6546"/>
    <cellStyle name="Обычный 3 3 2 3 3 6" xfId="6547"/>
    <cellStyle name="Обычный 3 3 2 3 3 7" xfId="6548"/>
    <cellStyle name="Обычный 3 3 2 3 3 8" xfId="6549"/>
    <cellStyle name="Обычный 3 3 2 3 3 9" xfId="6550"/>
    <cellStyle name="Обычный 3 3 2 3 4" xfId="6551"/>
    <cellStyle name="Обычный 3 3 2 3 4 10" xfId="6552"/>
    <cellStyle name="Обычный 3 3 2 3 4 11" xfId="6553"/>
    <cellStyle name="Обычный 3 3 2 3 4 12" xfId="18537"/>
    <cellStyle name="Обычный 3 3 2 3 4 13" xfId="20233"/>
    <cellStyle name="Обычный 3 3 2 3 4 14" xfId="21845"/>
    <cellStyle name="Обычный 3 3 2 3 4 2" xfId="6554"/>
    <cellStyle name="Обычный 3 3 2 3 4 2 10" xfId="6555"/>
    <cellStyle name="Обычный 3 3 2 3 4 2 11" xfId="18538"/>
    <cellStyle name="Обычный 3 3 2 3 4 2 12" xfId="20234"/>
    <cellStyle name="Обычный 3 3 2 3 4 2 13" xfId="21846"/>
    <cellStyle name="Обычный 3 3 2 3 4 2 2" xfId="6556"/>
    <cellStyle name="Обычный 3 3 2 3 4 2 2 2" xfId="6557"/>
    <cellStyle name="Обычный 3 3 2 3 4 2 3" xfId="6558"/>
    <cellStyle name="Обычный 3 3 2 3 4 2 4" xfId="6559"/>
    <cellStyle name="Обычный 3 3 2 3 4 2 5" xfId="6560"/>
    <cellStyle name="Обычный 3 3 2 3 4 2 6" xfId="6561"/>
    <cellStyle name="Обычный 3 3 2 3 4 2 7" xfId="6562"/>
    <cellStyle name="Обычный 3 3 2 3 4 2 8" xfId="6563"/>
    <cellStyle name="Обычный 3 3 2 3 4 2 9" xfId="6564"/>
    <cellStyle name="Обычный 3 3 2 3 4 3" xfId="6565"/>
    <cellStyle name="Обычный 3 3 2 3 4 3 2" xfId="6566"/>
    <cellStyle name="Обычный 3 3 2 3 4 4" xfId="6567"/>
    <cellStyle name="Обычный 3 3 2 3 4 5" xfId="6568"/>
    <cellStyle name="Обычный 3 3 2 3 4 6" xfId="6569"/>
    <cellStyle name="Обычный 3 3 2 3 4 7" xfId="6570"/>
    <cellStyle name="Обычный 3 3 2 3 4 8" xfId="6571"/>
    <cellStyle name="Обычный 3 3 2 3 4 9" xfId="6572"/>
    <cellStyle name="Обычный 3 3 2 3 5" xfId="6573"/>
    <cellStyle name="Обычный 3 3 2 3 5 10" xfId="6574"/>
    <cellStyle name="Обычный 3 3 2 3 5 11" xfId="6575"/>
    <cellStyle name="Обычный 3 3 2 3 5 12" xfId="18539"/>
    <cellStyle name="Обычный 3 3 2 3 5 13" xfId="20235"/>
    <cellStyle name="Обычный 3 3 2 3 5 14" xfId="21847"/>
    <cellStyle name="Обычный 3 3 2 3 5 2" xfId="6576"/>
    <cellStyle name="Обычный 3 3 2 3 5 2 10" xfId="6577"/>
    <cellStyle name="Обычный 3 3 2 3 5 2 11" xfId="18540"/>
    <cellStyle name="Обычный 3 3 2 3 5 2 12" xfId="20236"/>
    <cellStyle name="Обычный 3 3 2 3 5 2 13" xfId="21848"/>
    <cellStyle name="Обычный 3 3 2 3 5 2 2" xfId="6578"/>
    <cellStyle name="Обычный 3 3 2 3 5 2 2 2" xfId="6579"/>
    <cellStyle name="Обычный 3 3 2 3 5 2 3" xfId="6580"/>
    <cellStyle name="Обычный 3 3 2 3 5 2 4" xfId="6581"/>
    <cellStyle name="Обычный 3 3 2 3 5 2 5" xfId="6582"/>
    <cellStyle name="Обычный 3 3 2 3 5 2 6" xfId="6583"/>
    <cellStyle name="Обычный 3 3 2 3 5 2 7" xfId="6584"/>
    <cellStyle name="Обычный 3 3 2 3 5 2 8" xfId="6585"/>
    <cellStyle name="Обычный 3 3 2 3 5 2 9" xfId="6586"/>
    <cellStyle name="Обычный 3 3 2 3 5 3" xfId="6587"/>
    <cellStyle name="Обычный 3 3 2 3 5 3 2" xfId="6588"/>
    <cellStyle name="Обычный 3 3 2 3 5 4" xfId="6589"/>
    <cellStyle name="Обычный 3 3 2 3 5 5" xfId="6590"/>
    <cellStyle name="Обычный 3 3 2 3 5 6" xfId="6591"/>
    <cellStyle name="Обычный 3 3 2 3 5 7" xfId="6592"/>
    <cellStyle name="Обычный 3 3 2 3 5 8" xfId="6593"/>
    <cellStyle name="Обычный 3 3 2 3 5 9" xfId="6594"/>
    <cellStyle name="Обычный 3 3 2 3 6" xfId="6595"/>
    <cellStyle name="Обычный 3 3 2 3 6 10" xfId="6596"/>
    <cellStyle name="Обычный 3 3 2 3 6 11" xfId="18541"/>
    <cellStyle name="Обычный 3 3 2 3 6 12" xfId="20237"/>
    <cellStyle name="Обычный 3 3 2 3 6 13" xfId="21849"/>
    <cellStyle name="Обычный 3 3 2 3 6 2" xfId="6597"/>
    <cellStyle name="Обычный 3 3 2 3 6 2 2" xfId="6598"/>
    <cellStyle name="Обычный 3 3 2 3 6 3" xfId="6599"/>
    <cellStyle name="Обычный 3 3 2 3 6 4" xfId="6600"/>
    <cellStyle name="Обычный 3 3 2 3 6 5" xfId="6601"/>
    <cellStyle name="Обычный 3 3 2 3 6 6" xfId="6602"/>
    <cellStyle name="Обычный 3 3 2 3 6 7" xfId="6603"/>
    <cellStyle name="Обычный 3 3 2 3 6 8" xfId="6604"/>
    <cellStyle name="Обычный 3 3 2 3 6 9" xfId="6605"/>
    <cellStyle name="Обычный 3 3 2 3 7" xfId="6606"/>
    <cellStyle name="Обычный 3 3 2 3 7 10" xfId="20238"/>
    <cellStyle name="Обычный 3 3 2 3 7 11" xfId="21850"/>
    <cellStyle name="Обычный 3 3 2 3 7 2" xfId="6607"/>
    <cellStyle name="Обычный 3 3 2 3 7 2 2" xfId="6608"/>
    <cellStyle name="Обычный 3 3 2 3 7 3" xfId="6609"/>
    <cellStyle name="Обычный 3 3 2 3 7 4" xfId="6610"/>
    <cellStyle name="Обычный 3 3 2 3 7 5" xfId="6611"/>
    <cellStyle name="Обычный 3 3 2 3 7 6" xfId="6612"/>
    <cellStyle name="Обычный 3 3 2 3 7 7" xfId="6613"/>
    <cellStyle name="Обычный 3 3 2 3 7 8" xfId="6614"/>
    <cellStyle name="Обычный 3 3 2 3 7 9" xfId="18542"/>
    <cellStyle name="Обычный 3 3 2 3 8" xfId="6615"/>
    <cellStyle name="Обычный 3 3 2 3 8 2" xfId="6616"/>
    <cellStyle name="Обычный 3 3 2 3 9" xfId="6617"/>
    <cellStyle name="Обычный 3 3 2 4" xfId="6618"/>
    <cellStyle name="Обычный 3 3 2 4 10" xfId="6619"/>
    <cellStyle name="Обычный 3 3 2 4 11" xfId="6620"/>
    <cellStyle name="Обычный 3 3 2 4 12" xfId="18543"/>
    <cellStyle name="Обычный 3 3 2 4 13" xfId="20239"/>
    <cellStyle name="Обычный 3 3 2 4 14" xfId="21851"/>
    <cellStyle name="Обычный 3 3 2 4 2" xfId="6621"/>
    <cellStyle name="Обычный 3 3 2 4 2 10" xfId="6622"/>
    <cellStyle name="Обычный 3 3 2 4 2 11" xfId="18544"/>
    <cellStyle name="Обычный 3 3 2 4 2 12" xfId="20240"/>
    <cellStyle name="Обычный 3 3 2 4 2 13" xfId="21852"/>
    <cellStyle name="Обычный 3 3 2 4 2 2" xfId="6623"/>
    <cellStyle name="Обычный 3 3 2 4 2 2 2" xfId="6624"/>
    <cellStyle name="Обычный 3 3 2 4 2 3" xfId="6625"/>
    <cellStyle name="Обычный 3 3 2 4 2 4" xfId="6626"/>
    <cellStyle name="Обычный 3 3 2 4 2 5" xfId="6627"/>
    <cellStyle name="Обычный 3 3 2 4 2 6" xfId="6628"/>
    <cellStyle name="Обычный 3 3 2 4 2 7" xfId="6629"/>
    <cellStyle name="Обычный 3 3 2 4 2 8" xfId="6630"/>
    <cellStyle name="Обычный 3 3 2 4 2 9" xfId="6631"/>
    <cellStyle name="Обычный 3 3 2 4 3" xfId="6632"/>
    <cellStyle name="Обычный 3 3 2 4 3 2" xfId="6633"/>
    <cellStyle name="Обычный 3 3 2 4 4" xfId="6634"/>
    <cellStyle name="Обычный 3 3 2 4 5" xfId="6635"/>
    <cellStyle name="Обычный 3 3 2 4 6" xfId="6636"/>
    <cellStyle name="Обычный 3 3 2 4 7" xfId="6637"/>
    <cellStyle name="Обычный 3 3 2 4 8" xfId="6638"/>
    <cellStyle name="Обычный 3 3 2 4 9" xfId="6639"/>
    <cellStyle name="Обычный 3 3 2 5" xfId="6640"/>
    <cellStyle name="Обычный 3 3 2 5 10" xfId="6641"/>
    <cellStyle name="Обычный 3 3 2 5 11" xfId="6642"/>
    <cellStyle name="Обычный 3 3 2 5 12" xfId="18545"/>
    <cellStyle name="Обычный 3 3 2 5 13" xfId="20241"/>
    <cellStyle name="Обычный 3 3 2 5 14" xfId="21853"/>
    <cellStyle name="Обычный 3 3 2 5 2" xfId="6643"/>
    <cellStyle name="Обычный 3 3 2 5 2 10" xfId="6644"/>
    <cellStyle name="Обычный 3 3 2 5 2 11" xfId="18546"/>
    <cellStyle name="Обычный 3 3 2 5 2 12" xfId="20242"/>
    <cellStyle name="Обычный 3 3 2 5 2 13" xfId="21854"/>
    <cellStyle name="Обычный 3 3 2 5 2 2" xfId="6645"/>
    <cellStyle name="Обычный 3 3 2 5 2 2 2" xfId="6646"/>
    <cellStyle name="Обычный 3 3 2 5 2 3" xfId="6647"/>
    <cellStyle name="Обычный 3 3 2 5 2 4" xfId="6648"/>
    <cellStyle name="Обычный 3 3 2 5 2 5" xfId="6649"/>
    <cellStyle name="Обычный 3 3 2 5 2 6" xfId="6650"/>
    <cellStyle name="Обычный 3 3 2 5 2 7" xfId="6651"/>
    <cellStyle name="Обычный 3 3 2 5 2 8" xfId="6652"/>
    <cellStyle name="Обычный 3 3 2 5 2 9" xfId="6653"/>
    <cellStyle name="Обычный 3 3 2 5 3" xfId="6654"/>
    <cellStyle name="Обычный 3 3 2 5 3 2" xfId="6655"/>
    <cellStyle name="Обычный 3 3 2 5 4" xfId="6656"/>
    <cellStyle name="Обычный 3 3 2 5 5" xfId="6657"/>
    <cellStyle name="Обычный 3 3 2 5 6" xfId="6658"/>
    <cellStyle name="Обычный 3 3 2 5 7" xfId="6659"/>
    <cellStyle name="Обычный 3 3 2 5 8" xfId="6660"/>
    <cellStyle name="Обычный 3 3 2 5 9" xfId="6661"/>
    <cellStyle name="Обычный 3 3 2 6" xfId="6662"/>
    <cellStyle name="Обычный 3 3 2 6 10" xfId="6663"/>
    <cellStyle name="Обычный 3 3 2 6 11" xfId="6664"/>
    <cellStyle name="Обычный 3 3 2 6 12" xfId="18547"/>
    <cellStyle name="Обычный 3 3 2 6 13" xfId="20243"/>
    <cellStyle name="Обычный 3 3 2 6 14" xfId="21855"/>
    <cellStyle name="Обычный 3 3 2 6 2" xfId="6665"/>
    <cellStyle name="Обычный 3 3 2 6 2 10" xfId="6666"/>
    <cellStyle name="Обычный 3 3 2 6 2 11" xfId="18548"/>
    <cellStyle name="Обычный 3 3 2 6 2 12" xfId="20244"/>
    <cellStyle name="Обычный 3 3 2 6 2 13" xfId="21856"/>
    <cellStyle name="Обычный 3 3 2 6 2 2" xfId="6667"/>
    <cellStyle name="Обычный 3 3 2 6 2 2 2" xfId="6668"/>
    <cellStyle name="Обычный 3 3 2 6 2 3" xfId="6669"/>
    <cellStyle name="Обычный 3 3 2 6 2 4" xfId="6670"/>
    <cellStyle name="Обычный 3 3 2 6 2 5" xfId="6671"/>
    <cellStyle name="Обычный 3 3 2 6 2 6" xfId="6672"/>
    <cellStyle name="Обычный 3 3 2 6 2 7" xfId="6673"/>
    <cellStyle name="Обычный 3 3 2 6 2 8" xfId="6674"/>
    <cellStyle name="Обычный 3 3 2 6 2 9" xfId="6675"/>
    <cellStyle name="Обычный 3 3 2 6 3" xfId="6676"/>
    <cellStyle name="Обычный 3 3 2 6 3 2" xfId="6677"/>
    <cellStyle name="Обычный 3 3 2 6 4" xfId="6678"/>
    <cellStyle name="Обычный 3 3 2 6 5" xfId="6679"/>
    <cellStyle name="Обычный 3 3 2 6 6" xfId="6680"/>
    <cellStyle name="Обычный 3 3 2 6 7" xfId="6681"/>
    <cellStyle name="Обычный 3 3 2 6 8" xfId="6682"/>
    <cellStyle name="Обычный 3 3 2 6 9" xfId="6683"/>
    <cellStyle name="Обычный 3 3 2 7" xfId="6684"/>
    <cellStyle name="Обычный 3 3 2 7 10" xfId="6685"/>
    <cellStyle name="Обычный 3 3 2 7 11" xfId="6686"/>
    <cellStyle name="Обычный 3 3 2 7 12" xfId="18549"/>
    <cellStyle name="Обычный 3 3 2 7 13" xfId="20245"/>
    <cellStyle name="Обычный 3 3 2 7 14" xfId="21857"/>
    <cellStyle name="Обычный 3 3 2 7 2" xfId="6687"/>
    <cellStyle name="Обычный 3 3 2 7 2 10" xfId="6688"/>
    <cellStyle name="Обычный 3 3 2 7 2 11" xfId="18550"/>
    <cellStyle name="Обычный 3 3 2 7 2 12" xfId="20246"/>
    <cellStyle name="Обычный 3 3 2 7 2 13" xfId="21858"/>
    <cellStyle name="Обычный 3 3 2 7 2 2" xfId="6689"/>
    <cellStyle name="Обычный 3 3 2 7 2 2 2" xfId="6690"/>
    <cellStyle name="Обычный 3 3 2 7 2 3" xfId="6691"/>
    <cellStyle name="Обычный 3 3 2 7 2 4" xfId="6692"/>
    <cellStyle name="Обычный 3 3 2 7 2 5" xfId="6693"/>
    <cellStyle name="Обычный 3 3 2 7 2 6" xfId="6694"/>
    <cellStyle name="Обычный 3 3 2 7 2 7" xfId="6695"/>
    <cellStyle name="Обычный 3 3 2 7 2 8" xfId="6696"/>
    <cellStyle name="Обычный 3 3 2 7 2 9" xfId="6697"/>
    <cellStyle name="Обычный 3 3 2 7 3" xfId="6698"/>
    <cellStyle name="Обычный 3 3 2 7 3 2" xfId="6699"/>
    <cellStyle name="Обычный 3 3 2 7 4" xfId="6700"/>
    <cellStyle name="Обычный 3 3 2 7 5" xfId="6701"/>
    <cellStyle name="Обычный 3 3 2 7 6" xfId="6702"/>
    <cellStyle name="Обычный 3 3 2 7 7" xfId="6703"/>
    <cellStyle name="Обычный 3 3 2 7 8" xfId="6704"/>
    <cellStyle name="Обычный 3 3 2 7 9" xfId="6705"/>
    <cellStyle name="Обычный 3 3 2 8" xfId="6706"/>
    <cellStyle name="Обычный 3 3 2 8 10" xfId="6707"/>
    <cellStyle name="Обычный 3 3 2 8 11" xfId="18551"/>
    <cellStyle name="Обычный 3 3 2 8 12" xfId="20247"/>
    <cellStyle name="Обычный 3 3 2 8 13" xfId="21859"/>
    <cellStyle name="Обычный 3 3 2 8 2" xfId="6708"/>
    <cellStyle name="Обычный 3 3 2 8 2 2" xfId="6709"/>
    <cellStyle name="Обычный 3 3 2 8 3" xfId="6710"/>
    <cellStyle name="Обычный 3 3 2 8 4" xfId="6711"/>
    <cellStyle name="Обычный 3 3 2 8 5" xfId="6712"/>
    <cellStyle name="Обычный 3 3 2 8 6" xfId="6713"/>
    <cellStyle name="Обычный 3 3 2 8 7" xfId="6714"/>
    <cellStyle name="Обычный 3 3 2 8 8" xfId="6715"/>
    <cellStyle name="Обычный 3 3 2 8 9" xfId="6716"/>
    <cellStyle name="Обычный 3 3 2 9" xfId="6717"/>
    <cellStyle name="Обычный 3 3 2 9 10" xfId="20248"/>
    <cellStyle name="Обычный 3 3 2 9 11" xfId="21860"/>
    <cellStyle name="Обычный 3 3 2 9 2" xfId="6718"/>
    <cellStyle name="Обычный 3 3 2 9 2 2" xfId="6719"/>
    <cellStyle name="Обычный 3 3 2 9 3" xfId="6720"/>
    <cellStyle name="Обычный 3 3 2 9 4" xfId="6721"/>
    <cellStyle name="Обычный 3 3 2 9 5" xfId="6722"/>
    <cellStyle name="Обычный 3 3 2 9 6" xfId="6723"/>
    <cellStyle name="Обычный 3 3 2 9 7" xfId="6724"/>
    <cellStyle name="Обычный 3 3 2 9 8" xfId="6725"/>
    <cellStyle name="Обычный 3 3 2 9 9" xfId="18552"/>
    <cellStyle name="Обычный 3 3 20" xfId="6726"/>
    <cellStyle name="Обычный 3 3 21" xfId="6727"/>
    <cellStyle name="Обычный 3 3 22" xfId="6728"/>
    <cellStyle name="Обычный 3 3 23" xfId="6729"/>
    <cellStyle name="Обычный 3 3 24" xfId="18514"/>
    <cellStyle name="Обычный 3 3 25" xfId="19631"/>
    <cellStyle name="Обычный 3 3 26" xfId="20210"/>
    <cellStyle name="Обычный 3 3 27" xfId="21822"/>
    <cellStyle name="Обычный 3 3 3" xfId="6730"/>
    <cellStyle name="Обычный 3 3 3 10" xfId="6731"/>
    <cellStyle name="Обычный 3 3 3 11" xfId="6732"/>
    <cellStyle name="Обычный 3 3 3 12" xfId="6733"/>
    <cellStyle name="Обычный 3 3 3 13" xfId="6734"/>
    <cellStyle name="Обычный 3 3 3 14" xfId="6735"/>
    <cellStyle name="Обычный 3 3 3 15" xfId="6736"/>
    <cellStyle name="Обычный 3 3 3 16" xfId="6737"/>
    <cellStyle name="Обычный 3 3 3 17" xfId="6738"/>
    <cellStyle name="Обычный 3 3 3 18" xfId="18553"/>
    <cellStyle name="Обычный 3 3 3 19" xfId="20249"/>
    <cellStyle name="Обычный 3 3 3 2" xfId="6739"/>
    <cellStyle name="Обычный 3 3 3 2 10" xfId="6740"/>
    <cellStyle name="Обычный 3 3 3 2 11" xfId="6741"/>
    <cellStyle name="Обычный 3 3 3 2 12" xfId="18554"/>
    <cellStyle name="Обычный 3 3 3 2 13" xfId="20250"/>
    <cellStyle name="Обычный 3 3 3 2 14" xfId="21862"/>
    <cellStyle name="Обычный 3 3 3 2 2" xfId="6742"/>
    <cellStyle name="Обычный 3 3 3 2 2 10" xfId="6743"/>
    <cellStyle name="Обычный 3 3 3 2 2 11" xfId="18555"/>
    <cellStyle name="Обычный 3 3 3 2 2 12" xfId="20251"/>
    <cellStyle name="Обычный 3 3 3 2 2 13" xfId="21863"/>
    <cellStyle name="Обычный 3 3 3 2 2 2" xfId="6744"/>
    <cellStyle name="Обычный 3 3 3 2 2 2 2" xfId="6745"/>
    <cellStyle name="Обычный 3 3 3 2 2 3" xfId="6746"/>
    <cellStyle name="Обычный 3 3 3 2 2 4" xfId="6747"/>
    <cellStyle name="Обычный 3 3 3 2 2 5" xfId="6748"/>
    <cellStyle name="Обычный 3 3 3 2 2 6" xfId="6749"/>
    <cellStyle name="Обычный 3 3 3 2 2 7" xfId="6750"/>
    <cellStyle name="Обычный 3 3 3 2 2 8" xfId="6751"/>
    <cellStyle name="Обычный 3 3 3 2 2 9" xfId="6752"/>
    <cellStyle name="Обычный 3 3 3 2 3" xfId="6753"/>
    <cellStyle name="Обычный 3 3 3 2 3 2" xfId="6754"/>
    <cellStyle name="Обычный 3 3 3 2 4" xfId="6755"/>
    <cellStyle name="Обычный 3 3 3 2 5" xfId="6756"/>
    <cellStyle name="Обычный 3 3 3 2 6" xfId="6757"/>
    <cellStyle name="Обычный 3 3 3 2 7" xfId="6758"/>
    <cellStyle name="Обычный 3 3 3 2 8" xfId="6759"/>
    <cellStyle name="Обычный 3 3 3 2 9" xfId="6760"/>
    <cellStyle name="Обычный 3 3 3 20" xfId="21861"/>
    <cellStyle name="Обычный 3 3 3 3" xfId="6761"/>
    <cellStyle name="Обычный 3 3 3 3 10" xfId="6762"/>
    <cellStyle name="Обычный 3 3 3 3 11" xfId="6763"/>
    <cellStyle name="Обычный 3 3 3 3 12" xfId="18556"/>
    <cellStyle name="Обычный 3 3 3 3 13" xfId="20252"/>
    <cellStyle name="Обычный 3 3 3 3 14" xfId="21864"/>
    <cellStyle name="Обычный 3 3 3 3 2" xfId="6764"/>
    <cellStyle name="Обычный 3 3 3 3 2 10" xfId="6765"/>
    <cellStyle name="Обычный 3 3 3 3 2 11" xfId="18557"/>
    <cellStyle name="Обычный 3 3 3 3 2 12" xfId="20253"/>
    <cellStyle name="Обычный 3 3 3 3 2 13" xfId="21865"/>
    <cellStyle name="Обычный 3 3 3 3 2 2" xfId="6766"/>
    <cellStyle name="Обычный 3 3 3 3 2 2 2" xfId="6767"/>
    <cellStyle name="Обычный 3 3 3 3 2 3" xfId="6768"/>
    <cellStyle name="Обычный 3 3 3 3 2 4" xfId="6769"/>
    <cellStyle name="Обычный 3 3 3 3 2 5" xfId="6770"/>
    <cellStyle name="Обычный 3 3 3 3 2 6" xfId="6771"/>
    <cellStyle name="Обычный 3 3 3 3 2 7" xfId="6772"/>
    <cellStyle name="Обычный 3 3 3 3 2 8" xfId="6773"/>
    <cellStyle name="Обычный 3 3 3 3 2 9" xfId="6774"/>
    <cellStyle name="Обычный 3 3 3 3 3" xfId="6775"/>
    <cellStyle name="Обычный 3 3 3 3 3 2" xfId="6776"/>
    <cellStyle name="Обычный 3 3 3 3 4" xfId="6777"/>
    <cellStyle name="Обычный 3 3 3 3 5" xfId="6778"/>
    <cellStyle name="Обычный 3 3 3 3 6" xfId="6779"/>
    <cellStyle name="Обычный 3 3 3 3 7" xfId="6780"/>
    <cellStyle name="Обычный 3 3 3 3 8" xfId="6781"/>
    <cellStyle name="Обычный 3 3 3 3 9" xfId="6782"/>
    <cellStyle name="Обычный 3 3 3 4" xfId="6783"/>
    <cellStyle name="Обычный 3 3 3 4 10" xfId="6784"/>
    <cellStyle name="Обычный 3 3 3 4 11" xfId="6785"/>
    <cellStyle name="Обычный 3 3 3 4 12" xfId="18558"/>
    <cellStyle name="Обычный 3 3 3 4 13" xfId="20254"/>
    <cellStyle name="Обычный 3 3 3 4 14" xfId="21866"/>
    <cellStyle name="Обычный 3 3 3 4 2" xfId="6786"/>
    <cellStyle name="Обычный 3 3 3 4 2 10" xfId="6787"/>
    <cellStyle name="Обычный 3 3 3 4 2 11" xfId="18559"/>
    <cellStyle name="Обычный 3 3 3 4 2 12" xfId="20255"/>
    <cellStyle name="Обычный 3 3 3 4 2 13" xfId="21867"/>
    <cellStyle name="Обычный 3 3 3 4 2 2" xfId="6788"/>
    <cellStyle name="Обычный 3 3 3 4 2 2 2" xfId="6789"/>
    <cellStyle name="Обычный 3 3 3 4 2 3" xfId="6790"/>
    <cellStyle name="Обычный 3 3 3 4 2 4" xfId="6791"/>
    <cellStyle name="Обычный 3 3 3 4 2 5" xfId="6792"/>
    <cellStyle name="Обычный 3 3 3 4 2 6" xfId="6793"/>
    <cellStyle name="Обычный 3 3 3 4 2 7" xfId="6794"/>
    <cellStyle name="Обычный 3 3 3 4 2 8" xfId="6795"/>
    <cellStyle name="Обычный 3 3 3 4 2 9" xfId="6796"/>
    <cellStyle name="Обычный 3 3 3 4 3" xfId="6797"/>
    <cellStyle name="Обычный 3 3 3 4 3 2" xfId="6798"/>
    <cellStyle name="Обычный 3 3 3 4 4" xfId="6799"/>
    <cellStyle name="Обычный 3 3 3 4 5" xfId="6800"/>
    <cellStyle name="Обычный 3 3 3 4 6" xfId="6801"/>
    <cellStyle name="Обычный 3 3 3 4 7" xfId="6802"/>
    <cellStyle name="Обычный 3 3 3 4 8" xfId="6803"/>
    <cellStyle name="Обычный 3 3 3 4 9" xfId="6804"/>
    <cellStyle name="Обычный 3 3 3 5" xfId="6805"/>
    <cellStyle name="Обычный 3 3 3 5 10" xfId="6806"/>
    <cellStyle name="Обычный 3 3 3 5 11" xfId="6807"/>
    <cellStyle name="Обычный 3 3 3 5 12" xfId="18560"/>
    <cellStyle name="Обычный 3 3 3 5 13" xfId="20256"/>
    <cellStyle name="Обычный 3 3 3 5 14" xfId="21868"/>
    <cellStyle name="Обычный 3 3 3 5 2" xfId="6808"/>
    <cellStyle name="Обычный 3 3 3 5 2 10" xfId="6809"/>
    <cellStyle name="Обычный 3 3 3 5 2 11" xfId="18561"/>
    <cellStyle name="Обычный 3 3 3 5 2 12" xfId="20257"/>
    <cellStyle name="Обычный 3 3 3 5 2 13" xfId="21869"/>
    <cellStyle name="Обычный 3 3 3 5 2 2" xfId="6810"/>
    <cellStyle name="Обычный 3 3 3 5 2 2 2" xfId="6811"/>
    <cellStyle name="Обычный 3 3 3 5 2 3" xfId="6812"/>
    <cellStyle name="Обычный 3 3 3 5 2 4" xfId="6813"/>
    <cellStyle name="Обычный 3 3 3 5 2 5" xfId="6814"/>
    <cellStyle name="Обычный 3 3 3 5 2 6" xfId="6815"/>
    <cellStyle name="Обычный 3 3 3 5 2 7" xfId="6816"/>
    <cellStyle name="Обычный 3 3 3 5 2 8" xfId="6817"/>
    <cellStyle name="Обычный 3 3 3 5 2 9" xfId="6818"/>
    <cellStyle name="Обычный 3 3 3 5 3" xfId="6819"/>
    <cellStyle name="Обычный 3 3 3 5 3 2" xfId="6820"/>
    <cellStyle name="Обычный 3 3 3 5 4" xfId="6821"/>
    <cellStyle name="Обычный 3 3 3 5 5" xfId="6822"/>
    <cellStyle name="Обычный 3 3 3 5 6" xfId="6823"/>
    <cellStyle name="Обычный 3 3 3 5 7" xfId="6824"/>
    <cellStyle name="Обычный 3 3 3 5 8" xfId="6825"/>
    <cellStyle name="Обычный 3 3 3 5 9" xfId="6826"/>
    <cellStyle name="Обычный 3 3 3 6" xfId="6827"/>
    <cellStyle name="Обычный 3 3 3 6 10" xfId="6828"/>
    <cellStyle name="Обычный 3 3 3 6 11" xfId="18562"/>
    <cellStyle name="Обычный 3 3 3 6 12" xfId="20258"/>
    <cellStyle name="Обычный 3 3 3 6 13" xfId="21870"/>
    <cellStyle name="Обычный 3 3 3 6 2" xfId="6829"/>
    <cellStyle name="Обычный 3 3 3 6 2 2" xfId="6830"/>
    <cellStyle name="Обычный 3 3 3 6 3" xfId="6831"/>
    <cellStyle name="Обычный 3 3 3 6 4" xfId="6832"/>
    <cellStyle name="Обычный 3 3 3 6 5" xfId="6833"/>
    <cellStyle name="Обычный 3 3 3 6 6" xfId="6834"/>
    <cellStyle name="Обычный 3 3 3 6 7" xfId="6835"/>
    <cellStyle name="Обычный 3 3 3 6 8" xfId="6836"/>
    <cellStyle name="Обычный 3 3 3 6 9" xfId="6837"/>
    <cellStyle name="Обычный 3 3 3 7" xfId="6838"/>
    <cellStyle name="Обычный 3 3 3 7 10" xfId="20259"/>
    <cellStyle name="Обычный 3 3 3 7 11" xfId="21871"/>
    <cellStyle name="Обычный 3 3 3 7 2" xfId="6839"/>
    <cellStyle name="Обычный 3 3 3 7 2 2" xfId="6840"/>
    <cellStyle name="Обычный 3 3 3 7 3" xfId="6841"/>
    <cellStyle name="Обычный 3 3 3 7 4" xfId="6842"/>
    <cellStyle name="Обычный 3 3 3 7 5" xfId="6843"/>
    <cellStyle name="Обычный 3 3 3 7 6" xfId="6844"/>
    <cellStyle name="Обычный 3 3 3 7 7" xfId="6845"/>
    <cellStyle name="Обычный 3 3 3 7 8" xfId="6846"/>
    <cellStyle name="Обычный 3 3 3 7 9" xfId="18563"/>
    <cellStyle name="Обычный 3 3 3 8" xfId="6847"/>
    <cellStyle name="Обычный 3 3 3 8 2" xfId="6848"/>
    <cellStyle name="Обычный 3 3 3 9" xfId="6849"/>
    <cellStyle name="Обычный 3 3 4" xfId="6850"/>
    <cellStyle name="Обычный 3 3 4 10" xfId="6851"/>
    <cellStyle name="Обычный 3 3 4 11" xfId="6852"/>
    <cellStyle name="Обычный 3 3 4 12" xfId="6853"/>
    <cellStyle name="Обычный 3 3 4 13" xfId="6854"/>
    <cellStyle name="Обычный 3 3 4 14" xfId="6855"/>
    <cellStyle name="Обычный 3 3 4 15" xfId="6856"/>
    <cellStyle name="Обычный 3 3 4 16" xfId="6857"/>
    <cellStyle name="Обычный 3 3 4 17" xfId="6858"/>
    <cellStyle name="Обычный 3 3 4 18" xfId="18564"/>
    <cellStyle name="Обычный 3 3 4 19" xfId="20260"/>
    <cellStyle name="Обычный 3 3 4 2" xfId="6859"/>
    <cellStyle name="Обычный 3 3 4 2 10" xfId="6860"/>
    <cellStyle name="Обычный 3 3 4 2 11" xfId="6861"/>
    <cellStyle name="Обычный 3 3 4 2 12" xfId="18565"/>
    <cellStyle name="Обычный 3 3 4 2 13" xfId="20261"/>
    <cellStyle name="Обычный 3 3 4 2 14" xfId="21873"/>
    <cellStyle name="Обычный 3 3 4 2 2" xfId="6862"/>
    <cellStyle name="Обычный 3 3 4 2 2 10" xfId="6863"/>
    <cellStyle name="Обычный 3 3 4 2 2 11" xfId="18566"/>
    <cellStyle name="Обычный 3 3 4 2 2 12" xfId="20262"/>
    <cellStyle name="Обычный 3 3 4 2 2 13" xfId="21874"/>
    <cellStyle name="Обычный 3 3 4 2 2 2" xfId="6864"/>
    <cellStyle name="Обычный 3 3 4 2 2 2 2" xfId="6865"/>
    <cellStyle name="Обычный 3 3 4 2 2 3" xfId="6866"/>
    <cellStyle name="Обычный 3 3 4 2 2 4" xfId="6867"/>
    <cellStyle name="Обычный 3 3 4 2 2 5" xfId="6868"/>
    <cellStyle name="Обычный 3 3 4 2 2 6" xfId="6869"/>
    <cellStyle name="Обычный 3 3 4 2 2 7" xfId="6870"/>
    <cellStyle name="Обычный 3 3 4 2 2 8" xfId="6871"/>
    <cellStyle name="Обычный 3 3 4 2 2 9" xfId="6872"/>
    <cellStyle name="Обычный 3 3 4 2 3" xfId="6873"/>
    <cellStyle name="Обычный 3 3 4 2 3 2" xfId="6874"/>
    <cellStyle name="Обычный 3 3 4 2 4" xfId="6875"/>
    <cellStyle name="Обычный 3 3 4 2 5" xfId="6876"/>
    <cellStyle name="Обычный 3 3 4 2 6" xfId="6877"/>
    <cellStyle name="Обычный 3 3 4 2 7" xfId="6878"/>
    <cellStyle name="Обычный 3 3 4 2 8" xfId="6879"/>
    <cellStyle name="Обычный 3 3 4 2 9" xfId="6880"/>
    <cellStyle name="Обычный 3 3 4 20" xfId="21872"/>
    <cellStyle name="Обычный 3 3 4 3" xfId="6881"/>
    <cellStyle name="Обычный 3 3 4 3 10" xfId="6882"/>
    <cellStyle name="Обычный 3 3 4 3 11" xfId="6883"/>
    <cellStyle name="Обычный 3 3 4 3 12" xfId="18567"/>
    <cellStyle name="Обычный 3 3 4 3 13" xfId="20263"/>
    <cellStyle name="Обычный 3 3 4 3 14" xfId="21875"/>
    <cellStyle name="Обычный 3 3 4 3 2" xfId="6884"/>
    <cellStyle name="Обычный 3 3 4 3 2 10" xfId="6885"/>
    <cellStyle name="Обычный 3 3 4 3 2 11" xfId="18568"/>
    <cellStyle name="Обычный 3 3 4 3 2 12" xfId="20264"/>
    <cellStyle name="Обычный 3 3 4 3 2 13" xfId="21876"/>
    <cellStyle name="Обычный 3 3 4 3 2 2" xfId="6886"/>
    <cellStyle name="Обычный 3 3 4 3 2 2 2" xfId="6887"/>
    <cellStyle name="Обычный 3 3 4 3 2 3" xfId="6888"/>
    <cellStyle name="Обычный 3 3 4 3 2 4" xfId="6889"/>
    <cellStyle name="Обычный 3 3 4 3 2 5" xfId="6890"/>
    <cellStyle name="Обычный 3 3 4 3 2 6" xfId="6891"/>
    <cellStyle name="Обычный 3 3 4 3 2 7" xfId="6892"/>
    <cellStyle name="Обычный 3 3 4 3 2 8" xfId="6893"/>
    <cellStyle name="Обычный 3 3 4 3 2 9" xfId="6894"/>
    <cellStyle name="Обычный 3 3 4 3 3" xfId="6895"/>
    <cellStyle name="Обычный 3 3 4 3 3 2" xfId="6896"/>
    <cellStyle name="Обычный 3 3 4 3 4" xfId="6897"/>
    <cellStyle name="Обычный 3 3 4 3 5" xfId="6898"/>
    <cellStyle name="Обычный 3 3 4 3 6" xfId="6899"/>
    <cellStyle name="Обычный 3 3 4 3 7" xfId="6900"/>
    <cellStyle name="Обычный 3 3 4 3 8" xfId="6901"/>
    <cellStyle name="Обычный 3 3 4 3 9" xfId="6902"/>
    <cellStyle name="Обычный 3 3 4 4" xfId="6903"/>
    <cellStyle name="Обычный 3 3 4 4 10" xfId="6904"/>
    <cellStyle name="Обычный 3 3 4 4 11" xfId="6905"/>
    <cellStyle name="Обычный 3 3 4 4 12" xfId="18569"/>
    <cellStyle name="Обычный 3 3 4 4 13" xfId="20265"/>
    <cellStyle name="Обычный 3 3 4 4 14" xfId="21877"/>
    <cellStyle name="Обычный 3 3 4 4 2" xfId="6906"/>
    <cellStyle name="Обычный 3 3 4 4 2 10" xfId="6907"/>
    <cellStyle name="Обычный 3 3 4 4 2 11" xfId="18570"/>
    <cellStyle name="Обычный 3 3 4 4 2 12" xfId="20266"/>
    <cellStyle name="Обычный 3 3 4 4 2 13" xfId="21878"/>
    <cellStyle name="Обычный 3 3 4 4 2 2" xfId="6908"/>
    <cellStyle name="Обычный 3 3 4 4 2 2 2" xfId="6909"/>
    <cellStyle name="Обычный 3 3 4 4 2 3" xfId="6910"/>
    <cellStyle name="Обычный 3 3 4 4 2 4" xfId="6911"/>
    <cellStyle name="Обычный 3 3 4 4 2 5" xfId="6912"/>
    <cellStyle name="Обычный 3 3 4 4 2 6" xfId="6913"/>
    <cellStyle name="Обычный 3 3 4 4 2 7" xfId="6914"/>
    <cellStyle name="Обычный 3 3 4 4 2 8" xfId="6915"/>
    <cellStyle name="Обычный 3 3 4 4 2 9" xfId="6916"/>
    <cellStyle name="Обычный 3 3 4 4 3" xfId="6917"/>
    <cellStyle name="Обычный 3 3 4 4 3 2" xfId="6918"/>
    <cellStyle name="Обычный 3 3 4 4 4" xfId="6919"/>
    <cellStyle name="Обычный 3 3 4 4 5" xfId="6920"/>
    <cellStyle name="Обычный 3 3 4 4 6" xfId="6921"/>
    <cellStyle name="Обычный 3 3 4 4 7" xfId="6922"/>
    <cellStyle name="Обычный 3 3 4 4 8" xfId="6923"/>
    <cellStyle name="Обычный 3 3 4 4 9" xfId="6924"/>
    <cellStyle name="Обычный 3 3 4 5" xfId="6925"/>
    <cellStyle name="Обычный 3 3 4 5 10" xfId="6926"/>
    <cellStyle name="Обычный 3 3 4 5 11" xfId="6927"/>
    <cellStyle name="Обычный 3 3 4 5 12" xfId="18571"/>
    <cellStyle name="Обычный 3 3 4 5 13" xfId="20267"/>
    <cellStyle name="Обычный 3 3 4 5 14" xfId="21879"/>
    <cellStyle name="Обычный 3 3 4 5 2" xfId="6928"/>
    <cellStyle name="Обычный 3 3 4 5 2 10" xfId="6929"/>
    <cellStyle name="Обычный 3 3 4 5 2 11" xfId="18572"/>
    <cellStyle name="Обычный 3 3 4 5 2 12" xfId="20268"/>
    <cellStyle name="Обычный 3 3 4 5 2 13" xfId="21880"/>
    <cellStyle name="Обычный 3 3 4 5 2 2" xfId="6930"/>
    <cellStyle name="Обычный 3 3 4 5 2 2 2" xfId="6931"/>
    <cellStyle name="Обычный 3 3 4 5 2 3" xfId="6932"/>
    <cellStyle name="Обычный 3 3 4 5 2 4" xfId="6933"/>
    <cellStyle name="Обычный 3 3 4 5 2 5" xfId="6934"/>
    <cellStyle name="Обычный 3 3 4 5 2 6" xfId="6935"/>
    <cellStyle name="Обычный 3 3 4 5 2 7" xfId="6936"/>
    <cellStyle name="Обычный 3 3 4 5 2 8" xfId="6937"/>
    <cellStyle name="Обычный 3 3 4 5 2 9" xfId="6938"/>
    <cellStyle name="Обычный 3 3 4 5 3" xfId="6939"/>
    <cellStyle name="Обычный 3 3 4 5 3 2" xfId="6940"/>
    <cellStyle name="Обычный 3 3 4 5 4" xfId="6941"/>
    <cellStyle name="Обычный 3 3 4 5 5" xfId="6942"/>
    <cellStyle name="Обычный 3 3 4 5 6" xfId="6943"/>
    <cellStyle name="Обычный 3 3 4 5 7" xfId="6944"/>
    <cellStyle name="Обычный 3 3 4 5 8" xfId="6945"/>
    <cellStyle name="Обычный 3 3 4 5 9" xfId="6946"/>
    <cellStyle name="Обычный 3 3 4 6" xfId="6947"/>
    <cellStyle name="Обычный 3 3 4 6 10" xfId="6948"/>
    <cellStyle name="Обычный 3 3 4 6 11" xfId="18573"/>
    <cellStyle name="Обычный 3 3 4 6 12" xfId="20269"/>
    <cellStyle name="Обычный 3 3 4 6 13" xfId="21881"/>
    <cellStyle name="Обычный 3 3 4 6 2" xfId="6949"/>
    <cellStyle name="Обычный 3 3 4 6 2 2" xfId="6950"/>
    <cellStyle name="Обычный 3 3 4 6 3" xfId="6951"/>
    <cellStyle name="Обычный 3 3 4 6 4" xfId="6952"/>
    <cellStyle name="Обычный 3 3 4 6 5" xfId="6953"/>
    <cellStyle name="Обычный 3 3 4 6 6" xfId="6954"/>
    <cellStyle name="Обычный 3 3 4 6 7" xfId="6955"/>
    <cellStyle name="Обычный 3 3 4 6 8" xfId="6956"/>
    <cellStyle name="Обычный 3 3 4 6 9" xfId="6957"/>
    <cellStyle name="Обычный 3 3 4 7" xfId="6958"/>
    <cellStyle name="Обычный 3 3 4 7 10" xfId="20270"/>
    <cellStyle name="Обычный 3 3 4 7 11" xfId="21882"/>
    <cellStyle name="Обычный 3 3 4 7 2" xfId="6959"/>
    <cellStyle name="Обычный 3 3 4 7 2 2" xfId="6960"/>
    <cellStyle name="Обычный 3 3 4 7 3" xfId="6961"/>
    <cellStyle name="Обычный 3 3 4 7 4" xfId="6962"/>
    <cellStyle name="Обычный 3 3 4 7 5" xfId="6963"/>
    <cellStyle name="Обычный 3 3 4 7 6" xfId="6964"/>
    <cellStyle name="Обычный 3 3 4 7 7" xfId="6965"/>
    <cellStyle name="Обычный 3 3 4 7 8" xfId="6966"/>
    <cellStyle name="Обычный 3 3 4 7 9" xfId="18574"/>
    <cellStyle name="Обычный 3 3 4 8" xfId="6967"/>
    <cellStyle name="Обычный 3 3 4 8 2" xfId="6968"/>
    <cellStyle name="Обычный 3 3 4 9" xfId="6969"/>
    <cellStyle name="Обычный 3 3 5" xfId="6970"/>
    <cellStyle name="Обычный 3 3 5 10" xfId="6971"/>
    <cellStyle name="Обычный 3 3 5 11" xfId="6972"/>
    <cellStyle name="Обычный 3 3 5 12" xfId="18575"/>
    <cellStyle name="Обычный 3 3 5 13" xfId="20271"/>
    <cellStyle name="Обычный 3 3 5 14" xfId="21883"/>
    <cellStyle name="Обычный 3 3 5 2" xfId="6973"/>
    <cellStyle name="Обычный 3 3 5 2 10" xfId="6974"/>
    <cellStyle name="Обычный 3 3 5 2 11" xfId="18576"/>
    <cellStyle name="Обычный 3 3 5 2 12" xfId="20272"/>
    <cellStyle name="Обычный 3 3 5 2 13" xfId="21884"/>
    <cellStyle name="Обычный 3 3 5 2 2" xfId="6975"/>
    <cellStyle name="Обычный 3 3 5 2 2 2" xfId="6976"/>
    <cellStyle name="Обычный 3 3 5 2 3" xfId="6977"/>
    <cellStyle name="Обычный 3 3 5 2 4" xfId="6978"/>
    <cellStyle name="Обычный 3 3 5 2 5" xfId="6979"/>
    <cellStyle name="Обычный 3 3 5 2 6" xfId="6980"/>
    <cellStyle name="Обычный 3 3 5 2 7" xfId="6981"/>
    <cellStyle name="Обычный 3 3 5 2 8" xfId="6982"/>
    <cellStyle name="Обычный 3 3 5 2 9" xfId="6983"/>
    <cellStyle name="Обычный 3 3 5 3" xfId="6984"/>
    <cellStyle name="Обычный 3 3 5 3 2" xfId="6985"/>
    <cellStyle name="Обычный 3 3 5 4" xfId="6986"/>
    <cellStyle name="Обычный 3 3 5 5" xfId="6987"/>
    <cellStyle name="Обычный 3 3 5 6" xfId="6988"/>
    <cellStyle name="Обычный 3 3 5 7" xfId="6989"/>
    <cellStyle name="Обычный 3 3 5 8" xfId="6990"/>
    <cellStyle name="Обычный 3 3 5 9" xfId="6991"/>
    <cellStyle name="Обычный 3 3 6" xfId="6992"/>
    <cellStyle name="Обычный 3 3 6 10" xfId="6993"/>
    <cellStyle name="Обычный 3 3 6 11" xfId="6994"/>
    <cellStyle name="Обычный 3 3 6 12" xfId="18577"/>
    <cellStyle name="Обычный 3 3 6 13" xfId="20273"/>
    <cellStyle name="Обычный 3 3 6 14" xfId="21885"/>
    <cellStyle name="Обычный 3 3 6 2" xfId="6995"/>
    <cellStyle name="Обычный 3 3 6 2 10" xfId="6996"/>
    <cellStyle name="Обычный 3 3 6 2 11" xfId="18578"/>
    <cellStyle name="Обычный 3 3 6 2 12" xfId="20274"/>
    <cellStyle name="Обычный 3 3 6 2 13" xfId="21886"/>
    <cellStyle name="Обычный 3 3 6 2 2" xfId="6997"/>
    <cellStyle name="Обычный 3 3 6 2 2 2" xfId="6998"/>
    <cellStyle name="Обычный 3 3 6 2 3" xfId="6999"/>
    <cellStyle name="Обычный 3 3 6 2 4" xfId="7000"/>
    <cellStyle name="Обычный 3 3 6 2 5" xfId="7001"/>
    <cellStyle name="Обычный 3 3 6 2 6" xfId="7002"/>
    <cellStyle name="Обычный 3 3 6 2 7" xfId="7003"/>
    <cellStyle name="Обычный 3 3 6 2 8" xfId="7004"/>
    <cellStyle name="Обычный 3 3 6 2 9" xfId="7005"/>
    <cellStyle name="Обычный 3 3 6 3" xfId="7006"/>
    <cellStyle name="Обычный 3 3 6 3 2" xfId="7007"/>
    <cellStyle name="Обычный 3 3 6 4" xfId="7008"/>
    <cellStyle name="Обычный 3 3 6 5" xfId="7009"/>
    <cellStyle name="Обычный 3 3 6 6" xfId="7010"/>
    <cellStyle name="Обычный 3 3 6 7" xfId="7011"/>
    <cellStyle name="Обычный 3 3 6 8" xfId="7012"/>
    <cellStyle name="Обычный 3 3 6 9" xfId="7013"/>
    <cellStyle name="Обычный 3 3 7" xfId="7014"/>
    <cellStyle name="Обычный 3 3 7 10" xfId="7015"/>
    <cellStyle name="Обычный 3 3 7 11" xfId="7016"/>
    <cellStyle name="Обычный 3 3 7 12" xfId="18579"/>
    <cellStyle name="Обычный 3 3 7 13" xfId="20275"/>
    <cellStyle name="Обычный 3 3 7 14" xfId="21887"/>
    <cellStyle name="Обычный 3 3 7 2" xfId="7017"/>
    <cellStyle name="Обычный 3 3 7 2 10" xfId="7018"/>
    <cellStyle name="Обычный 3 3 7 2 11" xfId="18580"/>
    <cellStyle name="Обычный 3 3 7 2 12" xfId="20276"/>
    <cellStyle name="Обычный 3 3 7 2 13" xfId="21888"/>
    <cellStyle name="Обычный 3 3 7 2 2" xfId="7019"/>
    <cellStyle name="Обычный 3 3 7 2 2 2" xfId="7020"/>
    <cellStyle name="Обычный 3 3 7 2 3" xfId="7021"/>
    <cellStyle name="Обычный 3 3 7 2 4" xfId="7022"/>
    <cellStyle name="Обычный 3 3 7 2 5" xfId="7023"/>
    <cellStyle name="Обычный 3 3 7 2 6" xfId="7024"/>
    <cellStyle name="Обычный 3 3 7 2 7" xfId="7025"/>
    <cellStyle name="Обычный 3 3 7 2 8" xfId="7026"/>
    <cellStyle name="Обычный 3 3 7 2 9" xfId="7027"/>
    <cellStyle name="Обычный 3 3 7 3" xfId="7028"/>
    <cellStyle name="Обычный 3 3 7 3 2" xfId="7029"/>
    <cellStyle name="Обычный 3 3 7 4" xfId="7030"/>
    <cellStyle name="Обычный 3 3 7 5" xfId="7031"/>
    <cellStyle name="Обычный 3 3 7 6" xfId="7032"/>
    <cellStyle name="Обычный 3 3 7 7" xfId="7033"/>
    <cellStyle name="Обычный 3 3 7 8" xfId="7034"/>
    <cellStyle name="Обычный 3 3 7 9" xfId="7035"/>
    <cellStyle name="Обычный 3 3 8" xfId="7036"/>
    <cellStyle name="Обычный 3 3 8 10" xfId="7037"/>
    <cellStyle name="Обычный 3 3 8 11" xfId="7038"/>
    <cellStyle name="Обычный 3 3 8 12" xfId="18581"/>
    <cellStyle name="Обычный 3 3 8 13" xfId="20277"/>
    <cellStyle name="Обычный 3 3 8 14" xfId="21889"/>
    <cellStyle name="Обычный 3 3 8 2" xfId="7039"/>
    <cellStyle name="Обычный 3 3 8 2 10" xfId="7040"/>
    <cellStyle name="Обычный 3 3 8 2 11" xfId="18582"/>
    <cellStyle name="Обычный 3 3 8 2 12" xfId="20278"/>
    <cellStyle name="Обычный 3 3 8 2 13" xfId="21890"/>
    <cellStyle name="Обычный 3 3 8 2 2" xfId="7041"/>
    <cellStyle name="Обычный 3 3 8 2 2 2" xfId="7042"/>
    <cellStyle name="Обычный 3 3 8 2 3" xfId="7043"/>
    <cellStyle name="Обычный 3 3 8 2 4" xfId="7044"/>
    <cellStyle name="Обычный 3 3 8 2 5" xfId="7045"/>
    <cellStyle name="Обычный 3 3 8 2 6" xfId="7046"/>
    <cellStyle name="Обычный 3 3 8 2 7" xfId="7047"/>
    <cellStyle name="Обычный 3 3 8 2 8" xfId="7048"/>
    <cellStyle name="Обычный 3 3 8 2 9" xfId="7049"/>
    <cellStyle name="Обычный 3 3 8 3" xfId="7050"/>
    <cellStyle name="Обычный 3 3 8 3 2" xfId="7051"/>
    <cellStyle name="Обычный 3 3 8 4" xfId="7052"/>
    <cellStyle name="Обычный 3 3 8 5" xfId="7053"/>
    <cellStyle name="Обычный 3 3 8 6" xfId="7054"/>
    <cellStyle name="Обычный 3 3 8 7" xfId="7055"/>
    <cellStyle name="Обычный 3 3 8 8" xfId="7056"/>
    <cellStyle name="Обычный 3 3 8 9" xfId="7057"/>
    <cellStyle name="Обычный 3 3 9" xfId="7058"/>
    <cellStyle name="Обычный 3 3 9 10" xfId="7059"/>
    <cellStyle name="Обычный 3 3 9 11" xfId="7060"/>
    <cellStyle name="Обычный 3 3 9 12" xfId="18583"/>
    <cellStyle name="Обычный 3 3 9 13" xfId="20279"/>
    <cellStyle name="Обычный 3 3 9 14" xfId="21891"/>
    <cellStyle name="Обычный 3 3 9 2" xfId="7061"/>
    <cellStyle name="Обычный 3 3 9 2 10" xfId="7062"/>
    <cellStyle name="Обычный 3 3 9 2 11" xfId="18584"/>
    <cellStyle name="Обычный 3 3 9 2 12" xfId="20280"/>
    <cellStyle name="Обычный 3 3 9 2 13" xfId="21892"/>
    <cellStyle name="Обычный 3 3 9 2 2" xfId="7063"/>
    <cellStyle name="Обычный 3 3 9 2 2 2" xfId="7064"/>
    <cellStyle name="Обычный 3 3 9 2 3" xfId="7065"/>
    <cellStyle name="Обычный 3 3 9 2 4" xfId="7066"/>
    <cellStyle name="Обычный 3 3 9 2 5" xfId="7067"/>
    <cellStyle name="Обычный 3 3 9 2 6" xfId="7068"/>
    <cellStyle name="Обычный 3 3 9 2 7" xfId="7069"/>
    <cellStyle name="Обычный 3 3 9 2 8" xfId="7070"/>
    <cellStyle name="Обычный 3 3 9 2 9" xfId="7071"/>
    <cellStyle name="Обычный 3 3 9 3" xfId="7072"/>
    <cellStyle name="Обычный 3 3 9 3 2" xfId="7073"/>
    <cellStyle name="Обычный 3 3 9 4" xfId="7074"/>
    <cellStyle name="Обычный 3 3 9 5" xfId="7075"/>
    <cellStyle name="Обычный 3 3 9 6" xfId="7076"/>
    <cellStyle name="Обычный 3 3 9 7" xfId="7077"/>
    <cellStyle name="Обычный 3 3 9 8" xfId="7078"/>
    <cellStyle name="Обычный 3 3 9 9" xfId="7079"/>
    <cellStyle name="Обычный 3 30" xfId="7080"/>
    <cellStyle name="Обычный 3 31" xfId="7081"/>
    <cellStyle name="Обычный 3 32" xfId="18412"/>
    <cellStyle name="Обычный 3 33" xfId="19629"/>
    <cellStyle name="Обычный 3 34" xfId="20108"/>
    <cellStyle name="Обычный 3 35" xfId="21720"/>
    <cellStyle name="Обычный 3 4" xfId="7082"/>
    <cellStyle name="Обычный 3 4 10" xfId="7083"/>
    <cellStyle name="Обычный 3 4 10 10" xfId="7084"/>
    <cellStyle name="Обычный 3 4 10 11" xfId="7085"/>
    <cellStyle name="Обычный 3 4 10 12" xfId="18586"/>
    <cellStyle name="Обычный 3 4 10 13" xfId="20282"/>
    <cellStyle name="Обычный 3 4 10 14" xfId="21894"/>
    <cellStyle name="Обычный 3 4 10 2" xfId="7086"/>
    <cellStyle name="Обычный 3 4 10 2 10" xfId="7087"/>
    <cellStyle name="Обычный 3 4 10 2 11" xfId="18587"/>
    <cellStyle name="Обычный 3 4 10 2 12" xfId="20283"/>
    <cellStyle name="Обычный 3 4 10 2 13" xfId="21895"/>
    <cellStyle name="Обычный 3 4 10 2 2" xfId="7088"/>
    <cellStyle name="Обычный 3 4 10 2 2 2" xfId="7089"/>
    <cellStyle name="Обычный 3 4 10 2 3" xfId="7090"/>
    <cellStyle name="Обычный 3 4 10 2 4" xfId="7091"/>
    <cellStyle name="Обычный 3 4 10 2 5" xfId="7092"/>
    <cellStyle name="Обычный 3 4 10 2 6" xfId="7093"/>
    <cellStyle name="Обычный 3 4 10 2 7" xfId="7094"/>
    <cellStyle name="Обычный 3 4 10 2 8" xfId="7095"/>
    <cellStyle name="Обычный 3 4 10 2 9" xfId="7096"/>
    <cellStyle name="Обычный 3 4 10 3" xfId="7097"/>
    <cellStyle name="Обычный 3 4 10 3 2" xfId="7098"/>
    <cellStyle name="Обычный 3 4 10 4" xfId="7099"/>
    <cellStyle name="Обычный 3 4 10 5" xfId="7100"/>
    <cellStyle name="Обычный 3 4 10 6" xfId="7101"/>
    <cellStyle name="Обычный 3 4 10 7" xfId="7102"/>
    <cellStyle name="Обычный 3 4 10 8" xfId="7103"/>
    <cellStyle name="Обычный 3 4 10 9" xfId="7104"/>
    <cellStyle name="Обычный 3 4 11" xfId="7105"/>
    <cellStyle name="Обычный 3 4 11 10" xfId="7106"/>
    <cellStyle name="Обычный 3 4 11 11" xfId="18588"/>
    <cellStyle name="Обычный 3 4 11 12" xfId="20284"/>
    <cellStyle name="Обычный 3 4 11 13" xfId="21896"/>
    <cellStyle name="Обычный 3 4 11 2" xfId="7107"/>
    <cellStyle name="Обычный 3 4 11 2 2" xfId="7108"/>
    <cellStyle name="Обычный 3 4 11 3" xfId="7109"/>
    <cellStyle name="Обычный 3 4 11 4" xfId="7110"/>
    <cellStyle name="Обычный 3 4 11 5" xfId="7111"/>
    <cellStyle name="Обычный 3 4 11 6" xfId="7112"/>
    <cellStyle name="Обычный 3 4 11 7" xfId="7113"/>
    <cellStyle name="Обычный 3 4 11 8" xfId="7114"/>
    <cellStyle name="Обычный 3 4 11 9" xfId="7115"/>
    <cellStyle name="Обычный 3 4 12" xfId="7116"/>
    <cellStyle name="Обычный 3 4 12 10" xfId="20285"/>
    <cellStyle name="Обычный 3 4 12 11" xfId="21897"/>
    <cellStyle name="Обычный 3 4 12 2" xfId="7117"/>
    <cellStyle name="Обычный 3 4 12 2 2" xfId="7118"/>
    <cellStyle name="Обычный 3 4 12 3" xfId="7119"/>
    <cellStyle name="Обычный 3 4 12 4" xfId="7120"/>
    <cellStyle name="Обычный 3 4 12 5" xfId="7121"/>
    <cellStyle name="Обычный 3 4 12 6" xfId="7122"/>
    <cellStyle name="Обычный 3 4 12 7" xfId="7123"/>
    <cellStyle name="Обычный 3 4 12 8" xfId="7124"/>
    <cellStyle name="Обычный 3 4 12 9" xfId="18589"/>
    <cellStyle name="Обычный 3 4 13" xfId="7125"/>
    <cellStyle name="Обычный 3 4 13 10" xfId="20286"/>
    <cellStyle name="Обычный 3 4 13 11" xfId="21898"/>
    <cellStyle name="Обычный 3 4 13 2" xfId="7126"/>
    <cellStyle name="Обычный 3 4 13 2 2" xfId="7127"/>
    <cellStyle name="Обычный 3 4 13 3" xfId="7128"/>
    <cellStyle name="Обычный 3 4 13 4" xfId="7129"/>
    <cellStyle name="Обычный 3 4 13 5" xfId="7130"/>
    <cellStyle name="Обычный 3 4 13 6" xfId="7131"/>
    <cellStyle name="Обычный 3 4 13 7" xfId="7132"/>
    <cellStyle name="Обычный 3 4 13 8" xfId="7133"/>
    <cellStyle name="Обычный 3 4 13 9" xfId="18590"/>
    <cellStyle name="Обычный 3 4 14" xfId="7134"/>
    <cellStyle name="Обычный 3 4 14 2" xfId="7135"/>
    <cellStyle name="Обычный 3 4 15" xfId="7136"/>
    <cellStyle name="Обычный 3 4 16" xfId="7137"/>
    <cellStyle name="Обычный 3 4 17" xfId="7138"/>
    <cellStyle name="Обычный 3 4 18" xfId="7139"/>
    <cellStyle name="Обычный 3 4 19" xfId="7140"/>
    <cellStyle name="Обычный 3 4 2" xfId="7141"/>
    <cellStyle name="Обычный 3 4 2 10" xfId="7142"/>
    <cellStyle name="Обычный 3 4 2 10 2" xfId="7143"/>
    <cellStyle name="Обычный 3 4 2 11" xfId="7144"/>
    <cellStyle name="Обычный 3 4 2 12" xfId="7145"/>
    <cellStyle name="Обычный 3 4 2 13" xfId="7146"/>
    <cellStyle name="Обычный 3 4 2 14" xfId="7147"/>
    <cellStyle name="Обычный 3 4 2 15" xfId="7148"/>
    <cellStyle name="Обычный 3 4 2 16" xfId="7149"/>
    <cellStyle name="Обычный 3 4 2 17" xfId="7150"/>
    <cellStyle name="Обычный 3 4 2 18" xfId="7151"/>
    <cellStyle name="Обычный 3 4 2 19" xfId="7152"/>
    <cellStyle name="Обычный 3 4 2 2" xfId="7153"/>
    <cellStyle name="Обычный 3 4 2 2 10" xfId="7154"/>
    <cellStyle name="Обычный 3 4 2 2 11" xfId="7155"/>
    <cellStyle name="Обычный 3 4 2 2 12" xfId="7156"/>
    <cellStyle name="Обычный 3 4 2 2 13" xfId="7157"/>
    <cellStyle name="Обычный 3 4 2 2 14" xfId="7158"/>
    <cellStyle name="Обычный 3 4 2 2 15" xfId="7159"/>
    <cellStyle name="Обычный 3 4 2 2 16" xfId="7160"/>
    <cellStyle name="Обычный 3 4 2 2 17" xfId="7161"/>
    <cellStyle name="Обычный 3 4 2 2 18" xfId="18592"/>
    <cellStyle name="Обычный 3 4 2 2 19" xfId="20288"/>
    <cellStyle name="Обычный 3 4 2 2 2" xfId="7162"/>
    <cellStyle name="Обычный 3 4 2 2 2 10" xfId="7163"/>
    <cellStyle name="Обычный 3 4 2 2 2 11" xfId="7164"/>
    <cellStyle name="Обычный 3 4 2 2 2 12" xfId="18593"/>
    <cellStyle name="Обычный 3 4 2 2 2 13" xfId="20289"/>
    <cellStyle name="Обычный 3 4 2 2 2 14" xfId="21901"/>
    <cellStyle name="Обычный 3 4 2 2 2 2" xfId="7165"/>
    <cellStyle name="Обычный 3 4 2 2 2 2 10" xfId="7166"/>
    <cellStyle name="Обычный 3 4 2 2 2 2 11" xfId="18594"/>
    <cellStyle name="Обычный 3 4 2 2 2 2 12" xfId="20290"/>
    <cellStyle name="Обычный 3 4 2 2 2 2 13" xfId="21902"/>
    <cellStyle name="Обычный 3 4 2 2 2 2 2" xfId="7167"/>
    <cellStyle name="Обычный 3 4 2 2 2 2 2 2" xfId="7168"/>
    <cellStyle name="Обычный 3 4 2 2 2 2 3" xfId="7169"/>
    <cellStyle name="Обычный 3 4 2 2 2 2 4" xfId="7170"/>
    <cellStyle name="Обычный 3 4 2 2 2 2 5" xfId="7171"/>
    <cellStyle name="Обычный 3 4 2 2 2 2 6" xfId="7172"/>
    <cellStyle name="Обычный 3 4 2 2 2 2 7" xfId="7173"/>
    <cellStyle name="Обычный 3 4 2 2 2 2 8" xfId="7174"/>
    <cellStyle name="Обычный 3 4 2 2 2 2 9" xfId="7175"/>
    <cellStyle name="Обычный 3 4 2 2 2 3" xfId="7176"/>
    <cellStyle name="Обычный 3 4 2 2 2 3 2" xfId="7177"/>
    <cellStyle name="Обычный 3 4 2 2 2 4" xfId="7178"/>
    <cellStyle name="Обычный 3 4 2 2 2 5" xfId="7179"/>
    <cellStyle name="Обычный 3 4 2 2 2 6" xfId="7180"/>
    <cellStyle name="Обычный 3 4 2 2 2 7" xfId="7181"/>
    <cellStyle name="Обычный 3 4 2 2 2 8" xfId="7182"/>
    <cellStyle name="Обычный 3 4 2 2 2 9" xfId="7183"/>
    <cellStyle name="Обычный 3 4 2 2 20" xfId="21900"/>
    <cellStyle name="Обычный 3 4 2 2 3" xfId="7184"/>
    <cellStyle name="Обычный 3 4 2 2 3 10" xfId="7185"/>
    <cellStyle name="Обычный 3 4 2 2 3 11" xfId="7186"/>
    <cellStyle name="Обычный 3 4 2 2 3 12" xfId="18595"/>
    <cellStyle name="Обычный 3 4 2 2 3 13" xfId="20291"/>
    <cellStyle name="Обычный 3 4 2 2 3 14" xfId="21903"/>
    <cellStyle name="Обычный 3 4 2 2 3 2" xfId="7187"/>
    <cellStyle name="Обычный 3 4 2 2 3 2 10" xfId="7188"/>
    <cellStyle name="Обычный 3 4 2 2 3 2 11" xfId="18596"/>
    <cellStyle name="Обычный 3 4 2 2 3 2 12" xfId="20292"/>
    <cellStyle name="Обычный 3 4 2 2 3 2 13" xfId="21904"/>
    <cellStyle name="Обычный 3 4 2 2 3 2 2" xfId="7189"/>
    <cellStyle name="Обычный 3 4 2 2 3 2 2 2" xfId="7190"/>
    <cellStyle name="Обычный 3 4 2 2 3 2 3" xfId="7191"/>
    <cellStyle name="Обычный 3 4 2 2 3 2 4" xfId="7192"/>
    <cellStyle name="Обычный 3 4 2 2 3 2 5" xfId="7193"/>
    <cellStyle name="Обычный 3 4 2 2 3 2 6" xfId="7194"/>
    <cellStyle name="Обычный 3 4 2 2 3 2 7" xfId="7195"/>
    <cellStyle name="Обычный 3 4 2 2 3 2 8" xfId="7196"/>
    <cellStyle name="Обычный 3 4 2 2 3 2 9" xfId="7197"/>
    <cellStyle name="Обычный 3 4 2 2 3 3" xfId="7198"/>
    <cellStyle name="Обычный 3 4 2 2 3 3 2" xfId="7199"/>
    <cellStyle name="Обычный 3 4 2 2 3 4" xfId="7200"/>
    <cellStyle name="Обычный 3 4 2 2 3 5" xfId="7201"/>
    <cellStyle name="Обычный 3 4 2 2 3 6" xfId="7202"/>
    <cellStyle name="Обычный 3 4 2 2 3 7" xfId="7203"/>
    <cellStyle name="Обычный 3 4 2 2 3 8" xfId="7204"/>
    <cellStyle name="Обычный 3 4 2 2 3 9" xfId="7205"/>
    <cellStyle name="Обычный 3 4 2 2 4" xfId="7206"/>
    <cellStyle name="Обычный 3 4 2 2 4 10" xfId="7207"/>
    <cellStyle name="Обычный 3 4 2 2 4 11" xfId="7208"/>
    <cellStyle name="Обычный 3 4 2 2 4 12" xfId="18597"/>
    <cellStyle name="Обычный 3 4 2 2 4 13" xfId="20293"/>
    <cellStyle name="Обычный 3 4 2 2 4 14" xfId="21905"/>
    <cellStyle name="Обычный 3 4 2 2 4 2" xfId="7209"/>
    <cellStyle name="Обычный 3 4 2 2 4 2 10" xfId="7210"/>
    <cellStyle name="Обычный 3 4 2 2 4 2 11" xfId="18598"/>
    <cellStyle name="Обычный 3 4 2 2 4 2 12" xfId="20294"/>
    <cellStyle name="Обычный 3 4 2 2 4 2 13" xfId="21906"/>
    <cellStyle name="Обычный 3 4 2 2 4 2 2" xfId="7211"/>
    <cellStyle name="Обычный 3 4 2 2 4 2 2 2" xfId="7212"/>
    <cellStyle name="Обычный 3 4 2 2 4 2 3" xfId="7213"/>
    <cellStyle name="Обычный 3 4 2 2 4 2 4" xfId="7214"/>
    <cellStyle name="Обычный 3 4 2 2 4 2 5" xfId="7215"/>
    <cellStyle name="Обычный 3 4 2 2 4 2 6" xfId="7216"/>
    <cellStyle name="Обычный 3 4 2 2 4 2 7" xfId="7217"/>
    <cellStyle name="Обычный 3 4 2 2 4 2 8" xfId="7218"/>
    <cellStyle name="Обычный 3 4 2 2 4 2 9" xfId="7219"/>
    <cellStyle name="Обычный 3 4 2 2 4 3" xfId="7220"/>
    <cellStyle name="Обычный 3 4 2 2 4 3 2" xfId="7221"/>
    <cellStyle name="Обычный 3 4 2 2 4 4" xfId="7222"/>
    <cellStyle name="Обычный 3 4 2 2 4 5" xfId="7223"/>
    <cellStyle name="Обычный 3 4 2 2 4 6" xfId="7224"/>
    <cellStyle name="Обычный 3 4 2 2 4 7" xfId="7225"/>
    <cellStyle name="Обычный 3 4 2 2 4 8" xfId="7226"/>
    <cellStyle name="Обычный 3 4 2 2 4 9" xfId="7227"/>
    <cellStyle name="Обычный 3 4 2 2 5" xfId="7228"/>
    <cellStyle name="Обычный 3 4 2 2 5 10" xfId="7229"/>
    <cellStyle name="Обычный 3 4 2 2 5 11" xfId="7230"/>
    <cellStyle name="Обычный 3 4 2 2 5 12" xfId="18599"/>
    <cellStyle name="Обычный 3 4 2 2 5 13" xfId="20295"/>
    <cellStyle name="Обычный 3 4 2 2 5 14" xfId="21907"/>
    <cellStyle name="Обычный 3 4 2 2 5 2" xfId="7231"/>
    <cellStyle name="Обычный 3 4 2 2 5 2 10" xfId="7232"/>
    <cellStyle name="Обычный 3 4 2 2 5 2 11" xfId="18600"/>
    <cellStyle name="Обычный 3 4 2 2 5 2 12" xfId="20296"/>
    <cellStyle name="Обычный 3 4 2 2 5 2 13" xfId="21908"/>
    <cellStyle name="Обычный 3 4 2 2 5 2 2" xfId="7233"/>
    <cellStyle name="Обычный 3 4 2 2 5 2 2 2" xfId="7234"/>
    <cellStyle name="Обычный 3 4 2 2 5 2 3" xfId="7235"/>
    <cellStyle name="Обычный 3 4 2 2 5 2 4" xfId="7236"/>
    <cellStyle name="Обычный 3 4 2 2 5 2 5" xfId="7237"/>
    <cellStyle name="Обычный 3 4 2 2 5 2 6" xfId="7238"/>
    <cellStyle name="Обычный 3 4 2 2 5 2 7" xfId="7239"/>
    <cellStyle name="Обычный 3 4 2 2 5 2 8" xfId="7240"/>
    <cellStyle name="Обычный 3 4 2 2 5 2 9" xfId="7241"/>
    <cellStyle name="Обычный 3 4 2 2 5 3" xfId="7242"/>
    <cellStyle name="Обычный 3 4 2 2 5 3 2" xfId="7243"/>
    <cellStyle name="Обычный 3 4 2 2 5 4" xfId="7244"/>
    <cellStyle name="Обычный 3 4 2 2 5 5" xfId="7245"/>
    <cellStyle name="Обычный 3 4 2 2 5 6" xfId="7246"/>
    <cellStyle name="Обычный 3 4 2 2 5 7" xfId="7247"/>
    <cellStyle name="Обычный 3 4 2 2 5 8" xfId="7248"/>
    <cellStyle name="Обычный 3 4 2 2 5 9" xfId="7249"/>
    <cellStyle name="Обычный 3 4 2 2 6" xfId="7250"/>
    <cellStyle name="Обычный 3 4 2 2 6 10" xfId="7251"/>
    <cellStyle name="Обычный 3 4 2 2 6 11" xfId="18601"/>
    <cellStyle name="Обычный 3 4 2 2 6 12" xfId="20297"/>
    <cellStyle name="Обычный 3 4 2 2 6 13" xfId="21909"/>
    <cellStyle name="Обычный 3 4 2 2 6 2" xfId="7252"/>
    <cellStyle name="Обычный 3 4 2 2 6 2 2" xfId="7253"/>
    <cellStyle name="Обычный 3 4 2 2 6 3" xfId="7254"/>
    <cellStyle name="Обычный 3 4 2 2 6 4" xfId="7255"/>
    <cellStyle name="Обычный 3 4 2 2 6 5" xfId="7256"/>
    <cellStyle name="Обычный 3 4 2 2 6 6" xfId="7257"/>
    <cellStyle name="Обычный 3 4 2 2 6 7" xfId="7258"/>
    <cellStyle name="Обычный 3 4 2 2 6 8" xfId="7259"/>
    <cellStyle name="Обычный 3 4 2 2 6 9" xfId="7260"/>
    <cellStyle name="Обычный 3 4 2 2 7" xfId="7261"/>
    <cellStyle name="Обычный 3 4 2 2 7 10" xfId="20298"/>
    <cellStyle name="Обычный 3 4 2 2 7 11" xfId="21910"/>
    <cellStyle name="Обычный 3 4 2 2 7 2" xfId="7262"/>
    <cellStyle name="Обычный 3 4 2 2 7 2 2" xfId="7263"/>
    <cellStyle name="Обычный 3 4 2 2 7 3" xfId="7264"/>
    <cellStyle name="Обычный 3 4 2 2 7 4" xfId="7265"/>
    <cellStyle name="Обычный 3 4 2 2 7 5" xfId="7266"/>
    <cellStyle name="Обычный 3 4 2 2 7 6" xfId="7267"/>
    <cellStyle name="Обычный 3 4 2 2 7 7" xfId="7268"/>
    <cellStyle name="Обычный 3 4 2 2 7 8" xfId="7269"/>
    <cellStyle name="Обычный 3 4 2 2 7 9" xfId="18602"/>
    <cellStyle name="Обычный 3 4 2 2 8" xfId="7270"/>
    <cellStyle name="Обычный 3 4 2 2 8 2" xfId="7271"/>
    <cellStyle name="Обычный 3 4 2 2 9" xfId="7272"/>
    <cellStyle name="Обычный 3 4 2 20" xfId="18591"/>
    <cellStyle name="Обычный 3 4 2 21" xfId="20287"/>
    <cellStyle name="Обычный 3 4 2 22" xfId="21899"/>
    <cellStyle name="Обычный 3 4 2 3" xfId="7273"/>
    <cellStyle name="Обычный 3 4 2 3 10" xfId="7274"/>
    <cellStyle name="Обычный 3 4 2 3 11" xfId="7275"/>
    <cellStyle name="Обычный 3 4 2 3 12" xfId="7276"/>
    <cellStyle name="Обычный 3 4 2 3 13" xfId="7277"/>
    <cellStyle name="Обычный 3 4 2 3 14" xfId="7278"/>
    <cellStyle name="Обычный 3 4 2 3 15" xfId="7279"/>
    <cellStyle name="Обычный 3 4 2 3 16" xfId="7280"/>
    <cellStyle name="Обычный 3 4 2 3 17" xfId="7281"/>
    <cellStyle name="Обычный 3 4 2 3 18" xfId="18603"/>
    <cellStyle name="Обычный 3 4 2 3 19" xfId="20299"/>
    <cellStyle name="Обычный 3 4 2 3 2" xfId="7282"/>
    <cellStyle name="Обычный 3 4 2 3 2 10" xfId="7283"/>
    <cellStyle name="Обычный 3 4 2 3 2 11" xfId="7284"/>
    <cellStyle name="Обычный 3 4 2 3 2 12" xfId="18604"/>
    <cellStyle name="Обычный 3 4 2 3 2 13" xfId="20300"/>
    <cellStyle name="Обычный 3 4 2 3 2 14" xfId="21912"/>
    <cellStyle name="Обычный 3 4 2 3 2 2" xfId="7285"/>
    <cellStyle name="Обычный 3 4 2 3 2 2 10" xfId="7286"/>
    <cellStyle name="Обычный 3 4 2 3 2 2 11" xfId="18605"/>
    <cellStyle name="Обычный 3 4 2 3 2 2 12" xfId="20301"/>
    <cellStyle name="Обычный 3 4 2 3 2 2 13" xfId="21913"/>
    <cellStyle name="Обычный 3 4 2 3 2 2 2" xfId="7287"/>
    <cellStyle name="Обычный 3 4 2 3 2 2 2 2" xfId="7288"/>
    <cellStyle name="Обычный 3 4 2 3 2 2 3" xfId="7289"/>
    <cellStyle name="Обычный 3 4 2 3 2 2 4" xfId="7290"/>
    <cellStyle name="Обычный 3 4 2 3 2 2 5" xfId="7291"/>
    <cellStyle name="Обычный 3 4 2 3 2 2 6" xfId="7292"/>
    <cellStyle name="Обычный 3 4 2 3 2 2 7" xfId="7293"/>
    <cellStyle name="Обычный 3 4 2 3 2 2 8" xfId="7294"/>
    <cellStyle name="Обычный 3 4 2 3 2 2 9" xfId="7295"/>
    <cellStyle name="Обычный 3 4 2 3 2 3" xfId="7296"/>
    <cellStyle name="Обычный 3 4 2 3 2 3 2" xfId="7297"/>
    <cellStyle name="Обычный 3 4 2 3 2 4" xfId="7298"/>
    <cellStyle name="Обычный 3 4 2 3 2 5" xfId="7299"/>
    <cellStyle name="Обычный 3 4 2 3 2 6" xfId="7300"/>
    <cellStyle name="Обычный 3 4 2 3 2 7" xfId="7301"/>
    <cellStyle name="Обычный 3 4 2 3 2 8" xfId="7302"/>
    <cellStyle name="Обычный 3 4 2 3 2 9" xfId="7303"/>
    <cellStyle name="Обычный 3 4 2 3 20" xfId="21911"/>
    <cellStyle name="Обычный 3 4 2 3 3" xfId="7304"/>
    <cellStyle name="Обычный 3 4 2 3 3 10" xfId="7305"/>
    <cellStyle name="Обычный 3 4 2 3 3 11" xfId="7306"/>
    <cellStyle name="Обычный 3 4 2 3 3 12" xfId="18606"/>
    <cellStyle name="Обычный 3 4 2 3 3 13" xfId="20302"/>
    <cellStyle name="Обычный 3 4 2 3 3 14" xfId="21914"/>
    <cellStyle name="Обычный 3 4 2 3 3 2" xfId="7307"/>
    <cellStyle name="Обычный 3 4 2 3 3 2 10" xfId="7308"/>
    <cellStyle name="Обычный 3 4 2 3 3 2 11" xfId="18607"/>
    <cellStyle name="Обычный 3 4 2 3 3 2 12" xfId="20303"/>
    <cellStyle name="Обычный 3 4 2 3 3 2 13" xfId="21915"/>
    <cellStyle name="Обычный 3 4 2 3 3 2 2" xfId="7309"/>
    <cellStyle name="Обычный 3 4 2 3 3 2 2 2" xfId="7310"/>
    <cellStyle name="Обычный 3 4 2 3 3 2 3" xfId="7311"/>
    <cellStyle name="Обычный 3 4 2 3 3 2 4" xfId="7312"/>
    <cellStyle name="Обычный 3 4 2 3 3 2 5" xfId="7313"/>
    <cellStyle name="Обычный 3 4 2 3 3 2 6" xfId="7314"/>
    <cellStyle name="Обычный 3 4 2 3 3 2 7" xfId="7315"/>
    <cellStyle name="Обычный 3 4 2 3 3 2 8" xfId="7316"/>
    <cellStyle name="Обычный 3 4 2 3 3 2 9" xfId="7317"/>
    <cellStyle name="Обычный 3 4 2 3 3 3" xfId="7318"/>
    <cellStyle name="Обычный 3 4 2 3 3 3 2" xfId="7319"/>
    <cellStyle name="Обычный 3 4 2 3 3 4" xfId="7320"/>
    <cellStyle name="Обычный 3 4 2 3 3 5" xfId="7321"/>
    <cellStyle name="Обычный 3 4 2 3 3 6" xfId="7322"/>
    <cellStyle name="Обычный 3 4 2 3 3 7" xfId="7323"/>
    <cellStyle name="Обычный 3 4 2 3 3 8" xfId="7324"/>
    <cellStyle name="Обычный 3 4 2 3 3 9" xfId="7325"/>
    <cellStyle name="Обычный 3 4 2 3 4" xfId="7326"/>
    <cellStyle name="Обычный 3 4 2 3 4 10" xfId="7327"/>
    <cellStyle name="Обычный 3 4 2 3 4 11" xfId="7328"/>
    <cellStyle name="Обычный 3 4 2 3 4 12" xfId="18608"/>
    <cellStyle name="Обычный 3 4 2 3 4 13" xfId="20304"/>
    <cellStyle name="Обычный 3 4 2 3 4 14" xfId="21916"/>
    <cellStyle name="Обычный 3 4 2 3 4 2" xfId="7329"/>
    <cellStyle name="Обычный 3 4 2 3 4 2 10" xfId="7330"/>
    <cellStyle name="Обычный 3 4 2 3 4 2 11" xfId="18609"/>
    <cellStyle name="Обычный 3 4 2 3 4 2 12" xfId="20305"/>
    <cellStyle name="Обычный 3 4 2 3 4 2 13" xfId="21917"/>
    <cellStyle name="Обычный 3 4 2 3 4 2 2" xfId="7331"/>
    <cellStyle name="Обычный 3 4 2 3 4 2 2 2" xfId="7332"/>
    <cellStyle name="Обычный 3 4 2 3 4 2 3" xfId="7333"/>
    <cellStyle name="Обычный 3 4 2 3 4 2 4" xfId="7334"/>
    <cellStyle name="Обычный 3 4 2 3 4 2 5" xfId="7335"/>
    <cellStyle name="Обычный 3 4 2 3 4 2 6" xfId="7336"/>
    <cellStyle name="Обычный 3 4 2 3 4 2 7" xfId="7337"/>
    <cellStyle name="Обычный 3 4 2 3 4 2 8" xfId="7338"/>
    <cellStyle name="Обычный 3 4 2 3 4 2 9" xfId="7339"/>
    <cellStyle name="Обычный 3 4 2 3 4 3" xfId="7340"/>
    <cellStyle name="Обычный 3 4 2 3 4 3 2" xfId="7341"/>
    <cellStyle name="Обычный 3 4 2 3 4 4" xfId="7342"/>
    <cellStyle name="Обычный 3 4 2 3 4 5" xfId="7343"/>
    <cellStyle name="Обычный 3 4 2 3 4 6" xfId="7344"/>
    <cellStyle name="Обычный 3 4 2 3 4 7" xfId="7345"/>
    <cellStyle name="Обычный 3 4 2 3 4 8" xfId="7346"/>
    <cellStyle name="Обычный 3 4 2 3 4 9" xfId="7347"/>
    <cellStyle name="Обычный 3 4 2 3 5" xfId="7348"/>
    <cellStyle name="Обычный 3 4 2 3 5 10" xfId="7349"/>
    <cellStyle name="Обычный 3 4 2 3 5 11" xfId="7350"/>
    <cellStyle name="Обычный 3 4 2 3 5 12" xfId="18610"/>
    <cellStyle name="Обычный 3 4 2 3 5 13" xfId="20306"/>
    <cellStyle name="Обычный 3 4 2 3 5 14" xfId="21918"/>
    <cellStyle name="Обычный 3 4 2 3 5 2" xfId="7351"/>
    <cellStyle name="Обычный 3 4 2 3 5 2 10" xfId="7352"/>
    <cellStyle name="Обычный 3 4 2 3 5 2 11" xfId="18611"/>
    <cellStyle name="Обычный 3 4 2 3 5 2 12" xfId="20307"/>
    <cellStyle name="Обычный 3 4 2 3 5 2 13" xfId="21919"/>
    <cellStyle name="Обычный 3 4 2 3 5 2 2" xfId="7353"/>
    <cellStyle name="Обычный 3 4 2 3 5 2 2 2" xfId="7354"/>
    <cellStyle name="Обычный 3 4 2 3 5 2 3" xfId="7355"/>
    <cellStyle name="Обычный 3 4 2 3 5 2 4" xfId="7356"/>
    <cellStyle name="Обычный 3 4 2 3 5 2 5" xfId="7357"/>
    <cellStyle name="Обычный 3 4 2 3 5 2 6" xfId="7358"/>
    <cellStyle name="Обычный 3 4 2 3 5 2 7" xfId="7359"/>
    <cellStyle name="Обычный 3 4 2 3 5 2 8" xfId="7360"/>
    <cellStyle name="Обычный 3 4 2 3 5 2 9" xfId="7361"/>
    <cellStyle name="Обычный 3 4 2 3 5 3" xfId="7362"/>
    <cellStyle name="Обычный 3 4 2 3 5 3 2" xfId="7363"/>
    <cellStyle name="Обычный 3 4 2 3 5 4" xfId="7364"/>
    <cellStyle name="Обычный 3 4 2 3 5 5" xfId="7365"/>
    <cellStyle name="Обычный 3 4 2 3 5 6" xfId="7366"/>
    <cellStyle name="Обычный 3 4 2 3 5 7" xfId="7367"/>
    <cellStyle name="Обычный 3 4 2 3 5 8" xfId="7368"/>
    <cellStyle name="Обычный 3 4 2 3 5 9" xfId="7369"/>
    <cellStyle name="Обычный 3 4 2 3 6" xfId="7370"/>
    <cellStyle name="Обычный 3 4 2 3 6 10" xfId="7371"/>
    <cellStyle name="Обычный 3 4 2 3 6 11" xfId="18612"/>
    <cellStyle name="Обычный 3 4 2 3 6 12" xfId="20308"/>
    <cellStyle name="Обычный 3 4 2 3 6 13" xfId="21920"/>
    <cellStyle name="Обычный 3 4 2 3 6 2" xfId="7372"/>
    <cellStyle name="Обычный 3 4 2 3 6 2 2" xfId="7373"/>
    <cellStyle name="Обычный 3 4 2 3 6 3" xfId="7374"/>
    <cellStyle name="Обычный 3 4 2 3 6 4" xfId="7375"/>
    <cellStyle name="Обычный 3 4 2 3 6 5" xfId="7376"/>
    <cellStyle name="Обычный 3 4 2 3 6 6" xfId="7377"/>
    <cellStyle name="Обычный 3 4 2 3 6 7" xfId="7378"/>
    <cellStyle name="Обычный 3 4 2 3 6 8" xfId="7379"/>
    <cellStyle name="Обычный 3 4 2 3 6 9" xfId="7380"/>
    <cellStyle name="Обычный 3 4 2 3 7" xfId="7381"/>
    <cellStyle name="Обычный 3 4 2 3 7 10" xfId="20309"/>
    <cellStyle name="Обычный 3 4 2 3 7 11" xfId="21921"/>
    <cellStyle name="Обычный 3 4 2 3 7 2" xfId="7382"/>
    <cellStyle name="Обычный 3 4 2 3 7 2 2" xfId="7383"/>
    <cellStyle name="Обычный 3 4 2 3 7 3" xfId="7384"/>
    <cellStyle name="Обычный 3 4 2 3 7 4" xfId="7385"/>
    <cellStyle name="Обычный 3 4 2 3 7 5" xfId="7386"/>
    <cellStyle name="Обычный 3 4 2 3 7 6" xfId="7387"/>
    <cellStyle name="Обычный 3 4 2 3 7 7" xfId="7388"/>
    <cellStyle name="Обычный 3 4 2 3 7 8" xfId="7389"/>
    <cellStyle name="Обычный 3 4 2 3 7 9" xfId="18613"/>
    <cellStyle name="Обычный 3 4 2 3 8" xfId="7390"/>
    <cellStyle name="Обычный 3 4 2 3 8 2" xfId="7391"/>
    <cellStyle name="Обычный 3 4 2 3 9" xfId="7392"/>
    <cellStyle name="Обычный 3 4 2 4" xfId="7393"/>
    <cellStyle name="Обычный 3 4 2 4 10" xfId="7394"/>
    <cellStyle name="Обычный 3 4 2 4 11" xfId="7395"/>
    <cellStyle name="Обычный 3 4 2 4 12" xfId="18614"/>
    <cellStyle name="Обычный 3 4 2 4 13" xfId="20310"/>
    <cellStyle name="Обычный 3 4 2 4 14" xfId="21922"/>
    <cellStyle name="Обычный 3 4 2 4 2" xfId="7396"/>
    <cellStyle name="Обычный 3 4 2 4 2 10" xfId="7397"/>
    <cellStyle name="Обычный 3 4 2 4 2 11" xfId="18615"/>
    <cellStyle name="Обычный 3 4 2 4 2 12" xfId="20311"/>
    <cellStyle name="Обычный 3 4 2 4 2 13" xfId="21923"/>
    <cellStyle name="Обычный 3 4 2 4 2 2" xfId="7398"/>
    <cellStyle name="Обычный 3 4 2 4 2 2 2" xfId="7399"/>
    <cellStyle name="Обычный 3 4 2 4 2 3" xfId="7400"/>
    <cellStyle name="Обычный 3 4 2 4 2 4" xfId="7401"/>
    <cellStyle name="Обычный 3 4 2 4 2 5" xfId="7402"/>
    <cellStyle name="Обычный 3 4 2 4 2 6" xfId="7403"/>
    <cellStyle name="Обычный 3 4 2 4 2 7" xfId="7404"/>
    <cellStyle name="Обычный 3 4 2 4 2 8" xfId="7405"/>
    <cellStyle name="Обычный 3 4 2 4 2 9" xfId="7406"/>
    <cellStyle name="Обычный 3 4 2 4 3" xfId="7407"/>
    <cellStyle name="Обычный 3 4 2 4 3 2" xfId="7408"/>
    <cellStyle name="Обычный 3 4 2 4 4" xfId="7409"/>
    <cellStyle name="Обычный 3 4 2 4 5" xfId="7410"/>
    <cellStyle name="Обычный 3 4 2 4 6" xfId="7411"/>
    <cellStyle name="Обычный 3 4 2 4 7" xfId="7412"/>
    <cellStyle name="Обычный 3 4 2 4 8" xfId="7413"/>
    <cellStyle name="Обычный 3 4 2 4 9" xfId="7414"/>
    <cellStyle name="Обычный 3 4 2 5" xfId="7415"/>
    <cellStyle name="Обычный 3 4 2 5 10" xfId="7416"/>
    <cellStyle name="Обычный 3 4 2 5 11" xfId="7417"/>
    <cellStyle name="Обычный 3 4 2 5 12" xfId="18616"/>
    <cellStyle name="Обычный 3 4 2 5 13" xfId="20312"/>
    <cellStyle name="Обычный 3 4 2 5 14" xfId="21924"/>
    <cellStyle name="Обычный 3 4 2 5 2" xfId="7418"/>
    <cellStyle name="Обычный 3 4 2 5 2 10" xfId="7419"/>
    <cellStyle name="Обычный 3 4 2 5 2 11" xfId="18617"/>
    <cellStyle name="Обычный 3 4 2 5 2 12" xfId="20313"/>
    <cellStyle name="Обычный 3 4 2 5 2 13" xfId="21925"/>
    <cellStyle name="Обычный 3 4 2 5 2 2" xfId="7420"/>
    <cellStyle name="Обычный 3 4 2 5 2 2 2" xfId="7421"/>
    <cellStyle name="Обычный 3 4 2 5 2 3" xfId="7422"/>
    <cellStyle name="Обычный 3 4 2 5 2 4" xfId="7423"/>
    <cellStyle name="Обычный 3 4 2 5 2 5" xfId="7424"/>
    <cellStyle name="Обычный 3 4 2 5 2 6" xfId="7425"/>
    <cellStyle name="Обычный 3 4 2 5 2 7" xfId="7426"/>
    <cellStyle name="Обычный 3 4 2 5 2 8" xfId="7427"/>
    <cellStyle name="Обычный 3 4 2 5 2 9" xfId="7428"/>
    <cellStyle name="Обычный 3 4 2 5 3" xfId="7429"/>
    <cellStyle name="Обычный 3 4 2 5 3 2" xfId="7430"/>
    <cellStyle name="Обычный 3 4 2 5 4" xfId="7431"/>
    <cellStyle name="Обычный 3 4 2 5 5" xfId="7432"/>
    <cellStyle name="Обычный 3 4 2 5 6" xfId="7433"/>
    <cellStyle name="Обычный 3 4 2 5 7" xfId="7434"/>
    <cellStyle name="Обычный 3 4 2 5 8" xfId="7435"/>
    <cellStyle name="Обычный 3 4 2 5 9" xfId="7436"/>
    <cellStyle name="Обычный 3 4 2 6" xfId="7437"/>
    <cellStyle name="Обычный 3 4 2 6 10" xfId="7438"/>
    <cellStyle name="Обычный 3 4 2 6 11" xfId="7439"/>
    <cellStyle name="Обычный 3 4 2 6 12" xfId="18618"/>
    <cellStyle name="Обычный 3 4 2 6 13" xfId="20314"/>
    <cellStyle name="Обычный 3 4 2 6 14" xfId="21926"/>
    <cellStyle name="Обычный 3 4 2 6 2" xfId="7440"/>
    <cellStyle name="Обычный 3 4 2 6 2 10" xfId="7441"/>
    <cellStyle name="Обычный 3 4 2 6 2 11" xfId="18619"/>
    <cellStyle name="Обычный 3 4 2 6 2 12" xfId="20315"/>
    <cellStyle name="Обычный 3 4 2 6 2 13" xfId="21927"/>
    <cellStyle name="Обычный 3 4 2 6 2 2" xfId="7442"/>
    <cellStyle name="Обычный 3 4 2 6 2 2 2" xfId="7443"/>
    <cellStyle name="Обычный 3 4 2 6 2 3" xfId="7444"/>
    <cellStyle name="Обычный 3 4 2 6 2 4" xfId="7445"/>
    <cellStyle name="Обычный 3 4 2 6 2 5" xfId="7446"/>
    <cellStyle name="Обычный 3 4 2 6 2 6" xfId="7447"/>
    <cellStyle name="Обычный 3 4 2 6 2 7" xfId="7448"/>
    <cellStyle name="Обычный 3 4 2 6 2 8" xfId="7449"/>
    <cellStyle name="Обычный 3 4 2 6 2 9" xfId="7450"/>
    <cellStyle name="Обычный 3 4 2 6 3" xfId="7451"/>
    <cellStyle name="Обычный 3 4 2 6 3 2" xfId="7452"/>
    <cellStyle name="Обычный 3 4 2 6 4" xfId="7453"/>
    <cellStyle name="Обычный 3 4 2 6 5" xfId="7454"/>
    <cellStyle name="Обычный 3 4 2 6 6" xfId="7455"/>
    <cellStyle name="Обычный 3 4 2 6 7" xfId="7456"/>
    <cellStyle name="Обычный 3 4 2 6 8" xfId="7457"/>
    <cellStyle name="Обычный 3 4 2 6 9" xfId="7458"/>
    <cellStyle name="Обычный 3 4 2 7" xfId="7459"/>
    <cellStyle name="Обычный 3 4 2 7 10" xfId="7460"/>
    <cellStyle name="Обычный 3 4 2 7 11" xfId="7461"/>
    <cellStyle name="Обычный 3 4 2 7 12" xfId="18620"/>
    <cellStyle name="Обычный 3 4 2 7 13" xfId="20316"/>
    <cellStyle name="Обычный 3 4 2 7 14" xfId="21928"/>
    <cellStyle name="Обычный 3 4 2 7 2" xfId="7462"/>
    <cellStyle name="Обычный 3 4 2 7 2 10" xfId="7463"/>
    <cellStyle name="Обычный 3 4 2 7 2 11" xfId="18621"/>
    <cellStyle name="Обычный 3 4 2 7 2 12" xfId="20317"/>
    <cellStyle name="Обычный 3 4 2 7 2 13" xfId="21929"/>
    <cellStyle name="Обычный 3 4 2 7 2 2" xfId="7464"/>
    <cellStyle name="Обычный 3 4 2 7 2 2 2" xfId="7465"/>
    <cellStyle name="Обычный 3 4 2 7 2 3" xfId="7466"/>
    <cellStyle name="Обычный 3 4 2 7 2 4" xfId="7467"/>
    <cellStyle name="Обычный 3 4 2 7 2 5" xfId="7468"/>
    <cellStyle name="Обычный 3 4 2 7 2 6" xfId="7469"/>
    <cellStyle name="Обычный 3 4 2 7 2 7" xfId="7470"/>
    <cellStyle name="Обычный 3 4 2 7 2 8" xfId="7471"/>
    <cellStyle name="Обычный 3 4 2 7 2 9" xfId="7472"/>
    <cellStyle name="Обычный 3 4 2 7 3" xfId="7473"/>
    <cellStyle name="Обычный 3 4 2 7 3 2" xfId="7474"/>
    <cellStyle name="Обычный 3 4 2 7 4" xfId="7475"/>
    <cellStyle name="Обычный 3 4 2 7 5" xfId="7476"/>
    <cellStyle name="Обычный 3 4 2 7 6" xfId="7477"/>
    <cellStyle name="Обычный 3 4 2 7 7" xfId="7478"/>
    <cellStyle name="Обычный 3 4 2 7 8" xfId="7479"/>
    <cellStyle name="Обычный 3 4 2 7 9" xfId="7480"/>
    <cellStyle name="Обычный 3 4 2 8" xfId="7481"/>
    <cellStyle name="Обычный 3 4 2 8 10" xfId="7482"/>
    <cellStyle name="Обычный 3 4 2 8 11" xfId="18622"/>
    <cellStyle name="Обычный 3 4 2 8 12" xfId="20318"/>
    <cellStyle name="Обычный 3 4 2 8 13" xfId="21930"/>
    <cellStyle name="Обычный 3 4 2 8 2" xfId="7483"/>
    <cellStyle name="Обычный 3 4 2 8 2 2" xfId="7484"/>
    <cellStyle name="Обычный 3 4 2 8 3" xfId="7485"/>
    <cellStyle name="Обычный 3 4 2 8 4" xfId="7486"/>
    <cellStyle name="Обычный 3 4 2 8 5" xfId="7487"/>
    <cellStyle name="Обычный 3 4 2 8 6" xfId="7488"/>
    <cellStyle name="Обычный 3 4 2 8 7" xfId="7489"/>
    <cellStyle name="Обычный 3 4 2 8 8" xfId="7490"/>
    <cellStyle name="Обычный 3 4 2 8 9" xfId="7491"/>
    <cellStyle name="Обычный 3 4 2 9" xfId="7492"/>
    <cellStyle name="Обычный 3 4 2 9 10" xfId="20319"/>
    <cellStyle name="Обычный 3 4 2 9 11" xfId="21931"/>
    <cellStyle name="Обычный 3 4 2 9 2" xfId="7493"/>
    <cellStyle name="Обычный 3 4 2 9 2 2" xfId="7494"/>
    <cellStyle name="Обычный 3 4 2 9 3" xfId="7495"/>
    <cellStyle name="Обычный 3 4 2 9 4" xfId="7496"/>
    <cellStyle name="Обычный 3 4 2 9 5" xfId="7497"/>
    <cellStyle name="Обычный 3 4 2 9 6" xfId="7498"/>
    <cellStyle name="Обычный 3 4 2 9 7" xfId="7499"/>
    <cellStyle name="Обычный 3 4 2 9 8" xfId="7500"/>
    <cellStyle name="Обычный 3 4 2 9 9" xfId="18623"/>
    <cellStyle name="Обычный 3 4 20" xfId="7501"/>
    <cellStyle name="Обычный 3 4 21" xfId="7502"/>
    <cellStyle name="Обычный 3 4 22" xfId="7503"/>
    <cellStyle name="Обычный 3 4 23" xfId="7504"/>
    <cellStyle name="Обычный 3 4 24" xfId="18585"/>
    <cellStyle name="Обычный 3 4 25" xfId="19632"/>
    <cellStyle name="Обычный 3 4 26" xfId="20281"/>
    <cellStyle name="Обычный 3 4 27" xfId="21893"/>
    <cellStyle name="Обычный 3 4 3" xfId="7505"/>
    <cellStyle name="Обычный 3 4 3 10" xfId="7506"/>
    <cellStyle name="Обычный 3 4 3 11" xfId="7507"/>
    <cellStyle name="Обычный 3 4 3 12" xfId="7508"/>
    <cellStyle name="Обычный 3 4 3 13" xfId="7509"/>
    <cellStyle name="Обычный 3 4 3 14" xfId="7510"/>
    <cellStyle name="Обычный 3 4 3 15" xfId="7511"/>
    <cellStyle name="Обычный 3 4 3 16" xfId="7512"/>
    <cellStyle name="Обычный 3 4 3 17" xfId="7513"/>
    <cellStyle name="Обычный 3 4 3 18" xfId="18624"/>
    <cellStyle name="Обычный 3 4 3 19" xfId="20320"/>
    <cellStyle name="Обычный 3 4 3 2" xfId="7514"/>
    <cellStyle name="Обычный 3 4 3 2 10" xfId="7515"/>
    <cellStyle name="Обычный 3 4 3 2 11" xfId="7516"/>
    <cellStyle name="Обычный 3 4 3 2 12" xfId="18625"/>
    <cellStyle name="Обычный 3 4 3 2 13" xfId="20321"/>
    <cellStyle name="Обычный 3 4 3 2 14" xfId="21933"/>
    <cellStyle name="Обычный 3 4 3 2 2" xfId="7517"/>
    <cellStyle name="Обычный 3 4 3 2 2 10" xfId="7518"/>
    <cellStyle name="Обычный 3 4 3 2 2 11" xfId="18626"/>
    <cellStyle name="Обычный 3 4 3 2 2 12" xfId="20322"/>
    <cellStyle name="Обычный 3 4 3 2 2 13" xfId="21934"/>
    <cellStyle name="Обычный 3 4 3 2 2 2" xfId="7519"/>
    <cellStyle name="Обычный 3 4 3 2 2 2 2" xfId="7520"/>
    <cellStyle name="Обычный 3 4 3 2 2 3" xfId="7521"/>
    <cellStyle name="Обычный 3 4 3 2 2 4" xfId="7522"/>
    <cellStyle name="Обычный 3 4 3 2 2 5" xfId="7523"/>
    <cellStyle name="Обычный 3 4 3 2 2 6" xfId="7524"/>
    <cellStyle name="Обычный 3 4 3 2 2 7" xfId="7525"/>
    <cellStyle name="Обычный 3 4 3 2 2 8" xfId="7526"/>
    <cellStyle name="Обычный 3 4 3 2 2 9" xfId="7527"/>
    <cellStyle name="Обычный 3 4 3 2 3" xfId="7528"/>
    <cellStyle name="Обычный 3 4 3 2 3 2" xfId="7529"/>
    <cellStyle name="Обычный 3 4 3 2 4" xfId="7530"/>
    <cellStyle name="Обычный 3 4 3 2 5" xfId="7531"/>
    <cellStyle name="Обычный 3 4 3 2 6" xfId="7532"/>
    <cellStyle name="Обычный 3 4 3 2 7" xfId="7533"/>
    <cellStyle name="Обычный 3 4 3 2 8" xfId="7534"/>
    <cellStyle name="Обычный 3 4 3 2 9" xfId="7535"/>
    <cellStyle name="Обычный 3 4 3 20" xfId="21932"/>
    <cellStyle name="Обычный 3 4 3 3" xfId="7536"/>
    <cellStyle name="Обычный 3 4 3 3 10" xfId="7537"/>
    <cellStyle name="Обычный 3 4 3 3 11" xfId="7538"/>
    <cellStyle name="Обычный 3 4 3 3 12" xfId="18627"/>
    <cellStyle name="Обычный 3 4 3 3 13" xfId="20323"/>
    <cellStyle name="Обычный 3 4 3 3 14" xfId="21935"/>
    <cellStyle name="Обычный 3 4 3 3 2" xfId="7539"/>
    <cellStyle name="Обычный 3 4 3 3 2 10" xfId="7540"/>
    <cellStyle name="Обычный 3 4 3 3 2 11" xfId="18628"/>
    <cellStyle name="Обычный 3 4 3 3 2 12" xfId="20324"/>
    <cellStyle name="Обычный 3 4 3 3 2 13" xfId="21936"/>
    <cellStyle name="Обычный 3 4 3 3 2 2" xfId="7541"/>
    <cellStyle name="Обычный 3 4 3 3 2 2 2" xfId="7542"/>
    <cellStyle name="Обычный 3 4 3 3 2 3" xfId="7543"/>
    <cellStyle name="Обычный 3 4 3 3 2 4" xfId="7544"/>
    <cellStyle name="Обычный 3 4 3 3 2 5" xfId="7545"/>
    <cellStyle name="Обычный 3 4 3 3 2 6" xfId="7546"/>
    <cellStyle name="Обычный 3 4 3 3 2 7" xfId="7547"/>
    <cellStyle name="Обычный 3 4 3 3 2 8" xfId="7548"/>
    <cellStyle name="Обычный 3 4 3 3 2 9" xfId="7549"/>
    <cellStyle name="Обычный 3 4 3 3 3" xfId="7550"/>
    <cellStyle name="Обычный 3 4 3 3 3 2" xfId="7551"/>
    <cellStyle name="Обычный 3 4 3 3 4" xfId="7552"/>
    <cellStyle name="Обычный 3 4 3 3 5" xfId="7553"/>
    <cellStyle name="Обычный 3 4 3 3 6" xfId="7554"/>
    <cellStyle name="Обычный 3 4 3 3 7" xfId="7555"/>
    <cellStyle name="Обычный 3 4 3 3 8" xfId="7556"/>
    <cellStyle name="Обычный 3 4 3 3 9" xfId="7557"/>
    <cellStyle name="Обычный 3 4 3 4" xfId="7558"/>
    <cellStyle name="Обычный 3 4 3 4 10" xfId="7559"/>
    <cellStyle name="Обычный 3 4 3 4 11" xfId="7560"/>
    <cellStyle name="Обычный 3 4 3 4 12" xfId="18629"/>
    <cellStyle name="Обычный 3 4 3 4 13" xfId="20325"/>
    <cellStyle name="Обычный 3 4 3 4 14" xfId="21937"/>
    <cellStyle name="Обычный 3 4 3 4 2" xfId="7561"/>
    <cellStyle name="Обычный 3 4 3 4 2 10" xfId="7562"/>
    <cellStyle name="Обычный 3 4 3 4 2 11" xfId="18630"/>
    <cellStyle name="Обычный 3 4 3 4 2 12" xfId="20326"/>
    <cellStyle name="Обычный 3 4 3 4 2 13" xfId="21938"/>
    <cellStyle name="Обычный 3 4 3 4 2 2" xfId="7563"/>
    <cellStyle name="Обычный 3 4 3 4 2 2 2" xfId="7564"/>
    <cellStyle name="Обычный 3 4 3 4 2 3" xfId="7565"/>
    <cellStyle name="Обычный 3 4 3 4 2 4" xfId="7566"/>
    <cellStyle name="Обычный 3 4 3 4 2 5" xfId="7567"/>
    <cellStyle name="Обычный 3 4 3 4 2 6" xfId="7568"/>
    <cellStyle name="Обычный 3 4 3 4 2 7" xfId="7569"/>
    <cellStyle name="Обычный 3 4 3 4 2 8" xfId="7570"/>
    <cellStyle name="Обычный 3 4 3 4 2 9" xfId="7571"/>
    <cellStyle name="Обычный 3 4 3 4 3" xfId="7572"/>
    <cellStyle name="Обычный 3 4 3 4 3 2" xfId="7573"/>
    <cellStyle name="Обычный 3 4 3 4 4" xfId="7574"/>
    <cellStyle name="Обычный 3 4 3 4 5" xfId="7575"/>
    <cellStyle name="Обычный 3 4 3 4 6" xfId="7576"/>
    <cellStyle name="Обычный 3 4 3 4 7" xfId="7577"/>
    <cellStyle name="Обычный 3 4 3 4 8" xfId="7578"/>
    <cellStyle name="Обычный 3 4 3 4 9" xfId="7579"/>
    <cellStyle name="Обычный 3 4 3 5" xfId="7580"/>
    <cellStyle name="Обычный 3 4 3 5 10" xfId="7581"/>
    <cellStyle name="Обычный 3 4 3 5 11" xfId="7582"/>
    <cellStyle name="Обычный 3 4 3 5 12" xfId="18631"/>
    <cellStyle name="Обычный 3 4 3 5 13" xfId="20327"/>
    <cellStyle name="Обычный 3 4 3 5 14" xfId="21939"/>
    <cellStyle name="Обычный 3 4 3 5 2" xfId="7583"/>
    <cellStyle name="Обычный 3 4 3 5 2 10" xfId="7584"/>
    <cellStyle name="Обычный 3 4 3 5 2 11" xfId="18632"/>
    <cellStyle name="Обычный 3 4 3 5 2 12" xfId="20328"/>
    <cellStyle name="Обычный 3 4 3 5 2 13" xfId="21940"/>
    <cellStyle name="Обычный 3 4 3 5 2 2" xfId="7585"/>
    <cellStyle name="Обычный 3 4 3 5 2 2 2" xfId="7586"/>
    <cellStyle name="Обычный 3 4 3 5 2 3" xfId="7587"/>
    <cellStyle name="Обычный 3 4 3 5 2 4" xfId="7588"/>
    <cellStyle name="Обычный 3 4 3 5 2 5" xfId="7589"/>
    <cellStyle name="Обычный 3 4 3 5 2 6" xfId="7590"/>
    <cellStyle name="Обычный 3 4 3 5 2 7" xfId="7591"/>
    <cellStyle name="Обычный 3 4 3 5 2 8" xfId="7592"/>
    <cellStyle name="Обычный 3 4 3 5 2 9" xfId="7593"/>
    <cellStyle name="Обычный 3 4 3 5 3" xfId="7594"/>
    <cellStyle name="Обычный 3 4 3 5 3 2" xfId="7595"/>
    <cellStyle name="Обычный 3 4 3 5 4" xfId="7596"/>
    <cellStyle name="Обычный 3 4 3 5 5" xfId="7597"/>
    <cellStyle name="Обычный 3 4 3 5 6" xfId="7598"/>
    <cellStyle name="Обычный 3 4 3 5 7" xfId="7599"/>
    <cellStyle name="Обычный 3 4 3 5 8" xfId="7600"/>
    <cellStyle name="Обычный 3 4 3 5 9" xfId="7601"/>
    <cellStyle name="Обычный 3 4 3 6" xfId="7602"/>
    <cellStyle name="Обычный 3 4 3 6 10" xfId="7603"/>
    <cellStyle name="Обычный 3 4 3 6 11" xfId="18633"/>
    <cellStyle name="Обычный 3 4 3 6 12" xfId="20329"/>
    <cellStyle name="Обычный 3 4 3 6 13" xfId="21941"/>
    <cellStyle name="Обычный 3 4 3 6 2" xfId="7604"/>
    <cellStyle name="Обычный 3 4 3 6 2 2" xfId="7605"/>
    <cellStyle name="Обычный 3 4 3 6 3" xfId="7606"/>
    <cellStyle name="Обычный 3 4 3 6 4" xfId="7607"/>
    <cellStyle name="Обычный 3 4 3 6 5" xfId="7608"/>
    <cellStyle name="Обычный 3 4 3 6 6" xfId="7609"/>
    <cellStyle name="Обычный 3 4 3 6 7" xfId="7610"/>
    <cellStyle name="Обычный 3 4 3 6 8" xfId="7611"/>
    <cellStyle name="Обычный 3 4 3 6 9" xfId="7612"/>
    <cellStyle name="Обычный 3 4 3 7" xfId="7613"/>
    <cellStyle name="Обычный 3 4 3 7 10" xfId="20330"/>
    <cellStyle name="Обычный 3 4 3 7 11" xfId="21942"/>
    <cellStyle name="Обычный 3 4 3 7 2" xfId="7614"/>
    <cellStyle name="Обычный 3 4 3 7 2 2" xfId="7615"/>
    <cellStyle name="Обычный 3 4 3 7 3" xfId="7616"/>
    <cellStyle name="Обычный 3 4 3 7 4" xfId="7617"/>
    <cellStyle name="Обычный 3 4 3 7 5" xfId="7618"/>
    <cellStyle name="Обычный 3 4 3 7 6" xfId="7619"/>
    <cellStyle name="Обычный 3 4 3 7 7" xfId="7620"/>
    <cellStyle name="Обычный 3 4 3 7 8" xfId="7621"/>
    <cellStyle name="Обычный 3 4 3 7 9" xfId="18634"/>
    <cellStyle name="Обычный 3 4 3 8" xfId="7622"/>
    <cellStyle name="Обычный 3 4 3 8 2" xfId="7623"/>
    <cellStyle name="Обычный 3 4 3 9" xfId="7624"/>
    <cellStyle name="Обычный 3 4 4" xfId="7625"/>
    <cellStyle name="Обычный 3 4 4 10" xfId="7626"/>
    <cellStyle name="Обычный 3 4 4 11" xfId="7627"/>
    <cellStyle name="Обычный 3 4 4 12" xfId="7628"/>
    <cellStyle name="Обычный 3 4 4 13" xfId="7629"/>
    <cellStyle name="Обычный 3 4 4 14" xfId="7630"/>
    <cellStyle name="Обычный 3 4 4 15" xfId="7631"/>
    <cellStyle name="Обычный 3 4 4 16" xfId="7632"/>
    <cellStyle name="Обычный 3 4 4 17" xfId="7633"/>
    <cellStyle name="Обычный 3 4 4 18" xfId="18635"/>
    <cellStyle name="Обычный 3 4 4 19" xfId="20331"/>
    <cellStyle name="Обычный 3 4 4 2" xfId="7634"/>
    <cellStyle name="Обычный 3 4 4 2 10" xfId="7635"/>
    <cellStyle name="Обычный 3 4 4 2 11" xfId="7636"/>
    <cellStyle name="Обычный 3 4 4 2 12" xfId="18636"/>
    <cellStyle name="Обычный 3 4 4 2 13" xfId="20332"/>
    <cellStyle name="Обычный 3 4 4 2 14" xfId="21944"/>
    <cellStyle name="Обычный 3 4 4 2 2" xfId="7637"/>
    <cellStyle name="Обычный 3 4 4 2 2 10" xfId="7638"/>
    <cellStyle name="Обычный 3 4 4 2 2 11" xfId="18637"/>
    <cellStyle name="Обычный 3 4 4 2 2 12" xfId="20333"/>
    <cellStyle name="Обычный 3 4 4 2 2 13" xfId="21945"/>
    <cellStyle name="Обычный 3 4 4 2 2 2" xfId="7639"/>
    <cellStyle name="Обычный 3 4 4 2 2 2 2" xfId="7640"/>
    <cellStyle name="Обычный 3 4 4 2 2 3" xfId="7641"/>
    <cellStyle name="Обычный 3 4 4 2 2 4" xfId="7642"/>
    <cellStyle name="Обычный 3 4 4 2 2 5" xfId="7643"/>
    <cellStyle name="Обычный 3 4 4 2 2 6" xfId="7644"/>
    <cellStyle name="Обычный 3 4 4 2 2 7" xfId="7645"/>
    <cellStyle name="Обычный 3 4 4 2 2 8" xfId="7646"/>
    <cellStyle name="Обычный 3 4 4 2 2 9" xfId="7647"/>
    <cellStyle name="Обычный 3 4 4 2 3" xfId="7648"/>
    <cellStyle name="Обычный 3 4 4 2 3 2" xfId="7649"/>
    <cellStyle name="Обычный 3 4 4 2 4" xfId="7650"/>
    <cellStyle name="Обычный 3 4 4 2 5" xfId="7651"/>
    <cellStyle name="Обычный 3 4 4 2 6" xfId="7652"/>
    <cellStyle name="Обычный 3 4 4 2 7" xfId="7653"/>
    <cellStyle name="Обычный 3 4 4 2 8" xfId="7654"/>
    <cellStyle name="Обычный 3 4 4 2 9" xfId="7655"/>
    <cellStyle name="Обычный 3 4 4 20" xfId="21943"/>
    <cellStyle name="Обычный 3 4 4 3" xfId="7656"/>
    <cellStyle name="Обычный 3 4 4 3 10" xfId="7657"/>
    <cellStyle name="Обычный 3 4 4 3 11" xfId="7658"/>
    <cellStyle name="Обычный 3 4 4 3 12" xfId="18638"/>
    <cellStyle name="Обычный 3 4 4 3 13" xfId="20334"/>
    <cellStyle name="Обычный 3 4 4 3 14" xfId="21946"/>
    <cellStyle name="Обычный 3 4 4 3 2" xfId="7659"/>
    <cellStyle name="Обычный 3 4 4 3 2 10" xfId="7660"/>
    <cellStyle name="Обычный 3 4 4 3 2 11" xfId="18639"/>
    <cellStyle name="Обычный 3 4 4 3 2 12" xfId="20335"/>
    <cellStyle name="Обычный 3 4 4 3 2 13" xfId="21947"/>
    <cellStyle name="Обычный 3 4 4 3 2 2" xfId="7661"/>
    <cellStyle name="Обычный 3 4 4 3 2 2 2" xfId="7662"/>
    <cellStyle name="Обычный 3 4 4 3 2 3" xfId="7663"/>
    <cellStyle name="Обычный 3 4 4 3 2 4" xfId="7664"/>
    <cellStyle name="Обычный 3 4 4 3 2 5" xfId="7665"/>
    <cellStyle name="Обычный 3 4 4 3 2 6" xfId="7666"/>
    <cellStyle name="Обычный 3 4 4 3 2 7" xfId="7667"/>
    <cellStyle name="Обычный 3 4 4 3 2 8" xfId="7668"/>
    <cellStyle name="Обычный 3 4 4 3 2 9" xfId="7669"/>
    <cellStyle name="Обычный 3 4 4 3 3" xfId="7670"/>
    <cellStyle name="Обычный 3 4 4 3 3 2" xfId="7671"/>
    <cellStyle name="Обычный 3 4 4 3 4" xfId="7672"/>
    <cellStyle name="Обычный 3 4 4 3 5" xfId="7673"/>
    <cellStyle name="Обычный 3 4 4 3 6" xfId="7674"/>
    <cellStyle name="Обычный 3 4 4 3 7" xfId="7675"/>
    <cellStyle name="Обычный 3 4 4 3 8" xfId="7676"/>
    <cellStyle name="Обычный 3 4 4 3 9" xfId="7677"/>
    <cellStyle name="Обычный 3 4 4 4" xfId="7678"/>
    <cellStyle name="Обычный 3 4 4 4 10" xfId="7679"/>
    <cellStyle name="Обычный 3 4 4 4 11" xfId="7680"/>
    <cellStyle name="Обычный 3 4 4 4 12" xfId="18640"/>
    <cellStyle name="Обычный 3 4 4 4 13" xfId="20336"/>
    <cellStyle name="Обычный 3 4 4 4 14" xfId="21948"/>
    <cellStyle name="Обычный 3 4 4 4 2" xfId="7681"/>
    <cellStyle name="Обычный 3 4 4 4 2 10" xfId="7682"/>
    <cellStyle name="Обычный 3 4 4 4 2 11" xfId="18641"/>
    <cellStyle name="Обычный 3 4 4 4 2 12" xfId="20337"/>
    <cellStyle name="Обычный 3 4 4 4 2 13" xfId="21949"/>
    <cellStyle name="Обычный 3 4 4 4 2 2" xfId="7683"/>
    <cellStyle name="Обычный 3 4 4 4 2 2 2" xfId="7684"/>
    <cellStyle name="Обычный 3 4 4 4 2 3" xfId="7685"/>
    <cellStyle name="Обычный 3 4 4 4 2 4" xfId="7686"/>
    <cellStyle name="Обычный 3 4 4 4 2 5" xfId="7687"/>
    <cellStyle name="Обычный 3 4 4 4 2 6" xfId="7688"/>
    <cellStyle name="Обычный 3 4 4 4 2 7" xfId="7689"/>
    <cellStyle name="Обычный 3 4 4 4 2 8" xfId="7690"/>
    <cellStyle name="Обычный 3 4 4 4 2 9" xfId="7691"/>
    <cellStyle name="Обычный 3 4 4 4 3" xfId="7692"/>
    <cellStyle name="Обычный 3 4 4 4 3 2" xfId="7693"/>
    <cellStyle name="Обычный 3 4 4 4 4" xfId="7694"/>
    <cellStyle name="Обычный 3 4 4 4 5" xfId="7695"/>
    <cellStyle name="Обычный 3 4 4 4 6" xfId="7696"/>
    <cellStyle name="Обычный 3 4 4 4 7" xfId="7697"/>
    <cellStyle name="Обычный 3 4 4 4 8" xfId="7698"/>
    <cellStyle name="Обычный 3 4 4 4 9" xfId="7699"/>
    <cellStyle name="Обычный 3 4 4 5" xfId="7700"/>
    <cellStyle name="Обычный 3 4 4 5 10" xfId="7701"/>
    <cellStyle name="Обычный 3 4 4 5 11" xfId="7702"/>
    <cellStyle name="Обычный 3 4 4 5 12" xfId="18642"/>
    <cellStyle name="Обычный 3 4 4 5 13" xfId="20338"/>
    <cellStyle name="Обычный 3 4 4 5 14" xfId="21950"/>
    <cellStyle name="Обычный 3 4 4 5 2" xfId="7703"/>
    <cellStyle name="Обычный 3 4 4 5 2 10" xfId="7704"/>
    <cellStyle name="Обычный 3 4 4 5 2 11" xfId="18643"/>
    <cellStyle name="Обычный 3 4 4 5 2 12" xfId="20339"/>
    <cellStyle name="Обычный 3 4 4 5 2 13" xfId="21951"/>
    <cellStyle name="Обычный 3 4 4 5 2 2" xfId="7705"/>
    <cellStyle name="Обычный 3 4 4 5 2 2 2" xfId="7706"/>
    <cellStyle name="Обычный 3 4 4 5 2 3" xfId="7707"/>
    <cellStyle name="Обычный 3 4 4 5 2 4" xfId="7708"/>
    <cellStyle name="Обычный 3 4 4 5 2 5" xfId="7709"/>
    <cellStyle name="Обычный 3 4 4 5 2 6" xfId="7710"/>
    <cellStyle name="Обычный 3 4 4 5 2 7" xfId="7711"/>
    <cellStyle name="Обычный 3 4 4 5 2 8" xfId="7712"/>
    <cellStyle name="Обычный 3 4 4 5 2 9" xfId="7713"/>
    <cellStyle name="Обычный 3 4 4 5 3" xfId="7714"/>
    <cellStyle name="Обычный 3 4 4 5 3 2" xfId="7715"/>
    <cellStyle name="Обычный 3 4 4 5 4" xfId="7716"/>
    <cellStyle name="Обычный 3 4 4 5 5" xfId="7717"/>
    <cellStyle name="Обычный 3 4 4 5 6" xfId="7718"/>
    <cellStyle name="Обычный 3 4 4 5 7" xfId="7719"/>
    <cellStyle name="Обычный 3 4 4 5 8" xfId="7720"/>
    <cellStyle name="Обычный 3 4 4 5 9" xfId="7721"/>
    <cellStyle name="Обычный 3 4 4 6" xfId="7722"/>
    <cellStyle name="Обычный 3 4 4 6 10" xfId="7723"/>
    <cellStyle name="Обычный 3 4 4 6 11" xfId="18644"/>
    <cellStyle name="Обычный 3 4 4 6 12" xfId="20340"/>
    <cellStyle name="Обычный 3 4 4 6 13" xfId="21952"/>
    <cellStyle name="Обычный 3 4 4 6 2" xfId="7724"/>
    <cellStyle name="Обычный 3 4 4 6 2 2" xfId="7725"/>
    <cellStyle name="Обычный 3 4 4 6 3" xfId="7726"/>
    <cellStyle name="Обычный 3 4 4 6 4" xfId="7727"/>
    <cellStyle name="Обычный 3 4 4 6 5" xfId="7728"/>
    <cellStyle name="Обычный 3 4 4 6 6" xfId="7729"/>
    <cellStyle name="Обычный 3 4 4 6 7" xfId="7730"/>
    <cellStyle name="Обычный 3 4 4 6 8" xfId="7731"/>
    <cellStyle name="Обычный 3 4 4 6 9" xfId="7732"/>
    <cellStyle name="Обычный 3 4 4 7" xfId="7733"/>
    <cellStyle name="Обычный 3 4 4 7 10" xfId="20341"/>
    <cellStyle name="Обычный 3 4 4 7 11" xfId="21953"/>
    <cellStyle name="Обычный 3 4 4 7 2" xfId="7734"/>
    <cellStyle name="Обычный 3 4 4 7 2 2" xfId="7735"/>
    <cellStyle name="Обычный 3 4 4 7 3" xfId="7736"/>
    <cellStyle name="Обычный 3 4 4 7 4" xfId="7737"/>
    <cellStyle name="Обычный 3 4 4 7 5" xfId="7738"/>
    <cellStyle name="Обычный 3 4 4 7 6" xfId="7739"/>
    <cellStyle name="Обычный 3 4 4 7 7" xfId="7740"/>
    <cellStyle name="Обычный 3 4 4 7 8" xfId="7741"/>
    <cellStyle name="Обычный 3 4 4 7 9" xfId="18645"/>
    <cellStyle name="Обычный 3 4 4 8" xfId="7742"/>
    <cellStyle name="Обычный 3 4 4 8 2" xfId="7743"/>
    <cellStyle name="Обычный 3 4 4 9" xfId="7744"/>
    <cellStyle name="Обычный 3 4 5" xfId="7745"/>
    <cellStyle name="Обычный 3 4 5 10" xfId="7746"/>
    <cellStyle name="Обычный 3 4 5 11" xfId="7747"/>
    <cellStyle name="Обычный 3 4 5 12" xfId="18646"/>
    <cellStyle name="Обычный 3 4 5 13" xfId="20342"/>
    <cellStyle name="Обычный 3 4 5 14" xfId="21954"/>
    <cellStyle name="Обычный 3 4 5 2" xfId="7748"/>
    <cellStyle name="Обычный 3 4 5 2 10" xfId="7749"/>
    <cellStyle name="Обычный 3 4 5 2 11" xfId="18647"/>
    <cellStyle name="Обычный 3 4 5 2 12" xfId="20343"/>
    <cellStyle name="Обычный 3 4 5 2 13" xfId="21955"/>
    <cellStyle name="Обычный 3 4 5 2 2" xfId="7750"/>
    <cellStyle name="Обычный 3 4 5 2 2 2" xfId="7751"/>
    <cellStyle name="Обычный 3 4 5 2 3" xfId="7752"/>
    <cellStyle name="Обычный 3 4 5 2 4" xfId="7753"/>
    <cellStyle name="Обычный 3 4 5 2 5" xfId="7754"/>
    <cellStyle name="Обычный 3 4 5 2 6" xfId="7755"/>
    <cellStyle name="Обычный 3 4 5 2 7" xfId="7756"/>
    <cellStyle name="Обычный 3 4 5 2 8" xfId="7757"/>
    <cellStyle name="Обычный 3 4 5 2 9" xfId="7758"/>
    <cellStyle name="Обычный 3 4 5 3" xfId="7759"/>
    <cellStyle name="Обычный 3 4 5 3 2" xfId="7760"/>
    <cellStyle name="Обычный 3 4 5 4" xfId="7761"/>
    <cellStyle name="Обычный 3 4 5 5" xfId="7762"/>
    <cellStyle name="Обычный 3 4 5 6" xfId="7763"/>
    <cellStyle name="Обычный 3 4 5 7" xfId="7764"/>
    <cellStyle name="Обычный 3 4 5 8" xfId="7765"/>
    <cellStyle name="Обычный 3 4 5 9" xfId="7766"/>
    <cellStyle name="Обычный 3 4 6" xfId="7767"/>
    <cellStyle name="Обычный 3 4 6 10" xfId="7768"/>
    <cellStyle name="Обычный 3 4 6 11" xfId="7769"/>
    <cellStyle name="Обычный 3 4 6 12" xfId="18648"/>
    <cellStyle name="Обычный 3 4 6 13" xfId="20344"/>
    <cellStyle name="Обычный 3 4 6 14" xfId="21956"/>
    <cellStyle name="Обычный 3 4 6 2" xfId="7770"/>
    <cellStyle name="Обычный 3 4 6 2 10" xfId="7771"/>
    <cellStyle name="Обычный 3 4 6 2 11" xfId="18649"/>
    <cellStyle name="Обычный 3 4 6 2 12" xfId="20345"/>
    <cellStyle name="Обычный 3 4 6 2 13" xfId="21957"/>
    <cellStyle name="Обычный 3 4 6 2 2" xfId="7772"/>
    <cellStyle name="Обычный 3 4 6 2 2 2" xfId="7773"/>
    <cellStyle name="Обычный 3 4 6 2 3" xfId="7774"/>
    <cellStyle name="Обычный 3 4 6 2 4" xfId="7775"/>
    <cellStyle name="Обычный 3 4 6 2 5" xfId="7776"/>
    <cellStyle name="Обычный 3 4 6 2 6" xfId="7777"/>
    <cellStyle name="Обычный 3 4 6 2 7" xfId="7778"/>
    <cellStyle name="Обычный 3 4 6 2 8" xfId="7779"/>
    <cellStyle name="Обычный 3 4 6 2 9" xfId="7780"/>
    <cellStyle name="Обычный 3 4 6 3" xfId="7781"/>
    <cellStyle name="Обычный 3 4 6 3 2" xfId="7782"/>
    <cellStyle name="Обычный 3 4 6 4" xfId="7783"/>
    <cellStyle name="Обычный 3 4 6 5" xfId="7784"/>
    <cellStyle name="Обычный 3 4 6 6" xfId="7785"/>
    <cellStyle name="Обычный 3 4 6 7" xfId="7786"/>
    <cellStyle name="Обычный 3 4 6 8" xfId="7787"/>
    <cellStyle name="Обычный 3 4 6 9" xfId="7788"/>
    <cellStyle name="Обычный 3 4 7" xfId="7789"/>
    <cellStyle name="Обычный 3 4 7 10" xfId="7790"/>
    <cellStyle name="Обычный 3 4 7 11" xfId="7791"/>
    <cellStyle name="Обычный 3 4 7 12" xfId="18650"/>
    <cellStyle name="Обычный 3 4 7 13" xfId="20346"/>
    <cellStyle name="Обычный 3 4 7 14" xfId="21958"/>
    <cellStyle name="Обычный 3 4 7 2" xfId="7792"/>
    <cellStyle name="Обычный 3 4 7 2 10" xfId="7793"/>
    <cellStyle name="Обычный 3 4 7 2 11" xfId="18651"/>
    <cellStyle name="Обычный 3 4 7 2 12" xfId="20347"/>
    <cellStyle name="Обычный 3 4 7 2 13" xfId="21959"/>
    <cellStyle name="Обычный 3 4 7 2 2" xfId="7794"/>
    <cellStyle name="Обычный 3 4 7 2 2 2" xfId="7795"/>
    <cellStyle name="Обычный 3 4 7 2 3" xfId="7796"/>
    <cellStyle name="Обычный 3 4 7 2 4" xfId="7797"/>
    <cellStyle name="Обычный 3 4 7 2 5" xfId="7798"/>
    <cellStyle name="Обычный 3 4 7 2 6" xfId="7799"/>
    <cellStyle name="Обычный 3 4 7 2 7" xfId="7800"/>
    <cellStyle name="Обычный 3 4 7 2 8" xfId="7801"/>
    <cellStyle name="Обычный 3 4 7 2 9" xfId="7802"/>
    <cellStyle name="Обычный 3 4 7 3" xfId="7803"/>
    <cellStyle name="Обычный 3 4 7 3 2" xfId="7804"/>
    <cellStyle name="Обычный 3 4 7 4" xfId="7805"/>
    <cellStyle name="Обычный 3 4 7 5" xfId="7806"/>
    <cellStyle name="Обычный 3 4 7 6" xfId="7807"/>
    <cellStyle name="Обычный 3 4 7 7" xfId="7808"/>
    <cellStyle name="Обычный 3 4 7 8" xfId="7809"/>
    <cellStyle name="Обычный 3 4 7 9" xfId="7810"/>
    <cellStyle name="Обычный 3 4 8" xfId="7811"/>
    <cellStyle name="Обычный 3 4 8 10" xfId="7812"/>
    <cellStyle name="Обычный 3 4 8 11" xfId="7813"/>
    <cellStyle name="Обычный 3 4 8 12" xfId="18652"/>
    <cellStyle name="Обычный 3 4 8 13" xfId="20348"/>
    <cellStyle name="Обычный 3 4 8 14" xfId="21960"/>
    <cellStyle name="Обычный 3 4 8 2" xfId="7814"/>
    <cellStyle name="Обычный 3 4 8 2 10" xfId="7815"/>
    <cellStyle name="Обычный 3 4 8 2 11" xfId="18653"/>
    <cellStyle name="Обычный 3 4 8 2 12" xfId="20349"/>
    <cellStyle name="Обычный 3 4 8 2 13" xfId="21961"/>
    <cellStyle name="Обычный 3 4 8 2 2" xfId="7816"/>
    <cellStyle name="Обычный 3 4 8 2 2 2" xfId="7817"/>
    <cellStyle name="Обычный 3 4 8 2 3" xfId="7818"/>
    <cellStyle name="Обычный 3 4 8 2 4" xfId="7819"/>
    <cellStyle name="Обычный 3 4 8 2 5" xfId="7820"/>
    <cellStyle name="Обычный 3 4 8 2 6" xfId="7821"/>
    <cellStyle name="Обычный 3 4 8 2 7" xfId="7822"/>
    <cellStyle name="Обычный 3 4 8 2 8" xfId="7823"/>
    <cellStyle name="Обычный 3 4 8 2 9" xfId="7824"/>
    <cellStyle name="Обычный 3 4 8 3" xfId="7825"/>
    <cellStyle name="Обычный 3 4 8 3 2" xfId="7826"/>
    <cellStyle name="Обычный 3 4 8 4" xfId="7827"/>
    <cellStyle name="Обычный 3 4 8 5" xfId="7828"/>
    <cellStyle name="Обычный 3 4 8 6" xfId="7829"/>
    <cellStyle name="Обычный 3 4 8 7" xfId="7830"/>
    <cellStyle name="Обычный 3 4 8 8" xfId="7831"/>
    <cellStyle name="Обычный 3 4 8 9" xfId="7832"/>
    <cellStyle name="Обычный 3 4 9" xfId="7833"/>
    <cellStyle name="Обычный 3 4 9 10" xfId="7834"/>
    <cellStyle name="Обычный 3 4 9 11" xfId="7835"/>
    <cellStyle name="Обычный 3 4 9 12" xfId="18654"/>
    <cellStyle name="Обычный 3 4 9 13" xfId="20350"/>
    <cellStyle name="Обычный 3 4 9 14" xfId="21962"/>
    <cellStyle name="Обычный 3 4 9 2" xfId="7836"/>
    <cellStyle name="Обычный 3 4 9 2 10" xfId="7837"/>
    <cellStyle name="Обычный 3 4 9 2 11" xfId="18655"/>
    <cellStyle name="Обычный 3 4 9 2 12" xfId="20351"/>
    <cellStyle name="Обычный 3 4 9 2 13" xfId="21963"/>
    <cellStyle name="Обычный 3 4 9 2 2" xfId="7838"/>
    <cellStyle name="Обычный 3 4 9 2 2 2" xfId="7839"/>
    <cellStyle name="Обычный 3 4 9 2 3" xfId="7840"/>
    <cellStyle name="Обычный 3 4 9 2 4" xfId="7841"/>
    <cellStyle name="Обычный 3 4 9 2 5" xfId="7842"/>
    <cellStyle name="Обычный 3 4 9 2 6" xfId="7843"/>
    <cellStyle name="Обычный 3 4 9 2 7" xfId="7844"/>
    <cellStyle name="Обычный 3 4 9 2 8" xfId="7845"/>
    <cellStyle name="Обычный 3 4 9 2 9" xfId="7846"/>
    <cellStyle name="Обычный 3 4 9 3" xfId="7847"/>
    <cellStyle name="Обычный 3 4 9 3 2" xfId="7848"/>
    <cellStyle name="Обычный 3 4 9 4" xfId="7849"/>
    <cellStyle name="Обычный 3 4 9 5" xfId="7850"/>
    <cellStyle name="Обычный 3 4 9 6" xfId="7851"/>
    <cellStyle name="Обычный 3 4 9 7" xfId="7852"/>
    <cellStyle name="Обычный 3 4 9 8" xfId="7853"/>
    <cellStyle name="Обычный 3 4 9 9" xfId="7854"/>
    <cellStyle name="Обычный 3 5" xfId="7855"/>
    <cellStyle name="Обычный 3 5 10" xfId="7856"/>
    <cellStyle name="Обычный 3 5 10 10" xfId="7857"/>
    <cellStyle name="Обычный 3 5 10 11" xfId="7858"/>
    <cellStyle name="Обычный 3 5 10 12" xfId="18657"/>
    <cellStyle name="Обычный 3 5 10 13" xfId="20353"/>
    <cellStyle name="Обычный 3 5 10 14" xfId="21965"/>
    <cellStyle name="Обычный 3 5 10 2" xfId="7859"/>
    <cellStyle name="Обычный 3 5 10 2 10" xfId="7860"/>
    <cellStyle name="Обычный 3 5 10 2 11" xfId="18658"/>
    <cellStyle name="Обычный 3 5 10 2 12" xfId="20354"/>
    <cellStyle name="Обычный 3 5 10 2 13" xfId="21966"/>
    <cellStyle name="Обычный 3 5 10 2 2" xfId="7861"/>
    <cellStyle name="Обычный 3 5 10 2 2 2" xfId="7862"/>
    <cellStyle name="Обычный 3 5 10 2 3" xfId="7863"/>
    <cellStyle name="Обычный 3 5 10 2 4" xfId="7864"/>
    <cellStyle name="Обычный 3 5 10 2 5" xfId="7865"/>
    <cellStyle name="Обычный 3 5 10 2 6" xfId="7866"/>
    <cellStyle name="Обычный 3 5 10 2 7" xfId="7867"/>
    <cellStyle name="Обычный 3 5 10 2 8" xfId="7868"/>
    <cellStyle name="Обычный 3 5 10 2 9" xfId="7869"/>
    <cellStyle name="Обычный 3 5 10 3" xfId="7870"/>
    <cellStyle name="Обычный 3 5 10 3 2" xfId="7871"/>
    <cellStyle name="Обычный 3 5 10 4" xfId="7872"/>
    <cellStyle name="Обычный 3 5 10 5" xfId="7873"/>
    <cellStyle name="Обычный 3 5 10 6" xfId="7874"/>
    <cellStyle name="Обычный 3 5 10 7" xfId="7875"/>
    <cellStyle name="Обычный 3 5 10 8" xfId="7876"/>
    <cellStyle name="Обычный 3 5 10 9" xfId="7877"/>
    <cellStyle name="Обычный 3 5 11" xfId="7878"/>
    <cellStyle name="Обычный 3 5 11 10" xfId="7879"/>
    <cellStyle name="Обычный 3 5 11 11" xfId="18659"/>
    <cellStyle name="Обычный 3 5 11 12" xfId="20355"/>
    <cellStyle name="Обычный 3 5 11 13" xfId="21967"/>
    <cellStyle name="Обычный 3 5 11 2" xfId="7880"/>
    <cellStyle name="Обычный 3 5 11 2 2" xfId="7881"/>
    <cellStyle name="Обычный 3 5 11 3" xfId="7882"/>
    <cellStyle name="Обычный 3 5 11 4" xfId="7883"/>
    <cellStyle name="Обычный 3 5 11 5" xfId="7884"/>
    <cellStyle name="Обычный 3 5 11 6" xfId="7885"/>
    <cellStyle name="Обычный 3 5 11 7" xfId="7886"/>
    <cellStyle name="Обычный 3 5 11 8" xfId="7887"/>
    <cellStyle name="Обычный 3 5 11 9" xfId="7888"/>
    <cellStyle name="Обычный 3 5 12" xfId="7889"/>
    <cellStyle name="Обычный 3 5 12 10" xfId="20356"/>
    <cellStyle name="Обычный 3 5 12 11" xfId="21968"/>
    <cellStyle name="Обычный 3 5 12 2" xfId="7890"/>
    <cellStyle name="Обычный 3 5 12 2 2" xfId="7891"/>
    <cellStyle name="Обычный 3 5 12 3" xfId="7892"/>
    <cellStyle name="Обычный 3 5 12 4" xfId="7893"/>
    <cellStyle name="Обычный 3 5 12 5" xfId="7894"/>
    <cellStyle name="Обычный 3 5 12 6" xfId="7895"/>
    <cellStyle name="Обычный 3 5 12 7" xfId="7896"/>
    <cellStyle name="Обычный 3 5 12 8" xfId="7897"/>
    <cellStyle name="Обычный 3 5 12 9" xfId="18660"/>
    <cellStyle name="Обычный 3 5 13" xfId="7898"/>
    <cellStyle name="Обычный 3 5 13 10" xfId="20357"/>
    <cellStyle name="Обычный 3 5 13 11" xfId="21969"/>
    <cellStyle name="Обычный 3 5 13 2" xfId="7899"/>
    <cellStyle name="Обычный 3 5 13 2 2" xfId="7900"/>
    <cellStyle name="Обычный 3 5 13 3" xfId="7901"/>
    <cellStyle name="Обычный 3 5 13 4" xfId="7902"/>
    <cellStyle name="Обычный 3 5 13 5" xfId="7903"/>
    <cellStyle name="Обычный 3 5 13 6" xfId="7904"/>
    <cellStyle name="Обычный 3 5 13 7" xfId="7905"/>
    <cellStyle name="Обычный 3 5 13 8" xfId="7906"/>
    <cellStyle name="Обычный 3 5 13 9" xfId="18661"/>
    <cellStyle name="Обычный 3 5 14" xfId="7907"/>
    <cellStyle name="Обычный 3 5 14 2" xfId="7908"/>
    <cellStyle name="Обычный 3 5 15" xfId="7909"/>
    <cellStyle name="Обычный 3 5 16" xfId="7910"/>
    <cellStyle name="Обычный 3 5 17" xfId="7911"/>
    <cellStyle name="Обычный 3 5 18" xfId="7912"/>
    <cellStyle name="Обычный 3 5 19" xfId="7913"/>
    <cellStyle name="Обычный 3 5 2" xfId="7914"/>
    <cellStyle name="Обычный 3 5 2 10" xfId="7915"/>
    <cellStyle name="Обычный 3 5 2 10 2" xfId="7916"/>
    <cellStyle name="Обычный 3 5 2 11" xfId="7917"/>
    <cellStyle name="Обычный 3 5 2 12" xfId="7918"/>
    <cellStyle name="Обычный 3 5 2 13" xfId="7919"/>
    <cellStyle name="Обычный 3 5 2 14" xfId="7920"/>
    <cellStyle name="Обычный 3 5 2 15" xfId="7921"/>
    <cellStyle name="Обычный 3 5 2 16" xfId="7922"/>
    <cellStyle name="Обычный 3 5 2 17" xfId="7923"/>
    <cellStyle name="Обычный 3 5 2 18" xfId="7924"/>
    <cellStyle name="Обычный 3 5 2 19" xfId="7925"/>
    <cellStyle name="Обычный 3 5 2 2" xfId="7926"/>
    <cellStyle name="Обычный 3 5 2 2 10" xfId="7927"/>
    <cellStyle name="Обычный 3 5 2 2 11" xfId="7928"/>
    <cellStyle name="Обычный 3 5 2 2 12" xfId="7929"/>
    <cellStyle name="Обычный 3 5 2 2 13" xfId="7930"/>
    <cellStyle name="Обычный 3 5 2 2 14" xfId="7931"/>
    <cellStyle name="Обычный 3 5 2 2 15" xfId="7932"/>
    <cellStyle name="Обычный 3 5 2 2 16" xfId="7933"/>
    <cellStyle name="Обычный 3 5 2 2 17" xfId="7934"/>
    <cellStyle name="Обычный 3 5 2 2 18" xfId="18663"/>
    <cellStyle name="Обычный 3 5 2 2 19" xfId="20359"/>
    <cellStyle name="Обычный 3 5 2 2 2" xfId="7935"/>
    <cellStyle name="Обычный 3 5 2 2 2 10" xfId="7936"/>
    <cellStyle name="Обычный 3 5 2 2 2 11" xfId="7937"/>
    <cellStyle name="Обычный 3 5 2 2 2 12" xfId="18664"/>
    <cellStyle name="Обычный 3 5 2 2 2 13" xfId="20360"/>
    <cellStyle name="Обычный 3 5 2 2 2 14" xfId="21972"/>
    <cellStyle name="Обычный 3 5 2 2 2 2" xfId="7938"/>
    <cellStyle name="Обычный 3 5 2 2 2 2 10" xfId="7939"/>
    <cellStyle name="Обычный 3 5 2 2 2 2 11" xfId="18665"/>
    <cellStyle name="Обычный 3 5 2 2 2 2 12" xfId="20361"/>
    <cellStyle name="Обычный 3 5 2 2 2 2 13" xfId="21973"/>
    <cellStyle name="Обычный 3 5 2 2 2 2 2" xfId="7940"/>
    <cellStyle name="Обычный 3 5 2 2 2 2 2 2" xfId="7941"/>
    <cellStyle name="Обычный 3 5 2 2 2 2 3" xfId="7942"/>
    <cellStyle name="Обычный 3 5 2 2 2 2 4" xfId="7943"/>
    <cellStyle name="Обычный 3 5 2 2 2 2 5" xfId="7944"/>
    <cellStyle name="Обычный 3 5 2 2 2 2 6" xfId="7945"/>
    <cellStyle name="Обычный 3 5 2 2 2 2 7" xfId="7946"/>
    <cellStyle name="Обычный 3 5 2 2 2 2 8" xfId="7947"/>
    <cellStyle name="Обычный 3 5 2 2 2 2 9" xfId="7948"/>
    <cellStyle name="Обычный 3 5 2 2 2 3" xfId="7949"/>
    <cellStyle name="Обычный 3 5 2 2 2 3 2" xfId="7950"/>
    <cellStyle name="Обычный 3 5 2 2 2 4" xfId="7951"/>
    <cellStyle name="Обычный 3 5 2 2 2 5" xfId="7952"/>
    <cellStyle name="Обычный 3 5 2 2 2 6" xfId="7953"/>
    <cellStyle name="Обычный 3 5 2 2 2 7" xfId="7954"/>
    <cellStyle name="Обычный 3 5 2 2 2 8" xfId="7955"/>
    <cellStyle name="Обычный 3 5 2 2 2 9" xfId="7956"/>
    <cellStyle name="Обычный 3 5 2 2 20" xfId="21971"/>
    <cellStyle name="Обычный 3 5 2 2 3" xfId="7957"/>
    <cellStyle name="Обычный 3 5 2 2 3 10" xfId="7958"/>
    <cellStyle name="Обычный 3 5 2 2 3 11" xfId="7959"/>
    <cellStyle name="Обычный 3 5 2 2 3 12" xfId="18666"/>
    <cellStyle name="Обычный 3 5 2 2 3 13" xfId="20362"/>
    <cellStyle name="Обычный 3 5 2 2 3 14" xfId="21974"/>
    <cellStyle name="Обычный 3 5 2 2 3 2" xfId="7960"/>
    <cellStyle name="Обычный 3 5 2 2 3 2 10" xfId="7961"/>
    <cellStyle name="Обычный 3 5 2 2 3 2 11" xfId="18667"/>
    <cellStyle name="Обычный 3 5 2 2 3 2 12" xfId="20363"/>
    <cellStyle name="Обычный 3 5 2 2 3 2 13" xfId="21975"/>
    <cellStyle name="Обычный 3 5 2 2 3 2 2" xfId="7962"/>
    <cellStyle name="Обычный 3 5 2 2 3 2 2 2" xfId="7963"/>
    <cellStyle name="Обычный 3 5 2 2 3 2 3" xfId="7964"/>
    <cellStyle name="Обычный 3 5 2 2 3 2 4" xfId="7965"/>
    <cellStyle name="Обычный 3 5 2 2 3 2 5" xfId="7966"/>
    <cellStyle name="Обычный 3 5 2 2 3 2 6" xfId="7967"/>
    <cellStyle name="Обычный 3 5 2 2 3 2 7" xfId="7968"/>
    <cellStyle name="Обычный 3 5 2 2 3 2 8" xfId="7969"/>
    <cellStyle name="Обычный 3 5 2 2 3 2 9" xfId="7970"/>
    <cellStyle name="Обычный 3 5 2 2 3 3" xfId="7971"/>
    <cellStyle name="Обычный 3 5 2 2 3 3 2" xfId="7972"/>
    <cellStyle name="Обычный 3 5 2 2 3 4" xfId="7973"/>
    <cellStyle name="Обычный 3 5 2 2 3 5" xfId="7974"/>
    <cellStyle name="Обычный 3 5 2 2 3 6" xfId="7975"/>
    <cellStyle name="Обычный 3 5 2 2 3 7" xfId="7976"/>
    <cellStyle name="Обычный 3 5 2 2 3 8" xfId="7977"/>
    <cellStyle name="Обычный 3 5 2 2 3 9" xfId="7978"/>
    <cellStyle name="Обычный 3 5 2 2 4" xfId="7979"/>
    <cellStyle name="Обычный 3 5 2 2 4 10" xfId="7980"/>
    <cellStyle name="Обычный 3 5 2 2 4 11" xfId="7981"/>
    <cellStyle name="Обычный 3 5 2 2 4 12" xfId="18668"/>
    <cellStyle name="Обычный 3 5 2 2 4 13" xfId="20364"/>
    <cellStyle name="Обычный 3 5 2 2 4 14" xfId="21976"/>
    <cellStyle name="Обычный 3 5 2 2 4 2" xfId="7982"/>
    <cellStyle name="Обычный 3 5 2 2 4 2 10" xfId="7983"/>
    <cellStyle name="Обычный 3 5 2 2 4 2 11" xfId="18669"/>
    <cellStyle name="Обычный 3 5 2 2 4 2 12" xfId="20365"/>
    <cellStyle name="Обычный 3 5 2 2 4 2 13" xfId="21977"/>
    <cellStyle name="Обычный 3 5 2 2 4 2 2" xfId="7984"/>
    <cellStyle name="Обычный 3 5 2 2 4 2 2 2" xfId="7985"/>
    <cellStyle name="Обычный 3 5 2 2 4 2 3" xfId="7986"/>
    <cellStyle name="Обычный 3 5 2 2 4 2 4" xfId="7987"/>
    <cellStyle name="Обычный 3 5 2 2 4 2 5" xfId="7988"/>
    <cellStyle name="Обычный 3 5 2 2 4 2 6" xfId="7989"/>
    <cellStyle name="Обычный 3 5 2 2 4 2 7" xfId="7990"/>
    <cellStyle name="Обычный 3 5 2 2 4 2 8" xfId="7991"/>
    <cellStyle name="Обычный 3 5 2 2 4 2 9" xfId="7992"/>
    <cellStyle name="Обычный 3 5 2 2 4 3" xfId="7993"/>
    <cellStyle name="Обычный 3 5 2 2 4 3 2" xfId="7994"/>
    <cellStyle name="Обычный 3 5 2 2 4 4" xfId="7995"/>
    <cellStyle name="Обычный 3 5 2 2 4 5" xfId="7996"/>
    <cellStyle name="Обычный 3 5 2 2 4 6" xfId="7997"/>
    <cellStyle name="Обычный 3 5 2 2 4 7" xfId="7998"/>
    <cellStyle name="Обычный 3 5 2 2 4 8" xfId="7999"/>
    <cellStyle name="Обычный 3 5 2 2 4 9" xfId="8000"/>
    <cellStyle name="Обычный 3 5 2 2 5" xfId="8001"/>
    <cellStyle name="Обычный 3 5 2 2 5 10" xfId="8002"/>
    <cellStyle name="Обычный 3 5 2 2 5 11" xfId="8003"/>
    <cellStyle name="Обычный 3 5 2 2 5 12" xfId="18670"/>
    <cellStyle name="Обычный 3 5 2 2 5 13" xfId="20366"/>
    <cellStyle name="Обычный 3 5 2 2 5 14" xfId="21978"/>
    <cellStyle name="Обычный 3 5 2 2 5 2" xfId="8004"/>
    <cellStyle name="Обычный 3 5 2 2 5 2 10" xfId="8005"/>
    <cellStyle name="Обычный 3 5 2 2 5 2 11" xfId="18671"/>
    <cellStyle name="Обычный 3 5 2 2 5 2 12" xfId="20367"/>
    <cellStyle name="Обычный 3 5 2 2 5 2 13" xfId="21979"/>
    <cellStyle name="Обычный 3 5 2 2 5 2 2" xfId="8006"/>
    <cellStyle name="Обычный 3 5 2 2 5 2 2 2" xfId="8007"/>
    <cellStyle name="Обычный 3 5 2 2 5 2 3" xfId="8008"/>
    <cellStyle name="Обычный 3 5 2 2 5 2 4" xfId="8009"/>
    <cellStyle name="Обычный 3 5 2 2 5 2 5" xfId="8010"/>
    <cellStyle name="Обычный 3 5 2 2 5 2 6" xfId="8011"/>
    <cellStyle name="Обычный 3 5 2 2 5 2 7" xfId="8012"/>
    <cellStyle name="Обычный 3 5 2 2 5 2 8" xfId="8013"/>
    <cellStyle name="Обычный 3 5 2 2 5 2 9" xfId="8014"/>
    <cellStyle name="Обычный 3 5 2 2 5 3" xfId="8015"/>
    <cellStyle name="Обычный 3 5 2 2 5 3 2" xfId="8016"/>
    <cellStyle name="Обычный 3 5 2 2 5 4" xfId="8017"/>
    <cellStyle name="Обычный 3 5 2 2 5 5" xfId="8018"/>
    <cellStyle name="Обычный 3 5 2 2 5 6" xfId="8019"/>
    <cellStyle name="Обычный 3 5 2 2 5 7" xfId="8020"/>
    <cellStyle name="Обычный 3 5 2 2 5 8" xfId="8021"/>
    <cellStyle name="Обычный 3 5 2 2 5 9" xfId="8022"/>
    <cellStyle name="Обычный 3 5 2 2 6" xfId="8023"/>
    <cellStyle name="Обычный 3 5 2 2 6 10" xfId="8024"/>
    <cellStyle name="Обычный 3 5 2 2 6 11" xfId="18672"/>
    <cellStyle name="Обычный 3 5 2 2 6 12" xfId="20368"/>
    <cellStyle name="Обычный 3 5 2 2 6 13" xfId="21980"/>
    <cellStyle name="Обычный 3 5 2 2 6 2" xfId="8025"/>
    <cellStyle name="Обычный 3 5 2 2 6 2 2" xfId="8026"/>
    <cellStyle name="Обычный 3 5 2 2 6 3" xfId="8027"/>
    <cellStyle name="Обычный 3 5 2 2 6 4" xfId="8028"/>
    <cellStyle name="Обычный 3 5 2 2 6 5" xfId="8029"/>
    <cellStyle name="Обычный 3 5 2 2 6 6" xfId="8030"/>
    <cellStyle name="Обычный 3 5 2 2 6 7" xfId="8031"/>
    <cellStyle name="Обычный 3 5 2 2 6 8" xfId="8032"/>
    <cellStyle name="Обычный 3 5 2 2 6 9" xfId="8033"/>
    <cellStyle name="Обычный 3 5 2 2 7" xfId="8034"/>
    <cellStyle name="Обычный 3 5 2 2 7 10" xfId="20369"/>
    <cellStyle name="Обычный 3 5 2 2 7 11" xfId="21981"/>
    <cellStyle name="Обычный 3 5 2 2 7 2" xfId="8035"/>
    <cellStyle name="Обычный 3 5 2 2 7 2 2" xfId="8036"/>
    <cellStyle name="Обычный 3 5 2 2 7 3" xfId="8037"/>
    <cellStyle name="Обычный 3 5 2 2 7 4" xfId="8038"/>
    <cellStyle name="Обычный 3 5 2 2 7 5" xfId="8039"/>
    <cellStyle name="Обычный 3 5 2 2 7 6" xfId="8040"/>
    <cellStyle name="Обычный 3 5 2 2 7 7" xfId="8041"/>
    <cellStyle name="Обычный 3 5 2 2 7 8" xfId="8042"/>
    <cellStyle name="Обычный 3 5 2 2 7 9" xfId="18673"/>
    <cellStyle name="Обычный 3 5 2 2 8" xfId="8043"/>
    <cellStyle name="Обычный 3 5 2 2 8 2" xfId="8044"/>
    <cellStyle name="Обычный 3 5 2 2 9" xfId="8045"/>
    <cellStyle name="Обычный 3 5 2 20" xfId="18662"/>
    <cellStyle name="Обычный 3 5 2 21" xfId="20358"/>
    <cellStyle name="Обычный 3 5 2 22" xfId="21970"/>
    <cellStyle name="Обычный 3 5 2 3" xfId="8046"/>
    <cellStyle name="Обычный 3 5 2 3 10" xfId="8047"/>
    <cellStyle name="Обычный 3 5 2 3 11" xfId="8048"/>
    <cellStyle name="Обычный 3 5 2 3 12" xfId="8049"/>
    <cellStyle name="Обычный 3 5 2 3 13" xfId="8050"/>
    <cellStyle name="Обычный 3 5 2 3 14" xfId="8051"/>
    <cellStyle name="Обычный 3 5 2 3 15" xfId="8052"/>
    <cellStyle name="Обычный 3 5 2 3 16" xfId="8053"/>
    <cellStyle name="Обычный 3 5 2 3 17" xfId="8054"/>
    <cellStyle name="Обычный 3 5 2 3 18" xfId="18674"/>
    <cellStyle name="Обычный 3 5 2 3 19" xfId="20370"/>
    <cellStyle name="Обычный 3 5 2 3 2" xfId="8055"/>
    <cellStyle name="Обычный 3 5 2 3 2 10" xfId="8056"/>
    <cellStyle name="Обычный 3 5 2 3 2 11" xfId="8057"/>
    <cellStyle name="Обычный 3 5 2 3 2 12" xfId="18675"/>
    <cellStyle name="Обычный 3 5 2 3 2 13" xfId="20371"/>
    <cellStyle name="Обычный 3 5 2 3 2 14" xfId="21983"/>
    <cellStyle name="Обычный 3 5 2 3 2 2" xfId="8058"/>
    <cellStyle name="Обычный 3 5 2 3 2 2 10" xfId="8059"/>
    <cellStyle name="Обычный 3 5 2 3 2 2 11" xfId="18676"/>
    <cellStyle name="Обычный 3 5 2 3 2 2 12" xfId="20372"/>
    <cellStyle name="Обычный 3 5 2 3 2 2 13" xfId="21984"/>
    <cellStyle name="Обычный 3 5 2 3 2 2 2" xfId="8060"/>
    <cellStyle name="Обычный 3 5 2 3 2 2 2 2" xfId="8061"/>
    <cellStyle name="Обычный 3 5 2 3 2 2 3" xfId="8062"/>
    <cellStyle name="Обычный 3 5 2 3 2 2 4" xfId="8063"/>
    <cellStyle name="Обычный 3 5 2 3 2 2 5" xfId="8064"/>
    <cellStyle name="Обычный 3 5 2 3 2 2 6" xfId="8065"/>
    <cellStyle name="Обычный 3 5 2 3 2 2 7" xfId="8066"/>
    <cellStyle name="Обычный 3 5 2 3 2 2 8" xfId="8067"/>
    <cellStyle name="Обычный 3 5 2 3 2 2 9" xfId="8068"/>
    <cellStyle name="Обычный 3 5 2 3 2 3" xfId="8069"/>
    <cellStyle name="Обычный 3 5 2 3 2 3 2" xfId="8070"/>
    <cellStyle name="Обычный 3 5 2 3 2 4" xfId="8071"/>
    <cellStyle name="Обычный 3 5 2 3 2 5" xfId="8072"/>
    <cellStyle name="Обычный 3 5 2 3 2 6" xfId="8073"/>
    <cellStyle name="Обычный 3 5 2 3 2 7" xfId="8074"/>
    <cellStyle name="Обычный 3 5 2 3 2 8" xfId="8075"/>
    <cellStyle name="Обычный 3 5 2 3 2 9" xfId="8076"/>
    <cellStyle name="Обычный 3 5 2 3 20" xfId="21982"/>
    <cellStyle name="Обычный 3 5 2 3 3" xfId="8077"/>
    <cellStyle name="Обычный 3 5 2 3 3 10" xfId="8078"/>
    <cellStyle name="Обычный 3 5 2 3 3 11" xfId="8079"/>
    <cellStyle name="Обычный 3 5 2 3 3 12" xfId="18677"/>
    <cellStyle name="Обычный 3 5 2 3 3 13" xfId="20373"/>
    <cellStyle name="Обычный 3 5 2 3 3 14" xfId="21985"/>
    <cellStyle name="Обычный 3 5 2 3 3 2" xfId="8080"/>
    <cellStyle name="Обычный 3 5 2 3 3 2 10" xfId="8081"/>
    <cellStyle name="Обычный 3 5 2 3 3 2 11" xfId="18678"/>
    <cellStyle name="Обычный 3 5 2 3 3 2 12" xfId="20374"/>
    <cellStyle name="Обычный 3 5 2 3 3 2 13" xfId="21986"/>
    <cellStyle name="Обычный 3 5 2 3 3 2 2" xfId="8082"/>
    <cellStyle name="Обычный 3 5 2 3 3 2 2 2" xfId="8083"/>
    <cellStyle name="Обычный 3 5 2 3 3 2 3" xfId="8084"/>
    <cellStyle name="Обычный 3 5 2 3 3 2 4" xfId="8085"/>
    <cellStyle name="Обычный 3 5 2 3 3 2 5" xfId="8086"/>
    <cellStyle name="Обычный 3 5 2 3 3 2 6" xfId="8087"/>
    <cellStyle name="Обычный 3 5 2 3 3 2 7" xfId="8088"/>
    <cellStyle name="Обычный 3 5 2 3 3 2 8" xfId="8089"/>
    <cellStyle name="Обычный 3 5 2 3 3 2 9" xfId="8090"/>
    <cellStyle name="Обычный 3 5 2 3 3 3" xfId="8091"/>
    <cellStyle name="Обычный 3 5 2 3 3 3 2" xfId="8092"/>
    <cellStyle name="Обычный 3 5 2 3 3 4" xfId="8093"/>
    <cellStyle name="Обычный 3 5 2 3 3 5" xfId="8094"/>
    <cellStyle name="Обычный 3 5 2 3 3 6" xfId="8095"/>
    <cellStyle name="Обычный 3 5 2 3 3 7" xfId="8096"/>
    <cellStyle name="Обычный 3 5 2 3 3 8" xfId="8097"/>
    <cellStyle name="Обычный 3 5 2 3 3 9" xfId="8098"/>
    <cellStyle name="Обычный 3 5 2 3 4" xfId="8099"/>
    <cellStyle name="Обычный 3 5 2 3 4 10" xfId="8100"/>
    <cellStyle name="Обычный 3 5 2 3 4 11" xfId="8101"/>
    <cellStyle name="Обычный 3 5 2 3 4 12" xfId="18679"/>
    <cellStyle name="Обычный 3 5 2 3 4 13" xfId="20375"/>
    <cellStyle name="Обычный 3 5 2 3 4 14" xfId="21987"/>
    <cellStyle name="Обычный 3 5 2 3 4 2" xfId="8102"/>
    <cellStyle name="Обычный 3 5 2 3 4 2 10" xfId="8103"/>
    <cellStyle name="Обычный 3 5 2 3 4 2 11" xfId="18680"/>
    <cellStyle name="Обычный 3 5 2 3 4 2 12" xfId="20376"/>
    <cellStyle name="Обычный 3 5 2 3 4 2 13" xfId="21988"/>
    <cellStyle name="Обычный 3 5 2 3 4 2 2" xfId="8104"/>
    <cellStyle name="Обычный 3 5 2 3 4 2 2 2" xfId="8105"/>
    <cellStyle name="Обычный 3 5 2 3 4 2 3" xfId="8106"/>
    <cellStyle name="Обычный 3 5 2 3 4 2 4" xfId="8107"/>
    <cellStyle name="Обычный 3 5 2 3 4 2 5" xfId="8108"/>
    <cellStyle name="Обычный 3 5 2 3 4 2 6" xfId="8109"/>
    <cellStyle name="Обычный 3 5 2 3 4 2 7" xfId="8110"/>
    <cellStyle name="Обычный 3 5 2 3 4 2 8" xfId="8111"/>
    <cellStyle name="Обычный 3 5 2 3 4 2 9" xfId="8112"/>
    <cellStyle name="Обычный 3 5 2 3 4 3" xfId="8113"/>
    <cellStyle name="Обычный 3 5 2 3 4 3 2" xfId="8114"/>
    <cellStyle name="Обычный 3 5 2 3 4 4" xfId="8115"/>
    <cellStyle name="Обычный 3 5 2 3 4 5" xfId="8116"/>
    <cellStyle name="Обычный 3 5 2 3 4 6" xfId="8117"/>
    <cellStyle name="Обычный 3 5 2 3 4 7" xfId="8118"/>
    <cellStyle name="Обычный 3 5 2 3 4 8" xfId="8119"/>
    <cellStyle name="Обычный 3 5 2 3 4 9" xfId="8120"/>
    <cellStyle name="Обычный 3 5 2 3 5" xfId="8121"/>
    <cellStyle name="Обычный 3 5 2 3 5 10" xfId="8122"/>
    <cellStyle name="Обычный 3 5 2 3 5 11" xfId="8123"/>
    <cellStyle name="Обычный 3 5 2 3 5 12" xfId="18681"/>
    <cellStyle name="Обычный 3 5 2 3 5 13" xfId="20377"/>
    <cellStyle name="Обычный 3 5 2 3 5 14" xfId="21989"/>
    <cellStyle name="Обычный 3 5 2 3 5 2" xfId="8124"/>
    <cellStyle name="Обычный 3 5 2 3 5 2 10" xfId="8125"/>
    <cellStyle name="Обычный 3 5 2 3 5 2 11" xfId="18682"/>
    <cellStyle name="Обычный 3 5 2 3 5 2 12" xfId="20378"/>
    <cellStyle name="Обычный 3 5 2 3 5 2 13" xfId="21990"/>
    <cellStyle name="Обычный 3 5 2 3 5 2 2" xfId="8126"/>
    <cellStyle name="Обычный 3 5 2 3 5 2 2 2" xfId="8127"/>
    <cellStyle name="Обычный 3 5 2 3 5 2 3" xfId="8128"/>
    <cellStyle name="Обычный 3 5 2 3 5 2 4" xfId="8129"/>
    <cellStyle name="Обычный 3 5 2 3 5 2 5" xfId="8130"/>
    <cellStyle name="Обычный 3 5 2 3 5 2 6" xfId="8131"/>
    <cellStyle name="Обычный 3 5 2 3 5 2 7" xfId="8132"/>
    <cellStyle name="Обычный 3 5 2 3 5 2 8" xfId="8133"/>
    <cellStyle name="Обычный 3 5 2 3 5 2 9" xfId="8134"/>
    <cellStyle name="Обычный 3 5 2 3 5 3" xfId="8135"/>
    <cellStyle name="Обычный 3 5 2 3 5 3 2" xfId="8136"/>
    <cellStyle name="Обычный 3 5 2 3 5 4" xfId="8137"/>
    <cellStyle name="Обычный 3 5 2 3 5 5" xfId="8138"/>
    <cellStyle name="Обычный 3 5 2 3 5 6" xfId="8139"/>
    <cellStyle name="Обычный 3 5 2 3 5 7" xfId="8140"/>
    <cellStyle name="Обычный 3 5 2 3 5 8" xfId="8141"/>
    <cellStyle name="Обычный 3 5 2 3 5 9" xfId="8142"/>
    <cellStyle name="Обычный 3 5 2 3 6" xfId="8143"/>
    <cellStyle name="Обычный 3 5 2 3 6 10" xfId="8144"/>
    <cellStyle name="Обычный 3 5 2 3 6 11" xfId="18683"/>
    <cellStyle name="Обычный 3 5 2 3 6 12" xfId="20379"/>
    <cellStyle name="Обычный 3 5 2 3 6 13" xfId="21991"/>
    <cellStyle name="Обычный 3 5 2 3 6 2" xfId="8145"/>
    <cellStyle name="Обычный 3 5 2 3 6 2 2" xfId="8146"/>
    <cellStyle name="Обычный 3 5 2 3 6 3" xfId="8147"/>
    <cellStyle name="Обычный 3 5 2 3 6 4" xfId="8148"/>
    <cellStyle name="Обычный 3 5 2 3 6 5" xfId="8149"/>
    <cellStyle name="Обычный 3 5 2 3 6 6" xfId="8150"/>
    <cellStyle name="Обычный 3 5 2 3 6 7" xfId="8151"/>
    <cellStyle name="Обычный 3 5 2 3 6 8" xfId="8152"/>
    <cellStyle name="Обычный 3 5 2 3 6 9" xfId="8153"/>
    <cellStyle name="Обычный 3 5 2 3 7" xfId="8154"/>
    <cellStyle name="Обычный 3 5 2 3 7 10" xfId="20380"/>
    <cellStyle name="Обычный 3 5 2 3 7 11" xfId="21992"/>
    <cellStyle name="Обычный 3 5 2 3 7 2" xfId="8155"/>
    <cellStyle name="Обычный 3 5 2 3 7 2 2" xfId="8156"/>
    <cellStyle name="Обычный 3 5 2 3 7 3" xfId="8157"/>
    <cellStyle name="Обычный 3 5 2 3 7 4" xfId="8158"/>
    <cellStyle name="Обычный 3 5 2 3 7 5" xfId="8159"/>
    <cellStyle name="Обычный 3 5 2 3 7 6" xfId="8160"/>
    <cellStyle name="Обычный 3 5 2 3 7 7" xfId="8161"/>
    <cellStyle name="Обычный 3 5 2 3 7 8" xfId="8162"/>
    <cellStyle name="Обычный 3 5 2 3 7 9" xfId="18684"/>
    <cellStyle name="Обычный 3 5 2 3 8" xfId="8163"/>
    <cellStyle name="Обычный 3 5 2 3 8 2" xfId="8164"/>
    <cellStyle name="Обычный 3 5 2 3 9" xfId="8165"/>
    <cellStyle name="Обычный 3 5 2 4" xfId="8166"/>
    <cellStyle name="Обычный 3 5 2 4 10" xfId="8167"/>
    <cellStyle name="Обычный 3 5 2 4 11" xfId="8168"/>
    <cellStyle name="Обычный 3 5 2 4 12" xfId="18685"/>
    <cellStyle name="Обычный 3 5 2 4 13" xfId="20381"/>
    <cellStyle name="Обычный 3 5 2 4 14" xfId="21993"/>
    <cellStyle name="Обычный 3 5 2 4 2" xfId="8169"/>
    <cellStyle name="Обычный 3 5 2 4 2 10" xfId="8170"/>
    <cellStyle name="Обычный 3 5 2 4 2 11" xfId="18686"/>
    <cellStyle name="Обычный 3 5 2 4 2 12" xfId="20382"/>
    <cellStyle name="Обычный 3 5 2 4 2 13" xfId="21994"/>
    <cellStyle name="Обычный 3 5 2 4 2 2" xfId="8171"/>
    <cellStyle name="Обычный 3 5 2 4 2 2 2" xfId="8172"/>
    <cellStyle name="Обычный 3 5 2 4 2 3" xfId="8173"/>
    <cellStyle name="Обычный 3 5 2 4 2 4" xfId="8174"/>
    <cellStyle name="Обычный 3 5 2 4 2 5" xfId="8175"/>
    <cellStyle name="Обычный 3 5 2 4 2 6" xfId="8176"/>
    <cellStyle name="Обычный 3 5 2 4 2 7" xfId="8177"/>
    <cellStyle name="Обычный 3 5 2 4 2 8" xfId="8178"/>
    <cellStyle name="Обычный 3 5 2 4 2 9" xfId="8179"/>
    <cellStyle name="Обычный 3 5 2 4 3" xfId="8180"/>
    <cellStyle name="Обычный 3 5 2 4 3 2" xfId="8181"/>
    <cellStyle name="Обычный 3 5 2 4 4" xfId="8182"/>
    <cellStyle name="Обычный 3 5 2 4 5" xfId="8183"/>
    <cellStyle name="Обычный 3 5 2 4 6" xfId="8184"/>
    <cellStyle name="Обычный 3 5 2 4 7" xfId="8185"/>
    <cellStyle name="Обычный 3 5 2 4 8" xfId="8186"/>
    <cellStyle name="Обычный 3 5 2 4 9" xfId="8187"/>
    <cellStyle name="Обычный 3 5 2 5" xfId="8188"/>
    <cellStyle name="Обычный 3 5 2 5 10" xfId="8189"/>
    <cellStyle name="Обычный 3 5 2 5 11" xfId="8190"/>
    <cellStyle name="Обычный 3 5 2 5 12" xfId="18687"/>
    <cellStyle name="Обычный 3 5 2 5 13" xfId="20383"/>
    <cellStyle name="Обычный 3 5 2 5 14" xfId="21995"/>
    <cellStyle name="Обычный 3 5 2 5 2" xfId="8191"/>
    <cellStyle name="Обычный 3 5 2 5 2 10" xfId="8192"/>
    <cellStyle name="Обычный 3 5 2 5 2 11" xfId="18688"/>
    <cellStyle name="Обычный 3 5 2 5 2 12" xfId="20384"/>
    <cellStyle name="Обычный 3 5 2 5 2 13" xfId="21996"/>
    <cellStyle name="Обычный 3 5 2 5 2 2" xfId="8193"/>
    <cellStyle name="Обычный 3 5 2 5 2 2 2" xfId="8194"/>
    <cellStyle name="Обычный 3 5 2 5 2 3" xfId="8195"/>
    <cellStyle name="Обычный 3 5 2 5 2 4" xfId="8196"/>
    <cellStyle name="Обычный 3 5 2 5 2 5" xfId="8197"/>
    <cellStyle name="Обычный 3 5 2 5 2 6" xfId="8198"/>
    <cellStyle name="Обычный 3 5 2 5 2 7" xfId="8199"/>
    <cellStyle name="Обычный 3 5 2 5 2 8" xfId="8200"/>
    <cellStyle name="Обычный 3 5 2 5 2 9" xfId="8201"/>
    <cellStyle name="Обычный 3 5 2 5 3" xfId="8202"/>
    <cellStyle name="Обычный 3 5 2 5 3 2" xfId="8203"/>
    <cellStyle name="Обычный 3 5 2 5 4" xfId="8204"/>
    <cellStyle name="Обычный 3 5 2 5 5" xfId="8205"/>
    <cellStyle name="Обычный 3 5 2 5 6" xfId="8206"/>
    <cellStyle name="Обычный 3 5 2 5 7" xfId="8207"/>
    <cellStyle name="Обычный 3 5 2 5 8" xfId="8208"/>
    <cellStyle name="Обычный 3 5 2 5 9" xfId="8209"/>
    <cellStyle name="Обычный 3 5 2 6" xfId="8210"/>
    <cellStyle name="Обычный 3 5 2 6 10" xfId="8211"/>
    <cellStyle name="Обычный 3 5 2 6 11" xfId="8212"/>
    <cellStyle name="Обычный 3 5 2 6 12" xfId="18689"/>
    <cellStyle name="Обычный 3 5 2 6 13" xfId="20385"/>
    <cellStyle name="Обычный 3 5 2 6 14" xfId="21997"/>
    <cellStyle name="Обычный 3 5 2 6 2" xfId="8213"/>
    <cellStyle name="Обычный 3 5 2 6 2 10" xfId="8214"/>
    <cellStyle name="Обычный 3 5 2 6 2 11" xfId="18690"/>
    <cellStyle name="Обычный 3 5 2 6 2 12" xfId="20386"/>
    <cellStyle name="Обычный 3 5 2 6 2 13" xfId="21998"/>
    <cellStyle name="Обычный 3 5 2 6 2 2" xfId="8215"/>
    <cellStyle name="Обычный 3 5 2 6 2 2 2" xfId="8216"/>
    <cellStyle name="Обычный 3 5 2 6 2 3" xfId="8217"/>
    <cellStyle name="Обычный 3 5 2 6 2 4" xfId="8218"/>
    <cellStyle name="Обычный 3 5 2 6 2 5" xfId="8219"/>
    <cellStyle name="Обычный 3 5 2 6 2 6" xfId="8220"/>
    <cellStyle name="Обычный 3 5 2 6 2 7" xfId="8221"/>
    <cellStyle name="Обычный 3 5 2 6 2 8" xfId="8222"/>
    <cellStyle name="Обычный 3 5 2 6 2 9" xfId="8223"/>
    <cellStyle name="Обычный 3 5 2 6 3" xfId="8224"/>
    <cellStyle name="Обычный 3 5 2 6 3 2" xfId="8225"/>
    <cellStyle name="Обычный 3 5 2 6 4" xfId="8226"/>
    <cellStyle name="Обычный 3 5 2 6 5" xfId="8227"/>
    <cellStyle name="Обычный 3 5 2 6 6" xfId="8228"/>
    <cellStyle name="Обычный 3 5 2 6 7" xfId="8229"/>
    <cellStyle name="Обычный 3 5 2 6 8" xfId="8230"/>
    <cellStyle name="Обычный 3 5 2 6 9" xfId="8231"/>
    <cellStyle name="Обычный 3 5 2 7" xfId="8232"/>
    <cellStyle name="Обычный 3 5 2 7 10" xfId="8233"/>
    <cellStyle name="Обычный 3 5 2 7 11" xfId="8234"/>
    <cellStyle name="Обычный 3 5 2 7 12" xfId="18691"/>
    <cellStyle name="Обычный 3 5 2 7 13" xfId="20387"/>
    <cellStyle name="Обычный 3 5 2 7 14" xfId="21999"/>
    <cellStyle name="Обычный 3 5 2 7 2" xfId="8235"/>
    <cellStyle name="Обычный 3 5 2 7 2 10" xfId="8236"/>
    <cellStyle name="Обычный 3 5 2 7 2 11" xfId="18692"/>
    <cellStyle name="Обычный 3 5 2 7 2 12" xfId="20388"/>
    <cellStyle name="Обычный 3 5 2 7 2 13" xfId="22000"/>
    <cellStyle name="Обычный 3 5 2 7 2 2" xfId="8237"/>
    <cellStyle name="Обычный 3 5 2 7 2 2 2" xfId="8238"/>
    <cellStyle name="Обычный 3 5 2 7 2 3" xfId="8239"/>
    <cellStyle name="Обычный 3 5 2 7 2 4" xfId="8240"/>
    <cellStyle name="Обычный 3 5 2 7 2 5" xfId="8241"/>
    <cellStyle name="Обычный 3 5 2 7 2 6" xfId="8242"/>
    <cellStyle name="Обычный 3 5 2 7 2 7" xfId="8243"/>
    <cellStyle name="Обычный 3 5 2 7 2 8" xfId="8244"/>
    <cellStyle name="Обычный 3 5 2 7 2 9" xfId="8245"/>
    <cellStyle name="Обычный 3 5 2 7 3" xfId="8246"/>
    <cellStyle name="Обычный 3 5 2 7 3 2" xfId="8247"/>
    <cellStyle name="Обычный 3 5 2 7 4" xfId="8248"/>
    <cellStyle name="Обычный 3 5 2 7 5" xfId="8249"/>
    <cellStyle name="Обычный 3 5 2 7 6" xfId="8250"/>
    <cellStyle name="Обычный 3 5 2 7 7" xfId="8251"/>
    <cellStyle name="Обычный 3 5 2 7 8" xfId="8252"/>
    <cellStyle name="Обычный 3 5 2 7 9" xfId="8253"/>
    <cellStyle name="Обычный 3 5 2 8" xfId="8254"/>
    <cellStyle name="Обычный 3 5 2 8 10" xfId="8255"/>
    <cellStyle name="Обычный 3 5 2 8 11" xfId="18693"/>
    <cellStyle name="Обычный 3 5 2 8 12" xfId="20389"/>
    <cellStyle name="Обычный 3 5 2 8 13" xfId="22001"/>
    <cellStyle name="Обычный 3 5 2 8 2" xfId="8256"/>
    <cellStyle name="Обычный 3 5 2 8 2 2" xfId="8257"/>
    <cellStyle name="Обычный 3 5 2 8 3" xfId="8258"/>
    <cellStyle name="Обычный 3 5 2 8 4" xfId="8259"/>
    <cellStyle name="Обычный 3 5 2 8 5" xfId="8260"/>
    <cellStyle name="Обычный 3 5 2 8 6" xfId="8261"/>
    <cellStyle name="Обычный 3 5 2 8 7" xfId="8262"/>
    <cellStyle name="Обычный 3 5 2 8 8" xfId="8263"/>
    <cellStyle name="Обычный 3 5 2 8 9" xfId="8264"/>
    <cellStyle name="Обычный 3 5 2 9" xfId="8265"/>
    <cellStyle name="Обычный 3 5 2 9 10" xfId="20390"/>
    <cellStyle name="Обычный 3 5 2 9 11" xfId="22002"/>
    <cellStyle name="Обычный 3 5 2 9 2" xfId="8266"/>
    <cellStyle name="Обычный 3 5 2 9 2 2" xfId="8267"/>
    <cellStyle name="Обычный 3 5 2 9 3" xfId="8268"/>
    <cellStyle name="Обычный 3 5 2 9 4" xfId="8269"/>
    <cellStyle name="Обычный 3 5 2 9 5" xfId="8270"/>
    <cellStyle name="Обычный 3 5 2 9 6" xfId="8271"/>
    <cellStyle name="Обычный 3 5 2 9 7" xfId="8272"/>
    <cellStyle name="Обычный 3 5 2 9 8" xfId="8273"/>
    <cellStyle name="Обычный 3 5 2 9 9" xfId="18694"/>
    <cellStyle name="Обычный 3 5 20" xfId="8274"/>
    <cellStyle name="Обычный 3 5 21" xfId="8275"/>
    <cellStyle name="Обычный 3 5 22" xfId="8276"/>
    <cellStyle name="Обычный 3 5 23" xfId="8277"/>
    <cellStyle name="Обычный 3 5 24" xfId="18656"/>
    <cellStyle name="Обычный 3 5 25" xfId="19633"/>
    <cellStyle name="Обычный 3 5 26" xfId="20352"/>
    <cellStyle name="Обычный 3 5 27" xfId="21964"/>
    <cellStyle name="Обычный 3 5 3" xfId="8278"/>
    <cellStyle name="Обычный 3 5 3 10" xfId="8279"/>
    <cellStyle name="Обычный 3 5 3 11" xfId="8280"/>
    <cellStyle name="Обычный 3 5 3 12" xfId="8281"/>
    <cellStyle name="Обычный 3 5 3 13" xfId="8282"/>
    <cellStyle name="Обычный 3 5 3 14" xfId="8283"/>
    <cellStyle name="Обычный 3 5 3 15" xfId="8284"/>
    <cellStyle name="Обычный 3 5 3 16" xfId="8285"/>
    <cellStyle name="Обычный 3 5 3 17" xfId="8286"/>
    <cellStyle name="Обычный 3 5 3 18" xfId="18695"/>
    <cellStyle name="Обычный 3 5 3 19" xfId="20391"/>
    <cellStyle name="Обычный 3 5 3 2" xfId="8287"/>
    <cellStyle name="Обычный 3 5 3 2 10" xfId="8288"/>
    <cellStyle name="Обычный 3 5 3 2 11" xfId="8289"/>
    <cellStyle name="Обычный 3 5 3 2 12" xfId="18696"/>
    <cellStyle name="Обычный 3 5 3 2 13" xfId="20392"/>
    <cellStyle name="Обычный 3 5 3 2 14" xfId="22004"/>
    <cellStyle name="Обычный 3 5 3 2 2" xfId="8290"/>
    <cellStyle name="Обычный 3 5 3 2 2 10" xfId="8291"/>
    <cellStyle name="Обычный 3 5 3 2 2 11" xfId="18697"/>
    <cellStyle name="Обычный 3 5 3 2 2 12" xfId="20393"/>
    <cellStyle name="Обычный 3 5 3 2 2 13" xfId="22005"/>
    <cellStyle name="Обычный 3 5 3 2 2 2" xfId="8292"/>
    <cellStyle name="Обычный 3 5 3 2 2 2 2" xfId="8293"/>
    <cellStyle name="Обычный 3 5 3 2 2 3" xfId="8294"/>
    <cellStyle name="Обычный 3 5 3 2 2 4" xfId="8295"/>
    <cellStyle name="Обычный 3 5 3 2 2 5" xfId="8296"/>
    <cellStyle name="Обычный 3 5 3 2 2 6" xfId="8297"/>
    <cellStyle name="Обычный 3 5 3 2 2 7" xfId="8298"/>
    <cellStyle name="Обычный 3 5 3 2 2 8" xfId="8299"/>
    <cellStyle name="Обычный 3 5 3 2 2 9" xfId="8300"/>
    <cellStyle name="Обычный 3 5 3 2 3" xfId="8301"/>
    <cellStyle name="Обычный 3 5 3 2 3 2" xfId="8302"/>
    <cellStyle name="Обычный 3 5 3 2 4" xfId="8303"/>
    <cellStyle name="Обычный 3 5 3 2 5" xfId="8304"/>
    <cellStyle name="Обычный 3 5 3 2 6" xfId="8305"/>
    <cellStyle name="Обычный 3 5 3 2 7" xfId="8306"/>
    <cellStyle name="Обычный 3 5 3 2 8" xfId="8307"/>
    <cellStyle name="Обычный 3 5 3 2 9" xfId="8308"/>
    <cellStyle name="Обычный 3 5 3 20" xfId="22003"/>
    <cellStyle name="Обычный 3 5 3 3" xfId="8309"/>
    <cellStyle name="Обычный 3 5 3 3 10" xfId="8310"/>
    <cellStyle name="Обычный 3 5 3 3 11" xfId="8311"/>
    <cellStyle name="Обычный 3 5 3 3 12" xfId="18698"/>
    <cellStyle name="Обычный 3 5 3 3 13" xfId="20394"/>
    <cellStyle name="Обычный 3 5 3 3 14" xfId="22006"/>
    <cellStyle name="Обычный 3 5 3 3 2" xfId="8312"/>
    <cellStyle name="Обычный 3 5 3 3 2 10" xfId="8313"/>
    <cellStyle name="Обычный 3 5 3 3 2 11" xfId="18699"/>
    <cellStyle name="Обычный 3 5 3 3 2 12" xfId="20395"/>
    <cellStyle name="Обычный 3 5 3 3 2 13" xfId="22007"/>
    <cellStyle name="Обычный 3 5 3 3 2 2" xfId="8314"/>
    <cellStyle name="Обычный 3 5 3 3 2 2 2" xfId="8315"/>
    <cellStyle name="Обычный 3 5 3 3 2 3" xfId="8316"/>
    <cellStyle name="Обычный 3 5 3 3 2 4" xfId="8317"/>
    <cellStyle name="Обычный 3 5 3 3 2 5" xfId="8318"/>
    <cellStyle name="Обычный 3 5 3 3 2 6" xfId="8319"/>
    <cellStyle name="Обычный 3 5 3 3 2 7" xfId="8320"/>
    <cellStyle name="Обычный 3 5 3 3 2 8" xfId="8321"/>
    <cellStyle name="Обычный 3 5 3 3 2 9" xfId="8322"/>
    <cellStyle name="Обычный 3 5 3 3 3" xfId="8323"/>
    <cellStyle name="Обычный 3 5 3 3 3 2" xfId="8324"/>
    <cellStyle name="Обычный 3 5 3 3 4" xfId="8325"/>
    <cellStyle name="Обычный 3 5 3 3 5" xfId="8326"/>
    <cellStyle name="Обычный 3 5 3 3 6" xfId="8327"/>
    <cellStyle name="Обычный 3 5 3 3 7" xfId="8328"/>
    <cellStyle name="Обычный 3 5 3 3 8" xfId="8329"/>
    <cellStyle name="Обычный 3 5 3 3 9" xfId="8330"/>
    <cellStyle name="Обычный 3 5 3 4" xfId="8331"/>
    <cellStyle name="Обычный 3 5 3 4 10" xfId="8332"/>
    <cellStyle name="Обычный 3 5 3 4 11" xfId="8333"/>
    <cellStyle name="Обычный 3 5 3 4 12" xfId="18700"/>
    <cellStyle name="Обычный 3 5 3 4 13" xfId="20396"/>
    <cellStyle name="Обычный 3 5 3 4 14" xfId="22008"/>
    <cellStyle name="Обычный 3 5 3 4 2" xfId="8334"/>
    <cellStyle name="Обычный 3 5 3 4 2 10" xfId="8335"/>
    <cellStyle name="Обычный 3 5 3 4 2 11" xfId="18701"/>
    <cellStyle name="Обычный 3 5 3 4 2 12" xfId="20397"/>
    <cellStyle name="Обычный 3 5 3 4 2 13" xfId="22009"/>
    <cellStyle name="Обычный 3 5 3 4 2 2" xfId="8336"/>
    <cellStyle name="Обычный 3 5 3 4 2 2 2" xfId="8337"/>
    <cellStyle name="Обычный 3 5 3 4 2 3" xfId="8338"/>
    <cellStyle name="Обычный 3 5 3 4 2 4" xfId="8339"/>
    <cellStyle name="Обычный 3 5 3 4 2 5" xfId="8340"/>
    <cellStyle name="Обычный 3 5 3 4 2 6" xfId="8341"/>
    <cellStyle name="Обычный 3 5 3 4 2 7" xfId="8342"/>
    <cellStyle name="Обычный 3 5 3 4 2 8" xfId="8343"/>
    <cellStyle name="Обычный 3 5 3 4 2 9" xfId="8344"/>
    <cellStyle name="Обычный 3 5 3 4 3" xfId="8345"/>
    <cellStyle name="Обычный 3 5 3 4 3 2" xfId="8346"/>
    <cellStyle name="Обычный 3 5 3 4 4" xfId="8347"/>
    <cellStyle name="Обычный 3 5 3 4 5" xfId="8348"/>
    <cellStyle name="Обычный 3 5 3 4 6" xfId="8349"/>
    <cellStyle name="Обычный 3 5 3 4 7" xfId="8350"/>
    <cellStyle name="Обычный 3 5 3 4 8" xfId="8351"/>
    <cellStyle name="Обычный 3 5 3 4 9" xfId="8352"/>
    <cellStyle name="Обычный 3 5 3 5" xfId="8353"/>
    <cellStyle name="Обычный 3 5 3 5 10" xfId="8354"/>
    <cellStyle name="Обычный 3 5 3 5 11" xfId="8355"/>
    <cellStyle name="Обычный 3 5 3 5 12" xfId="18702"/>
    <cellStyle name="Обычный 3 5 3 5 13" xfId="20398"/>
    <cellStyle name="Обычный 3 5 3 5 14" xfId="22010"/>
    <cellStyle name="Обычный 3 5 3 5 2" xfId="8356"/>
    <cellStyle name="Обычный 3 5 3 5 2 10" xfId="8357"/>
    <cellStyle name="Обычный 3 5 3 5 2 11" xfId="18703"/>
    <cellStyle name="Обычный 3 5 3 5 2 12" xfId="20399"/>
    <cellStyle name="Обычный 3 5 3 5 2 13" xfId="22011"/>
    <cellStyle name="Обычный 3 5 3 5 2 2" xfId="8358"/>
    <cellStyle name="Обычный 3 5 3 5 2 2 2" xfId="8359"/>
    <cellStyle name="Обычный 3 5 3 5 2 3" xfId="8360"/>
    <cellStyle name="Обычный 3 5 3 5 2 4" xfId="8361"/>
    <cellStyle name="Обычный 3 5 3 5 2 5" xfId="8362"/>
    <cellStyle name="Обычный 3 5 3 5 2 6" xfId="8363"/>
    <cellStyle name="Обычный 3 5 3 5 2 7" xfId="8364"/>
    <cellStyle name="Обычный 3 5 3 5 2 8" xfId="8365"/>
    <cellStyle name="Обычный 3 5 3 5 2 9" xfId="8366"/>
    <cellStyle name="Обычный 3 5 3 5 3" xfId="8367"/>
    <cellStyle name="Обычный 3 5 3 5 3 2" xfId="8368"/>
    <cellStyle name="Обычный 3 5 3 5 4" xfId="8369"/>
    <cellStyle name="Обычный 3 5 3 5 5" xfId="8370"/>
    <cellStyle name="Обычный 3 5 3 5 6" xfId="8371"/>
    <cellStyle name="Обычный 3 5 3 5 7" xfId="8372"/>
    <cellStyle name="Обычный 3 5 3 5 8" xfId="8373"/>
    <cellStyle name="Обычный 3 5 3 5 9" xfId="8374"/>
    <cellStyle name="Обычный 3 5 3 6" xfId="8375"/>
    <cellStyle name="Обычный 3 5 3 6 10" xfId="8376"/>
    <cellStyle name="Обычный 3 5 3 6 11" xfId="18704"/>
    <cellStyle name="Обычный 3 5 3 6 12" xfId="20400"/>
    <cellStyle name="Обычный 3 5 3 6 13" xfId="22012"/>
    <cellStyle name="Обычный 3 5 3 6 2" xfId="8377"/>
    <cellStyle name="Обычный 3 5 3 6 2 2" xfId="8378"/>
    <cellStyle name="Обычный 3 5 3 6 3" xfId="8379"/>
    <cellStyle name="Обычный 3 5 3 6 4" xfId="8380"/>
    <cellStyle name="Обычный 3 5 3 6 5" xfId="8381"/>
    <cellStyle name="Обычный 3 5 3 6 6" xfId="8382"/>
    <cellStyle name="Обычный 3 5 3 6 7" xfId="8383"/>
    <cellStyle name="Обычный 3 5 3 6 8" xfId="8384"/>
    <cellStyle name="Обычный 3 5 3 6 9" xfId="8385"/>
    <cellStyle name="Обычный 3 5 3 7" xfId="8386"/>
    <cellStyle name="Обычный 3 5 3 7 10" xfId="20401"/>
    <cellStyle name="Обычный 3 5 3 7 11" xfId="22013"/>
    <cellStyle name="Обычный 3 5 3 7 2" xfId="8387"/>
    <cellStyle name="Обычный 3 5 3 7 2 2" xfId="8388"/>
    <cellStyle name="Обычный 3 5 3 7 3" xfId="8389"/>
    <cellStyle name="Обычный 3 5 3 7 4" xfId="8390"/>
    <cellStyle name="Обычный 3 5 3 7 5" xfId="8391"/>
    <cellStyle name="Обычный 3 5 3 7 6" xfId="8392"/>
    <cellStyle name="Обычный 3 5 3 7 7" xfId="8393"/>
    <cellStyle name="Обычный 3 5 3 7 8" xfId="8394"/>
    <cellStyle name="Обычный 3 5 3 7 9" xfId="18705"/>
    <cellStyle name="Обычный 3 5 3 8" xfId="8395"/>
    <cellStyle name="Обычный 3 5 3 8 2" xfId="8396"/>
    <cellStyle name="Обычный 3 5 3 9" xfId="8397"/>
    <cellStyle name="Обычный 3 5 4" xfId="8398"/>
    <cellStyle name="Обычный 3 5 4 10" xfId="8399"/>
    <cellStyle name="Обычный 3 5 4 11" xfId="8400"/>
    <cellStyle name="Обычный 3 5 4 12" xfId="8401"/>
    <cellStyle name="Обычный 3 5 4 13" xfId="8402"/>
    <cellStyle name="Обычный 3 5 4 14" xfId="8403"/>
    <cellStyle name="Обычный 3 5 4 15" xfId="8404"/>
    <cellStyle name="Обычный 3 5 4 16" xfId="8405"/>
    <cellStyle name="Обычный 3 5 4 17" xfId="8406"/>
    <cellStyle name="Обычный 3 5 4 18" xfId="18706"/>
    <cellStyle name="Обычный 3 5 4 19" xfId="20402"/>
    <cellStyle name="Обычный 3 5 4 2" xfId="8407"/>
    <cellStyle name="Обычный 3 5 4 2 10" xfId="8408"/>
    <cellStyle name="Обычный 3 5 4 2 11" xfId="8409"/>
    <cellStyle name="Обычный 3 5 4 2 12" xfId="18707"/>
    <cellStyle name="Обычный 3 5 4 2 13" xfId="20403"/>
    <cellStyle name="Обычный 3 5 4 2 14" xfId="22015"/>
    <cellStyle name="Обычный 3 5 4 2 2" xfId="8410"/>
    <cellStyle name="Обычный 3 5 4 2 2 10" xfId="8411"/>
    <cellStyle name="Обычный 3 5 4 2 2 11" xfId="18708"/>
    <cellStyle name="Обычный 3 5 4 2 2 12" xfId="20404"/>
    <cellStyle name="Обычный 3 5 4 2 2 13" xfId="22016"/>
    <cellStyle name="Обычный 3 5 4 2 2 2" xfId="8412"/>
    <cellStyle name="Обычный 3 5 4 2 2 2 2" xfId="8413"/>
    <cellStyle name="Обычный 3 5 4 2 2 3" xfId="8414"/>
    <cellStyle name="Обычный 3 5 4 2 2 4" xfId="8415"/>
    <cellStyle name="Обычный 3 5 4 2 2 5" xfId="8416"/>
    <cellStyle name="Обычный 3 5 4 2 2 6" xfId="8417"/>
    <cellStyle name="Обычный 3 5 4 2 2 7" xfId="8418"/>
    <cellStyle name="Обычный 3 5 4 2 2 8" xfId="8419"/>
    <cellStyle name="Обычный 3 5 4 2 2 9" xfId="8420"/>
    <cellStyle name="Обычный 3 5 4 2 3" xfId="8421"/>
    <cellStyle name="Обычный 3 5 4 2 3 2" xfId="8422"/>
    <cellStyle name="Обычный 3 5 4 2 4" xfId="8423"/>
    <cellStyle name="Обычный 3 5 4 2 5" xfId="8424"/>
    <cellStyle name="Обычный 3 5 4 2 6" xfId="8425"/>
    <cellStyle name="Обычный 3 5 4 2 7" xfId="8426"/>
    <cellStyle name="Обычный 3 5 4 2 8" xfId="8427"/>
    <cellStyle name="Обычный 3 5 4 2 9" xfId="8428"/>
    <cellStyle name="Обычный 3 5 4 20" xfId="22014"/>
    <cellStyle name="Обычный 3 5 4 3" xfId="8429"/>
    <cellStyle name="Обычный 3 5 4 3 10" xfId="8430"/>
    <cellStyle name="Обычный 3 5 4 3 11" xfId="8431"/>
    <cellStyle name="Обычный 3 5 4 3 12" xfId="18709"/>
    <cellStyle name="Обычный 3 5 4 3 13" xfId="20405"/>
    <cellStyle name="Обычный 3 5 4 3 14" xfId="22017"/>
    <cellStyle name="Обычный 3 5 4 3 2" xfId="8432"/>
    <cellStyle name="Обычный 3 5 4 3 2 10" xfId="8433"/>
    <cellStyle name="Обычный 3 5 4 3 2 11" xfId="18710"/>
    <cellStyle name="Обычный 3 5 4 3 2 12" xfId="20406"/>
    <cellStyle name="Обычный 3 5 4 3 2 13" xfId="22018"/>
    <cellStyle name="Обычный 3 5 4 3 2 2" xfId="8434"/>
    <cellStyle name="Обычный 3 5 4 3 2 2 2" xfId="8435"/>
    <cellStyle name="Обычный 3 5 4 3 2 3" xfId="8436"/>
    <cellStyle name="Обычный 3 5 4 3 2 4" xfId="8437"/>
    <cellStyle name="Обычный 3 5 4 3 2 5" xfId="8438"/>
    <cellStyle name="Обычный 3 5 4 3 2 6" xfId="8439"/>
    <cellStyle name="Обычный 3 5 4 3 2 7" xfId="8440"/>
    <cellStyle name="Обычный 3 5 4 3 2 8" xfId="8441"/>
    <cellStyle name="Обычный 3 5 4 3 2 9" xfId="8442"/>
    <cellStyle name="Обычный 3 5 4 3 3" xfId="8443"/>
    <cellStyle name="Обычный 3 5 4 3 3 2" xfId="8444"/>
    <cellStyle name="Обычный 3 5 4 3 4" xfId="8445"/>
    <cellStyle name="Обычный 3 5 4 3 5" xfId="8446"/>
    <cellStyle name="Обычный 3 5 4 3 6" xfId="8447"/>
    <cellStyle name="Обычный 3 5 4 3 7" xfId="8448"/>
    <cellStyle name="Обычный 3 5 4 3 8" xfId="8449"/>
    <cellStyle name="Обычный 3 5 4 3 9" xfId="8450"/>
    <cellStyle name="Обычный 3 5 4 4" xfId="8451"/>
    <cellStyle name="Обычный 3 5 4 4 10" xfId="8452"/>
    <cellStyle name="Обычный 3 5 4 4 11" xfId="8453"/>
    <cellStyle name="Обычный 3 5 4 4 12" xfId="18711"/>
    <cellStyle name="Обычный 3 5 4 4 13" xfId="20407"/>
    <cellStyle name="Обычный 3 5 4 4 14" xfId="22019"/>
    <cellStyle name="Обычный 3 5 4 4 2" xfId="8454"/>
    <cellStyle name="Обычный 3 5 4 4 2 10" xfId="8455"/>
    <cellStyle name="Обычный 3 5 4 4 2 11" xfId="18712"/>
    <cellStyle name="Обычный 3 5 4 4 2 12" xfId="20408"/>
    <cellStyle name="Обычный 3 5 4 4 2 13" xfId="22020"/>
    <cellStyle name="Обычный 3 5 4 4 2 2" xfId="8456"/>
    <cellStyle name="Обычный 3 5 4 4 2 2 2" xfId="8457"/>
    <cellStyle name="Обычный 3 5 4 4 2 3" xfId="8458"/>
    <cellStyle name="Обычный 3 5 4 4 2 4" xfId="8459"/>
    <cellStyle name="Обычный 3 5 4 4 2 5" xfId="8460"/>
    <cellStyle name="Обычный 3 5 4 4 2 6" xfId="8461"/>
    <cellStyle name="Обычный 3 5 4 4 2 7" xfId="8462"/>
    <cellStyle name="Обычный 3 5 4 4 2 8" xfId="8463"/>
    <cellStyle name="Обычный 3 5 4 4 2 9" xfId="8464"/>
    <cellStyle name="Обычный 3 5 4 4 3" xfId="8465"/>
    <cellStyle name="Обычный 3 5 4 4 3 2" xfId="8466"/>
    <cellStyle name="Обычный 3 5 4 4 4" xfId="8467"/>
    <cellStyle name="Обычный 3 5 4 4 5" xfId="8468"/>
    <cellStyle name="Обычный 3 5 4 4 6" xfId="8469"/>
    <cellStyle name="Обычный 3 5 4 4 7" xfId="8470"/>
    <cellStyle name="Обычный 3 5 4 4 8" xfId="8471"/>
    <cellStyle name="Обычный 3 5 4 4 9" xfId="8472"/>
    <cellStyle name="Обычный 3 5 4 5" xfId="8473"/>
    <cellStyle name="Обычный 3 5 4 5 10" xfId="8474"/>
    <cellStyle name="Обычный 3 5 4 5 11" xfId="8475"/>
    <cellStyle name="Обычный 3 5 4 5 12" xfId="18713"/>
    <cellStyle name="Обычный 3 5 4 5 13" xfId="20409"/>
    <cellStyle name="Обычный 3 5 4 5 14" xfId="22021"/>
    <cellStyle name="Обычный 3 5 4 5 2" xfId="8476"/>
    <cellStyle name="Обычный 3 5 4 5 2 10" xfId="8477"/>
    <cellStyle name="Обычный 3 5 4 5 2 11" xfId="18714"/>
    <cellStyle name="Обычный 3 5 4 5 2 12" xfId="20410"/>
    <cellStyle name="Обычный 3 5 4 5 2 13" xfId="22022"/>
    <cellStyle name="Обычный 3 5 4 5 2 2" xfId="8478"/>
    <cellStyle name="Обычный 3 5 4 5 2 2 2" xfId="8479"/>
    <cellStyle name="Обычный 3 5 4 5 2 3" xfId="8480"/>
    <cellStyle name="Обычный 3 5 4 5 2 4" xfId="8481"/>
    <cellStyle name="Обычный 3 5 4 5 2 5" xfId="8482"/>
    <cellStyle name="Обычный 3 5 4 5 2 6" xfId="8483"/>
    <cellStyle name="Обычный 3 5 4 5 2 7" xfId="8484"/>
    <cellStyle name="Обычный 3 5 4 5 2 8" xfId="8485"/>
    <cellStyle name="Обычный 3 5 4 5 2 9" xfId="8486"/>
    <cellStyle name="Обычный 3 5 4 5 3" xfId="8487"/>
    <cellStyle name="Обычный 3 5 4 5 3 2" xfId="8488"/>
    <cellStyle name="Обычный 3 5 4 5 4" xfId="8489"/>
    <cellStyle name="Обычный 3 5 4 5 5" xfId="8490"/>
    <cellStyle name="Обычный 3 5 4 5 6" xfId="8491"/>
    <cellStyle name="Обычный 3 5 4 5 7" xfId="8492"/>
    <cellStyle name="Обычный 3 5 4 5 8" xfId="8493"/>
    <cellStyle name="Обычный 3 5 4 5 9" xfId="8494"/>
    <cellStyle name="Обычный 3 5 4 6" xfId="8495"/>
    <cellStyle name="Обычный 3 5 4 6 10" xfId="8496"/>
    <cellStyle name="Обычный 3 5 4 6 11" xfId="18715"/>
    <cellStyle name="Обычный 3 5 4 6 12" xfId="20411"/>
    <cellStyle name="Обычный 3 5 4 6 13" xfId="22023"/>
    <cellStyle name="Обычный 3 5 4 6 2" xfId="8497"/>
    <cellStyle name="Обычный 3 5 4 6 2 2" xfId="8498"/>
    <cellStyle name="Обычный 3 5 4 6 3" xfId="8499"/>
    <cellStyle name="Обычный 3 5 4 6 4" xfId="8500"/>
    <cellStyle name="Обычный 3 5 4 6 5" xfId="8501"/>
    <cellStyle name="Обычный 3 5 4 6 6" xfId="8502"/>
    <cellStyle name="Обычный 3 5 4 6 7" xfId="8503"/>
    <cellStyle name="Обычный 3 5 4 6 8" xfId="8504"/>
    <cellStyle name="Обычный 3 5 4 6 9" xfId="8505"/>
    <cellStyle name="Обычный 3 5 4 7" xfId="8506"/>
    <cellStyle name="Обычный 3 5 4 7 10" xfId="20412"/>
    <cellStyle name="Обычный 3 5 4 7 11" xfId="22024"/>
    <cellStyle name="Обычный 3 5 4 7 2" xfId="8507"/>
    <cellStyle name="Обычный 3 5 4 7 2 2" xfId="8508"/>
    <cellStyle name="Обычный 3 5 4 7 3" xfId="8509"/>
    <cellStyle name="Обычный 3 5 4 7 4" xfId="8510"/>
    <cellStyle name="Обычный 3 5 4 7 5" xfId="8511"/>
    <cellStyle name="Обычный 3 5 4 7 6" xfId="8512"/>
    <cellStyle name="Обычный 3 5 4 7 7" xfId="8513"/>
    <cellStyle name="Обычный 3 5 4 7 8" xfId="8514"/>
    <cellStyle name="Обычный 3 5 4 7 9" xfId="18716"/>
    <cellStyle name="Обычный 3 5 4 8" xfId="8515"/>
    <cellStyle name="Обычный 3 5 4 8 2" xfId="8516"/>
    <cellStyle name="Обычный 3 5 4 9" xfId="8517"/>
    <cellStyle name="Обычный 3 5 5" xfId="8518"/>
    <cellStyle name="Обычный 3 5 5 10" xfId="8519"/>
    <cellStyle name="Обычный 3 5 5 11" xfId="8520"/>
    <cellStyle name="Обычный 3 5 5 12" xfId="18717"/>
    <cellStyle name="Обычный 3 5 5 13" xfId="20413"/>
    <cellStyle name="Обычный 3 5 5 14" xfId="22025"/>
    <cellStyle name="Обычный 3 5 5 2" xfId="8521"/>
    <cellStyle name="Обычный 3 5 5 2 10" xfId="8522"/>
    <cellStyle name="Обычный 3 5 5 2 11" xfId="18718"/>
    <cellStyle name="Обычный 3 5 5 2 12" xfId="20414"/>
    <cellStyle name="Обычный 3 5 5 2 13" xfId="22026"/>
    <cellStyle name="Обычный 3 5 5 2 2" xfId="8523"/>
    <cellStyle name="Обычный 3 5 5 2 2 2" xfId="8524"/>
    <cellStyle name="Обычный 3 5 5 2 3" xfId="8525"/>
    <cellStyle name="Обычный 3 5 5 2 4" xfId="8526"/>
    <cellStyle name="Обычный 3 5 5 2 5" xfId="8527"/>
    <cellStyle name="Обычный 3 5 5 2 6" xfId="8528"/>
    <cellStyle name="Обычный 3 5 5 2 7" xfId="8529"/>
    <cellStyle name="Обычный 3 5 5 2 8" xfId="8530"/>
    <cellStyle name="Обычный 3 5 5 2 9" xfId="8531"/>
    <cellStyle name="Обычный 3 5 5 3" xfId="8532"/>
    <cellStyle name="Обычный 3 5 5 3 2" xfId="8533"/>
    <cellStyle name="Обычный 3 5 5 4" xfId="8534"/>
    <cellStyle name="Обычный 3 5 5 5" xfId="8535"/>
    <cellStyle name="Обычный 3 5 5 6" xfId="8536"/>
    <cellStyle name="Обычный 3 5 5 7" xfId="8537"/>
    <cellStyle name="Обычный 3 5 5 8" xfId="8538"/>
    <cellStyle name="Обычный 3 5 5 9" xfId="8539"/>
    <cellStyle name="Обычный 3 5 6" xfId="8540"/>
    <cellStyle name="Обычный 3 5 6 10" xfId="8541"/>
    <cellStyle name="Обычный 3 5 6 11" xfId="8542"/>
    <cellStyle name="Обычный 3 5 6 12" xfId="18719"/>
    <cellStyle name="Обычный 3 5 6 13" xfId="20415"/>
    <cellStyle name="Обычный 3 5 6 14" xfId="22027"/>
    <cellStyle name="Обычный 3 5 6 2" xfId="8543"/>
    <cellStyle name="Обычный 3 5 6 2 10" xfId="8544"/>
    <cellStyle name="Обычный 3 5 6 2 11" xfId="18720"/>
    <cellStyle name="Обычный 3 5 6 2 12" xfId="20416"/>
    <cellStyle name="Обычный 3 5 6 2 13" xfId="22028"/>
    <cellStyle name="Обычный 3 5 6 2 2" xfId="8545"/>
    <cellStyle name="Обычный 3 5 6 2 2 2" xfId="8546"/>
    <cellStyle name="Обычный 3 5 6 2 3" xfId="8547"/>
    <cellStyle name="Обычный 3 5 6 2 4" xfId="8548"/>
    <cellStyle name="Обычный 3 5 6 2 5" xfId="8549"/>
    <cellStyle name="Обычный 3 5 6 2 6" xfId="8550"/>
    <cellStyle name="Обычный 3 5 6 2 7" xfId="8551"/>
    <cellStyle name="Обычный 3 5 6 2 8" xfId="8552"/>
    <cellStyle name="Обычный 3 5 6 2 9" xfId="8553"/>
    <cellStyle name="Обычный 3 5 6 3" xfId="8554"/>
    <cellStyle name="Обычный 3 5 6 3 2" xfId="8555"/>
    <cellStyle name="Обычный 3 5 6 4" xfId="8556"/>
    <cellStyle name="Обычный 3 5 6 5" xfId="8557"/>
    <cellStyle name="Обычный 3 5 6 6" xfId="8558"/>
    <cellStyle name="Обычный 3 5 6 7" xfId="8559"/>
    <cellStyle name="Обычный 3 5 6 8" xfId="8560"/>
    <cellStyle name="Обычный 3 5 6 9" xfId="8561"/>
    <cellStyle name="Обычный 3 5 7" xfId="8562"/>
    <cellStyle name="Обычный 3 5 7 10" xfId="8563"/>
    <cellStyle name="Обычный 3 5 7 11" xfId="8564"/>
    <cellStyle name="Обычный 3 5 7 12" xfId="18721"/>
    <cellStyle name="Обычный 3 5 7 13" xfId="20417"/>
    <cellStyle name="Обычный 3 5 7 14" xfId="22029"/>
    <cellStyle name="Обычный 3 5 7 2" xfId="8565"/>
    <cellStyle name="Обычный 3 5 7 2 10" xfId="8566"/>
    <cellStyle name="Обычный 3 5 7 2 11" xfId="18722"/>
    <cellStyle name="Обычный 3 5 7 2 12" xfId="20418"/>
    <cellStyle name="Обычный 3 5 7 2 13" xfId="22030"/>
    <cellStyle name="Обычный 3 5 7 2 2" xfId="8567"/>
    <cellStyle name="Обычный 3 5 7 2 2 2" xfId="8568"/>
    <cellStyle name="Обычный 3 5 7 2 3" xfId="8569"/>
    <cellStyle name="Обычный 3 5 7 2 4" xfId="8570"/>
    <cellStyle name="Обычный 3 5 7 2 5" xfId="8571"/>
    <cellStyle name="Обычный 3 5 7 2 6" xfId="8572"/>
    <cellStyle name="Обычный 3 5 7 2 7" xfId="8573"/>
    <cellStyle name="Обычный 3 5 7 2 8" xfId="8574"/>
    <cellStyle name="Обычный 3 5 7 2 9" xfId="8575"/>
    <cellStyle name="Обычный 3 5 7 3" xfId="8576"/>
    <cellStyle name="Обычный 3 5 7 3 2" xfId="8577"/>
    <cellStyle name="Обычный 3 5 7 4" xfId="8578"/>
    <cellStyle name="Обычный 3 5 7 5" xfId="8579"/>
    <cellStyle name="Обычный 3 5 7 6" xfId="8580"/>
    <cellStyle name="Обычный 3 5 7 7" xfId="8581"/>
    <cellStyle name="Обычный 3 5 7 8" xfId="8582"/>
    <cellStyle name="Обычный 3 5 7 9" xfId="8583"/>
    <cellStyle name="Обычный 3 5 8" xfId="8584"/>
    <cellStyle name="Обычный 3 5 8 10" xfId="8585"/>
    <cellStyle name="Обычный 3 5 8 11" xfId="8586"/>
    <cellStyle name="Обычный 3 5 8 12" xfId="18723"/>
    <cellStyle name="Обычный 3 5 8 13" xfId="20419"/>
    <cellStyle name="Обычный 3 5 8 14" xfId="22031"/>
    <cellStyle name="Обычный 3 5 8 2" xfId="8587"/>
    <cellStyle name="Обычный 3 5 8 2 10" xfId="8588"/>
    <cellStyle name="Обычный 3 5 8 2 11" xfId="18724"/>
    <cellStyle name="Обычный 3 5 8 2 12" xfId="20420"/>
    <cellStyle name="Обычный 3 5 8 2 13" xfId="22032"/>
    <cellStyle name="Обычный 3 5 8 2 2" xfId="8589"/>
    <cellStyle name="Обычный 3 5 8 2 2 2" xfId="8590"/>
    <cellStyle name="Обычный 3 5 8 2 3" xfId="8591"/>
    <cellStyle name="Обычный 3 5 8 2 4" xfId="8592"/>
    <cellStyle name="Обычный 3 5 8 2 5" xfId="8593"/>
    <cellStyle name="Обычный 3 5 8 2 6" xfId="8594"/>
    <cellStyle name="Обычный 3 5 8 2 7" xfId="8595"/>
    <cellStyle name="Обычный 3 5 8 2 8" xfId="8596"/>
    <cellStyle name="Обычный 3 5 8 2 9" xfId="8597"/>
    <cellStyle name="Обычный 3 5 8 3" xfId="8598"/>
    <cellStyle name="Обычный 3 5 8 3 2" xfId="8599"/>
    <cellStyle name="Обычный 3 5 8 4" xfId="8600"/>
    <cellStyle name="Обычный 3 5 8 5" xfId="8601"/>
    <cellStyle name="Обычный 3 5 8 6" xfId="8602"/>
    <cellStyle name="Обычный 3 5 8 7" xfId="8603"/>
    <cellStyle name="Обычный 3 5 8 8" xfId="8604"/>
    <cellStyle name="Обычный 3 5 8 9" xfId="8605"/>
    <cellStyle name="Обычный 3 5 9" xfId="8606"/>
    <cellStyle name="Обычный 3 5 9 10" xfId="8607"/>
    <cellStyle name="Обычный 3 5 9 11" xfId="8608"/>
    <cellStyle name="Обычный 3 5 9 12" xfId="18725"/>
    <cellStyle name="Обычный 3 5 9 13" xfId="20421"/>
    <cellStyle name="Обычный 3 5 9 14" xfId="22033"/>
    <cellStyle name="Обычный 3 5 9 2" xfId="8609"/>
    <cellStyle name="Обычный 3 5 9 2 10" xfId="8610"/>
    <cellStyle name="Обычный 3 5 9 2 11" xfId="18726"/>
    <cellStyle name="Обычный 3 5 9 2 12" xfId="20422"/>
    <cellStyle name="Обычный 3 5 9 2 13" xfId="22034"/>
    <cellStyle name="Обычный 3 5 9 2 2" xfId="8611"/>
    <cellStyle name="Обычный 3 5 9 2 2 2" xfId="8612"/>
    <cellStyle name="Обычный 3 5 9 2 3" xfId="8613"/>
    <cellStyle name="Обычный 3 5 9 2 4" xfId="8614"/>
    <cellStyle name="Обычный 3 5 9 2 5" xfId="8615"/>
    <cellStyle name="Обычный 3 5 9 2 6" xfId="8616"/>
    <cellStyle name="Обычный 3 5 9 2 7" xfId="8617"/>
    <cellStyle name="Обычный 3 5 9 2 8" xfId="8618"/>
    <cellStyle name="Обычный 3 5 9 2 9" xfId="8619"/>
    <cellStyle name="Обычный 3 5 9 3" xfId="8620"/>
    <cellStyle name="Обычный 3 5 9 3 2" xfId="8621"/>
    <cellStyle name="Обычный 3 5 9 4" xfId="8622"/>
    <cellStyle name="Обычный 3 5 9 5" xfId="8623"/>
    <cellStyle name="Обычный 3 5 9 6" xfId="8624"/>
    <cellStyle name="Обычный 3 5 9 7" xfId="8625"/>
    <cellStyle name="Обычный 3 5 9 8" xfId="8626"/>
    <cellStyle name="Обычный 3 5 9 9" xfId="8627"/>
    <cellStyle name="Обычный 3 6" xfId="8628"/>
    <cellStyle name="Обычный 3 6 2" xfId="18727"/>
    <cellStyle name="Обычный 3 7" xfId="8629"/>
    <cellStyle name="Обычный 3 8" xfId="8630"/>
    <cellStyle name="Обычный 3 8 10" xfId="8631"/>
    <cellStyle name="Обычный 3 8 10 2" xfId="8632"/>
    <cellStyle name="Обычный 3 8 11" xfId="8633"/>
    <cellStyle name="Обычный 3 8 12" xfId="8634"/>
    <cellStyle name="Обычный 3 8 13" xfId="8635"/>
    <cellStyle name="Обычный 3 8 14" xfId="8636"/>
    <cellStyle name="Обычный 3 8 15" xfId="8637"/>
    <cellStyle name="Обычный 3 8 16" xfId="8638"/>
    <cellStyle name="Обычный 3 8 17" xfId="8639"/>
    <cellStyle name="Обычный 3 8 18" xfId="8640"/>
    <cellStyle name="Обычный 3 8 19" xfId="8641"/>
    <cellStyle name="Обычный 3 8 2" xfId="8642"/>
    <cellStyle name="Обычный 3 8 2 10" xfId="8643"/>
    <cellStyle name="Обычный 3 8 2 11" xfId="8644"/>
    <cellStyle name="Обычный 3 8 2 12" xfId="8645"/>
    <cellStyle name="Обычный 3 8 2 13" xfId="8646"/>
    <cellStyle name="Обычный 3 8 2 14" xfId="8647"/>
    <cellStyle name="Обычный 3 8 2 15" xfId="8648"/>
    <cellStyle name="Обычный 3 8 2 16" xfId="8649"/>
    <cellStyle name="Обычный 3 8 2 17" xfId="8650"/>
    <cellStyle name="Обычный 3 8 2 18" xfId="18729"/>
    <cellStyle name="Обычный 3 8 2 19" xfId="20424"/>
    <cellStyle name="Обычный 3 8 2 2" xfId="8651"/>
    <cellStyle name="Обычный 3 8 2 2 10" xfId="8652"/>
    <cellStyle name="Обычный 3 8 2 2 11" xfId="8653"/>
    <cellStyle name="Обычный 3 8 2 2 12" xfId="18730"/>
    <cellStyle name="Обычный 3 8 2 2 13" xfId="20425"/>
    <cellStyle name="Обычный 3 8 2 2 14" xfId="22037"/>
    <cellStyle name="Обычный 3 8 2 2 2" xfId="8654"/>
    <cellStyle name="Обычный 3 8 2 2 2 10" xfId="8655"/>
    <cellStyle name="Обычный 3 8 2 2 2 11" xfId="18731"/>
    <cellStyle name="Обычный 3 8 2 2 2 12" xfId="20426"/>
    <cellStyle name="Обычный 3 8 2 2 2 13" xfId="22038"/>
    <cellStyle name="Обычный 3 8 2 2 2 2" xfId="8656"/>
    <cellStyle name="Обычный 3 8 2 2 2 2 2" xfId="8657"/>
    <cellStyle name="Обычный 3 8 2 2 2 3" xfId="8658"/>
    <cellStyle name="Обычный 3 8 2 2 2 4" xfId="8659"/>
    <cellStyle name="Обычный 3 8 2 2 2 5" xfId="8660"/>
    <cellStyle name="Обычный 3 8 2 2 2 6" xfId="8661"/>
    <cellStyle name="Обычный 3 8 2 2 2 7" xfId="8662"/>
    <cellStyle name="Обычный 3 8 2 2 2 8" xfId="8663"/>
    <cellStyle name="Обычный 3 8 2 2 2 9" xfId="8664"/>
    <cellStyle name="Обычный 3 8 2 2 3" xfId="8665"/>
    <cellStyle name="Обычный 3 8 2 2 3 2" xfId="8666"/>
    <cellStyle name="Обычный 3 8 2 2 4" xfId="8667"/>
    <cellStyle name="Обычный 3 8 2 2 5" xfId="8668"/>
    <cellStyle name="Обычный 3 8 2 2 6" xfId="8669"/>
    <cellStyle name="Обычный 3 8 2 2 7" xfId="8670"/>
    <cellStyle name="Обычный 3 8 2 2 8" xfId="8671"/>
    <cellStyle name="Обычный 3 8 2 2 9" xfId="8672"/>
    <cellStyle name="Обычный 3 8 2 20" xfId="22036"/>
    <cellStyle name="Обычный 3 8 2 3" xfId="8673"/>
    <cellStyle name="Обычный 3 8 2 3 10" xfId="8674"/>
    <cellStyle name="Обычный 3 8 2 3 11" xfId="8675"/>
    <cellStyle name="Обычный 3 8 2 3 12" xfId="18732"/>
    <cellStyle name="Обычный 3 8 2 3 13" xfId="20427"/>
    <cellStyle name="Обычный 3 8 2 3 14" xfId="22039"/>
    <cellStyle name="Обычный 3 8 2 3 2" xfId="8676"/>
    <cellStyle name="Обычный 3 8 2 3 2 10" xfId="8677"/>
    <cellStyle name="Обычный 3 8 2 3 2 11" xfId="18733"/>
    <cellStyle name="Обычный 3 8 2 3 2 12" xfId="20428"/>
    <cellStyle name="Обычный 3 8 2 3 2 13" xfId="22040"/>
    <cellStyle name="Обычный 3 8 2 3 2 2" xfId="8678"/>
    <cellStyle name="Обычный 3 8 2 3 2 2 2" xfId="8679"/>
    <cellStyle name="Обычный 3 8 2 3 2 3" xfId="8680"/>
    <cellStyle name="Обычный 3 8 2 3 2 4" xfId="8681"/>
    <cellStyle name="Обычный 3 8 2 3 2 5" xfId="8682"/>
    <cellStyle name="Обычный 3 8 2 3 2 6" xfId="8683"/>
    <cellStyle name="Обычный 3 8 2 3 2 7" xfId="8684"/>
    <cellStyle name="Обычный 3 8 2 3 2 8" xfId="8685"/>
    <cellStyle name="Обычный 3 8 2 3 2 9" xfId="8686"/>
    <cellStyle name="Обычный 3 8 2 3 3" xfId="8687"/>
    <cellStyle name="Обычный 3 8 2 3 3 2" xfId="8688"/>
    <cellStyle name="Обычный 3 8 2 3 4" xfId="8689"/>
    <cellStyle name="Обычный 3 8 2 3 5" xfId="8690"/>
    <cellStyle name="Обычный 3 8 2 3 6" xfId="8691"/>
    <cellStyle name="Обычный 3 8 2 3 7" xfId="8692"/>
    <cellStyle name="Обычный 3 8 2 3 8" xfId="8693"/>
    <cellStyle name="Обычный 3 8 2 3 9" xfId="8694"/>
    <cellStyle name="Обычный 3 8 2 4" xfId="8695"/>
    <cellStyle name="Обычный 3 8 2 4 10" xfId="8696"/>
    <cellStyle name="Обычный 3 8 2 4 11" xfId="8697"/>
    <cellStyle name="Обычный 3 8 2 4 12" xfId="18734"/>
    <cellStyle name="Обычный 3 8 2 4 13" xfId="20429"/>
    <cellStyle name="Обычный 3 8 2 4 14" xfId="22041"/>
    <cellStyle name="Обычный 3 8 2 4 2" xfId="8698"/>
    <cellStyle name="Обычный 3 8 2 4 2 10" xfId="8699"/>
    <cellStyle name="Обычный 3 8 2 4 2 11" xfId="18735"/>
    <cellStyle name="Обычный 3 8 2 4 2 12" xfId="20430"/>
    <cellStyle name="Обычный 3 8 2 4 2 13" xfId="22042"/>
    <cellStyle name="Обычный 3 8 2 4 2 2" xfId="8700"/>
    <cellStyle name="Обычный 3 8 2 4 2 2 2" xfId="8701"/>
    <cellStyle name="Обычный 3 8 2 4 2 3" xfId="8702"/>
    <cellStyle name="Обычный 3 8 2 4 2 4" xfId="8703"/>
    <cellStyle name="Обычный 3 8 2 4 2 5" xfId="8704"/>
    <cellStyle name="Обычный 3 8 2 4 2 6" xfId="8705"/>
    <cellStyle name="Обычный 3 8 2 4 2 7" xfId="8706"/>
    <cellStyle name="Обычный 3 8 2 4 2 8" xfId="8707"/>
    <cellStyle name="Обычный 3 8 2 4 2 9" xfId="8708"/>
    <cellStyle name="Обычный 3 8 2 4 3" xfId="8709"/>
    <cellStyle name="Обычный 3 8 2 4 3 2" xfId="8710"/>
    <cellStyle name="Обычный 3 8 2 4 4" xfId="8711"/>
    <cellStyle name="Обычный 3 8 2 4 5" xfId="8712"/>
    <cellStyle name="Обычный 3 8 2 4 6" xfId="8713"/>
    <cellStyle name="Обычный 3 8 2 4 7" xfId="8714"/>
    <cellStyle name="Обычный 3 8 2 4 8" xfId="8715"/>
    <cellStyle name="Обычный 3 8 2 4 9" xfId="8716"/>
    <cellStyle name="Обычный 3 8 2 5" xfId="8717"/>
    <cellStyle name="Обычный 3 8 2 5 10" xfId="8718"/>
    <cellStyle name="Обычный 3 8 2 5 11" xfId="8719"/>
    <cellStyle name="Обычный 3 8 2 5 12" xfId="18736"/>
    <cellStyle name="Обычный 3 8 2 5 13" xfId="20431"/>
    <cellStyle name="Обычный 3 8 2 5 14" xfId="22043"/>
    <cellStyle name="Обычный 3 8 2 5 2" xfId="8720"/>
    <cellStyle name="Обычный 3 8 2 5 2 10" xfId="8721"/>
    <cellStyle name="Обычный 3 8 2 5 2 11" xfId="18737"/>
    <cellStyle name="Обычный 3 8 2 5 2 12" xfId="20432"/>
    <cellStyle name="Обычный 3 8 2 5 2 13" xfId="22044"/>
    <cellStyle name="Обычный 3 8 2 5 2 2" xfId="8722"/>
    <cellStyle name="Обычный 3 8 2 5 2 2 2" xfId="8723"/>
    <cellStyle name="Обычный 3 8 2 5 2 3" xfId="8724"/>
    <cellStyle name="Обычный 3 8 2 5 2 4" xfId="8725"/>
    <cellStyle name="Обычный 3 8 2 5 2 5" xfId="8726"/>
    <cellStyle name="Обычный 3 8 2 5 2 6" xfId="8727"/>
    <cellStyle name="Обычный 3 8 2 5 2 7" xfId="8728"/>
    <cellStyle name="Обычный 3 8 2 5 2 8" xfId="8729"/>
    <cellStyle name="Обычный 3 8 2 5 2 9" xfId="8730"/>
    <cellStyle name="Обычный 3 8 2 5 3" xfId="8731"/>
    <cellStyle name="Обычный 3 8 2 5 3 2" xfId="8732"/>
    <cellStyle name="Обычный 3 8 2 5 4" xfId="8733"/>
    <cellStyle name="Обычный 3 8 2 5 5" xfId="8734"/>
    <cellStyle name="Обычный 3 8 2 5 6" xfId="8735"/>
    <cellStyle name="Обычный 3 8 2 5 7" xfId="8736"/>
    <cellStyle name="Обычный 3 8 2 5 8" xfId="8737"/>
    <cellStyle name="Обычный 3 8 2 5 9" xfId="8738"/>
    <cellStyle name="Обычный 3 8 2 6" xfId="8739"/>
    <cellStyle name="Обычный 3 8 2 6 10" xfId="8740"/>
    <cellStyle name="Обычный 3 8 2 6 11" xfId="18738"/>
    <cellStyle name="Обычный 3 8 2 6 12" xfId="20433"/>
    <cellStyle name="Обычный 3 8 2 6 13" xfId="22045"/>
    <cellStyle name="Обычный 3 8 2 6 2" xfId="8741"/>
    <cellStyle name="Обычный 3 8 2 6 2 2" xfId="8742"/>
    <cellStyle name="Обычный 3 8 2 6 3" xfId="8743"/>
    <cellStyle name="Обычный 3 8 2 6 4" xfId="8744"/>
    <cellStyle name="Обычный 3 8 2 6 5" xfId="8745"/>
    <cellStyle name="Обычный 3 8 2 6 6" xfId="8746"/>
    <cellStyle name="Обычный 3 8 2 6 7" xfId="8747"/>
    <cellStyle name="Обычный 3 8 2 6 8" xfId="8748"/>
    <cellStyle name="Обычный 3 8 2 6 9" xfId="8749"/>
    <cellStyle name="Обычный 3 8 2 7" xfId="8750"/>
    <cellStyle name="Обычный 3 8 2 7 10" xfId="20434"/>
    <cellStyle name="Обычный 3 8 2 7 11" xfId="22046"/>
    <cellStyle name="Обычный 3 8 2 7 2" xfId="8751"/>
    <cellStyle name="Обычный 3 8 2 7 2 2" xfId="8752"/>
    <cellStyle name="Обычный 3 8 2 7 3" xfId="8753"/>
    <cellStyle name="Обычный 3 8 2 7 4" xfId="8754"/>
    <cellStyle name="Обычный 3 8 2 7 5" xfId="8755"/>
    <cellStyle name="Обычный 3 8 2 7 6" xfId="8756"/>
    <cellStyle name="Обычный 3 8 2 7 7" xfId="8757"/>
    <cellStyle name="Обычный 3 8 2 7 8" xfId="8758"/>
    <cellStyle name="Обычный 3 8 2 7 9" xfId="18739"/>
    <cellStyle name="Обычный 3 8 2 8" xfId="8759"/>
    <cellStyle name="Обычный 3 8 2 8 2" xfId="8760"/>
    <cellStyle name="Обычный 3 8 2 9" xfId="8761"/>
    <cellStyle name="Обычный 3 8 20" xfId="18728"/>
    <cellStyle name="Обычный 3 8 21" xfId="20423"/>
    <cellStyle name="Обычный 3 8 22" xfId="22035"/>
    <cellStyle name="Обычный 3 8 3" xfId="8762"/>
    <cellStyle name="Обычный 3 8 3 10" xfId="8763"/>
    <cellStyle name="Обычный 3 8 3 11" xfId="8764"/>
    <cellStyle name="Обычный 3 8 3 12" xfId="8765"/>
    <cellStyle name="Обычный 3 8 3 13" xfId="8766"/>
    <cellStyle name="Обычный 3 8 3 14" xfId="8767"/>
    <cellStyle name="Обычный 3 8 3 15" xfId="8768"/>
    <cellStyle name="Обычный 3 8 3 16" xfId="8769"/>
    <cellStyle name="Обычный 3 8 3 17" xfId="8770"/>
    <cellStyle name="Обычный 3 8 3 18" xfId="18740"/>
    <cellStyle name="Обычный 3 8 3 19" xfId="20435"/>
    <cellStyle name="Обычный 3 8 3 2" xfId="8771"/>
    <cellStyle name="Обычный 3 8 3 2 10" xfId="8772"/>
    <cellStyle name="Обычный 3 8 3 2 11" xfId="8773"/>
    <cellStyle name="Обычный 3 8 3 2 12" xfId="18741"/>
    <cellStyle name="Обычный 3 8 3 2 13" xfId="20436"/>
    <cellStyle name="Обычный 3 8 3 2 14" xfId="22048"/>
    <cellStyle name="Обычный 3 8 3 2 2" xfId="8774"/>
    <cellStyle name="Обычный 3 8 3 2 2 10" xfId="8775"/>
    <cellStyle name="Обычный 3 8 3 2 2 11" xfId="18742"/>
    <cellStyle name="Обычный 3 8 3 2 2 12" xfId="20437"/>
    <cellStyle name="Обычный 3 8 3 2 2 13" xfId="22049"/>
    <cellStyle name="Обычный 3 8 3 2 2 2" xfId="8776"/>
    <cellStyle name="Обычный 3 8 3 2 2 2 2" xfId="8777"/>
    <cellStyle name="Обычный 3 8 3 2 2 3" xfId="8778"/>
    <cellStyle name="Обычный 3 8 3 2 2 4" xfId="8779"/>
    <cellStyle name="Обычный 3 8 3 2 2 5" xfId="8780"/>
    <cellStyle name="Обычный 3 8 3 2 2 6" xfId="8781"/>
    <cellStyle name="Обычный 3 8 3 2 2 7" xfId="8782"/>
    <cellStyle name="Обычный 3 8 3 2 2 8" xfId="8783"/>
    <cellStyle name="Обычный 3 8 3 2 2 9" xfId="8784"/>
    <cellStyle name="Обычный 3 8 3 2 3" xfId="8785"/>
    <cellStyle name="Обычный 3 8 3 2 3 2" xfId="8786"/>
    <cellStyle name="Обычный 3 8 3 2 4" xfId="8787"/>
    <cellStyle name="Обычный 3 8 3 2 5" xfId="8788"/>
    <cellStyle name="Обычный 3 8 3 2 6" xfId="8789"/>
    <cellStyle name="Обычный 3 8 3 2 7" xfId="8790"/>
    <cellStyle name="Обычный 3 8 3 2 8" xfId="8791"/>
    <cellStyle name="Обычный 3 8 3 2 9" xfId="8792"/>
    <cellStyle name="Обычный 3 8 3 20" xfId="22047"/>
    <cellStyle name="Обычный 3 8 3 3" xfId="8793"/>
    <cellStyle name="Обычный 3 8 3 3 10" xfId="8794"/>
    <cellStyle name="Обычный 3 8 3 3 11" xfId="8795"/>
    <cellStyle name="Обычный 3 8 3 3 12" xfId="18743"/>
    <cellStyle name="Обычный 3 8 3 3 13" xfId="20438"/>
    <cellStyle name="Обычный 3 8 3 3 14" xfId="22050"/>
    <cellStyle name="Обычный 3 8 3 3 2" xfId="8796"/>
    <cellStyle name="Обычный 3 8 3 3 2 10" xfId="8797"/>
    <cellStyle name="Обычный 3 8 3 3 2 11" xfId="18744"/>
    <cellStyle name="Обычный 3 8 3 3 2 12" xfId="20439"/>
    <cellStyle name="Обычный 3 8 3 3 2 13" xfId="22051"/>
    <cellStyle name="Обычный 3 8 3 3 2 2" xfId="8798"/>
    <cellStyle name="Обычный 3 8 3 3 2 2 2" xfId="8799"/>
    <cellStyle name="Обычный 3 8 3 3 2 3" xfId="8800"/>
    <cellStyle name="Обычный 3 8 3 3 2 4" xfId="8801"/>
    <cellStyle name="Обычный 3 8 3 3 2 5" xfId="8802"/>
    <cellStyle name="Обычный 3 8 3 3 2 6" xfId="8803"/>
    <cellStyle name="Обычный 3 8 3 3 2 7" xfId="8804"/>
    <cellStyle name="Обычный 3 8 3 3 2 8" xfId="8805"/>
    <cellStyle name="Обычный 3 8 3 3 2 9" xfId="8806"/>
    <cellStyle name="Обычный 3 8 3 3 3" xfId="8807"/>
    <cellStyle name="Обычный 3 8 3 3 3 2" xfId="8808"/>
    <cellStyle name="Обычный 3 8 3 3 4" xfId="8809"/>
    <cellStyle name="Обычный 3 8 3 3 5" xfId="8810"/>
    <cellStyle name="Обычный 3 8 3 3 6" xfId="8811"/>
    <cellStyle name="Обычный 3 8 3 3 7" xfId="8812"/>
    <cellStyle name="Обычный 3 8 3 3 8" xfId="8813"/>
    <cellStyle name="Обычный 3 8 3 3 9" xfId="8814"/>
    <cellStyle name="Обычный 3 8 3 4" xfId="8815"/>
    <cellStyle name="Обычный 3 8 3 4 10" xfId="8816"/>
    <cellStyle name="Обычный 3 8 3 4 11" xfId="8817"/>
    <cellStyle name="Обычный 3 8 3 4 12" xfId="18745"/>
    <cellStyle name="Обычный 3 8 3 4 13" xfId="20440"/>
    <cellStyle name="Обычный 3 8 3 4 14" xfId="22052"/>
    <cellStyle name="Обычный 3 8 3 4 2" xfId="8818"/>
    <cellStyle name="Обычный 3 8 3 4 2 10" xfId="8819"/>
    <cellStyle name="Обычный 3 8 3 4 2 11" xfId="18746"/>
    <cellStyle name="Обычный 3 8 3 4 2 12" xfId="20441"/>
    <cellStyle name="Обычный 3 8 3 4 2 13" xfId="22053"/>
    <cellStyle name="Обычный 3 8 3 4 2 2" xfId="8820"/>
    <cellStyle name="Обычный 3 8 3 4 2 2 2" xfId="8821"/>
    <cellStyle name="Обычный 3 8 3 4 2 3" xfId="8822"/>
    <cellStyle name="Обычный 3 8 3 4 2 4" xfId="8823"/>
    <cellStyle name="Обычный 3 8 3 4 2 5" xfId="8824"/>
    <cellStyle name="Обычный 3 8 3 4 2 6" xfId="8825"/>
    <cellStyle name="Обычный 3 8 3 4 2 7" xfId="8826"/>
    <cellStyle name="Обычный 3 8 3 4 2 8" xfId="8827"/>
    <cellStyle name="Обычный 3 8 3 4 2 9" xfId="8828"/>
    <cellStyle name="Обычный 3 8 3 4 3" xfId="8829"/>
    <cellStyle name="Обычный 3 8 3 4 3 2" xfId="8830"/>
    <cellStyle name="Обычный 3 8 3 4 4" xfId="8831"/>
    <cellStyle name="Обычный 3 8 3 4 5" xfId="8832"/>
    <cellStyle name="Обычный 3 8 3 4 6" xfId="8833"/>
    <cellStyle name="Обычный 3 8 3 4 7" xfId="8834"/>
    <cellStyle name="Обычный 3 8 3 4 8" xfId="8835"/>
    <cellStyle name="Обычный 3 8 3 4 9" xfId="8836"/>
    <cellStyle name="Обычный 3 8 3 5" xfId="8837"/>
    <cellStyle name="Обычный 3 8 3 5 10" xfId="8838"/>
    <cellStyle name="Обычный 3 8 3 5 11" xfId="8839"/>
    <cellStyle name="Обычный 3 8 3 5 12" xfId="18747"/>
    <cellStyle name="Обычный 3 8 3 5 13" xfId="20442"/>
    <cellStyle name="Обычный 3 8 3 5 14" xfId="22054"/>
    <cellStyle name="Обычный 3 8 3 5 2" xfId="8840"/>
    <cellStyle name="Обычный 3 8 3 5 2 10" xfId="8841"/>
    <cellStyle name="Обычный 3 8 3 5 2 11" xfId="18748"/>
    <cellStyle name="Обычный 3 8 3 5 2 12" xfId="20443"/>
    <cellStyle name="Обычный 3 8 3 5 2 13" xfId="22055"/>
    <cellStyle name="Обычный 3 8 3 5 2 2" xfId="8842"/>
    <cellStyle name="Обычный 3 8 3 5 2 2 2" xfId="8843"/>
    <cellStyle name="Обычный 3 8 3 5 2 3" xfId="8844"/>
    <cellStyle name="Обычный 3 8 3 5 2 4" xfId="8845"/>
    <cellStyle name="Обычный 3 8 3 5 2 5" xfId="8846"/>
    <cellStyle name="Обычный 3 8 3 5 2 6" xfId="8847"/>
    <cellStyle name="Обычный 3 8 3 5 2 7" xfId="8848"/>
    <cellStyle name="Обычный 3 8 3 5 2 8" xfId="8849"/>
    <cellStyle name="Обычный 3 8 3 5 2 9" xfId="8850"/>
    <cellStyle name="Обычный 3 8 3 5 3" xfId="8851"/>
    <cellStyle name="Обычный 3 8 3 5 3 2" xfId="8852"/>
    <cellStyle name="Обычный 3 8 3 5 4" xfId="8853"/>
    <cellStyle name="Обычный 3 8 3 5 5" xfId="8854"/>
    <cellStyle name="Обычный 3 8 3 5 6" xfId="8855"/>
    <cellStyle name="Обычный 3 8 3 5 7" xfId="8856"/>
    <cellStyle name="Обычный 3 8 3 5 8" xfId="8857"/>
    <cellStyle name="Обычный 3 8 3 5 9" xfId="8858"/>
    <cellStyle name="Обычный 3 8 3 6" xfId="8859"/>
    <cellStyle name="Обычный 3 8 3 6 10" xfId="8860"/>
    <cellStyle name="Обычный 3 8 3 6 11" xfId="18749"/>
    <cellStyle name="Обычный 3 8 3 6 12" xfId="20444"/>
    <cellStyle name="Обычный 3 8 3 6 13" xfId="22056"/>
    <cellStyle name="Обычный 3 8 3 6 2" xfId="8861"/>
    <cellStyle name="Обычный 3 8 3 6 2 2" xfId="8862"/>
    <cellStyle name="Обычный 3 8 3 6 3" xfId="8863"/>
    <cellStyle name="Обычный 3 8 3 6 4" xfId="8864"/>
    <cellStyle name="Обычный 3 8 3 6 5" xfId="8865"/>
    <cellStyle name="Обычный 3 8 3 6 6" xfId="8866"/>
    <cellStyle name="Обычный 3 8 3 6 7" xfId="8867"/>
    <cellStyle name="Обычный 3 8 3 6 8" xfId="8868"/>
    <cellStyle name="Обычный 3 8 3 6 9" xfId="8869"/>
    <cellStyle name="Обычный 3 8 3 7" xfId="8870"/>
    <cellStyle name="Обычный 3 8 3 7 10" xfId="20445"/>
    <cellStyle name="Обычный 3 8 3 7 11" xfId="22057"/>
    <cellStyle name="Обычный 3 8 3 7 2" xfId="8871"/>
    <cellStyle name="Обычный 3 8 3 7 2 2" xfId="8872"/>
    <cellStyle name="Обычный 3 8 3 7 3" xfId="8873"/>
    <cellStyle name="Обычный 3 8 3 7 4" xfId="8874"/>
    <cellStyle name="Обычный 3 8 3 7 5" xfId="8875"/>
    <cellStyle name="Обычный 3 8 3 7 6" xfId="8876"/>
    <cellStyle name="Обычный 3 8 3 7 7" xfId="8877"/>
    <cellStyle name="Обычный 3 8 3 7 8" xfId="8878"/>
    <cellStyle name="Обычный 3 8 3 7 9" xfId="18750"/>
    <cellStyle name="Обычный 3 8 3 8" xfId="8879"/>
    <cellStyle name="Обычный 3 8 3 8 2" xfId="8880"/>
    <cellStyle name="Обычный 3 8 3 9" xfId="8881"/>
    <cellStyle name="Обычный 3 8 4" xfId="8882"/>
    <cellStyle name="Обычный 3 8 4 10" xfId="8883"/>
    <cellStyle name="Обычный 3 8 4 11" xfId="8884"/>
    <cellStyle name="Обычный 3 8 4 12" xfId="18751"/>
    <cellStyle name="Обычный 3 8 4 13" xfId="20446"/>
    <cellStyle name="Обычный 3 8 4 14" xfId="22058"/>
    <cellStyle name="Обычный 3 8 4 2" xfId="8885"/>
    <cellStyle name="Обычный 3 8 4 2 10" xfId="8886"/>
    <cellStyle name="Обычный 3 8 4 2 11" xfId="18752"/>
    <cellStyle name="Обычный 3 8 4 2 12" xfId="20447"/>
    <cellStyle name="Обычный 3 8 4 2 13" xfId="22059"/>
    <cellStyle name="Обычный 3 8 4 2 2" xfId="8887"/>
    <cellStyle name="Обычный 3 8 4 2 2 2" xfId="8888"/>
    <cellStyle name="Обычный 3 8 4 2 3" xfId="8889"/>
    <cellStyle name="Обычный 3 8 4 2 4" xfId="8890"/>
    <cellStyle name="Обычный 3 8 4 2 5" xfId="8891"/>
    <cellStyle name="Обычный 3 8 4 2 6" xfId="8892"/>
    <cellStyle name="Обычный 3 8 4 2 7" xfId="8893"/>
    <cellStyle name="Обычный 3 8 4 2 8" xfId="8894"/>
    <cellStyle name="Обычный 3 8 4 2 9" xfId="8895"/>
    <cellStyle name="Обычный 3 8 4 3" xfId="8896"/>
    <cellStyle name="Обычный 3 8 4 3 2" xfId="8897"/>
    <cellStyle name="Обычный 3 8 4 4" xfId="8898"/>
    <cellStyle name="Обычный 3 8 4 5" xfId="8899"/>
    <cellStyle name="Обычный 3 8 4 6" xfId="8900"/>
    <cellStyle name="Обычный 3 8 4 7" xfId="8901"/>
    <cellStyle name="Обычный 3 8 4 8" xfId="8902"/>
    <cellStyle name="Обычный 3 8 4 9" xfId="8903"/>
    <cellStyle name="Обычный 3 8 5" xfId="8904"/>
    <cellStyle name="Обычный 3 8 5 10" xfId="8905"/>
    <cellStyle name="Обычный 3 8 5 11" xfId="8906"/>
    <cellStyle name="Обычный 3 8 5 12" xfId="18753"/>
    <cellStyle name="Обычный 3 8 5 13" xfId="20448"/>
    <cellStyle name="Обычный 3 8 5 14" xfId="22060"/>
    <cellStyle name="Обычный 3 8 5 2" xfId="8907"/>
    <cellStyle name="Обычный 3 8 5 2 10" xfId="8908"/>
    <cellStyle name="Обычный 3 8 5 2 11" xfId="18754"/>
    <cellStyle name="Обычный 3 8 5 2 12" xfId="20449"/>
    <cellStyle name="Обычный 3 8 5 2 13" xfId="22061"/>
    <cellStyle name="Обычный 3 8 5 2 2" xfId="8909"/>
    <cellStyle name="Обычный 3 8 5 2 2 2" xfId="8910"/>
    <cellStyle name="Обычный 3 8 5 2 3" xfId="8911"/>
    <cellStyle name="Обычный 3 8 5 2 4" xfId="8912"/>
    <cellStyle name="Обычный 3 8 5 2 5" xfId="8913"/>
    <cellStyle name="Обычный 3 8 5 2 6" xfId="8914"/>
    <cellStyle name="Обычный 3 8 5 2 7" xfId="8915"/>
    <cellStyle name="Обычный 3 8 5 2 8" xfId="8916"/>
    <cellStyle name="Обычный 3 8 5 2 9" xfId="8917"/>
    <cellStyle name="Обычный 3 8 5 3" xfId="8918"/>
    <cellStyle name="Обычный 3 8 5 3 2" xfId="8919"/>
    <cellStyle name="Обычный 3 8 5 4" xfId="8920"/>
    <cellStyle name="Обычный 3 8 5 5" xfId="8921"/>
    <cellStyle name="Обычный 3 8 5 6" xfId="8922"/>
    <cellStyle name="Обычный 3 8 5 7" xfId="8923"/>
    <cellStyle name="Обычный 3 8 5 8" xfId="8924"/>
    <cellStyle name="Обычный 3 8 5 9" xfId="8925"/>
    <cellStyle name="Обычный 3 8 6" xfId="8926"/>
    <cellStyle name="Обычный 3 8 6 10" xfId="8927"/>
    <cellStyle name="Обычный 3 8 6 11" xfId="8928"/>
    <cellStyle name="Обычный 3 8 6 12" xfId="18755"/>
    <cellStyle name="Обычный 3 8 6 13" xfId="20450"/>
    <cellStyle name="Обычный 3 8 6 14" xfId="22062"/>
    <cellStyle name="Обычный 3 8 6 2" xfId="8929"/>
    <cellStyle name="Обычный 3 8 6 2 10" xfId="8930"/>
    <cellStyle name="Обычный 3 8 6 2 11" xfId="18756"/>
    <cellStyle name="Обычный 3 8 6 2 12" xfId="20451"/>
    <cellStyle name="Обычный 3 8 6 2 13" xfId="22063"/>
    <cellStyle name="Обычный 3 8 6 2 2" xfId="8931"/>
    <cellStyle name="Обычный 3 8 6 2 2 2" xfId="8932"/>
    <cellStyle name="Обычный 3 8 6 2 3" xfId="8933"/>
    <cellStyle name="Обычный 3 8 6 2 4" xfId="8934"/>
    <cellStyle name="Обычный 3 8 6 2 5" xfId="8935"/>
    <cellStyle name="Обычный 3 8 6 2 6" xfId="8936"/>
    <cellStyle name="Обычный 3 8 6 2 7" xfId="8937"/>
    <cellStyle name="Обычный 3 8 6 2 8" xfId="8938"/>
    <cellStyle name="Обычный 3 8 6 2 9" xfId="8939"/>
    <cellStyle name="Обычный 3 8 6 3" xfId="8940"/>
    <cellStyle name="Обычный 3 8 6 3 2" xfId="8941"/>
    <cellStyle name="Обычный 3 8 6 4" xfId="8942"/>
    <cellStyle name="Обычный 3 8 6 5" xfId="8943"/>
    <cellStyle name="Обычный 3 8 6 6" xfId="8944"/>
    <cellStyle name="Обычный 3 8 6 7" xfId="8945"/>
    <cellStyle name="Обычный 3 8 6 8" xfId="8946"/>
    <cellStyle name="Обычный 3 8 6 9" xfId="8947"/>
    <cellStyle name="Обычный 3 8 7" xfId="8948"/>
    <cellStyle name="Обычный 3 8 7 10" xfId="8949"/>
    <cellStyle name="Обычный 3 8 7 11" xfId="8950"/>
    <cellStyle name="Обычный 3 8 7 12" xfId="18757"/>
    <cellStyle name="Обычный 3 8 7 13" xfId="20452"/>
    <cellStyle name="Обычный 3 8 7 14" xfId="22064"/>
    <cellStyle name="Обычный 3 8 7 2" xfId="8951"/>
    <cellStyle name="Обычный 3 8 7 2 10" xfId="8952"/>
    <cellStyle name="Обычный 3 8 7 2 11" xfId="18758"/>
    <cellStyle name="Обычный 3 8 7 2 12" xfId="20453"/>
    <cellStyle name="Обычный 3 8 7 2 13" xfId="22065"/>
    <cellStyle name="Обычный 3 8 7 2 2" xfId="8953"/>
    <cellStyle name="Обычный 3 8 7 2 2 2" xfId="8954"/>
    <cellStyle name="Обычный 3 8 7 2 3" xfId="8955"/>
    <cellStyle name="Обычный 3 8 7 2 4" xfId="8956"/>
    <cellStyle name="Обычный 3 8 7 2 5" xfId="8957"/>
    <cellStyle name="Обычный 3 8 7 2 6" xfId="8958"/>
    <cellStyle name="Обычный 3 8 7 2 7" xfId="8959"/>
    <cellStyle name="Обычный 3 8 7 2 8" xfId="8960"/>
    <cellStyle name="Обычный 3 8 7 2 9" xfId="8961"/>
    <cellStyle name="Обычный 3 8 7 3" xfId="8962"/>
    <cellStyle name="Обычный 3 8 7 3 2" xfId="8963"/>
    <cellStyle name="Обычный 3 8 7 4" xfId="8964"/>
    <cellStyle name="Обычный 3 8 7 5" xfId="8965"/>
    <cellStyle name="Обычный 3 8 7 6" xfId="8966"/>
    <cellStyle name="Обычный 3 8 7 7" xfId="8967"/>
    <cellStyle name="Обычный 3 8 7 8" xfId="8968"/>
    <cellStyle name="Обычный 3 8 7 9" xfId="8969"/>
    <cellStyle name="Обычный 3 8 8" xfId="8970"/>
    <cellStyle name="Обычный 3 8 8 10" xfId="8971"/>
    <cellStyle name="Обычный 3 8 8 11" xfId="18759"/>
    <cellStyle name="Обычный 3 8 8 12" xfId="20454"/>
    <cellStyle name="Обычный 3 8 8 13" xfId="22066"/>
    <cellStyle name="Обычный 3 8 8 2" xfId="8972"/>
    <cellStyle name="Обычный 3 8 8 2 2" xfId="8973"/>
    <cellStyle name="Обычный 3 8 8 3" xfId="8974"/>
    <cellStyle name="Обычный 3 8 8 4" xfId="8975"/>
    <cellStyle name="Обычный 3 8 8 5" xfId="8976"/>
    <cellStyle name="Обычный 3 8 8 6" xfId="8977"/>
    <cellStyle name="Обычный 3 8 8 7" xfId="8978"/>
    <cellStyle name="Обычный 3 8 8 8" xfId="8979"/>
    <cellStyle name="Обычный 3 8 8 9" xfId="8980"/>
    <cellStyle name="Обычный 3 8 9" xfId="8981"/>
    <cellStyle name="Обычный 3 8 9 10" xfId="20455"/>
    <cellStyle name="Обычный 3 8 9 11" xfId="22067"/>
    <cellStyle name="Обычный 3 8 9 2" xfId="8982"/>
    <cellStyle name="Обычный 3 8 9 2 2" xfId="8983"/>
    <cellStyle name="Обычный 3 8 9 3" xfId="8984"/>
    <cellStyle name="Обычный 3 8 9 4" xfId="8985"/>
    <cellStyle name="Обычный 3 8 9 5" xfId="8986"/>
    <cellStyle name="Обычный 3 8 9 6" xfId="8987"/>
    <cellStyle name="Обычный 3 8 9 7" xfId="8988"/>
    <cellStyle name="Обычный 3 8 9 8" xfId="8989"/>
    <cellStyle name="Обычный 3 8 9 9" xfId="18760"/>
    <cellStyle name="Обычный 3 9" xfId="8990"/>
    <cellStyle name="Обычный 3 9 10" xfId="8991"/>
    <cellStyle name="Обычный 3 9 11" xfId="8992"/>
    <cellStyle name="Обычный 3 9 12" xfId="8993"/>
    <cellStyle name="Обычный 3 9 13" xfId="8994"/>
    <cellStyle name="Обычный 3 9 14" xfId="8995"/>
    <cellStyle name="Обычный 3 9 15" xfId="8996"/>
    <cellStyle name="Обычный 3 9 16" xfId="8997"/>
    <cellStyle name="Обычный 3 9 17" xfId="8998"/>
    <cellStyle name="Обычный 3 9 18" xfId="18761"/>
    <cellStyle name="Обычный 3 9 19" xfId="20456"/>
    <cellStyle name="Обычный 3 9 2" xfId="8999"/>
    <cellStyle name="Обычный 3 9 2 10" xfId="9000"/>
    <cellStyle name="Обычный 3 9 2 11" xfId="9001"/>
    <cellStyle name="Обычный 3 9 2 12" xfId="18762"/>
    <cellStyle name="Обычный 3 9 2 13" xfId="20457"/>
    <cellStyle name="Обычный 3 9 2 14" xfId="22069"/>
    <cellStyle name="Обычный 3 9 2 2" xfId="9002"/>
    <cellStyle name="Обычный 3 9 2 2 10" xfId="9003"/>
    <cellStyle name="Обычный 3 9 2 2 11" xfId="18763"/>
    <cellStyle name="Обычный 3 9 2 2 12" xfId="20458"/>
    <cellStyle name="Обычный 3 9 2 2 13" xfId="22070"/>
    <cellStyle name="Обычный 3 9 2 2 2" xfId="9004"/>
    <cellStyle name="Обычный 3 9 2 2 2 2" xfId="9005"/>
    <cellStyle name="Обычный 3 9 2 2 3" xfId="9006"/>
    <cellStyle name="Обычный 3 9 2 2 4" xfId="9007"/>
    <cellStyle name="Обычный 3 9 2 2 5" xfId="9008"/>
    <cellStyle name="Обычный 3 9 2 2 6" xfId="9009"/>
    <cellStyle name="Обычный 3 9 2 2 7" xfId="9010"/>
    <cellStyle name="Обычный 3 9 2 2 8" xfId="9011"/>
    <cellStyle name="Обычный 3 9 2 2 9" xfId="9012"/>
    <cellStyle name="Обычный 3 9 2 3" xfId="9013"/>
    <cellStyle name="Обычный 3 9 2 3 2" xfId="9014"/>
    <cellStyle name="Обычный 3 9 2 4" xfId="9015"/>
    <cellStyle name="Обычный 3 9 2 5" xfId="9016"/>
    <cellStyle name="Обычный 3 9 2 6" xfId="9017"/>
    <cellStyle name="Обычный 3 9 2 7" xfId="9018"/>
    <cellStyle name="Обычный 3 9 2 8" xfId="9019"/>
    <cellStyle name="Обычный 3 9 2 9" xfId="9020"/>
    <cellStyle name="Обычный 3 9 20" xfId="22068"/>
    <cellStyle name="Обычный 3 9 3" xfId="9021"/>
    <cellStyle name="Обычный 3 9 3 10" xfId="9022"/>
    <cellStyle name="Обычный 3 9 3 11" xfId="9023"/>
    <cellStyle name="Обычный 3 9 3 12" xfId="18764"/>
    <cellStyle name="Обычный 3 9 3 13" xfId="20459"/>
    <cellStyle name="Обычный 3 9 3 14" xfId="22071"/>
    <cellStyle name="Обычный 3 9 3 2" xfId="9024"/>
    <cellStyle name="Обычный 3 9 3 2 10" xfId="9025"/>
    <cellStyle name="Обычный 3 9 3 2 11" xfId="18765"/>
    <cellStyle name="Обычный 3 9 3 2 12" xfId="20460"/>
    <cellStyle name="Обычный 3 9 3 2 13" xfId="22072"/>
    <cellStyle name="Обычный 3 9 3 2 2" xfId="9026"/>
    <cellStyle name="Обычный 3 9 3 2 2 2" xfId="9027"/>
    <cellStyle name="Обычный 3 9 3 2 3" xfId="9028"/>
    <cellStyle name="Обычный 3 9 3 2 4" xfId="9029"/>
    <cellStyle name="Обычный 3 9 3 2 5" xfId="9030"/>
    <cellStyle name="Обычный 3 9 3 2 6" xfId="9031"/>
    <cellStyle name="Обычный 3 9 3 2 7" xfId="9032"/>
    <cellStyle name="Обычный 3 9 3 2 8" xfId="9033"/>
    <cellStyle name="Обычный 3 9 3 2 9" xfId="9034"/>
    <cellStyle name="Обычный 3 9 3 3" xfId="9035"/>
    <cellStyle name="Обычный 3 9 3 3 2" xfId="9036"/>
    <cellStyle name="Обычный 3 9 3 4" xfId="9037"/>
    <cellStyle name="Обычный 3 9 3 5" xfId="9038"/>
    <cellStyle name="Обычный 3 9 3 6" xfId="9039"/>
    <cellStyle name="Обычный 3 9 3 7" xfId="9040"/>
    <cellStyle name="Обычный 3 9 3 8" xfId="9041"/>
    <cellStyle name="Обычный 3 9 3 9" xfId="9042"/>
    <cellStyle name="Обычный 3 9 4" xfId="9043"/>
    <cellStyle name="Обычный 3 9 4 10" xfId="9044"/>
    <cellStyle name="Обычный 3 9 4 11" xfId="9045"/>
    <cellStyle name="Обычный 3 9 4 12" xfId="18766"/>
    <cellStyle name="Обычный 3 9 4 13" xfId="20461"/>
    <cellStyle name="Обычный 3 9 4 14" xfId="22073"/>
    <cellStyle name="Обычный 3 9 4 2" xfId="9046"/>
    <cellStyle name="Обычный 3 9 4 2 10" xfId="9047"/>
    <cellStyle name="Обычный 3 9 4 2 11" xfId="18767"/>
    <cellStyle name="Обычный 3 9 4 2 12" xfId="20462"/>
    <cellStyle name="Обычный 3 9 4 2 13" xfId="22074"/>
    <cellStyle name="Обычный 3 9 4 2 2" xfId="9048"/>
    <cellStyle name="Обычный 3 9 4 2 2 2" xfId="9049"/>
    <cellStyle name="Обычный 3 9 4 2 3" xfId="9050"/>
    <cellStyle name="Обычный 3 9 4 2 4" xfId="9051"/>
    <cellStyle name="Обычный 3 9 4 2 5" xfId="9052"/>
    <cellStyle name="Обычный 3 9 4 2 6" xfId="9053"/>
    <cellStyle name="Обычный 3 9 4 2 7" xfId="9054"/>
    <cellStyle name="Обычный 3 9 4 2 8" xfId="9055"/>
    <cellStyle name="Обычный 3 9 4 2 9" xfId="9056"/>
    <cellStyle name="Обычный 3 9 4 3" xfId="9057"/>
    <cellStyle name="Обычный 3 9 4 3 2" xfId="9058"/>
    <cellStyle name="Обычный 3 9 4 4" xfId="9059"/>
    <cellStyle name="Обычный 3 9 4 5" xfId="9060"/>
    <cellStyle name="Обычный 3 9 4 6" xfId="9061"/>
    <cellStyle name="Обычный 3 9 4 7" xfId="9062"/>
    <cellStyle name="Обычный 3 9 4 8" xfId="9063"/>
    <cellStyle name="Обычный 3 9 4 9" xfId="9064"/>
    <cellStyle name="Обычный 3 9 5" xfId="9065"/>
    <cellStyle name="Обычный 3 9 5 10" xfId="9066"/>
    <cellStyle name="Обычный 3 9 5 11" xfId="9067"/>
    <cellStyle name="Обычный 3 9 5 12" xfId="18768"/>
    <cellStyle name="Обычный 3 9 5 13" xfId="20463"/>
    <cellStyle name="Обычный 3 9 5 14" xfId="22075"/>
    <cellStyle name="Обычный 3 9 5 2" xfId="9068"/>
    <cellStyle name="Обычный 3 9 5 2 10" xfId="9069"/>
    <cellStyle name="Обычный 3 9 5 2 11" xfId="18769"/>
    <cellStyle name="Обычный 3 9 5 2 12" xfId="20464"/>
    <cellStyle name="Обычный 3 9 5 2 13" xfId="22076"/>
    <cellStyle name="Обычный 3 9 5 2 2" xfId="9070"/>
    <cellStyle name="Обычный 3 9 5 2 2 2" xfId="9071"/>
    <cellStyle name="Обычный 3 9 5 2 3" xfId="9072"/>
    <cellStyle name="Обычный 3 9 5 2 4" xfId="9073"/>
    <cellStyle name="Обычный 3 9 5 2 5" xfId="9074"/>
    <cellStyle name="Обычный 3 9 5 2 6" xfId="9075"/>
    <cellStyle name="Обычный 3 9 5 2 7" xfId="9076"/>
    <cellStyle name="Обычный 3 9 5 2 8" xfId="9077"/>
    <cellStyle name="Обычный 3 9 5 2 9" xfId="9078"/>
    <cellStyle name="Обычный 3 9 5 3" xfId="9079"/>
    <cellStyle name="Обычный 3 9 5 3 2" xfId="9080"/>
    <cellStyle name="Обычный 3 9 5 4" xfId="9081"/>
    <cellStyle name="Обычный 3 9 5 5" xfId="9082"/>
    <cellStyle name="Обычный 3 9 5 6" xfId="9083"/>
    <cellStyle name="Обычный 3 9 5 7" xfId="9084"/>
    <cellStyle name="Обычный 3 9 5 8" xfId="9085"/>
    <cellStyle name="Обычный 3 9 5 9" xfId="9086"/>
    <cellStyle name="Обычный 3 9 6" xfId="9087"/>
    <cellStyle name="Обычный 3 9 6 10" xfId="9088"/>
    <cellStyle name="Обычный 3 9 6 11" xfId="18770"/>
    <cellStyle name="Обычный 3 9 6 12" xfId="20465"/>
    <cellStyle name="Обычный 3 9 6 13" xfId="22077"/>
    <cellStyle name="Обычный 3 9 6 2" xfId="9089"/>
    <cellStyle name="Обычный 3 9 6 2 2" xfId="9090"/>
    <cellStyle name="Обычный 3 9 6 3" xfId="9091"/>
    <cellStyle name="Обычный 3 9 6 4" xfId="9092"/>
    <cellStyle name="Обычный 3 9 6 5" xfId="9093"/>
    <cellStyle name="Обычный 3 9 6 6" xfId="9094"/>
    <cellStyle name="Обычный 3 9 6 7" xfId="9095"/>
    <cellStyle name="Обычный 3 9 6 8" xfId="9096"/>
    <cellStyle name="Обычный 3 9 6 9" xfId="9097"/>
    <cellStyle name="Обычный 3 9 7" xfId="9098"/>
    <cellStyle name="Обычный 3 9 7 10" xfId="20466"/>
    <cellStyle name="Обычный 3 9 7 11" xfId="22078"/>
    <cellStyle name="Обычный 3 9 7 2" xfId="9099"/>
    <cellStyle name="Обычный 3 9 7 2 2" xfId="9100"/>
    <cellStyle name="Обычный 3 9 7 3" xfId="9101"/>
    <cellStyle name="Обычный 3 9 7 4" xfId="9102"/>
    <cellStyle name="Обычный 3 9 7 5" xfId="9103"/>
    <cellStyle name="Обычный 3 9 7 6" xfId="9104"/>
    <cellStyle name="Обычный 3 9 7 7" xfId="9105"/>
    <cellStyle name="Обычный 3 9 7 8" xfId="9106"/>
    <cellStyle name="Обычный 3 9 7 9" xfId="18771"/>
    <cellStyle name="Обычный 3 9 8" xfId="9107"/>
    <cellStyle name="Обычный 3 9 8 2" xfId="9108"/>
    <cellStyle name="Обычный 3 9 9" xfId="9109"/>
    <cellStyle name="Обычный 3_5. общ.V" xfId="9110"/>
    <cellStyle name="Обычный 30" xfId="21269"/>
    <cellStyle name="Обычный 31" xfId="21270"/>
    <cellStyle name="Обычный 32" xfId="21271"/>
    <cellStyle name="Обычный 33" xfId="22872"/>
    <cellStyle name="Обычный 34" xfId="22873"/>
    <cellStyle name="Обычный 35" xfId="22893"/>
    <cellStyle name="Обычный 4" xfId="9111"/>
    <cellStyle name="Обычный 4 10" xfId="9112"/>
    <cellStyle name="Обычный 4 10 10" xfId="9113"/>
    <cellStyle name="Обычный 4 10 11" xfId="9114"/>
    <cellStyle name="Обычный 4 10 12" xfId="18773"/>
    <cellStyle name="Обычный 4 10 13" xfId="20468"/>
    <cellStyle name="Обычный 4 10 14" xfId="22080"/>
    <cellStyle name="Обычный 4 10 2" xfId="9115"/>
    <cellStyle name="Обычный 4 10 2 10" xfId="9116"/>
    <cellStyle name="Обычный 4 10 2 11" xfId="18774"/>
    <cellStyle name="Обычный 4 10 2 12" xfId="20469"/>
    <cellStyle name="Обычный 4 10 2 13" xfId="22081"/>
    <cellStyle name="Обычный 4 10 2 2" xfId="9117"/>
    <cellStyle name="Обычный 4 10 2 2 2" xfId="9118"/>
    <cellStyle name="Обычный 4 10 2 3" xfId="9119"/>
    <cellStyle name="Обычный 4 10 2 4" xfId="9120"/>
    <cellStyle name="Обычный 4 10 2 5" xfId="9121"/>
    <cellStyle name="Обычный 4 10 2 6" xfId="9122"/>
    <cellStyle name="Обычный 4 10 2 7" xfId="9123"/>
    <cellStyle name="Обычный 4 10 2 8" xfId="9124"/>
    <cellStyle name="Обычный 4 10 2 9" xfId="9125"/>
    <cellStyle name="Обычный 4 10 3" xfId="9126"/>
    <cellStyle name="Обычный 4 10 3 2" xfId="9127"/>
    <cellStyle name="Обычный 4 10 4" xfId="9128"/>
    <cellStyle name="Обычный 4 10 5" xfId="9129"/>
    <cellStyle name="Обычный 4 10 6" xfId="9130"/>
    <cellStyle name="Обычный 4 10 7" xfId="9131"/>
    <cellStyle name="Обычный 4 10 8" xfId="9132"/>
    <cellStyle name="Обычный 4 10 9" xfId="9133"/>
    <cellStyle name="Обычный 4 11" xfId="9134"/>
    <cellStyle name="Обычный 4 11 10" xfId="9135"/>
    <cellStyle name="Обычный 4 11 11" xfId="9136"/>
    <cellStyle name="Обычный 4 11 12" xfId="18775"/>
    <cellStyle name="Обычный 4 11 13" xfId="20470"/>
    <cellStyle name="Обычный 4 11 14" xfId="22082"/>
    <cellStyle name="Обычный 4 11 2" xfId="9137"/>
    <cellStyle name="Обычный 4 11 2 10" xfId="9138"/>
    <cellStyle name="Обычный 4 11 2 11" xfId="18776"/>
    <cellStyle name="Обычный 4 11 2 12" xfId="20471"/>
    <cellStyle name="Обычный 4 11 2 13" xfId="22083"/>
    <cellStyle name="Обычный 4 11 2 2" xfId="9139"/>
    <cellStyle name="Обычный 4 11 2 2 2" xfId="9140"/>
    <cellStyle name="Обычный 4 11 2 3" xfId="9141"/>
    <cellStyle name="Обычный 4 11 2 4" xfId="9142"/>
    <cellStyle name="Обычный 4 11 2 5" xfId="9143"/>
    <cellStyle name="Обычный 4 11 2 6" xfId="9144"/>
    <cellStyle name="Обычный 4 11 2 7" xfId="9145"/>
    <cellStyle name="Обычный 4 11 2 8" xfId="9146"/>
    <cellStyle name="Обычный 4 11 2 9" xfId="9147"/>
    <cellStyle name="Обычный 4 11 3" xfId="9148"/>
    <cellStyle name="Обычный 4 11 3 2" xfId="9149"/>
    <cellStyle name="Обычный 4 11 4" xfId="9150"/>
    <cellStyle name="Обычный 4 11 5" xfId="9151"/>
    <cellStyle name="Обычный 4 11 6" xfId="9152"/>
    <cellStyle name="Обычный 4 11 7" xfId="9153"/>
    <cellStyle name="Обычный 4 11 8" xfId="9154"/>
    <cellStyle name="Обычный 4 11 9" xfId="9155"/>
    <cellStyle name="Обычный 4 12" xfId="9156"/>
    <cellStyle name="Обычный 4 12 10" xfId="9157"/>
    <cellStyle name="Обычный 4 12 11" xfId="9158"/>
    <cellStyle name="Обычный 4 12 12" xfId="18777"/>
    <cellStyle name="Обычный 4 12 13" xfId="20472"/>
    <cellStyle name="Обычный 4 12 14" xfId="22084"/>
    <cellStyle name="Обычный 4 12 2" xfId="9159"/>
    <cellStyle name="Обычный 4 12 2 10" xfId="9160"/>
    <cellStyle name="Обычный 4 12 2 11" xfId="18778"/>
    <cellStyle name="Обычный 4 12 2 12" xfId="20473"/>
    <cellStyle name="Обычный 4 12 2 13" xfId="22085"/>
    <cellStyle name="Обычный 4 12 2 2" xfId="9161"/>
    <cellStyle name="Обычный 4 12 2 2 2" xfId="9162"/>
    <cellStyle name="Обычный 4 12 2 3" xfId="9163"/>
    <cellStyle name="Обычный 4 12 2 4" xfId="9164"/>
    <cellStyle name="Обычный 4 12 2 5" xfId="9165"/>
    <cellStyle name="Обычный 4 12 2 6" xfId="9166"/>
    <cellStyle name="Обычный 4 12 2 7" xfId="9167"/>
    <cellStyle name="Обычный 4 12 2 8" xfId="9168"/>
    <cellStyle name="Обычный 4 12 2 9" xfId="9169"/>
    <cellStyle name="Обычный 4 12 3" xfId="9170"/>
    <cellStyle name="Обычный 4 12 3 2" xfId="9171"/>
    <cellStyle name="Обычный 4 12 4" xfId="9172"/>
    <cellStyle name="Обычный 4 12 5" xfId="9173"/>
    <cellStyle name="Обычный 4 12 6" xfId="9174"/>
    <cellStyle name="Обычный 4 12 7" xfId="9175"/>
    <cellStyle name="Обычный 4 12 8" xfId="9176"/>
    <cellStyle name="Обычный 4 12 9" xfId="9177"/>
    <cellStyle name="Обычный 4 13" xfId="9178"/>
    <cellStyle name="Обычный 4 13 10" xfId="9179"/>
    <cellStyle name="Обычный 4 13 11" xfId="9180"/>
    <cellStyle name="Обычный 4 13 12" xfId="18779"/>
    <cellStyle name="Обычный 4 13 13" xfId="20474"/>
    <cellStyle name="Обычный 4 13 14" xfId="22086"/>
    <cellStyle name="Обычный 4 13 2" xfId="9181"/>
    <cellStyle name="Обычный 4 13 2 10" xfId="9182"/>
    <cellStyle name="Обычный 4 13 2 11" xfId="18780"/>
    <cellStyle name="Обычный 4 13 2 12" xfId="20475"/>
    <cellStyle name="Обычный 4 13 2 13" xfId="22087"/>
    <cellStyle name="Обычный 4 13 2 2" xfId="9183"/>
    <cellStyle name="Обычный 4 13 2 2 2" xfId="9184"/>
    <cellStyle name="Обычный 4 13 2 3" xfId="9185"/>
    <cellStyle name="Обычный 4 13 2 4" xfId="9186"/>
    <cellStyle name="Обычный 4 13 2 5" xfId="9187"/>
    <cellStyle name="Обычный 4 13 2 6" xfId="9188"/>
    <cellStyle name="Обычный 4 13 2 7" xfId="9189"/>
    <cellStyle name="Обычный 4 13 2 8" xfId="9190"/>
    <cellStyle name="Обычный 4 13 2 9" xfId="9191"/>
    <cellStyle name="Обычный 4 13 3" xfId="9192"/>
    <cellStyle name="Обычный 4 13 3 2" xfId="9193"/>
    <cellStyle name="Обычный 4 13 4" xfId="9194"/>
    <cellStyle name="Обычный 4 13 5" xfId="9195"/>
    <cellStyle name="Обычный 4 13 6" xfId="9196"/>
    <cellStyle name="Обычный 4 13 7" xfId="9197"/>
    <cellStyle name="Обычный 4 13 8" xfId="9198"/>
    <cellStyle name="Обычный 4 13 9" xfId="9199"/>
    <cellStyle name="Обычный 4 14" xfId="9200"/>
    <cellStyle name="Обычный 4 14 10" xfId="9201"/>
    <cellStyle name="Обычный 4 14 11" xfId="9202"/>
    <cellStyle name="Обычный 4 14 12" xfId="18781"/>
    <cellStyle name="Обычный 4 14 13" xfId="20476"/>
    <cellStyle name="Обычный 4 14 14" xfId="22088"/>
    <cellStyle name="Обычный 4 14 2" xfId="9203"/>
    <cellStyle name="Обычный 4 14 2 10" xfId="9204"/>
    <cellStyle name="Обычный 4 14 2 11" xfId="18782"/>
    <cellStyle name="Обычный 4 14 2 12" xfId="20477"/>
    <cellStyle name="Обычный 4 14 2 13" xfId="22089"/>
    <cellStyle name="Обычный 4 14 2 2" xfId="9205"/>
    <cellStyle name="Обычный 4 14 2 2 2" xfId="9206"/>
    <cellStyle name="Обычный 4 14 2 3" xfId="9207"/>
    <cellStyle name="Обычный 4 14 2 4" xfId="9208"/>
    <cellStyle name="Обычный 4 14 2 5" xfId="9209"/>
    <cellStyle name="Обычный 4 14 2 6" xfId="9210"/>
    <cellStyle name="Обычный 4 14 2 7" xfId="9211"/>
    <cellStyle name="Обычный 4 14 2 8" xfId="9212"/>
    <cellStyle name="Обычный 4 14 2 9" xfId="9213"/>
    <cellStyle name="Обычный 4 14 3" xfId="9214"/>
    <cellStyle name="Обычный 4 14 3 2" xfId="9215"/>
    <cellStyle name="Обычный 4 14 4" xfId="9216"/>
    <cellStyle name="Обычный 4 14 5" xfId="9217"/>
    <cellStyle name="Обычный 4 14 6" xfId="9218"/>
    <cellStyle name="Обычный 4 14 7" xfId="9219"/>
    <cellStyle name="Обычный 4 14 8" xfId="9220"/>
    <cellStyle name="Обычный 4 14 9" xfId="9221"/>
    <cellStyle name="Обычный 4 15" xfId="9222"/>
    <cellStyle name="Обычный 4 15 10" xfId="9223"/>
    <cellStyle name="Обычный 4 15 11" xfId="9224"/>
    <cellStyle name="Обычный 4 15 12" xfId="18783"/>
    <cellStyle name="Обычный 4 15 13" xfId="20478"/>
    <cellStyle name="Обычный 4 15 14" xfId="22090"/>
    <cellStyle name="Обычный 4 15 2" xfId="9225"/>
    <cellStyle name="Обычный 4 15 2 10" xfId="9226"/>
    <cellStyle name="Обычный 4 15 2 11" xfId="18784"/>
    <cellStyle name="Обычный 4 15 2 12" xfId="20479"/>
    <cellStyle name="Обычный 4 15 2 13" xfId="22091"/>
    <cellStyle name="Обычный 4 15 2 2" xfId="9227"/>
    <cellStyle name="Обычный 4 15 2 2 2" xfId="9228"/>
    <cellStyle name="Обычный 4 15 2 3" xfId="9229"/>
    <cellStyle name="Обычный 4 15 2 4" xfId="9230"/>
    <cellStyle name="Обычный 4 15 2 5" xfId="9231"/>
    <cellStyle name="Обычный 4 15 2 6" xfId="9232"/>
    <cellStyle name="Обычный 4 15 2 7" xfId="9233"/>
    <cellStyle name="Обычный 4 15 2 8" xfId="9234"/>
    <cellStyle name="Обычный 4 15 2 9" xfId="9235"/>
    <cellStyle name="Обычный 4 15 3" xfId="9236"/>
    <cellStyle name="Обычный 4 15 3 2" xfId="9237"/>
    <cellStyle name="Обычный 4 15 4" xfId="9238"/>
    <cellStyle name="Обычный 4 15 5" xfId="9239"/>
    <cellStyle name="Обычный 4 15 6" xfId="9240"/>
    <cellStyle name="Обычный 4 15 7" xfId="9241"/>
    <cellStyle name="Обычный 4 15 8" xfId="9242"/>
    <cellStyle name="Обычный 4 15 9" xfId="9243"/>
    <cellStyle name="Обычный 4 16" xfId="9244"/>
    <cellStyle name="Обычный 4 16 10" xfId="9245"/>
    <cellStyle name="Обычный 4 16 11" xfId="18785"/>
    <cellStyle name="Обычный 4 16 12" xfId="20480"/>
    <cellStyle name="Обычный 4 16 13" xfId="22092"/>
    <cellStyle name="Обычный 4 16 2" xfId="9246"/>
    <cellStyle name="Обычный 4 16 2 2" xfId="9247"/>
    <cellStyle name="Обычный 4 16 3" xfId="9248"/>
    <cellStyle name="Обычный 4 16 4" xfId="9249"/>
    <cellStyle name="Обычный 4 16 5" xfId="9250"/>
    <cellStyle name="Обычный 4 16 6" xfId="9251"/>
    <cellStyle name="Обычный 4 16 7" xfId="9252"/>
    <cellStyle name="Обычный 4 16 8" xfId="9253"/>
    <cellStyle name="Обычный 4 16 9" xfId="9254"/>
    <cellStyle name="Обычный 4 17" xfId="9255"/>
    <cellStyle name="Обычный 4 17 10" xfId="20481"/>
    <cellStyle name="Обычный 4 17 11" xfId="22093"/>
    <cellStyle name="Обычный 4 17 2" xfId="9256"/>
    <cellStyle name="Обычный 4 17 2 2" xfId="9257"/>
    <cellStyle name="Обычный 4 17 3" xfId="9258"/>
    <cellStyle name="Обычный 4 17 4" xfId="9259"/>
    <cellStyle name="Обычный 4 17 5" xfId="9260"/>
    <cellStyle name="Обычный 4 17 6" xfId="9261"/>
    <cellStyle name="Обычный 4 17 7" xfId="9262"/>
    <cellStyle name="Обычный 4 17 8" xfId="9263"/>
    <cellStyle name="Обычный 4 17 9" xfId="18786"/>
    <cellStyle name="Обычный 4 18" xfId="9264"/>
    <cellStyle name="Обычный 4 18 10" xfId="20482"/>
    <cellStyle name="Обычный 4 18 11" xfId="22094"/>
    <cellStyle name="Обычный 4 18 2" xfId="9265"/>
    <cellStyle name="Обычный 4 18 2 2" xfId="9266"/>
    <cellStyle name="Обычный 4 18 3" xfId="9267"/>
    <cellStyle name="Обычный 4 18 4" xfId="9268"/>
    <cellStyle name="Обычный 4 18 5" xfId="9269"/>
    <cellStyle name="Обычный 4 18 6" xfId="9270"/>
    <cellStyle name="Обычный 4 18 7" xfId="9271"/>
    <cellStyle name="Обычный 4 18 8" xfId="9272"/>
    <cellStyle name="Обычный 4 18 9" xfId="18787"/>
    <cellStyle name="Обычный 4 19" xfId="9273"/>
    <cellStyle name="Обычный 4 19 2" xfId="9274"/>
    <cellStyle name="Обычный 4 2" xfId="9275"/>
    <cellStyle name="Обычный 4 2 10" xfId="9276"/>
    <cellStyle name="Обычный 4 2 10 10" xfId="9277"/>
    <cellStyle name="Обычный 4 2 10 11" xfId="9278"/>
    <cellStyle name="Обычный 4 2 10 12" xfId="18789"/>
    <cellStyle name="Обычный 4 2 10 13" xfId="20484"/>
    <cellStyle name="Обычный 4 2 10 14" xfId="22096"/>
    <cellStyle name="Обычный 4 2 10 2" xfId="9279"/>
    <cellStyle name="Обычный 4 2 10 2 10" xfId="9280"/>
    <cellStyle name="Обычный 4 2 10 2 11" xfId="18790"/>
    <cellStyle name="Обычный 4 2 10 2 12" xfId="20485"/>
    <cellStyle name="Обычный 4 2 10 2 13" xfId="22097"/>
    <cellStyle name="Обычный 4 2 10 2 2" xfId="9281"/>
    <cellStyle name="Обычный 4 2 10 2 2 2" xfId="9282"/>
    <cellStyle name="Обычный 4 2 10 2 3" xfId="9283"/>
    <cellStyle name="Обычный 4 2 10 2 4" xfId="9284"/>
    <cellStyle name="Обычный 4 2 10 2 5" xfId="9285"/>
    <cellStyle name="Обычный 4 2 10 2 6" xfId="9286"/>
    <cellStyle name="Обычный 4 2 10 2 7" xfId="9287"/>
    <cellStyle name="Обычный 4 2 10 2 8" xfId="9288"/>
    <cellStyle name="Обычный 4 2 10 2 9" xfId="9289"/>
    <cellStyle name="Обычный 4 2 10 3" xfId="9290"/>
    <cellStyle name="Обычный 4 2 10 3 2" xfId="9291"/>
    <cellStyle name="Обычный 4 2 10 4" xfId="9292"/>
    <cellStyle name="Обычный 4 2 10 5" xfId="9293"/>
    <cellStyle name="Обычный 4 2 10 6" xfId="9294"/>
    <cellStyle name="Обычный 4 2 10 7" xfId="9295"/>
    <cellStyle name="Обычный 4 2 10 8" xfId="9296"/>
    <cellStyle name="Обычный 4 2 10 9" xfId="9297"/>
    <cellStyle name="Обычный 4 2 11" xfId="9298"/>
    <cellStyle name="Обычный 4 2 11 10" xfId="9299"/>
    <cellStyle name="Обычный 4 2 11 11" xfId="18791"/>
    <cellStyle name="Обычный 4 2 11 12" xfId="20486"/>
    <cellStyle name="Обычный 4 2 11 13" xfId="22098"/>
    <cellStyle name="Обычный 4 2 11 2" xfId="9300"/>
    <cellStyle name="Обычный 4 2 11 2 2" xfId="9301"/>
    <cellStyle name="Обычный 4 2 11 3" xfId="9302"/>
    <cellStyle name="Обычный 4 2 11 4" xfId="9303"/>
    <cellStyle name="Обычный 4 2 11 5" xfId="9304"/>
    <cellStyle name="Обычный 4 2 11 6" xfId="9305"/>
    <cellStyle name="Обычный 4 2 11 7" xfId="9306"/>
    <cellStyle name="Обычный 4 2 11 8" xfId="9307"/>
    <cellStyle name="Обычный 4 2 11 9" xfId="9308"/>
    <cellStyle name="Обычный 4 2 12" xfId="9309"/>
    <cellStyle name="Обычный 4 2 12 10" xfId="20487"/>
    <cellStyle name="Обычный 4 2 12 11" xfId="22099"/>
    <cellStyle name="Обычный 4 2 12 2" xfId="9310"/>
    <cellStyle name="Обычный 4 2 12 2 2" xfId="9311"/>
    <cellStyle name="Обычный 4 2 12 3" xfId="9312"/>
    <cellStyle name="Обычный 4 2 12 4" xfId="9313"/>
    <cellStyle name="Обычный 4 2 12 5" xfId="9314"/>
    <cellStyle name="Обычный 4 2 12 6" xfId="9315"/>
    <cellStyle name="Обычный 4 2 12 7" xfId="9316"/>
    <cellStyle name="Обычный 4 2 12 8" xfId="9317"/>
    <cellStyle name="Обычный 4 2 12 9" xfId="18792"/>
    <cellStyle name="Обычный 4 2 13" xfId="9318"/>
    <cellStyle name="Обычный 4 2 13 10" xfId="20488"/>
    <cellStyle name="Обычный 4 2 13 11" xfId="22100"/>
    <cellStyle name="Обычный 4 2 13 2" xfId="9319"/>
    <cellStyle name="Обычный 4 2 13 2 2" xfId="9320"/>
    <cellStyle name="Обычный 4 2 13 3" xfId="9321"/>
    <cellStyle name="Обычный 4 2 13 4" xfId="9322"/>
    <cellStyle name="Обычный 4 2 13 5" xfId="9323"/>
    <cellStyle name="Обычный 4 2 13 6" xfId="9324"/>
    <cellStyle name="Обычный 4 2 13 7" xfId="9325"/>
    <cellStyle name="Обычный 4 2 13 8" xfId="9326"/>
    <cellStyle name="Обычный 4 2 13 9" xfId="18793"/>
    <cellStyle name="Обычный 4 2 14" xfId="9327"/>
    <cellStyle name="Обычный 4 2 14 2" xfId="9328"/>
    <cellStyle name="Обычный 4 2 15" xfId="9329"/>
    <cellStyle name="Обычный 4 2 16" xfId="9330"/>
    <cellStyle name="Обычный 4 2 17" xfId="9331"/>
    <cellStyle name="Обычный 4 2 18" xfId="9332"/>
    <cellStyle name="Обычный 4 2 19" xfId="9333"/>
    <cellStyle name="Обычный 4 2 2" xfId="9334"/>
    <cellStyle name="Обычный 4 2 2 10" xfId="9335"/>
    <cellStyle name="Обычный 4 2 2 10 2" xfId="9336"/>
    <cellStyle name="Обычный 4 2 2 11" xfId="9337"/>
    <cellStyle name="Обычный 4 2 2 12" xfId="9338"/>
    <cellStyle name="Обычный 4 2 2 13" xfId="9339"/>
    <cellStyle name="Обычный 4 2 2 14" xfId="9340"/>
    <cellStyle name="Обычный 4 2 2 15" xfId="9341"/>
    <cellStyle name="Обычный 4 2 2 16" xfId="9342"/>
    <cellStyle name="Обычный 4 2 2 17" xfId="9343"/>
    <cellStyle name="Обычный 4 2 2 18" xfId="9344"/>
    <cellStyle name="Обычный 4 2 2 19" xfId="9345"/>
    <cellStyle name="Обычный 4 2 2 2" xfId="9346"/>
    <cellStyle name="Обычный 4 2 2 2 10" xfId="9347"/>
    <cellStyle name="Обычный 4 2 2 2 11" xfId="9348"/>
    <cellStyle name="Обычный 4 2 2 2 12" xfId="9349"/>
    <cellStyle name="Обычный 4 2 2 2 13" xfId="9350"/>
    <cellStyle name="Обычный 4 2 2 2 14" xfId="9351"/>
    <cellStyle name="Обычный 4 2 2 2 15" xfId="9352"/>
    <cellStyle name="Обычный 4 2 2 2 16" xfId="9353"/>
    <cellStyle name="Обычный 4 2 2 2 17" xfId="9354"/>
    <cellStyle name="Обычный 4 2 2 2 18" xfId="18795"/>
    <cellStyle name="Обычный 4 2 2 2 19" xfId="20490"/>
    <cellStyle name="Обычный 4 2 2 2 2" xfId="9355"/>
    <cellStyle name="Обычный 4 2 2 2 2 10" xfId="9356"/>
    <cellStyle name="Обычный 4 2 2 2 2 11" xfId="9357"/>
    <cellStyle name="Обычный 4 2 2 2 2 12" xfId="18796"/>
    <cellStyle name="Обычный 4 2 2 2 2 13" xfId="20491"/>
    <cellStyle name="Обычный 4 2 2 2 2 14" xfId="22103"/>
    <cellStyle name="Обычный 4 2 2 2 2 2" xfId="9358"/>
    <cellStyle name="Обычный 4 2 2 2 2 2 10" xfId="9359"/>
    <cellStyle name="Обычный 4 2 2 2 2 2 11" xfId="18797"/>
    <cellStyle name="Обычный 4 2 2 2 2 2 12" xfId="20492"/>
    <cellStyle name="Обычный 4 2 2 2 2 2 13" xfId="22104"/>
    <cellStyle name="Обычный 4 2 2 2 2 2 2" xfId="9360"/>
    <cellStyle name="Обычный 4 2 2 2 2 2 2 2" xfId="9361"/>
    <cellStyle name="Обычный 4 2 2 2 2 2 3" xfId="9362"/>
    <cellStyle name="Обычный 4 2 2 2 2 2 4" xfId="9363"/>
    <cellStyle name="Обычный 4 2 2 2 2 2 5" xfId="9364"/>
    <cellStyle name="Обычный 4 2 2 2 2 2 6" xfId="9365"/>
    <cellStyle name="Обычный 4 2 2 2 2 2 7" xfId="9366"/>
    <cellStyle name="Обычный 4 2 2 2 2 2 8" xfId="9367"/>
    <cellStyle name="Обычный 4 2 2 2 2 2 9" xfId="9368"/>
    <cellStyle name="Обычный 4 2 2 2 2 3" xfId="9369"/>
    <cellStyle name="Обычный 4 2 2 2 2 3 2" xfId="9370"/>
    <cellStyle name="Обычный 4 2 2 2 2 4" xfId="9371"/>
    <cellStyle name="Обычный 4 2 2 2 2 5" xfId="9372"/>
    <cellStyle name="Обычный 4 2 2 2 2 6" xfId="9373"/>
    <cellStyle name="Обычный 4 2 2 2 2 7" xfId="9374"/>
    <cellStyle name="Обычный 4 2 2 2 2 8" xfId="9375"/>
    <cellStyle name="Обычный 4 2 2 2 2 9" xfId="9376"/>
    <cellStyle name="Обычный 4 2 2 2 20" xfId="22102"/>
    <cellStyle name="Обычный 4 2 2 2 3" xfId="9377"/>
    <cellStyle name="Обычный 4 2 2 2 3 10" xfId="9378"/>
    <cellStyle name="Обычный 4 2 2 2 3 11" xfId="9379"/>
    <cellStyle name="Обычный 4 2 2 2 3 12" xfId="18798"/>
    <cellStyle name="Обычный 4 2 2 2 3 13" xfId="20493"/>
    <cellStyle name="Обычный 4 2 2 2 3 14" xfId="22105"/>
    <cellStyle name="Обычный 4 2 2 2 3 2" xfId="9380"/>
    <cellStyle name="Обычный 4 2 2 2 3 2 10" xfId="9381"/>
    <cellStyle name="Обычный 4 2 2 2 3 2 11" xfId="18799"/>
    <cellStyle name="Обычный 4 2 2 2 3 2 12" xfId="20494"/>
    <cellStyle name="Обычный 4 2 2 2 3 2 13" xfId="22106"/>
    <cellStyle name="Обычный 4 2 2 2 3 2 2" xfId="9382"/>
    <cellStyle name="Обычный 4 2 2 2 3 2 2 2" xfId="9383"/>
    <cellStyle name="Обычный 4 2 2 2 3 2 3" xfId="9384"/>
    <cellStyle name="Обычный 4 2 2 2 3 2 4" xfId="9385"/>
    <cellStyle name="Обычный 4 2 2 2 3 2 5" xfId="9386"/>
    <cellStyle name="Обычный 4 2 2 2 3 2 6" xfId="9387"/>
    <cellStyle name="Обычный 4 2 2 2 3 2 7" xfId="9388"/>
    <cellStyle name="Обычный 4 2 2 2 3 2 8" xfId="9389"/>
    <cellStyle name="Обычный 4 2 2 2 3 2 9" xfId="9390"/>
    <cellStyle name="Обычный 4 2 2 2 3 3" xfId="9391"/>
    <cellStyle name="Обычный 4 2 2 2 3 3 2" xfId="9392"/>
    <cellStyle name="Обычный 4 2 2 2 3 4" xfId="9393"/>
    <cellStyle name="Обычный 4 2 2 2 3 5" xfId="9394"/>
    <cellStyle name="Обычный 4 2 2 2 3 6" xfId="9395"/>
    <cellStyle name="Обычный 4 2 2 2 3 7" xfId="9396"/>
    <cellStyle name="Обычный 4 2 2 2 3 8" xfId="9397"/>
    <cellStyle name="Обычный 4 2 2 2 3 9" xfId="9398"/>
    <cellStyle name="Обычный 4 2 2 2 4" xfId="9399"/>
    <cellStyle name="Обычный 4 2 2 2 4 10" xfId="9400"/>
    <cellStyle name="Обычный 4 2 2 2 4 11" xfId="9401"/>
    <cellStyle name="Обычный 4 2 2 2 4 12" xfId="18800"/>
    <cellStyle name="Обычный 4 2 2 2 4 13" xfId="20495"/>
    <cellStyle name="Обычный 4 2 2 2 4 14" xfId="22107"/>
    <cellStyle name="Обычный 4 2 2 2 4 2" xfId="9402"/>
    <cellStyle name="Обычный 4 2 2 2 4 2 10" xfId="9403"/>
    <cellStyle name="Обычный 4 2 2 2 4 2 11" xfId="18801"/>
    <cellStyle name="Обычный 4 2 2 2 4 2 12" xfId="20496"/>
    <cellStyle name="Обычный 4 2 2 2 4 2 13" xfId="22108"/>
    <cellStyle name="Обычный 4 2 2 2 4 2 2" xfId="9404"/>
    <cellStyle name="Обычный 4 2 2 2 4 2 2 2" xfId="9405"/>
    <cellStyle name="Обычный 4 2 2 2 4 2 3" xfId="9406"/>
    <cellStyle name="Обычный 4 2 2 2 4 2 4" xfId="9407"/>
    <cellStyle name="Обычный 4 2 2 2 4 2 5" xfId="9408"/>
    <cellStyle name="Обычный 4 2 2 2 4 2 6" xfId="9409"/>
    <cellStyle name="Обычный 4 2 2 2 4 2 7" xfId="9410"/>
    <cellStyle name="Обычный 4 2 2 2 4 2 8" xfId="9411"/>
    <cellStyle name="Обычный 4 2 2 2 4 2 9" xfId="9412"/>
    <cellStyle name="Обычный 4 2 2 2 4 3" xfId="9413"/>
    <cellStyle name="Обычный 4 2 2 2 4 3 2" xfId="9414"/>
    <cellStyle name="Обычный 4 2 2 2 4 4" xfId="9415"/>
    <cellStyle name="Обычный 4 2 2 2 4 5" xfId="9416"/>
    <cellStyle name="Обычный 4 2 2 2 4 6" xfId="9417"/>
    <cellStyle name="Обычный 4 2 2 2 4 7" xfId="9418"/>
    <cellStyle name="Обычный 4 2 2 2 4 8" xfId="9419"/>
    <cellStyle name="Обычный 4 2 2 2 4 9" xfId="9420"/>
    <cellStyle name="Обычный 4 2 2 2 5" xfId="9421"/>
    <cellStyle name="Обычный 4 2 2 2 5 10" xfId="9422"/>
    <cellStyle name="Обычный 4 2 2 2 5 11" xfId="9423"/>
    <cellStyle name="Обычный 4 2 2 2 5 12" xfId="18802"/>
    <cellStyle name="Обычный 4 2 2 2 5 13" xfId="20497"/>
    <cellStyle name="Обычный 4 2 2 2 5 14" xfId="22109"/>
    <cellStyle name="Обычный 4 2 2 2 5 2" xfId="9424"/>
    <cellStyle name="Обычный 4 2 2 2 5 2 10" xfId="9425"/>
    <cellStyle name="Обычный 4 2 2 2 5 2 11" xfId="18803"/>
    <cellStyle name="Обычный 4 2 2 2 5 2 12" xfId="20498"/>
    <cellStyle name="Обычный 4 2 2 2 5 2 13" xfId="22110"/>
    <cellStyle name="Обычный 4 2 2 2 5 2 2" xfId="9426"/>
    <cellStyle name="Обычный 4 2 2 2 5 2 2 2" xfId="9427"/>
    <cellStyle name="Обычный 4 2 2 2 5 2 3" xfId="9428"/>
    <cellStyle name="Обычный 4 2 2 2 5 2 4" xfId="9429"/>
    <cellStyle name="Обычный 4 2 2 2 5 2 5" xfId="9430"/>
    <cellStyle name="Обычный 4 2 2 2 5 2 6" xfId="9431"/>
    <cellStyle name="Обычный 4 2 2 2 5 2 7" xfId="9432"/>
    <cellStyle name="Обычный 4 2 2 2 5 2 8" xfId="9433"/>
    <cellStyle name="Обычный 4 2 2 2 5 2 9" xfId="9434"/>
    <cellStyle name="Обычный 4 2 2 2 5 3" xfId="9435"/>
    <cellStyle name="Обычный 4 2 2 2 5 3 2" xfId="9436"/>
    <cellStyle name="Обычный 4 2 2 2 5 4" xfId="9437"/>
    <cellStyle name="Обычный 4 2 2 2 5 5" xfId="9438"/>
    <cellStyle name="Обычный 4 2 2 2 5 6" xfId="9439"/>
    <cellStyle name="Обычный 4 2 2 2 5 7" xfId="9440"/>
    <cellStyle name="Обычный 4 2 2 2 5 8" xfId="9441"/>
    <cellStyle name="Обычный 4 2 2 2 5 9" xfId="9442"/>
    <cellStyle name="Обычный 4 2 2 2 6" xfId="9443"/>
    <cellStyle name="Обычный 4 2 2 2 6 10" xfId="9444"/>
    <cellStyle name="Обычный 4 2 2 2 6 11" xfId="18804"/>
    <cellStyle name="Обычный 4 2 2 2 6 12" xfId="20499"/>
    <cellStyle name="Обычный 4 2 2 2 6 13" xfId="22111"/>
    <cellStyle name="Обычный 4 2 2 2 6 2" xfId="9445"/>
    <cellStyle name="Обычный 4 2 2 2 6 2 2" xfId="9446"/>
    <cellStyle name="Обычный 4 2 2 2 6 3" xfId="9447"/>
    <cellStyle name="Обычный 4 2 2 2 6 4" xfId="9448"/>
    <cellStyle name="Обычный 4 2 2 2 6 5" xfId="9449"/>
    <cellStyle name="Обычный 4 2 2 2 6 6" xfId="9450"/>
    <cellStyle name="Обычный 4 2 2 2 6 7" xfId="9451"/>
    <cellStyle name="Обычный 4 2 2 2 6 8" xfId="9452"/>
    <cellStyle name="Обычный 4 2 2 2 6 9" xfId="9453"/>
    <cellStyle name="Обычный 4 2 2 2 7" xfId="9454"/>
    <cellStyle name="Обычный 4 2 2 2 7 10" xfId="20500"/>
    <cellStyle name="Обычный 4 2 2 2 7 11" xfId="22112"/>
    <cellStyle name="Обычный 4 2 2 2 7 2" xfId="9455"/>
    <cellStyle name="Обычный 4 2 2 2 7 2 2" xfId="9456"/>
    <cellStyle name="Обычный 4 2 2 2 7 3" xfId="9457"/>
    <cellStyle name="Обычный 4 2 2 2 7 4" xfId="9458"/>
    <cellStyle name="Обычный 4 2 2 2 7 5" xfId="9459"/>
    <cellStyle name="Обычный 4 2 2 2 7 6" xfId="9460"/>
    <cellStyle name="Обычный 4 2 2 2 7 7" xfId="9461"/>
    <cellStyle name="Обычный 4 2 2 2 7 8" xfId="9462"/>
    <cellStyle name="Обычный 4 2 2 2 7 9" xfId="18805"/>
    <cellStyle name="Обычный 4 2 2 2 8" xfId="9463"/>
    <cellStyle name="Обычный 4 2 2 2 8 2" xfId="9464"/>
    <cellStyle name="Обычный 4 2 2 2 9" xfId="9465"/>
    <cellStyle name="Обычный 4 2 2 20" xfId="18794"/>
    <cellStyle name="Обычный 4 2 2 21" xfId="20489"/>
    <cellStyle name="Обычный 4 2 2 22" xfId="22101"/>
    <cellStyle name="Обычный 4 2 2 3" xfId="9466"/>
    <cellStyle name="Обычный 4 2 2 3 10" xfId="9467"/>
    <cellStyle name="Обычный 4 2 2 3 11" xfId="9468"/>
    <cellStyle name="Обычный 4 2 2 3 12" xfId="9469"/>
    <cellStyle name="Обычный 4 2 2 3 13" xfId="9470"/>
    <cellStyle name="Обычный 4 2 2 3 14" xfId="9471"/>
    <cellStyle name="Обычный 4 2 2 3 15" xfId="9472"/>
    <cellStyle name="Обычный 4 2 2 3 16" xfId="9473"/>
    <cellStyle name="Обычный 4 2 2 3 17" xfId="9474"/>
    <cellStyle name="Обычный 4 2 2 3 18" xfId="18806"/>
    <cellStyle name="Обычный 4 2 2 3 19" xfId="20501"/>
    <cellStyle name="Обычный 4 2 2 3 2" xfId="9475"/>
    <cellStyle name="Обычный 4 2 2 3 2 10" xfId="9476"/>
    <cellStyle name="Обычный 4 2 2 3 2 11" xfId="9477"/>
    <cellStyle name="Обычный 4 2 2 3 2 12" xfId="18807"/>
    <cellStyle name="Обычный 4 2 2 3 2 13" xfId="20502"/>
    <cellStyle name="Обычный 4 2 2 3 2 14" xfId="22114"/>
    <cellStyle name="Обычный 4 2 2 3 2 2" xfId="9478"/>
    <cellStyle name="Обычный 4 2 2 3 2 2 10" xfId="9479"/>
    <cellStyle name="Обычный 4 2 2 3 2 2 11" xfId="18808"/>
    <cellStyle name="Обычный 4 2 2 3 2 2 12" xfId="20503"/>
    <cellStyle name="Обычный 4 2 2 3 2 2 13" xfId="22115"/>
    <cellStyle name="Обычный 4 2 2 3 2 2 2" xfId="9480"/>
    <cellStyle name="Обычный 4 2 2 3 2 2 2 2" xfId="9481"/>
    <cellStyle name="Обычный 4 2 2 3 2 2 3" xfId="9482"/>
    <cellStyle name="Обычный 4 2 2 3 2 2 4" xfId="9483"/>
    <cellStyle name="Обычный 4 2 2 3 2 2 5" xfId="9484"/>
    <cellStyle name="Обычный 4 2 2 3 2 2 6" xfId="9485"/>
    <cellStyle name="Обычный 4 2 2 3 2 2 7" xfId="9486"/>
    <cellStyle name="Обычный 4 2 2 3 2 2 8" xfId="9487"/>
    <cellStyle name="Обычный 4 2 2 3 2 2 9" xfId="9488"/>
    <cellStyle name="Обычный 4 2 2 3 2 3" xfId="9489"/>
    <cellStyle name="Обычный 4 2 2 3 2 3 2" xfId="9490"/>
    <cellStyle name="Обычный 4 2 2 3 2 4" xfId="9491"/>
    <cellStyle name="Обычный 4 2 2 3 2 5" xfId="9492"/>
    <cellStyle name="Обычный 4 2 2 3 2 6" xfId="9493"/>
    <cellStyle name="Обычный 4 2 2 3 2 7" xfId="9494"/>
    <cellStyle name="Обычный 4 2 2 3 2 8" xfId="9495"/>
    <cellStyle name="Обычный 4 2 2 3 2 9" xfId="9496"/>
    <cellStyle name="Обычный 4 2 2 3 20" xfId="22113"/>
    <cellStyle name="Обычный 4 2 2 3 3" xfId="9497"/>
    <cellStyle name="Обычный 4 2 2 3 3 10" xfId="9498"/>
    <cellStyle name="Обычный 4 2 2 3 3 11" xfId="9499"/>
    <cellStyle name="Обычный 4 2 2 3 3 12" xfId="18809"/>
    <cellStyle name="Обычный 4 2 2 3 3 13" xfId="20504"/>
    <cellStyle name="Обычный 4 2 2 3 3 14" xfId="22116"/>
    <cellStyle name="Обычный 4 2 2 3 3 2" xfId="9500"/>
    <cellStyle name="Обычный 4 2 2 3 3 2 10" xfId="9501"/>
    <cellStyle name="Обычный 4 2 2 3 3 2 11" xfId="18810"/>
    <cellStyle name="Обычный 4 2 2 3 3 2 12" xfId="20505"/>
    <cellStyle name="Обычный 4 2 2 3 3 2 13" xfId="22117"/>
    <cellStyle name="Обычный 4 2 2 3 3 2 2" xfId="9502"/>
    <cellStyle name="Обычный 4 2 2 3 3 2 2 2" xfId="9503"/>
    <cellStyle name="Обычный 4 2 2 3 3 2 3" xfId="9504"/>
    <cellStyle name="Обычный 4 2 2 3 3 2 4" xfId="9505"/>
    <cellStyle name="Обычный 4 2 2 3 3 2 5" xfId="9506"/>
    <cellStyle name="Обычный 4 2 2 3 3 2 6" xfId="9507"/>
    <cellStyle name="Обычный 4 2 2 3 3 2 7" xfId="9508"/>
    <cellStyle name="Обычный 4 2 2 3 3 2 8" xfId="9509"/>
    <cellStyle name="Обычный 4 2 2 3 3 2 9" xfId="9510"/>
    <cellStyle name="Обычный 4 2 2 3 3 3" xfId="9511"/>
    <cellStyle name="Обычный 4 2 2 3 3 3 2" xfId="9512"/>
    <cellStyle name="Обычный 4 2 2 3 3 4" xfId="9513"/>
    <cellStyle name="Обычный 4 2 2 3 3 5" xfId="9514"/>
    <cellStyle name="Обычный 4 2 2 3 3 6" xfId="9515"/>
    <cellStyle name="Обычный 4 2 2 3 3 7" xfId="9516"/>
    <cellStyle name="Обычный 4 2 2 3 3 8" xfId="9517"/>
    <cellStyle name="Обычный 4 2 2 3 3 9" xfId="9518"/>
    <cellStyle name="Обычный 4 2 2 3 4" xfId="9519"/>
    <cellStyle name="Обычный 4 2 2 3 4 10" xfId="9520"/>
    <cellStyle name="Обычный 4 2 2 3 4 11" xfId="9521"/>
    <cellStyle name="Обычный 4 2 2 3 4 12" xfId="18811"/>
    <cellStyle name="Обычный 4 2 2 3 4 13" xfId="20506"/>
    <cellStyle name="Обычный 4 2 2 3 4 14" xfId="22118"/>
    <cellStyle name="Обычный 4 2 2 3 4 2" xfId="9522"/>
    <cellStyle name="Обычный 4 2 2 3 4 2 10" xfId="9523"/>
    <cellStyle name="Обычный 4 2 2 3 4 2 11" xfId="18812"/>
    <cellStyle name="Обычный 4 2 2 3 4 2 12" xfId="20507"/>
    <cellStyle name="Обычный 4 2 2 3 4 2 13" xfId="22119"/>
    <cellStyle name="Обычный 4 2 2 3 4 2 2" xfId="9524"/>
    <cellStyle name="Обычный 4 2 2 3 4 2 2 2" xfId="9525"/>
    <cellStyle name="Обычный 4 2 2 3 4 2 3" xfId="9526"/>
    <cellStyle name="Обычный 4 2 2 3 4 2 4" xfId="9527"/>
    <cellStyle name="Обычный 4 2 2 3 4 2 5" xfId="9528"/>
    <cellStyle name="Обычный 4 2 2 3 4 2 6" xfId="9529"/>
    <cellStyle name="Обычный 4 2 2 3 4 2 7" xfId="9530"/>
    <cellStyle name="Обычный 4 2 2 3 4 2 8" xfId="9531"/>
    <cellStyle name="Обычный 4 2 2 3 4 2 9" xfId="9532"/>
    <cellStyle name="Обычный 4 2 2 3 4 3" xfId="9533"/>
    <cellStyle name="Обычный 4 2 2 3 4 3 2" xfId="9534"/>
    <cellStyle name="Обычный 4 2 2 3 4 4" xfId="9535"/>
    <cellStyle name="Обычный 4 2 2 3 4 5" xfId="9536"/>
    <cellStyle name="Обычный 4 2 2 3 4 6" xfId="9537"/>
    <cellStyle name="Обычный 4 2 2 3 4 7" xfId="9538"/>
    <cellStyle name="Обычный 4 2 2 3 4 8" xfId="9539"/>
    <cellStyle name="Обычный 4 2 2 3 4 9" xfId="9540"/>
    <cellStyle name="Обычный 4 2 2 3 5" xfId="9541"/>
    <cellStyle name="Обычный 4 2 2 3 5 10" xfId="9542"/>
    <cellStyle name="Обычный 4 2 2 3 5 11" xfId="9543"/>
    <cellStyle name="Обычный 4 2 2 3 5 12" xfId="18813"/>
    <cellStyle name="Обычный 4 2 2 3 5 13" xfId="20508"/>
    <cellStyle name="Обычный 4 2 2 3 5 14" xfId="22120"/>
    <cellStyle name="Обычный 4 2 2 3 5 2" xfId="9544"/>
    <cellStyle name="Обычный 4 2 2 3 5 2 10" xfId="9545"/>
    <cellStyle name="Обычный 4 2 2 3 5 2 11" xfId="18814"/>
    <cellStyle name="Обычный 4 2 2 3 5 2 12" xfId="20509"/>
    <cellStyle name="Обычный 4 2 2 3 5 2 13" xfId="22121"/>
    <cellStyle name="Обычный 4 2 2 3 5 2 2" xfId="9546"/>
    <cellStyle name="Обычный 4 2 2 3 5 2 2 2" xfId="9547"/>
    <cellStyle name="Обычный 4 2 2 3 5 2 3" xfId="9548"/>
    <cellStyle name="Обычный 4 2 2 3 5 2 4" xfId="9549"/>
    <cellStyle name="Обычный 4 2 2 3 5 2 5" xfId="9550"/>
    <cellStyle name="Обычный 4 2 2 3 5 2 6" xfId="9551"/>
    <cellStyle name="Обычный 4 2 2 3 5 2 7" xfId="9552"/>
    <cellStyle name="Обычный 4 2 2 3 5 2 8" xfId="9553"/>
    <cellStyle name="Обычный 4 2 2 3 5 2 9" xfId="9554"/>
    <cellStyle name="Обычный 4 2 2 3 5 3" xfId="9555"/>
    <cellStyle name="Обычный 4 2 2 3 5 3 2" xfId="9556"/>
    <cellStyle name="Обычный 4 2 2 3 5 4" xfId="9557"/>
    <cellStyle name="Обычный 4 2 2 3 5 5" xfId="9558"/>
    <cellStyle name="Обычный 4 2 2 3 5 6" xfId="9559"/>
    <cellStyle name="Обычный 4 2 2 3 5 7" xfId="9560"/>
    <cellStyle name="Обычный 4 2 2 3 5 8" xfId="9561"/>
    <cellStyle name="Обычный 4 2 2 3 5 9" xfId="9562"/>
    <cellStyle name="Обычный 4 2 2 3 6" xfId="9563"/>
    <cellStyle name="Обычный 4 2 2 3 6 10" xfId="9564"/>
    <cellStyle name="Обычный 4 2 2 3 6 11" xfId="18815"/>
    <cellStyle name="Обычный 4 2 2 3 6 12" xfId="20510"/>
    <cellStyle name="Обычный 4 2 2 3 6 13" xfId="22122"/>
    <cellStyle name="Обычный 4 2 2 3 6 2" xfId="9565"/>
    <cellStyle name="Обычный 4 2 2 3 6 2 2" xfId="9566"/>
    <cellStyle name="Обычный 4 2 2 3 6 3" xfId="9567"/>
    <cellStyle name="Обычный 4 2 2 3 6 4" xfId="9568"/>
    <cellStyle name="Обычный 4 2 2 3 6 5" xfId="9569"/>
    <cellStyle name="Обычный 4 2 2 3 6 6" xfId="9570"/>
    <cellStyle name="Обычный 4 2 2 3 6 7" xfId="9571"/>
    <cellStyle name="Обычный 4 2 2 3 6 8" xfId="9572"/>
    <cellStyle name="Обычный 4 2 2 3 6 9" xfId="9573"/>
    <cellStyle name="Обычный 4 2 2 3 7" xfId="9574"/>
    <cellStyle name="Обычный 4 2 2 3 7 10" xfId="20511"/>
    <cellStyle name="Обычный 4 2 2 3 7 11" xfId="22123"/>
    <cellStyle name="Обычный 4 2 2 3 7 2" xfId="9575"/>
    <cellStyle name="Обычный 4 2 2 3 7 2 2" xfId="9576"/>
    <cellStyle name="Обычный 4 2 2 3 7 3" xfId="9577"/>
    <cellStyle name="Обычный 4 2 2 3 7 4" xfId="9578"/>
    <cellStyle name="Обычный 4 2 2 3 7 5" xfId="9579"/>
    <cellStyle name="Обычный 4 2 2 3 7 6" xfId="9580"/>
    <cellStyle name="Обычный 4 2 2 3 7 7" xfId="9581"/>
    <cellStyle name="Обычный 4 2 2 3 7 8" xfId="9582"/>
    <cellStyle name="Обычный 4 2 2 3 7 9" xfId="18816"/>
    <cellStyle name="Обычный 4 2 2 3 8" xfId="9583"/>
    <cellStyle name="Обычный 4 2 2 3 8 2" xfId="9584"/>
    <cellStyle name="Обычный 4 2 2 3 9" xfId="9585"/>
    <cellStyle name="Обычный 4 2 2 4" xfId="9586"/>
    <cellStyle name="Обычный 4 2 2 4 10" xfId="9587"/>
    <cellStyle name="Обычный 4 2 2 4 11" xfId="9588"/>
    <cellStyle name="Обычный 4 2 2 4 12" xfId="18817"/>
    <cellStyle name="Обычный 4 2 2 4 13" xfId="20512"/>
    <cellStyle name="Обычный 4 2 2 4 14" xfId="22124"/>
    <cellStyle name="Обычный 4 2 2 4 2" xfId="9589"/>
    <cellStyle name="Обычный 4 2 2 4 2 10" xfId="9590"/>
    <cellStyle name="Обычный 4 2 2 4 2 11" xfId="18818"/>
    <cellStyle name="Обычный 4 2 2 4 2 12" xfId="20513"/>
    <cellStyle name="Обычный 4 2 2 4 2 13" xfId="22125"/>
    <cellStyle name="Обычный 4 2 2 4 2 2" xfId="9591"/>
    <cellStyle name="Обычный 4 2 2 4 2 2 2" xfId="9592"/>
    <cellStyle name="Обычный 4 2 2 4 2 3" xfId="9593"/>
    <cellStyle name="Обычный 4 2 2 4 2 4" xfId="9594"/>
    <cellStyle name="Обычный 4 2 2 4 2 5" xfId="9595"/>
    <cellStyle name="Обычный 4 2 2 4 2 6" xfId="9596"/>
    <cellStyle name="Обычный 4 2 2 4 2 7" xfId="9597"/>
    <cellStyle name="Обычный 4 2 2 4 2 8" xfId="9598"/>
    <cellStyle name="Обычный 4 2 2 4 2 9" xfId="9599"/>
    <cellStyle name="Обычный 4 2 2 4 3" xfId="9600"/>
    <cellStyle name="Обычный 4 2 2 4 3 2" xfId="9601"/>
    <cellStyle name="Обычный 4 2 2 4 4" xfId="9602"/>
    <cellStyle name="Обычный 4 2 2 4 5" xfId="9603"/>
    <cellStyle name="Обычный 4 2 2 4 6" xfId="9604"/>
    <cellStyle name="Обычный 4 2 2 4 7" xfId="9605"/>
    <cellStyle name="Обычный 4 2 2 4 8" xfId="9606"/>
    <cellStyle name="Обычный 4 2 2 4 9" xfId="9607"/>
    <cellStyle name="Обычный 4 2 2 5" xfId="9608"/>
    <cellStyle name="Обычный 4 2 2 5 10" xfId="9609"/>
    <cellStyle name="Обычный 4 2 2 5 11" xfId="9610"/>
    <cellStyle name="Обычный 4 2 2 5 12" xfId="18819"/>
    <cellStyle name="Обычный 4 2 2 5 13" xfId="20514"/>
    <cellStyle name="Обычный 4 2 2 5 14" xfId="22126"/>
    <cellStyle name="Обычный 4 2 2 5 2" xfId="9611"/>
    <cellStyle name="Обычный 4 2 2 5 2 10" xfId="9612"/>
    <cellStyle name="Обычный 4 2 2 5 2 11" xfId="18820"/>
    <cellStyle name="Обычный 4 2 2 5 2 12" xfId="20515"/>
    <cellStyle name="Обычный 4 2 2 5 2 13" xfId="22127"/>
    <cellStyle name="Обычный 4 2 2 5 2 2" xfId="9613"/>
    <cellStyle name="Обычный 4 2 2 5 2 2 2" xfId="9614"/>
    <cellStyle name="Обычный 4 2 2 5 2 3" xfId="9615"/>
    <cellStyle name="Обычный 4 2 2 5 2 4" xfId="9616"/>
    <cellStyle name="Обычный 4 2 2 5 2 5" xfId="9617"/>
    <cellStyle name="Обычный 4 2 2 5 2 6" xfId="9618"/>
    <cellStyle name="Обычный 4 2 2 5 2 7" xfId="9619"/>
    <cellStyle name="Обычный 4 2 2 5 2 8" xfId="9620"/>
    <cellStyle name="Обычный 4 2 2 5 2 9" xfId="9621"/>
    <cellStyle name="Обычный 4 2 2 5 3" xfId="9622"/>
    <cellStyle name="Обычный 4 2 2 5 3 2" xfId="9623"/>
    <cellStyle name="Обычный 4 2 2 5 4" xfId="9624"/>
    <cellStyle name="Обычный 4 2 2 5 5" xfId="9625"/>
    <cellStyle name="Обычный 4 2 2 5 6" xfId="9626"/>
    <cellStyle name="Обычный 4 2 2 5 7" xfId="9627"/>
    <cellStyle name="Обычный 4 2 2 5 8" xfId="9628"/>
    <cellStyle name="Обычный 4 2 2 5 9" xfId="9629"/>
    <cellStyle name="Обычный 4 2 2 6" xfId="9630"/>
    <cellStyle name="Обычный 4 2 2 6 10" xfId="9631"/>
    <cellStyle name="Обычный 4 2 2 6 11" xfId="9632"/>
    <cellStyle name="Обычный 4 2 2 6 12" xfId="18821"/>
    <cellStyle name="Обычный 4 2 2 6 13" xfId="20516"/>
    <cellStyle name="Обычный 4 2 2 6 14" xfId="22128"/>
    <cellStyle name="Обычный 4 2 2 6 2" xfId="9633"/>
    <cellStyle name="Обычный 4 2 2 6 2 10" xfId="9634"/>
    <cellStyle name="Обычный 4 2 2 6 2 11" xfId="18822"/>
    <cellStyle name="Обычный 4 2 2 6 2 12" xfId="20517"/>
    <cellStyle name="Обычный 4 2 2 6 2 13" xfId="22129"/>
    <cellStyle name="Обычный 4 2 2 6 2 2" xfId="9635"/>
    <cellStyle name="Обычный 4 2 2 6 2 2 2" xfId="9636"/>
    <cellStyle name="Обычный 4 2 2 6 2 3" xfId="9637"/>
    <cellStyle name="Обычный 4 2 2 6 2 4" xfId="9638"/>
    <cellStyle name="Обычный 4 2 2 6 2 5" xfId="9639"/>
    <cellStyle name="Обычный 4 2 2 6 2 6" xfId="9640"/>
    <cellStyle name="Обычный 4 2 2 6 2 7" xfId="9641"/>
    <cellStyle name="Обычный 4 2 2 6 2 8" xfId="9642"/>
    <cellStyle name="Обычный 4 2 2 6 2 9" xfId="9643"/>
    <cellStyle name="Обычный 4 2 2 6 3" xfId="9644"/>
    <cellStyle name="Обычный 4 2 2 6 3 2" xfId="9645"/>
    <cellStyle name="Обычный 4 2 2 6 4" xfId="9646"/>
    <cellStyle name="Обычный 4 2 2 6 5" xfId="9647"/>
    <cellStyle name="Обычный 4 2 2 6 6" xfId="9648"/>
    <cellStyle name="Обычный 4 2 2 6 7" xfId="9649"/>
    <cellStyle name="Обычный 4 2 2 6 8" xfId="9650"/>
    <cellStyle name="Обычный 4 2 2 6 9" xfId="9651"/>
    <cellStyle name="Обычный 4 2 2 7" xfId="9652"/>
    <cellStyle name="Обычный 4 2 2 7 10" xfId="9653"/>
    <cellStyle name="Обычный 4 2 2 7 11" xfId="9654"/>
    <cellStyle name="Обычный 4 2 2 7 12" xfId="18823"/>
    <cellStyle name="Обычный 4 2 2 7 13" xfId="20518"/>
    <cellStyle name="Обычный 4 2 2 7 14" xfId="22130"/>
    <cellStyle name="Обычный 4 2 2 7 2" xfId="9655"/>
    <cellStyle name="Обычный 4 2 2 7 2 10" xfId="9656"/>
    <cellStyle name="Обычный 4 2 2 7 2 11" xfId="18824"/>
    <cellStyle name="Обычный 4 2 2 7 2 12" xfId="20519"/>
    <cellStyle name="Обычный 4 2 2 7 2 13" xfId="22131"/>
    <cellStyle name="Обычный 4 2 2 7 2 2" xfId="9657"/>
    <cellStyle name="Обычный 4 2 2 7 2 2 2" xfId="9658"/>
    <cellStyle name="Обычный 4 2 2 7 2 3" xfId="9659"/>
    <cellStyle name="Обычный 4 2 2 7 2 4" xfId="9660"/>
    <cellStyle name="Обычный 4 2 2 7 2 5" xfId="9661"/>
    <cellStyle name="Обычный 4 2 2 7 2 6" xfId="9662"/>
    <cellStyle name="Обычный 4 2 2 7 2 7" xfId="9663"/>
    <cellStyle name="Обычный 4 2 2 7 2 8" xfId="9664"/>
    <cellStyle name="Обычный 4 2 2 7 2 9" xfId="9665"/>
    <cellStyle name="Обычный 4 2 2 7 3" xfId="9666"/>
    <cellStyle name="Обычный 4 2 2 7 3 2" xfId="9667"/>
    <cellStyle name="Обычный 4 2 2 7 4" xfId="9668"/>
    <cellStyle name="Обычный 4 2 2 7 5" xfId="9669"/>
    <cellStyle name="Обычный 4 2 2 7 6" xfId="9670"/>
    <cellStyle name="Обычный 4 2 2 7 7" xfId="9671"/>
    <cellStyle name="Обычный 4 2 2 7 8" xfId="9672"/>
    <cellStyle name="Обычный 4 2 2 7 9" xfId="9673"/>
    <cellStyle name="Обычный 4 2 2 8" xfId="9674"/>
    <cellStyle name="Обычный 4 2 2 8 10" xfId="9675"/>
    <cellStyle name="Обычный 4 2 2 8 11" xfId="18825"/>
    <cellStyle name="Обычный 4 2 2 8 12" xfId="20520"/>
    <cellStyle name="Обычный 4 2 2 8 13" xfId="22132"/>
    <cellStyle name="Обычный 4 2 2 8 2" xfId="9676"/>
    <cellStyle name="Обычный 4 2 2 8 2 2" xfId="9677"/>
    <cellStyle name="Обычный 4 2 2 8 3" xfId="9678"/>
    <cellStyle name="Обычный 4 2 2 8 4" xfId="9679"/>
    <cellStyle name="Обычный 4 2 2 8 5" xfId="9680"/>
    <cellStyle name="Обычный 4 2 2 8 6" xfId="9681"/>
    <cellStyle name="Обычный 4 2 2 8 7" xfId="9682"/>
    <cellStyle name="Обычный 4 2 2 8 8" xfId="9683"/>
    <cellStyle name="Обычный 4 2 2 8 9" xfId="9684"/>
    <cellStyle name="Обычный 4 2 2 9" xfId="9685"/>
    <cellStyle name="Обычный 4 2 2 9 10" xfId="20521"/>
    <cellStyle name="Обычный 4 2 2 9 11" xfId="22133"/>
    <cellStyle name="Обычный 4 2 2 9 2" xfId="9686"/>
    <cellStyle name="Обычный 4 2 2 9 2 2" xfId="9687"/>
    <cellStyle name="Обычный 4 2 2 9 3" xfId="9688"/>
    <cellStyle name="Обычный 4 2 2 9 4" xfId="9689"/>
    <cellStyle name="Обычный 4 2 2 9 5" xfId="9690"/>
    <cellStyle name="Обычный 4 2 2 9 6" xfId="9691"/>
    <cellStyle name="Обычный 4 2 2 9 7" xfId="9692"/>
    <cellStyle name="Обычный 4 2 2 9 8" xfId="9693"/>
    <cellStyle name="Обычный 4 2 2 9 9" xfId="18826"/>
    <cellStyle name="Обычный 4 2 20" xfId="9694"/>
    <cellStyle name="Обычный 4 2 21" xfId="9695"/>
    <cellStyle name="Обычный 4 2 22" xfId="9696"/>
    <cellStyle name="Обычный 4 2 23" xfId="9697"/>
    <cellStyle name="Обычный 4 2 24" xfId="18788"/>
    <cellStyle name="Обычный 4 2 25" xfId="19635"/>
    <cellStyle name="Обычный 4 2 26" xfId="20483"/>
    <cellStyle name="Обычный 4 2 27" xfId="22095"/>
    <cellStyle name="Обычный 4 2 3" xfId="9698"/>
    <cellStyle name="Обычный 4 2 3 10" xfId="9699"/>
    <cellStyle name="Обычный 4 2 3 11" xfId="9700"/>
    <cellStyle name="Обычный 4 2 3 12" xfId="9701"/>
    <cellStyle name="Обычный 4 2 3 13" xfId="9702"/>
    <cellStyle name="Обычный 4 2 3 14" xfId="9703"/>
    <cellStyle name="Обычный 4 2 3 15" xfId="9704"/>
    <cellStyle name="Обычный 4 2 3 16" xfId="9705"/>
    <cellStyle name="Обычный 4 2 3 17" xfId="9706"/>
    <cellStyle name="Обычный 4 2 3 18" xfId="18827"/>
    <cellStyle name="Обычный 4 2 3 19" xfId="20522"/>
    <cellStyle name="Обычный 4 2 3 2" xfId="9707"/>
    <cellStyle name="Обычный 4 2 3 2 10" xfId="9708"/>
    <cellStyle name="Обычный 4 2 3 2 11" xfId="9709"/>
    <cellStyle name="Обычный 4 2 3 2 12" xfId="18828"/>
    <cellStyle name="Обычный 4 2 3 2 13" xfId="20523"/>
    <cellStyle name="Обычный 4 2 3 2 14" xfId="22135"/>
    <cellStyle name="Обычный 4 2 3 2 2" xfId="9710"/>
    <cellStyle name="Обычный 4 2 3 2 2 10" xfId="9711"/>
    <cellStyle name="Обычный 4 2 3 2 2 11" xfId="18829"/>
    <cellStyle name="Обычный 4 2 3 2 2 12" xfId="20524"/>
    <cellStyle name="Обычный 4 2 3 2 2 13" xfId="22136"/>
    <cellStyle name="Обычный 4 2 3 2 2 2" xfId="9712"/>
    <cellStyle name="Обычный 4 2 3 2 2 2 2" xfId="9713"/>
    <cellStyle name="Обычный 4 2 3 2 2 3" xfId="9714"/>
    <cellStyle name="Обычный 4 2 3 2 2 4" xfId="9715"/>
    <cellStyle name="Обычный 4 2 3 2 2 5" xfId="9716"/>
    <cellStyle name="Обычный 4 2 3 2 2 6" xfId="9717"/>
    <cellStyle name="Обычный 4 2 3 2 2 7" xfId="9718"/>
    <cellStyle name="Обычный 4 2 3 2 2 8" xfId="9719"/>
    <cellStyle name="Обычный 4 2 3 2 2 9" xfId="9720"/>
    <cellStyle name="Обычный 4 2 3 2 3" xfId="9721"/>
    <cellStyle name="Обычный 4 2 3 2 3 2" xfId="9722"/>
    <cellStyle name="Обычный 4 2 3 2 4" xfId="9723"/>
    <cellStyle name="Обычный 4 2 3 2 5" xfId="9724"/>
    <cellStyle name="Обычный 4 2 3 2 6" xfId="9725"/>
    <cellStyle name="Обычный 4 2 3 2 7" xfId="9726"/>
    <cellStyle name="Обычный 4 2 3 2 8" xfId="9727"/>
    <cellStyle name="Обычный 4 2 3 2 9" xfId="9728"/>
    <cellStyle name="Обычный 4 2 3 20" xfId="22134"/>
    <cellStyle name="Обычный 4 2 3 3" xfId="9729"/>
    <cellStyle name="Обычный 4 2 3 3 10" xfId="9730"/>
    <cellStyle name="Обычный 4 2 3 3 11" xfId="9731"/>
    <cellStyle name="Обычный 4 2 3 3 12" xfId="18830"/>
    <cellStyle name="Обычный 4 2 3 3 13" xfId="20525"/>
    <cellStyle name="Обычный 4 2 3 3 14" xfId="22137"/>
    <cellStyle name="Обычный 4 2 3 3 2" xfId="9732"/>
    <cellStyle name="Обычный 4 2 3 3 2 10" xfId="9733"/>
    <cellStyle name="Обычный 4 2 3 3 2 11" xfId="18831"/>
    <cellStyle name="Обычный 4 2 3 3 2 12" xfId="20526"/>
    <cellStyle name="Обычный 4 2 3 3 2 13" xfId="22138"/>
    <cellStyle name="Обычный 4 2 3 3 2 2" xfId="9734"/>
    <cellStyle name="Обычный 4 2 3 3 2 2 2" xfId="9735"/>
    <cellStyle name="Обычный 4 2 3 3 2 3" xfId="9736"/>
    <cellStyle name="Обычный 4 2 3 3 2 4" xfId="9737"/>
    <cellStyle name="Обычный 4 2 3 3 2 5" xfId="9738"/>
    <cellStyle name="Обычный 4 2 3 3 2 6" xfId="9739"/>
    <cellStyle name="Обычный 4 2 3 3 2 7" xfId="9740"/>
    <cellStyle name="Обычный 4 2 3 3 2 8" xfId="9741"/>
    <cellStyle name="Обычный 4 2 3 3 2 9" xfId="9742"/>
    <cellStyle name="Обычный 4 2 3 3 3" xfId="9743"/>
    <cellStyle name="Обычный 4 2 3 3 3 2" xfId="9744"/>
    <cellStyle name="Обычный 4 2 3 3 4" xfId="9745"/>
    <cellStyle name="Обычный 4 2 3 3 5" xfId="9746"/>
    <cellStyle name="Обычный 4 2 3 3 6" xfId="9747"/>
    <cellStyle name="Обычный 4 2 3 3 7" xfId="9748"/>
    <cellStyle name="Обычный 4 2 3 3 8" xfId="9749"/>
    <cellStyle name="Обычный 4 2 3 3 9" xfId="9750"/>
    <cellStyle name="Обычный 4 2 3 4" xfId="9751"/>
    <cellStyle name="Обычный 4 2 3 4 10" xfId="9752"/>
    <cellStyle name="Обычный 4 2 3 4 11" xfId="9753"/>
    <cellStyle name="Обычный 4 2 3 4 12" xfId="18832"/>
    <cellStyle name="Обычный 4 2 3 4 13" xfId="20527"/>
    <cellStyle name="Обычный 4 2 3 4 14" xfId="22139"/>
    <cellStyle name="Обычный 4 2 3 4 2" xfId="9754"/>
    <cellStyle name="Обычный 4 2 3 4 2 10" xfId="9755"/>
    <cellStyle name="Обычный 4 2 3 4 2 11" xfId="18833"/>
    <cellStyle name="Обычный 4 2 3 4 2 12" xfId="20528"/>
    <cellStyle name="Обычный 4 2 3 4 2 13" xfId="22140"/>
    <cellStyle name="Обычный 4 2 3 4 2 2" xfId="9756"/>
    <cellStyle name="Обычный 4 2 3 4 2 2 2" xfId="9757"/>
    <cellStyle name="Обычный 4 2 3 4 2 3" xfId="9758"/>
    <cellStyle name="Обычный 4 2 3 4 2 4" xfId="9759"/>
    <cellStyle name="Обычный 4 2 3 4 2 5" xfId="9760"/>
    <cellStyle name="Обычный 4 2 3 4 2 6" xfId="9761"/>
    <cellStyle name="Обычный 4 2 3 4 2 7" xfId="9762"/>
    <cellStyle name="Обычный 4 2 3 4 2 8" xfId="9763"/>
    <cellStyle name="Обычный 4 2 3 4 2 9" xfId="9764"/>
    <cellStyle name="Обычный 4 2 3 4 3" xfId="9765"/>
    <cellStyle name="Обычный 4 2 3 4 3 2" xfId="9766"/>
    <cellStyle name="Обычный 4 2 3 4 4" xfId="9767"/>
    <cellStyle name="Обычный 4 2 3 4 5" xfId="9768"/>
    <cellStyle name="Обычный 4 2 3 4 6" xfId="9769"/>
    <cellStyle name="Обычный 4 2 3 4 7" xfId="9770"/>
    <cellStyle name="Обычный 4 2 3 4 8" xfId="9771"/>
    <cellStyle name="Обычный 4 2 3 4 9" xfId="9772"/>
    <cellStyle name="Обычный 4 2 3 5" xfId="9773"/>
    <cellStyle name="Обычный 4 2 3 5 10" xfId="9774"/>
    <cellStyle name="Обычный 4 2 3 5 11" xfId="9775"/>
    <cellStyle name="Обычный 4 2 3 5 12" xfId="18834"/>
    <cellStyle name="Обычный 4 2 3 5 13" xfId="20529"/>
    <cellStyle name="Обычный 4 2 3 5 14" xfId="22141"/>
    <cellStyle name="Обычный 4 2 3 5 2" xfId="9776"/>
    <cellStyle name="Обычный 4 2 3 5 2 10" xfId="9777"/>
    <cellStyle name="Обычный 4 2 3 5 2 11" xfId="18835"/>
    <cellStyle name="Обычный 4 2 3 5 2 12" xfId="20530"/>
    <cellStyle name="Обычный 4 2 3 5 2 13" xfId="22142"/>
    <cellStyle name="Обычный 4 2 3 5 2 2" xfId="9778"/>
    <cellStyle name="Обычный 4 2 3 5 2 2 2" xfId="9779"/>
    <cellStyle name="Обычный 4 2 3 5 2 3" xfId="9780"/>
    <cellStyle name="Обычный 4 2 3 5 2 4" xfId="9781"/>
    <cellStyle name="Обычный 4 2 3 5 2 5" xfId="9782"/>
    <cellStyle name="Обычный 4 2 3 5 2 6" xfId="9783"/>
    <cellStyle name="Обычный 4 2 3 5 2 7" xfId="9784"/>
    <cellStyle name="Обычный 4 2 3 5 2 8" xfId="9785"/>
    <cellStyle name="Обычный 4 2 3 5 2 9" xfId="9786"/>
    <cellStyle name="Обычный 4 2 3 5 3" xfId="9787"/>
    <cellStyle name="Обычный 4 2 3 5 3 2" xfId="9788"/>
    <cellStyle name="Обычный 4 2 3 5 4" xfId="9789"/>
    <cellStyle name="Обычный 4 2 3 5 5" xfId="9790"/>
    <cellStyle name="Обычный 4 2 3 5 6" xfId="9791"/>
    <cellStyle name="Обычный 4 2 3 5 7" xfId="9792"/>
    <cellStyle name="Обычный 4 2 3 5 8" xfId="9793"/>
    <cellStyle name="Обычный 4 2 3 5 9" xfId="9794"/>
    <cellStyle name="Обычный 4 2 3 6" xfId="9795"/>
    <cellStyle name="Обычный 4 2 3 6 10" xfId="9796"/>
    <cellStyle name="Обычный 4 2 3 6 11" xfId="18836"/>
    <cellStyle name="Обычный 4 2 3 6 12" xfId="20531"/>
    <cellStyle name="Обычный 4 2 3 6 13" xfId="22143"/>
    <cellStyle name="Обычный 4 2 3 6 2" xfId="9797"/>
    <cellStyle name="Обычный 4 2 3 6 2 2" xfId="9798"/>
    <cellStyle name="Обычный 4 2 3 6 3" xfId="9799"/>
    <cellStyle name="Обычный 4 2 3 6 4" xfId="9800"/>
    <cellStyle name="Обычный 4 2 3 6 5" xfId="9801"/>
    <cellStyle name="Обычный 4 2 3 6 6" xfId="9802"/>
    <cellStyle name="Обычный 4 2 3 6 7" xfId="9803"/>
    <cellStyle name="Обычный 4 2 3 6 8" xfId="9804"/>
    <cellStyle name="Обычный 4 2 3 6 9" xfId="9805"/>
    <cellStyle name="Обычный 4 2 3 7" xfId="9806"/>
    <cellStyle name="Обычный 4 2 3 7 10" xfId="20532"/>
    <cellStyle name="Обычный 4 2 3 7 11" xfId="22144"/>
    <cellStyle name="Обычный 4 2 3 7 2" xfId="9807"/>
    <cellStyle name="Обычный 4 2 3 7 2 2" xfId="9808"/>
    <cellStyle name="Обычный 4 2 3 7 3" xfId="9809"/>
    <cellStyle name="Обычный 4 2 3 7 4" xfId="9810"/>
    <cellStyle name="Обычный 4 2 3 7 5" xfId="9811"/>
    <cellStyle name="Обычный 4 2 3 7 6" xfId="9812"/>
    <cellStyle name="Обычный 4 2 3 7 7" xfId="9813"/>
    <cellStyle name="Обычный 4 2 3 7 8" xfId="9814"/>
    <cellStyle name="Обычный 4 2 3 7 9" xfId="18837"/>
    <cellStyle name="Обычный 4 2 3 8" xfId="9815"/>
    <cellStyle name="Обычный 4 2 3 8 2" xfId="9816"/>
    <cellStyle name="Обычный 4 2 3 9" xfId="9817"/>
    <cellStyle name="Обычный 4 2 4" xfId="9818"/>
    <cellStyle name="Обычный 4 2 4 10" xfId="9819"/>
    <cellStyle name="Обычный 4 2 4 11" xfId="9820"/>
    <cellStyle name="Обычный 4 2 4 12" xfId="9821"/>
    <cellStyle name="Обычный 4 2 4 13" xfId="9822"/>
    <cellStyle name="Обычный 4 2 4 14" xfId="9823"/>
    <cellStyle name="Обычный 4 2 4 15" xfId="9824"/>
    <cellStyle name="Обычный 4 2 4 16" xfId="9825"/>
    <cellStyle name="Обычный 4 2 4 17" xfId="9826"/>
    <cellStyle name="Обычный 4 2 4 18" xfId="18838"/>
    <cellStyle name="Обычный 4 2 4 19" xfId="20533"/>
    <cellStyle name="Обычный 4 2 4 2" xfId="9827"/>
    <cellStyle name="Обычный 4 2 4 2 10" xfId="9828"/>
    <cellStyle name="Обычный 4 2 4 2 11" xfId="9829"/>
    <cellStyle name="Обычный 4 2 4 2 12" xfId="18839"/>
    <cellStyle name="Обычный 4 2 4 2 13" xfId="20534"/>
    <cellStyle name="Обычный 4 2 4 2 14" xfId="22146"/>
    <cellStyle name="Обычный 4 2 4 2 2" xfId="9830"/>
    <cellStyle name="Обычный 4 2 4 2 2 10" xfId="9831"/>
    <cellStyle name="Обычный 4 2 4 2 2 11" xfId="18840"/>
    <cellStyle name="Обычный 4 2 4 2 2 12" xfId="20535"/>
    <cellStyle name="Обычный 4 2 4 2 2 13" xfId="22147"/>
    <cellStyle name="Обычный 4 2 4 2 2 2" xfId="9832"/>
    <cellStyle name="Обычный 4 2 4 2 2 2 2" xfId="9833"/>
    <cellStyle name="Обычный 4 2 4 2 2 3" xfId="9834"/>
    <cellStyle name="Обычный 4 2 4 2 2 4" xfId="9835"/>
    <cellStyle name="Обычный 4 2 4 2 2 5" xfId="9836"/>
    <cellStyle name="Обычный 4 2 4 2 2 6" xfId="9837"/>
    <cellStyle name="Обычный 4 2 4 2 2 7" xfId="9838"/>
    <cellStyle name="Обычный 4 2 4 2 2 8" xfId="9839"/>
    <cellStyle name="Обычный 4 2 4 2 2 9" xfId="9840"/>
    <cellStyle name="Обычный 4 2 4 2 3" xfId="9841"/>
    <cellStyle name="Обычный 4 2 4 2 3 2" xfId="9842"/>
    <cellStyle name="Обычный 4 2 4 2 4" xfId="9843"/>
    <cellStyle name="Обычный 4 2 4 2 5" xfId="9844"/>
    <cellStyle name="Обычный 4 2 4 2 6" xfId="9845"/>
    <cellStyle name="Обычный 4 2 4 2 7" xfId="9846"/>
    <cellStyle name="Обычный 4 2 4 2 8" xfId="9847"/>
    <cellStyle name="Обычный 4 2 4 2 9" xfId="9848"/>
    <cellStyle name="Обычный 4 2 4 20" xfId="22145"/>
    <cellStyle name="Обычный 4 2 4 3" xfId="9849"/>
    <cellStyle name="Обычный 4 2 4 3 10" xfId="9850"/>
    <cellStyle name="Обычный 4 2 4 3 11" xfId="9851"/>
    <cellStyle name="Обычный 4 2 4 3 12" xfId="18841"/>
    <cellStyle name="Обычный 4 2 4 3 13" xfId="20536"/>
    <cellStyle name="Обычный 4 2 4 3 14" xfId="22148"/>
    <cellStyle name="Обычный 4 2 4 3 2" xfId="9852"/>
    <cellStyle name="Обычный 4 2 4 3 2 10" xfId="9853"/>
    <cellStyle name="Обычный 4 2 4 3 2 11" xfId="18842"/>
    <cellStyle name="Обычный 4 2 4 3 2 12" xfId="20537"/>
    <cellStyle name="Обычный 4 2 4 3 2 13" xfId="22149"/>
    <cellStyle name="Обычный 4 2 4 3 2 2" xfId="9854"/>
    <cellStyle name="Обычный 4 2 4 3 2 2 2" xfId="9855"/>
    <cellStyle name="Обычный 4 2 4 3 2 3" xfId="9856"/>
    <cellStyle name="Обычный 4 2 4 3 2 4" xfId="9857"/>
    <cellStyle name="Обычный 4 2 4 3 2 5" xfId="9858"/>
    <cellStyle name="Обычный 4 2 4 3 2 6" xfId="9859"/>
    <cellStyle name="Обычный 4 2 4 3 2 7" xfId="9860"/>
    <cellStyle name="Обычный 4 2 4 3 2 8" xfId="9861"/>
    <cellStyle name="Обычный 4 2 4 3 2 9" xfId="9862"/>
    <cellStyle name="Обычный 4 2 4 3 3" xfId="9863"/>
    <cellStyle name="Обычный 4 2 4 3 3 2" xfId="9864"/>
    <cellStyle name="Обычный 4 2 4 3 4" xfId="9865"/>
    <cellStyle name="Обычный 4 2 4 3 5" xfId="9866"/>
    <cellStyle name="Обычный 4 2 4 3 6" xfId="9867"/>
    <cellStyle name="Обычный 4 2 4 3 7" xfId="9868"/>
    <cellStyle name="Обычный 4 2 4 3 8" xfId="9869"/>
    <cellStyle name="Обычный 4 2 4 3 9" xfId="9870"/>
    <cellStyle name="Обычный 4 2 4 4" xfId="9871"/>
    <cellStyle name="Обычный 4 2 4 4 10" xfId="9872"/>
    <cellStyle name="Обычный 4 2 4 4 11" xfId="9873"/>
    <cellStyle name="Обычный 4 2 4 4 12" xfId="18843"/>
    <cellStyle name="Обычный 4 2 4 4 13" xfId="20538"/>
    <cellStyle name="Обычный 4 2 4 4 14" xfId="22150"/>
    <cellStyle name="Обычный 4 2 4 4 2" xfId="9874"/>
    <cellStyle name="Обычный 4 2 4 4 2 10" xfId="9875"/>
    <cellStyle name="Обычный 4 2 4 4 2 11" xfId="18844"/>
    <cellStyle name="Обычный 4 2 4 4 2 12" xfId="20539"/>
    <cellStyle name="Обычный 4 2 4 4 2 13" xfId="22151"/>
    <cellStyle name="Обычный 4 2 4 4 2 2" xfId="9876"/>
    <cellStyle name="Обычный 4 2 4 4 2 2 2" xfId="9877"/>
    <cellStyle name="Обычный 4 2 4 4 2 3" xfId="9878"/>
    <cellStyle name="Обычный 4 2 4 4 2 4" xfId="9879"/>
    <cellStyle name="Обычный 4 2 4 4 2 5" xfId="9880"/>
    <cellStyle name="Обычный 4 2 4 4 2 6" xfId="9881"/>
    <cellStyle name="Обычный 4 2 4 4 2 7" xfId="9882"/>
    <cellStyle name="Обычный 4 2 4 4 2 8" xfId="9883"/>
    <cellStyle name="Обычный 4 2 4 4 2 9" xfId="9884"/>
    <cellStyle name="Обычный 4 2 4 4 3" xfId="9885"/>
    <cellStyle name="Обычный 4 2 4 4 3 2" xfId="9886"/>
    <cellStyle name="Обычный 4 2 4 4 4" xfId="9887"/>
    <cellStyle name="Обычный 4 2 4 4 5" xfId="9888"/>
    <cellStyle name="Обычный 4 2 4 4 6" xfId="9889"/>
    <cellStyle name="Обычный 4 2 4 4 7" xfId="9890"/>
    <cellStyle name="Обычный 4 2 4 4 8" xfId="9891"/>
    <cellStyle name="Обычный 4 2 4 4 9" xfId="9892"/>
    <cellStyle name="Обычный 4 2 4 5" xfId="9893"/>
    <cellStyle name="Обычный 4 2 4 5 10" xfId="9894"/>
    <cellStyle name="Обычный 4 2 4 5 11" xfId="9895"/>
    <cellStyle name="Обычный 4 2 4 5 12" xfId="18845"/>
    <cellStyle name="Обычный 4 2 4 5 13" xfId="20540"/>
    <cellStyle name="Обычный 4 2 4 5 14" xfId="22152"/>
    <cellStyle name="Обычный 4 2 4 5 2" xfId="9896"/>
    <cellStyle name="Обычный 4 2 4 5 2 10" xfId="9897"/>
    <cellStyle name="Обычный 4 2 4 5 2 11" xfId="18846"/>
    <cellStyle name="Обычный 4 2 4 5 2 12" xfId="20541"/>
    <cellStyle name="Обычный 4 2 4 5 2 13" xfId="22153"/>
    <cellStyle name="Обычный 4 2 4 5 2 2" xfId="9898"/>
    <cellStyle name="Обычный 4 2 4 5 2 2 2" xfId="9899"/>
    <cellStyle name="Обычный 4 2 4 5 2 3" xfId="9900"/>
    <cellStyle name="Обычный 4 2 4 5 2 4" xfId="9901"/>
    <cellStyle name="Обычный 4 2 4 5 2 5" xfId="9902"/>
    <cellStyle name="Обычный 4 2 4 5 2 6" xfId="9903"/>
    <cellStyle name="Обычный 4 2 4 5 2 7" xfId="9904"/>
    <cellStyle name="Обычный 4 2 4 5 2 8" xfId="9905"/>
    <cellStyle name="Обычный 4 2 4 5 2 9" xfId="9906"/>
    <cellStyle name="Обычный 4 2 4 5 3" xfId="9907"/>
    <cellStyle name="Обычный 4 2 4 5 3 2" xfId="9908"/>
    <cellStyle name="Обычный 4 2 4 5 4" xfId="9909"/>
    <cellStyle name="Обычный 4 2 4 5 5" xfId="9910"/>
    <cellStyle name="Обычный 4 2 4 5 6" xfId="9911"/>
    <cellStyle name="Обычный 4 2 4 5 7" xfId="9912"/>
    <cellStyle name="Обычный 4 2 4 5 8" xfId="9913"/>
    <cellStyle name="Обычный 4 2 4 5 9" xfId="9914"/>
    <cellStyle name="Обычный 4 2 4 6" xfId="9915"/>
    <cellStyle name="Обычный 4 2 4 6 10" xfId="9916"/>
    <cellStyle name="Обычный 4 2 4 6 11" xfId="18847"/>
    <cellStyle name="Обычный 4 2 4 6 12" xfId="20542"/>
    <cellStyle name="Обычный 4 2 4 6 13" xfId="22154"/>
    <cellStyle name="Обычный 4 2 4 6 2" xfId="9917"/>
    <cellStyle name="Обычный 4 2 4 6 2 2" xfId="9918"/>
    <cellStyle name="Обычный 4 2 4 6 3" xfId="9919"/>
    <cellStyle name="Обычный 4 2 4 6 4" xfId="9920"/>
    <cellStyle name="Обычный 4 2 4 6 5" xfId="9921"/>
    <cellStyle name="Обычный 4 2 4 6 6" xfId="9922"/>
    <cellStyle name="Обычный 4 2 4 6 7" xfId="9923"/>
    <cellStyle name="Обычный 4 2 4 6 8" xfId="9924"/>
    <cellStyle name="Обычный 4 2 4 6 9" xfId="9925"/>
    <cellStyle name="Обычный 4 2 4 7" xfId="9926"/>
    <cellStyle name="Обычный 4 2 4 7 10" xfId="20543"/>
    <cellStyle name="Обычный 4 2 4 7 11" xfId="22155"/>
    <cellStyle name="Обычный 4 2 4 7 2" xfId="9927"/>
    <cellStyle name="Обычный 4 2 4 7 2 2" xfId="9928"/>
    <cellStyle name="Обычный 4 2 4 7 3" xfId="9929"/>
    <cellStyle name="Обычный 4 2 4 7 4" xfId="9930"/>
    <cellStyle name="Обычный 4 2 4 7 5" xfId="9931"/>
    <cellStyle name="Обычный 4 2 4 7 6" xfId="9932"/>
    <cellStyle name="Обычный 4 2 4 7 7" xfId="9933"/>
    <cellStyle name="Обычный 4 2 4 7 8" xfId="9934"/>
    <cellStyle name="Обычный 4 2 4 7 9" xfId="18848"/>
    <cellStyle name="Обычный 4 2 4 8" xfId="9935"/>
    <cellStyle name="Обычный 4 2 4 8 2" xfId="9936"/>
    <cellStyle name="Обычный 4 2 4 9" xfId="9937"/>
    <cellStyle name="Обычный 4 2 5" xfId="9938"/>
    <cellStyle name="Обычный 4 2 5 10" xfId="9939"/>
    <cellStyle name="Обычный 4 2 5 11" xfId="9940"/>
    <cellStyle name="Обычный 4 2 5 12" xfId="18849"/>
    <cellStyle name="Обычный 4 2 5 13" xfId="20544"/>
    <cellStyle name="Обычный 4 2 5 14" xfId="22156"/>
    <cellStyle name="Обычный 4 2 5 2" xfId="9941"/>
    <cellStyle name="Обычный 4 2 5 2 10" xfId="9942"/>
    <cellStyle name="Обычный 4 2 5 2 11" xfId="18850"/>
    <cellStyle name="Обычный 4 2 5 2 12" xfId="20545"/>
    <cellStyle name="Обычный 4 2 5 2 13" xfId="22157"/>
    <cellStyle name="Обычный 4 2 5 2 2" xfId="9943"/>
    <cellStyle name="Обычный 4 2 5 2 2 2" xfId="9944"/>
    <cellStyle name="Обычный 4 2 5 2 3" xfId="9945"/>
    <cellStyle name="Обычный 4 2 5 2 4" xfId="9946"/>
    <cellStyle name="Обычный 4 2 5 2 5" xfId="9947"/>
    <cellStyle name="Обычный 4 2 5 2 6" xfId="9948"/>
    <cellStyle name="Обычный 4 2 5 2 7" xfId="9949"/>
    <cellStyle name="Обычный 4 2 5 2 8" xfId="9950"/>
    <cellStyle name="Обычный 4 2 5 2 9" xfId="9951"/>
    <cellStyle name="Обычный 4 2 5 3" xfId="9952"/>
    <cellStyle name="Обычный 4 2 5 3 2" xfId="9953"/>
    <cellStyle name="Обычный 4 2 5 4" xfId="9954"/>
    <cellStyle name="Обычный 4 2 5 5" xfId="9955"/>
    <cellStyle name="Обычный 4 2 5 6" xfId="9956"/>
    <cellStyle name="Обычный 4 2 5 7" xfId="9957"/>
    <cellStyle name="Обычный 4 2 5 8" xfId="9958"/>
    <cellStyle name="Обычный 4 2 5 9" xfId="9959"/>
    <cellStyle name="Обычный 4 2 6" xfId="9960"/>
    <cellStyle name="Обычный 4 2 6 10" xfId="9961"/>
    <cellStyle name="Обычный 4 2 6 11" xfId="9962"/>
    <cellStyle name="Обычный 4 2 6 12" xfId="18851"/>
    <cellStyle name="Обычный 4 2 6 13" xfId="20546"/>
    <cellStyle name="Обычный 4 2 6 14" xfId="22158"/>
    <cellStyle name="Обычный 4 2 6 2" xfId="9963"/>
    <cellStyle name="Обычный 4 2 6 2 10" xfId="9964"/>
    <cellStyle name="Обычный 4 2 6 2 11" xfId="18852"/>
    <cellStyle name="Обычный 4 2 6 2 12" xfId="20547"/>
    <cellStyle name="Обычный 4 2 6 2 13" xfId="22159"/>
    <cellStyle name="Обычный 4 2 6 2 2" xfId="9965"/>
    <cellStyle name="Обычный 4 2 6 2 2 2" xfId="9966"/>
    <cellStyle name="Обычный 4 2 6 2 3" xfId="9967"/>
    <cellStyle name="Обычный 4 2 6 2 4" xfId="9968"/>
    <cellStyle name="Обычный 4 2 6 2 5" xfId="9969"/>
    <cellStyle name="Обычный 4 2 6 2 6" xfId="9970"/>
    <cellStyle name="Обычный 4 2 6 2 7" xfId="9971"/>
    <cellStyle name="Обычный 4 2 6 2 8" xfId="9972"/>
    <cellStyle name="Обычный 4 2 6 2 9" xfId="9973"/>
    <cellStyle name="Обычный 4 2 6 3" xfId="9974"/>
    <cellStyle name="Обычный 4 2 6 3 2" xfId="9975"/>
    <cellStyle name="Обычный 4 2 6 4" xfId="9976"/>
    <cellStyle name="Обычный 4 2 6 5" xfId="9977"/>
    <cellStyle name="Обычный 4 2 6 6" xfId="9978"/>
    <cellStyle name="Обычный 4 2 6 7" xfId="9979"/>
    <cellStyle name="Обычный 4 2 6 8" xfId="9980"/>
    <cellStyle name="Обычный 4 2 6 9" xfId="9981"/>
    <cellStyle name="Обычный 4 2 7" xfId="9982"/>
    <cellStyle name="Обычный 4 2 7 10" xfId="9983"/>
    <cellStyle name="Обычный 4 2 7 11" xfId="9984"/>
    <cellStyle name="Обычный 4 2 7 12" xfId="18853"/>
    <cellStyle name="Обычный 4 2 7 13" xfId="20548"/>
    <cellStyle name="Обычный 4 2 7 14" xfId="22160"/>
    <cellStyle name="Обычный 4 2 7 2" xfId="9985"/>
    <cellStyle name="Обычный 4 2 7 2 10" xfId="9986"/>
    <cellStyle name="Обычный 4 2 7 2 11" xfId="18854"/>
    <cellStyle name="Обычный 4 2 7 2 12" xfId="20549"/>
    <cellStyle name="Обычный 4 2 7 2 13" xfId="22161"/>
    <cellStyle name="Обычный 4 2 7 2 2" xfId="9987"/>
    <cellStyle name="Обычный 4 2 7 2 2 2" xfId="9988"/>
    <cellStyle name="Обычный 4 2 7 2 3" xfId="9989"/>
    <cellStyle name="Обычный 4 2 7 2 4" xfId="9990"/>
    <cellStyle name="Обычный 4 2 7 2 5" xfId="9991"/>
    <cellStyle name="Обычный 4 2 7 2 6" xfId="9992"/>
    <cellStyle name="Обычный 4 2 7 2 7" xfId="9993"/>
    <cellStyle name="Обычный 4 2 7 2 8" xfId="9994"/>
    <cellStyle name="Обычный 4 2 7 2 9" xfId="9995"/>
    <cellStyle name="Обычный 4 2 7 3" xfId="9996"/>
    <cellStyle name="Обычный 4 2 7 3 2" xfId="9997"/>
    <cellStyle name="Обычный 4 2 7 4" xfId="9998"/>
    <cellStyle name="Обычный 4 2 7 5" xfId="9999"/>
    <cellStyle name="Обычный 4 2 7 6" xfId="10000"/>
    <cellStyle name="Обычный 4 2 7 7" xfId="10001"/>
    <cellStyle name="Обычный 4 2 7 8" xfId="10002"/>
    <cellStyle name="Обычный 4 2 7 9" xfId="10003"/>
    <cellStyle name="Обычный 4 2 8" xfId="10004"/>
    <cellStyle name="Обычный 4 2 8 10" xfId="10005"/>
    <cellStyle name="Обычный 4 2 8 11" xfId="10006"/>
    <cellStyle name="Обычный 4 2 8 12" xfId="18855"/>
    <cellStyle name="Обычный 4 2 8 13" xfId="20550"/>
    <cellStyle name="Обычный 4 2 8 14" xfId="22162"/>
    <cellStyle name="Обычный 4 2 8 2" xfId="10007"/>
    <cellStyle name="Обычный 4 2 8 2 10" xfId="10008"/>
    <cellStyle name="Обычный 4 2 8 2 11" xfId="18856"/>
    <cellStyle name="Обычный 4 2 8 2 12" xfId="20551"/>
    <cellStyle name="Обычный 4 2 8 2 13" xfId="22163"/>
    <cellStyle name="Обычный 4 2 8 2 2" xfId="10009"/>
    <cellStyle name="Обычный 4 2 8 2 2 2" xfId="10010"/>
    <cellStyle name="Обычный 4 2 8 2 3" xfId="10011"/>
    <cellStyle name="Обычный 4 2 8 2 4" xfId="10012"/>
    <cellStyle name="Обычный 4 2 8 2 5" xfId="10013"/>
    <cellStyle name="Обычный 4 2 8 2 6" xfId="10014"/>
    <cellStyle name="Обычный 4 2 8 2 7" xfId="10015"/>
    <cellStyle name="Обычный 4 2 8 2 8" xfId="10016"/>
    <cellStyle name="Обычный 4 2 8 2 9" xfId="10017"/>
    <cellStyle name="Обычный 4 2 8 3" xfId="10018"/>
    <cellStyle name="Обычный 4 2 8 3 2" xfId="10019"/>
    <cellStyle name="Обычный 4 2 8 4" xfId="10020"/>
    <cellStyle name="Обычный 4 2 8 5" xfId="10021"/>
    <cellStyle name="Обычный 4 2 8 6" xfId="10022"/>
    <cellStyle name="Обычный 4 2 8 7" xfId="10023"/>
    <cellStyle name="Обычный 4 2 8 8" xfId="10024"/>
    <cellStyle name="Обычный 4 2 8 9" xfId="10025"/>
    <cellStyle name="Обычный 4 2 9" xfId="10026"/>
    <cellStyle name="Обычный 4 2 9 10" xfId="10027"/>
    <cellStyle name="Обычный 4 2 9 11" xfId="10028"/>
    <cellStyle name="Обычный 4 2 9 12" xfId="18857"/>
    <cellStyle name="Обычный 4 2 9 13" xfId="20552"/>
    <cellStyle name="Обычный 4 2 9 14" xfId="22164"/>
    <cellStyle name="Обычный 4 2 9 2" xfId="10029"/>
    <cellStyle name="Обычный 4 2 9 2 10" xfId="10030"/>
    <cellStyle name="Обычный 4 2 9 2 11" xfId="18858"/>
    <cellStyle name="Обычный 4 2 9 2 12" xfId="20553"/>
    <cellStyle name="Обычный 4 2 9 2 13" xfId="22165"/>
    <cellStyle name="Обычный 4 2 9 2 2" xfId="10031"/>
    <cellStyle name="Обычный 4 2 9 2 2 2" xfId="10032"/>
    <cellStyle name="Обычный 4 2 9 2 3" xfId="10033"/>
    <cellStyle name="Обычный 4 2 9 2 4" xfId="10034"/>
    <cellStyle name="Обычный 4 2 9 2 5" xfId="10035"/>
    <cellStyle name="Обычный 4 2 9 2 6" xfId="10036"/>
    <cellStyle name="Обычный 4 2 9 2 7" xfId="10037"/>
    <cellStyle name="Обычный 4 2 9 2 8" xfId="10038"/>
    <cellStyle name="Обычный 4 2 9 2 9" xfId="10039"/>
    <cellStyle name="Обычный 4 2 9 3" xfId="10040"/>
    <cellStyle name="Обычный 4 2 9 3 2" xfId="10041"/>
    <cellStyle name="Обычный 4 2 9 4" xfId="10042"/>
    <cellStyle name="Обычный 4 2 9 5" xfId="10043"/>
    <cellStyle name="Обычный 4 2 9 6" xfId="10044"/>
    <cellStyle name="Обычный 4 2 9 7" xfId="10045"/>
    <cellStyle name="Обычный 4 2 9 8" xfId="10046"/>
    <cellStyle name="Обычный 4 2 9 9" xfId="10047"/>
    <cellStyle name="Обычный 4 20" xfId="10048"/>
    <cellStyle name="Обычный 4 21" xfId="10049"/>
    <cellStyle name="Обычный 4 22" xfId="10050"/>
    <cellStyle name="Обычный 4 23" xfId="10051"/>
    <cellStyle name="Обычный 4 24" xfId="10052"/>
    <cellStyle name="Обычный 4 25" xfId="10053"/>
    <cellStyle name="Обычный 4 26" xfId="10054"/>
    <cellStyle name="Обычный 4 27" xfId="10055"/>
    <cellStyle name="Обычный 4 28" xfId="10056"/>
    <cellStyle name="Обычный 4 29" xfId="18772"/>
    <cellStyle name="Обычный 4 3" xfId="10057"/>
    <cellStyle name="Обычный 4 3 10" xfId="10058"/>
    <cellStyle name="Обычный 4 3 10 10" xfId="10059"/>
    <cellStyle name="Обычный 4 3 10 11" xfId="10060"/>
    <cellStyle name="Обычный 4 3 10 12" xfId="18860"/>
    <cellStyle name="Обычный 4 3 10 13" xfId="20555"/>
    <cellStyle name="Обычный 4 3 10 14" xfId="22167"/>
    <cellStyle name="Обычный 4 3 10 2" xfId="10061"/>
    <cellStyle name="Обычный 4 3 10 2 10" xfId="10062"/>
    <cellStyle name="Обычный 4 3 10 2 11" xfId="18861"/>
    <cellStyle name="Обычный 4 3 10 2 12" xfId="20556"/>
    <cellStyle name="Обычный 4 3 10 2 13" xfId="22168"/>
    <cellStyle name="Обычный 4 3 10 2 2" xfId="10063"/>
    <cellStyle name="Обычный 4 3 10 2 2 2" xfId="10064"/>
    <cellStyle name="Обычный 4 3 10 2 3" xfId="10065"/>
    <cellStyle name="Обычный 4 3 10 2 4" xfId="10066"/>
    <cellStyle name="Обычный 4 3 10 2 5" xfId="10067"/>
    <cellStyle name="Обычный 4 3 10 2 6" xfId="10068"/>
    <cellStyle name="Обычный 4 3 10 2 7" xfId="10069"/>
    <cellStyle name="Обычный 4 3 10 2 8" xfId="10070"/>
    <cellStyle name="Обычный 4 3 10 2 9" xfId="10071"/>
    <cellStyle name="Обычный 4 3 10 3" xfId="10072"/>
    <cellStyle name="Обычный 4 3 10 3 2" xfId="10073"/>
    <cellStyle name="Обычный 4 3 10 4" xfId="10074"/>
    <cellStyle name="Обычный 4 3 10 5" xfId="10075"/>
    <cellStyle name="Обычный 4 3 10 6" xfId="10076"/>
    <cellStyle name="Обычный 4 3 10 7" xfId="10077"/>
    <cellStyle name="Обычный 4 3 10 8" xfId="10078"/>
    <cellStyle name="Обычный 4 3 10 9" xfId="10079"/>
    <cellStyle name="Обычный 4 3 11" xfId="10080"/>
    <cellStyle name="Обычный 4 3 11 10" xfId="10081"/>
    <cellStyle name="Обычный 4 3 11 11" xfId="18862"/>
    <cellStyle name="Обычный 4 3 11 12" xfId="20557"/>
    <cellStyle name="Обычный 4 3 11 13" xfId="22169"/>
    <cellStyle name="Обычный 4 3 11 2" xfId="10082"/>
    <cellStyle name="Обычный 4 3 11 2 2" xfId="10083"/>
    <cellStyle name="Обычный 4 3 11 3" xfId="10084"/>
    <cellStyle name="Обычный 4 3 11 4" xfId="10085"/>
    <cellStyle name="Обычный 4 3 11 5" xfId="10086"/>
    <cellStyle name="Обычный 4 3 11 6" xfId="10087"/>
    <cellStyle name="Обычный 4 3 11 7" xfId="10088"/>
    <cellStyle name="Обычный 4 3 11 8" xfId="10089"/>
    <cellStyle name="Обычный 4 3 11 9" xfId="10090"/>
    <cellStyle name="Обычный 4 3 12" xfId="10091"/>
    <cellStyle name="Обычный 4 3 12 10" xfId="20558"/>
    <cellStyle name="Обычный 4 3 12 11" xfId="22170"/>
    <cellStyle name="Обычный 4 3 12 2" xfId="10092"/>
    <cellStyle name="Обычный 4 3 12 2 2" xfId="10093"/>
    <cellStyle name="Обычный 4 3 12 3" xfId="10094"/>
    <cellStyle name="Обычный 4 3 12 4" xfId="10095"/>
    <cellStyle name="Обычный 4 3 12 5" xfId="10096"/>
    <cellStyle name="Обычный 4 3 12 6" xfId="10097"/>
    <cellStyle name="Обычный 4 3 12 7" xfId="10098"/>
    <cellStyle name="Обычный 4 3 12 8" xfId="10099"/>
    <cellStyle name="Обычный 4 3 12 9" xfId="18863"/>
    <cellStyle name="Обычный 4 3 13" xfId="10100"/>
    <cellStyle name="Обычный 4 3 13 10" xfId="20559"/>
    <cellStyle name="Обычный 4 3 13 11" xfId="22171"/>
    <cellStyle name="Обычный 4 3 13 2" xfId="10101"/>
    <cellStyle name="Обычный 4 3 13 2 2" xfId="10102"/>
    <cellStyle name="Обычный 4 3 13 3" xfId="10103"/>
    <cellStyle name="Обычный 4 3 13 4" xfId="10104"/>
    <cellStyle name="Обычный 4 3 13 5" xfId="10105"/>
    <cellStyle name="Обычный 4 3 13 6" xfId="10106"/>
    <cellStyle name="Обычный 4 3 13 7" xfId="10107"/>
    <cellStyle name="Обычный 4 3 13 8" xfId="10108"/>
    <cellStyle name="Обычный 4 3 13 9" xfId="18864"/>
    <cellStyle name="Обычный 4 3 14" xfId="10109"/>
    <cellStyle name="Обычный 4 3 14 2" xfId="10110"/>
    <cellStyle name="Обычный 4 3 15" xfId="10111"/>
    <cellStyle name="Обычный 4 3 16" xfId="10112"/>
    <cellStyle name="Обычный 4 3 17" xfId="10113"/>
    <cellStyle name="Обычный 4 3 18" xfId="10114"/>
    <cellStyle name="Обычный 4 3 19" xfId="10115"/>
    <cellStyle name="Обычный 4 3 2" xfId="10116"/>
    <cellStyle name="Обычный 4 3 2 10" xfId="10117"/>
    <cellStyle name="Обычный 4 3 2 10 2" xfId="10118"/>
    <cellStyle name="Обычный 4 3 2 11" xfId="10119"/>
    <cellStyle name="Обычный 4 3 2 12" xfId="10120"/>
    <cellStyle name="Обычный 4 3 2 13" xfId="10121"/>
    <cellStyle name="Обычный 4 3 2 14" xfId="10122"/>
    <cellStyle name="Обычный 4 3 2 15" xfId="10123"/>
    <cellStyle name="Обычный 4 3 2 16" xfId="10124"/>
    <cellStyle name="Обычный 4 3 2 17" xfId="10125"/>
    <cellStyle name="Обычный 4 3 2 18" xfId="10126"/>
    <cellStyle name="Обычный 4 3 2 19" xfId="10127"/>
    <cellStyle name="Обычный 4 3 2 2" xfId="10128"/>
    <cellStyle name="Обычный 4 3 2 2 10" xfId="10129"/>
    <cellStyle name="Обычный 4 3 2 2 11" xfId="10130"/>
    <cellStyle name="Обычный 4 3 2 2 12" xfId="10131"/>
    <cellStyle name="Обычный 4 3 2 2 13" xfId="10132"/>
    <cellStyle name="Обычный 4 3 2 2 14" xfId="10133"/>
    <cellStyle name="Обычный 4 3 2 2 15" xfId="10134"/>
    <cellStyle name="Обычный 4 3 2 2 16" xfId="10135"/>
    <cellStyle name="Обычный 4 3 2 2 17" xfId="10136"/>
    <cellStyle name="Обычный 4 3 2 2 18" xfId="18866"/>
    <cellStyle name="Обычный 4 3 2 2 19" xfId="20561"/>
    <cellStyle name="Обычный 4 3 2 2 2" xfId="10137"/>
    <cellStyle name="Обычный 4 3 2 2 2 10" xfId="10138"/>
    <cellStyle name="Обычный 4 3 2 2 2 11" xfId="10139"/>
    <cellStyle name="Обычный 4 3 2 2 2 12" xfId="18867"/>
    <cellStyle name="Обычный 4 3 2 2 2 13" xfId="20562"/>
    <cellStyle name="Обычный 4 3 2 2 2 14" xfId="22174"/>
    <cellStyle name="Обычный 4 3 2 2 2 2" xfId="10140"/>
    <cellStyle name="Обычный 4 3 2 2 2 2 10" xfId="10141"/>
    <cellStyle name="Обычный 4 3 2 2 2 2 11" xfId="18868"/>
    <cellStyle name="Обычный 4 3 2 2 2 2 12" xfId="20563"/>
    <cellStyle name="Обычный 4 3 2 2 2 2 13" xfId="22175"/>
    <cellStyle name="Обычный 4 3 2 2 2 2 2" xfId="10142"/>
    <cellStyle name="Обычный 4 3 2 2 2 2 2 2" xfId="10143"/>
    <cellStyle name="Обычный 4 3 2 2 2 2 3" xfId="10144"/>
    <cellStyle name="Обычный 4 3 2 2 2 2 4" xfId="10145"/>
    <cellStyle name="Обычный 4 3 2 2 2 2 5" xfId="10146"/>
    <cellStyle name="Обычный 4 3 2 2 2 2 6" xfId="10147"/>
    <cellStyle name="Обычный 4 3 2 2 2 2 7" xfId="10148"/>
    <cellStyle name="Обычный 4 3 2 2 2 2 8" xfId="10149"/>
    <cellStyle name="Обычный 4 3 2 2 2 2 9" xfId="10150"/>
    <cellStyle name="Обычный 4 3 2 2 2 3" xfId="10151"/>
    <cellStyle name="Обычный 4 3 2 2 2 3 2" xfId="10152"/>
    <cellStyle name="Обычный 4 3 2 2 2 4" xfId="10153"/>
    <cellStyle name="Обычный 4 3 2 2 2 5" xfId="10154"/>
    <cellStyle name="Обычный 4 3 2 2 2 6" xfId="10155"/>
    <cellStyle name="Обычный 4 3 2 2 2 7" xfId="10156"/>
    <cellStyle name="Обычный 4 3 2 2 2 8" xfId="10157"/>
    <cellStyle name="Обычный 4 3 2 2 2 9" xfId="10158"/>
    <cellStyle name="Обычный 4 3 2 2 20" xfId="22173"/>
    <cellStyle name="Обычный 4 3 2 2 3" xfId="10159"/>
    <cellStyle name="Обычный 4 3 2 2 3 10" xfId="10160"/>
    <cellStyle name="Обычный 4 3 2 2 3 11" xfId="10161"/>
    <cellStyle name="Обычный 4 3 2 2 3 12" xfId="18869"/>
    <cellStyle name="Обычный 4 3 2 2 3 13" xfId="20564"/>
    <cellStyle name="Обычный 4 3 2 2 3 14" xfId="22176"/>
    <cellStyle name="Обычный 4 3 2 2 3 2" xfId="10162"/>
    <cellStyle name="Обычный 4 3 2 2 3 2 10" xfId="10163"/>
    <cellStyle name="Обычный 4 3 2 2 3 2 11" xfId="18870"/>
    <cellStyle name="Обычный 4 3 2 2 3 2 12" xfId="20565"/>
    <cellStyle name="Обычный 4 3 2 2 3 2 13" xfId="22177"/>
    <cellStyle name="Обычный 4 3 2 2 3 2 2" xfId="10164"/>
    <cellStyle name="Обычный 4 3 2 2 3 2 2 2" xfId="10165"/>
    <cellStyle name="Обычный 4 3 2 2 3 2 3" xfId="10166"/>
    <cellStyle name="Обычный 4 3 2 2 3 2 4" xfId="10167"/>
    <cellStyle name="Обычный 4 3 2 2 3 2 5" xfId="10168"/>
    <cellStyle name="Обычный 4 3 2 2 3 2 6" xfId="10169"/>
    <cellStyle name="Обычный 4 3 2 2 3 2 7" xfId="10170"/>
    <cellStyle name="Обычный 4 3 2 2 3 2 8" xfId="10171"/>
    <cellStyle name="Обычный 4 3 2 2 3 2 9" xfId="10172"/>
    <cellStyle name="Обычный 4 3 2 2 3 3" xfId="10173"/>
    <cellStyle name="Обычный 4 3 2 2 3 3 2" xfId="10174"/>
    <cellStyle name="Обычный 4 3 2 2 3 4" xfId="10175"/>
    <cellStyle name="Обычный 4 3 2 2 3 5" xfId="10176"/>
    <cellStyle name="Обычный 4 3 2 2 3 6" xfId="10177"/>
    <cellStyle name="Обычный 4 3 2 2 3 7" xfId="10178"/>
    <cellStyle name="Обычный 4 3 2 2 3 8" xfId="10179"/>
    <cellStyle name="Обычный 4 3 2 2 3 9" xfId="10180"/>
    <cellStyle name="Обычный 4 3 2 2 4" xfId="10181"/>
    <cellStyle name="Обычный 4 3 2 2 4 10" xfId="10182"/>
    <cellStyle name="Обычный 4 3 2 2 4 11" xfId="10183"/>
    <cellStyle name="Обычный 4 3 2 2 4 12" xfId="18871"/>
    <cellStyle name="Обычный 4 3 2 2 4 13" xfId="20566"/>
    <cellStyle name="Обычный 4 3 2 2 4 14" xfId="22178"/>
    <cellStyle name="Обычный 4 3 2 2 4 2" xfId="10184"/>
    <cellStyle name="Обычный 4 3 2 2 4 2 10" xfId="10185"/>
    <cellStyle name="Обычный 4 3 2 2 4 2 11" xfId="18872"/>
    <cellStyle name="Обычный 4 3 2 2 4 2 12" xfId="20567"/>
    <cellStyle name="Обычный 4 3 2 2 4 2 13" xfId="22179"/>
    <cellStyle name="Обычный 4 3 2 2 4 2 2" xfId="10186"/>
    <cellStyle name="Обычный 4 3 2 2 4 2 2 2" xfId="10187"/>
    <cellStyle name="Обычный 4 3 2 2 4 2 3" xfId="10188"/>
    <cellStyle name="Обычный 4 3 2 2 4 2 4" xfId="10189"/>
    <cellStyle name="Обычный 4 3 2 2 4 2 5" xfId="10190"/>
    <cellStyle name="Обычный 4 3 2 2 4 2 6" xfId="10191"/>
    <cellStyle name="Обычный 4 3 2 2 4 2 7" xfId="10192"/>
    <cellStyle name="Обычный 4 3 2 2 4 2 8" xfId="10193"/>
    <cellStyle name="Обычный 4 3 2 2 4 2 9" xfId="10194"/>
    <cellStyle name="Обычный 4 3 2 2 4 3" xfId="10195"/>
    <cellStyle name="Обычный 4 3 2 2 4 3 2" xfId="10196"/>
    <cellStyle name="Обычный 4 3 2 2 4 4" xfId="10197"/>
    <cellStyle name="Обычный 4 3 2 2 4 5" xfId="10198"/>
    <cellStyle name="Обычный 4 3 2 2 4 6" xfId="10199"/>
    <cellStyle name="Обычный 4 3 2 2 4 7" xfId="10200"/>
    <cellStyle name="Обычный 4 3 2 2 4 8" xfId="10201"/>
    <cellStyle name="Обычный 4 3 2 2 4 9" xfId="10202"/>
    <cellStyle name="Обычный 4 3 2 2 5" xfId="10203"/>
    <cellStyle name="Обычный 4 3 2 2 5 10" xfId="10204"/>
    <cellStyle name="Обычный 4 3 2 2 5 11" xfId="10205"/>
    <cellStyle name="Обычный 4 3 2 2 5 12" xfId="18873"/>
    <cellStyle name="Обычный 4 3 2 2 5 13" xfId="20568"/>
    <cellStyle name="Обычный 4 3 2 2 5 14" xfId="22180"/>
    <cellStyle name="Обычный 4 3 2 2 5 2" xfId="10206"/>
    <cellStyle name="Обычный 4 3 2 2 5 2 10" xfId="10207"/>
    <cellStyle name="Обычный 4 3 2 2 5 2 11" xfId="18874"/>
    <cellStyle name="Обычный 4 3 2 2 5 2 12" xfId="20569"/>
    <cellStyle name="Обычный 4 3 2 2 5 2 13" xfId="22181"/>
    <cellStyle name="Обычный 4 3 2 2 5 2 2" xfId="10208"/>
    <cellStyle name="Обычный 4 3 2 2 5 2 2 2" xfId="10209"/>
    <cellStyle name="Обычный 4 3 2 2 5 2 3" xfId="10210"/>
    <cellStyle name="Обычный 4 3 2 2 5 2 4" xfId="10211"/>
    <cellStyle name="Обычный 4 3 2 2 5 2 5" xfId="10212"/>
    <cellStyle name="Обычный 4 3 2 2 5 2 6" xfId="10213"/>
    <cellStyle name="Обычный 4 3 2 2 5 2 7" xfId="10214"/>
    <cellStyle name="Обычный 4 3 2 2 5 2 8" xfId="10215"/>
    <cellStyle name="Обычный 4 3 2 2 5 2 9" xfId="10216"/>
    <cellStyle name="Обычный 4 3 2 2 5 3" xfId="10217"/>
    <cellStyle name="Обычный 4 3 2 2 5 3 2" xfId="10218"/>
    <cellStyle name="Обычный 4 3 2 2 5 4" xfId="10219"/>
    <cellStyle name="Обычный 4 3 2 2 5 5" xfId="10220"/>
    <cellStyle name="Обычный 4 3 2 2 5 6" xfId="10221"/>
    <cellStyle name="Обычный 4 3 2 2 5 7" xfId="10222"/>
    <cellStyle name="Обычный 4 3 2 2 5 8" xfId="10223"/>
    <cellStyle name="Обычный 4 3 2 2 5 9" xfId="10224"/>
    <cellStyle name="Обычный 4 3 2 2 6" xfId="10225"/>
    <cellStyle name="Обычный 4 3 2 2 6 10" xfId="10226"/>
    <cellStyle name="Обычный 4 3 2 2 6 11" xfId="18875"/>
    <cellStyle name="Обычный 4 3 2 2 6 12" xfId="20570"/>
    <cellStyle name="Обычный 4 3 2 2 6 13" xfId="22182"/>
    <cellStyle name="Обычный 4 3 2 2 6 2" xfId="10227"/>
    <cellStyle name="Обычный 4 3 2 2 6 2 2" xfId="10228"/>
    <cellStyle name="Обычный 4 3 2 2 6 3" xfId="10229"/>
    <cellStyle name="Обычный 4 3 2 2 6 4" xfId="10230"/>
    <cellStyle name="Обычный 4 3 2 2 6 5" xfId="10231"/>
    <cellStyle name="Обычный 4 3 2 2 6 6" xfId="10232"/>
    <cellStyle name="Обычный 4 3 2 2 6 7" xfId="10233"/>
    <cellStyle name="Обычный 4 3 2 2 6 8" xfId="10234"/>
    <cellStyle name="Обычный 4 3 2 2 6 9" xfId="10235"/>
    <cellStyle name="Обычный 4 3 2 2 7" xfId="10236"/>
    <cellStyle name="Обычный 4 3 2 2 7 10" xfId="20571"/>
    <cellStyle name="Обычный 4 3 2 2 7 11" xfId="22183"/>
    <cellStyle name="Обычный 4 3 2 2 7 2" xfId="10237"/>
    <cellStyle name="Обычный 4 3 2 2 7 2 2" xfId="10238"/>
    <cellStyle name="Обычный 4 3 2 2 7 3" xfId="10239"/>
    <cellStyle name="Обычный 4 3 2 2 7 4" xfId="10240"/>
    <cellStyle name="Обычный 4 3 2 2 7 5" xfId="10241"/>
    <cellStyle name="Обычный 4 3 2 2 7 6" xfId="10242"/>
    <cellStyle name="Обычный 4 3 2 2 7 7" xfId="10243"/>
    <cellStyle name="Обычный 4 3 2 2 7 8" xfId="10244"/>
    <cellStyle name="Обычный 4 3 2 2 7 9" xfId="18876"/>
    <cellStyle name="Обычный 4 3 2 2 8" xfId="10245"/>
    <cellStyle name="Обычный 4 3 2 2 8 2" xfId="10246"/>
    <cellStyle name="Обычный 4 3 2 2 9" xfId="10247"/>
    <cellStyle name="Обычный 4 3 2 20" xfId="18865"/>
    <cellStyle name="Обычный 4 3 2 21" xfId="20560"/>
    <cellStyle name="Обычный 4 3 2 22" xfId="22172"/>
    <cellStyle name="Обычный 4 3 2 3" xfId="10248"/>
    <cellStyle name="Обычный 4 3 2 3 10" xfId="10249"/>
    <cellStyle name="Обычный 4 3 2 3 11" xfId="10250"/>
    <cellStyle name="Обычный 4 3 2 3 12" xfId="10251"/>
    <cellStyle name="Обычный 4 3 2 3 13" xfId="10252"/>
    <cellStyle name="Обычный 4 3 2 3 14" xfId="10253"/>
    <cellStyle name="Обычный 4 3 2 3 15" xfId="10254"/>
    <cellStyle name="Обычный 4 3 2 3 16" xfId="10255"/>
    <cellStyle name="Обычный 4 3 2 3 17" xfId="10256"/>
    <cellStyle name="Обычный 4 3 2 3 18" xfId="18877"/>
    <cellStyle name="Обычный 4 3 2 3 19" xfId="20572"/>
    <cellStyle name="Обычный 4 3 2 3 2" xfId="10257"/>
    <cellStyle name="Обычный 4 3 2 3 2 10" xfId="10258"/>
    <cellStyle name="Обычный 4 3 2 3 2 11" xfId="10259"/>
    <cellStyle name="Обычный 4 3 2 3 2 12" xfId="18878"/>
    <cellStyle name="Обычный 4 3 2 3 2 13" xfId="20573"/>
    <cellStyle name="Обычный 4 3 2 3 2 14" xfId="22185"/>
    <cellStyle name="Обычный 4 3 2 3 2 2" xfId="10260"/>
    <cellStyle name="Обычный 4 3 2 3 2 2 10" xfId="10261"/>
    <cellStyle name="Обычный 4 3 2 3 2 2 11" xfId="18879"/>
    <cellStyle name="Обычный 4 3 2 3 2 2 12" xfId="20574"/>
    <cellStyle name="Обычный 4 3 2 3 2 2 13" xfId="22186"/>
    <cellStyle name="Обычный 4 3 2 3 2 2 2" xfId="10262"/>
    <cellStyle name="Обычный 4 3 2 3 2 2 2 2" xfId="10263"/>
    <cellStyle name="Обычный 4 3 2 3 2 2 3" xfId="10264"/>
    <cellStyle name="Обычный 4 3 2 3 2 2 4" xfId="10265"/>
    <cellStyle name="Обычный 4 3 2 3 2 2 5" xfId="10266"/>
    <cellStyle name="Обычный 4 3 2 3 2 2 6" xfId="10267"/>
    <cellStyle name="Обычный 4 3 2 3 2 2 7" xfId="10268"/>
    <cellStyle name="Обычный 4 3 2 3 2 2 8" xfId="10269"/>
    <cellStyle name="Обычный 4 3 2 3 2 2 9" xfId="10270"/>
    <cellStyle name="Обычный 4 3 2 3 2 3" xfId="10271"/>
    <cellStyle name="Обычный 4 3 2 3 2 3 2" xfId="10272"/>
    <cellStyle name="Обычный 4 3 2 3 2 4" xfId="10273"/>
    <cellStyle name="Обычный 4 3 2 3 2 5" xfId="10274"/>
    <cellStyle name="Обычный 4 3 2 3 2 6" xfId="10275"/>
    <cellStyle name="Обычный 4 3 2 3 2 7" xfId="10276"/>
    <cellStyle name="Обычный 4 3 2 3 2 8" xfId="10277"/>
    <cellStyle name="Обычный 4 3 2 3 2 9" xfId="10278"/>
    <cellStyle name="Обычный 4 3 2 3 20" xfId="22184"/>
    <cellStyle name="Обычный 4 3 2 3 3" xfId="10279"/>
    <cellStyle name="Обычный 4 3 2 3 3 10" xfId="10280"/>
    <cellStyle name="Обычный 4 3 2 3 3 11" xfId="10281"/>
    <cellStyle name="Обычный 4 3 2 3 3 12" xfId="18880"/>
    <cellStyle name="Обычный 4 3 2 3 3 13" xfId="20575"/>
    <cellStyle name="Обычный 4 3 2 3 3 14" xfId="22187"/>
    <cellStyle name="Обычный 4 3 2 3 3 2" xfId="10282"/>
    <cellStyle name="Обычный 4 3 2 3 3 2 10" xfId="10283"/>
    <cellStyle name="Обычный 4 3 2 3 3 2 11" xfId="18881"/>
    <cellStyle name="Обычный 4 3 2 3 3 2 12" xfId="20576"/>
    <cellStyle name="Обычный 4 3 2 3 3 2 13" xfId="22188"/>
    <cellStyle name="Обычный 4 3 2 3 3 2 2" xfId="10284"/>
    <cellStyle name="Обычный 4 3 2 3 3 2 2 2" xfId="10285"/>
    <cellStyle name="Обычный 4 3 2 3 3 2 3" xfId="10286"/>
    <cellStyle name="Обычный 4 3 2 3 3 2 4" xfId="10287"/>
    <cellStyle name="Обычный 4 3 2 3 3 2 5" xfId="10288"/>
    <cellStyle name="Обычный 4 3 2 3 3 2 6" xfId="10289"/>
    <cellStyle name="Обычный 4 3 2 3 3 2 7" xfId="10290"/>
    <cellStyle name="Обычный 4 3 2 3 3 2 8" xfId="10291"/>
    <cellStyle name="Обычный 4 3 2 3 3 2 9" xfId="10292"/>
    <cellStyle name="Обычный 4 3 2 3 3 3" xfId="10293"/>
    <cellStyle name="Обычный 4 3 2 3 3 3 2" xfId="10294"/>
    <cellStyle name="Обычный 4 3 2 3 3 4" xfId="10295"/>
    <cellStyle name="Обычный 4 3 2 3 3 5" xfId="10296"/>
    <cellStyle name="Обычный 4 3 2 3 3 6" xfId="10297"/>
    <cellStyle name="Обычный 4 3 2 3 3 7" xfId="10298"/>
    <cellStyle name="Обычный 4 3 2 3 3 8" xfId="10299"/>
    <cellStyle name="Обычный 4 3 2 3 3 9" xfId="10300"/>
    <cellStyle name="Обычный 4 3 2 3 4" xfId="10301"/>
    <cellStyle name="Обычный 4 3 2 3 4 10" xfId="10302"/>
    <cellStyle name="Обычный 4 3 2 3 4 11" xfId="10303"/>
    <cellStyle name="Обычный 4 3 2 3 4 12" xfId="18882"/>
    <cellStyle name="Обычный 4 3 2 3 4 13" xfId="20577"/>
    <cellStyle name="Обычный 4 3 2 3 4 14" xfId="22189"/>
    <cellStyle name="Обычный 4 3 2 3 4 2" xfId="10304"/>
    <cellStyle name="Обычный 4 3 2 3 4 2 10" xfId="10305"/>
    <cellStyle name="Обычный 4 3 2 3 4 2 11" xfId="18883"/>
    <cellStyle name="Обычный 4 3 2 3 4 2 12" xfId="20578"/>
    <cellStyle name="Обычный 4 3 2 3 4 2 13" xfId="22190"/>
    <cellStyle name="Обычный 4 3 2 3 4 2 2" xfId="10306"/>
    <cellStyle name="Обычный 4 3 2 3 4 2 2 2" xfId="10307"/>
    <cellStyle name="Обычный 4 3 2 3 4 2 3" xfId="10308"/>
    <cellStyle name="Обычный 4 3 2 3 4 2 4" xfId="10309"/>
    <cellStyle name="Обычный 4 3 2 3 4 2 5" xfId="10310"/>
    <cellStyle name="Обычный 4 3 2 3 4 2 6" xfId="10311"/>
    <cellStyle name="Обычный 4 3 2 3 4 2 7" xfId="10312"/>
    <cellStyle name="Обычный 4 3 2 3 4 2 8" xfId="10313"/>
    <cellStyle name="Обычный 4 3 2 3 4 2 9" xfId="10314"/>
    <cellStyle name="Обычный 4 3 2 3 4 3" xfId="10315"/>
    <cellStyle name="Обычный 4 3 2 3 4 3 2" xfId="10316"/>
    <cellStyle name="Обычный 4 3 2 3 4 4" xfId="10317"/>
    <cellStyle name="Обычный 4 3 2 3 4 5" xfId="10318"/>
    <cellStyle name="Обычный 4 3 2 3 4 6" xfId="10319"/>
    <cellStyle name="Обычный 4 3 2 3 4 7" xfId="10320"/>
    <cellStyle name="Обычный 4 3 2 3 4 8" xfId="10321"/>
    <cellStyle name="Обычный 4 3 2 3 4 9" xfId="10322"/>
    <cellStyle name="Обычный 4 3 2 3 5" xfId="10323"/>
    <cellStyle name="Обычный 4 3 2 3 5 10" xfId="10324"/>
    <cellStyle name="Обычный 4 3 2 3 5 11" xfId="10325"/>
    <cellStyle name="Обычный 4 3 2 3 5 12" xfId="18884"/>
    <cellStyle name="Обычный 4 3 2 3 5 13" xfId="20579"/>
    <cellStyle name="Обычный 4 3 2 3 5 14" xfId="22191"/>
    <cellStyle name="Обычный 4 3 2 3 5 2" xfId="10326"/>
    <cellStyle name="Обычный 4 3 2 3 5 2 10" xfId="10327"/>
    <cellStyle name="Обычный 4 3 2 3 5 2 11" xfId="18885"/>
    <cellStyle name="Обычный 4 3 2 3 5 2 12" xfId="20580"/>
    <cellStyle name="Обычный 4 3 2 3 5 2 13" xfId="22192"/>
    <cellStyle name="Обычный 4 3 2 3 5 2 2" xfId="10328"/>
    <cellStyle name="Обычный 4 3 2 3 5 2 2 2" xfId="10329"/>
    <cellStyle name="Обычный 4 3 2 3 5 2 3" xfId="10330"/>
    <cellStyle name="Обычный 4 3 2 3 5 2 4" xfId="10331"/>
    <cellStyle name="Обычный 4 3 2 3 5 2 5" xfId="10332"/>
    <cellStyle name="Обычный 4 3 2 3 5 2 6" xfId="10333"/>
    <cellStyle name="Обычный 4 3 2 3 5 2 7" xfId="10334"/>
    <cellStyle name="Обычный 4 3 2 3 5 2 8" xfId="10335"/>
    <cellStyle name="Обычный 4 3 2 3 5 2 9" xfId="10336"/>
    <cellStyle name="Обычный 4 3 2 3 5 3" xfId="10337"/>
    <cellStyle name="Обычный 4 3 2 3 5 3 2" xfId="10338"/>
    <cellStyle name="Обычный 4 3 2 3 5 4" xfId="10339"/>
    <cellStyle name="Обычный 4 3 2 3 5 5" xfId="10340"/>
    <cellStyle name="Обычный 4 3 2 3 5 6" xfId="10341"/>
    <cellStyle name="Обычный 4 3 2 3 5 7" xfId="10342"/>
    <cellStyle name="Обычный 4 3 2 3 5 8" xfId="10343"/>
    <cellStyle name="Обычный 4 3 2 3 5 9" xfId="10344"/>
    <cellStyle name="Обычный 4 3 2 3 6" xfId="10345"/>
    <cellStyle name="Обычный 4 3 2 3 6 10" xfId="10346"/>
    <cellStyle name="Обычный 4 3 2 3 6 11" xfId="18886"/>
    <cellStyle name="Обычный 4 3 2 3 6 12" xfId="20581"/>
    <cellStyle name="Обычный 4 3 2 3 6 13" xfId="22193"/>
    <cellStyle name="Обычный 4 3 2 3 6 2" xfId="10347"/>
    <cellStyle name="Обычный 4 3 2 3 6 2 2" xfId="10348"/>
    <cellStyle name="Обычный 4 3 2 3 6 3" xfId="10349"/>
    <cellStyle name="Обычный 4 3 2 3 6 4" xfId="10350"/>
    <cellStyle name="Обычный 4 3 2 3 6 5" xfId="10351"/>
    <cellStyle name="Обычный 4 3 2 3 6 6" xfId="10352"/>
    <cellStyle name="Обычный 4 3 2 3 6 7" xfId="10353"/>
    <cellStyle name="Обычный 4 3 2 3 6 8" xfId="10354"/>
    <cellStyle name="Обычный 4 3 2 3 6 9" xfId="10355"/>
    <cellStyle name="Обычный 4 3 2 3 7" xfId="10356"/>
    <cellStyle name="Обычный 4 3 2 3 7 10" xfId="20582"/>
    <cellStyle name="Обычный 4 3 2 3 7 11" xfId="22194"/>
    <cellStyle name="Обычный 4 3 2 3 7 2" xfId="10357"/>
    <cellStyle name="Обычный 4 3 2 3 7 2 2" xfId="10358"/>
    <cellStyle name="Обычный 4 3 2 3 7 3" xfId="10359"/>
    <cellStyle name="Обычный 4 3 2 3 7 4" xfId="10360"/>
    <cellStyle name="Обычный 4 3 2 3 7 5" xfId="10361"/>
    <cellStyle name="Обычный 4 3 2 3 7 6" xfId="10362"/>
    <cellStyle name="Обычный 4 3 2 3 7 7" xfId="10363"/>
    <cellStyle name="Обычный 4 3 2 3 7 8" xfId="10364"/>
    <cellStyle name="Обычный 4 3 2 3 7 9" xfId="18887"/>
    <cellStyle name="Обычный 4 3 2 3 8" xfId="10365"/>
    <cellStyle name="Обычный 4 3 2 3 8 2" xfId="10366"/>
    <cellStyle name="Обычный 4 3 2 3 9" xfId="10367"/>
    <cellStyle name="Обычный 4 3 2 4" xfId="10368"/>
    <cellStyle name="Обычный 4 3 2 4 10" xfId="10369"/>
    <cellStyle name="Обычный 4 3 2 4 11" xfId="10370"/>
    <cellStyle name="Обычный 4 3 2 4 12" xfId="18888"/>
    <cellStyle name="Обычный 4 3 2 4 13" xfId="20583"/>
    <cellStyle name="Обычный 4 3 2 4 14" xfId="22195"/>
    <cellStyle name="Обычный 4 3 2 4 2" xfId="10371"/>
    <cellStyle name="Обычный 4 3 2 4 2 10" xfId="10372"/>
    <cellStyle name="Обычный 4 3 2 4 2 11" xfId="18889"/>
    <cellStyle name="Обычный 4 3 2 4 2 12" xfId="20584"/>
    <cellStyle name="Обычный 4 3 2 4 2 13" xfId="22196"/>
    <cellStyle name="Обычный 4 3 2 4 2 2" xfId="10373"/>
    <cellStyle name="Обычный 4 3 2 4 2 2 2" xfId="10374"/>
    <cellStyle name="Обычный 4 3 2 4 2 3" xfId="10375"/>
    <cellStyle name="Обычный 4 3 2 4 2 4" xfId="10376"/>
    <cellStyle name="Обычный 4 3 2 4 2 5" xfId="10377"/>
    <cellStyle name="Обычный 4 3 2 4 2 6" xfId="10378"/>
    <cellStyle name="Обычный 4 3 2 4 2 7" xfId="10379"/>
    <cellStyle name="Обычный 4 3 2 4 2 8" xfId="10380"/>
    <cellStyle name="Обычный 4 3 2 4 2 9" xfId="10381"/>
    <cellStyle name="Обычный 4 3 2 4 3" xfId="10382"/>
    <cellStyle name="Обычный 4 3 2 4 3 2" xfId="10383"/>
    <cellStyle name="Обычный 4 3 2 4 4" xfId="10384"/>
    <cellStyle name="Обычный 4 3 2 4 5" xfId="10385"/>
    <cellStyle name="Обычный 4 3 2 4 6" xfId="10386"/>
    <cellStyle name="Обычный 4 3 2 4 7" xfId="10387"/>
    <cellStyle name="Обычный 4 3 2 4 8" xfId="10388"/>
    <cellStyle name="Обычный 4 3 2 4 9" xfId="10389"/>
    <cellStyle name="Обычный 4 3 2 5" xfId="10390"/>
    <cellStyle name="Обычный 4 3 2 5 10" xfId="10391"/>
    <cellStyle name="Обычный 4 3 2 5 11" xfId="10392"/>
    <cellStyle name="Обычный 4 3 2 5 12" xfId="18890"/>
    <cellStyle name="Обычный 4 3 2 5 13" xfId="20585"/>
    <cellStyle name="Обычный 4 3 2 5 14" xfId="22197"/>
    <cellStyle name="Обычный 4 3 2 5 2" xfId="10393"/>
    <cellStyle name="Обычный 4 3 2 5 2 10" xfId="10394"/>
    <cellStyle name="Обычный 4 3 2 5 2 11" xfId="18891"/>
    <cellStyle name="Обычный 4 3 2 5 2 12" xfId="20586"/>
    <cellStyle name="Обычный 4 3 2 5 2 13" xfId="22198"/>
    <cellStyle name="Обычный 4 3 2 5 2 2" xfId="10395"/>
    <cellStyle name="Обычный 4 3 2 5 2 2 2" xfId="10396"/>
    <cellStyle name="Обычный 4 3 2 5 2 3" xfId="10397"/>
    <cellStyle name="Обычный 4 3 2 5 2 4" xfId="10398"/>
    <cellStyle name="Обычный 4 3 2 5 2 5" xfId="10399"/>
    <cellStyle name="Обычный 4 3 2 5 2 6" xfId="10400"/>
    <cellStyle name="Обычный 4 3 2 5 2 7" xfId="10401"/>
    <cellStyle name="Обычный 4 3 2 5 2 8" xfId="10402"/>
    <cellStyle name="Обычный 4 3 2 5 2 9" xfId="10403"/>
    <cellStyle name="Обычный 4 3 2 5 3" xfId="10404"/>
    <cellStyle name="Обычный 4 3 2 5 3 2" xfId="10405"/>
    <cellStyle name="Обычный 4 3 2 5 4" xfId="10406"/>
    <cellStyle name="Обычный 4 3 2 5 5" xfId="10407"/>
    <cellStyle name="Обычный 4 3 2 5 6" xfId="10408"/>
    <cellStyle name="Обычный 4 3 2 5 7" xfId="10409"/>
    <cellStyle name="Обычный 4 3 2 5 8" xfId="10410"/>
    <cellStyle name="Обычный 4 3 2 5 9" xfId="10411"/>
    <cellStyle name="Обычный 4 3 2 6" xfId="10412"/>
    <cellStyle name="Обычный 4 3 2 6 10" xfId="10413"/>
    <cellStyle name="Обычный 4 3 2 6 11" xfId="10414"/>
    <cellStyle name="Обычный 4 3 2 6 12" xfId="18892"/>
    <cellStyle name="Обычный 4 3 2 6 13" xfId="20587"/>
    <cellStyle name="Обычный 4 3 2 6 14" xfId="22199"/>
    <cellStyle name="Обычный 4 3 2 6 2" xfId="10415"/>
    <cellStyle name="Обычный 4 3 2 6 2 10" xfId="10416"/>
    <cellStyle name="Обычный 4 3 2 6 2 11" xfId="18893"/>
    <cellStyle name="Обычный 4 3 2 6 2 12" xfId="20588"/>
    <cellStyle name="Обычный 4 3 2 6 2 13" xfId="22200"/>
    <cellStyle name="Обычный 4 3 2 6 2 2" xfId="10417"/>
    <cellStyle name="Обычный 4 3 2 6 2 2 2" xfId="10418"/>
    <cellStyle name="Обычный 4 3 2 6 2 3" xfId="10419"/>
    <cellStyle name="Обычный 4 3 2 6 2 4" xfId="10420"/>
    <cellStyle name="Обычный 4 3 2 6 2 5" xfId="10421"/>
    <cellStyle name="Обычный 4 3 2 6 2 6" xfId="10422"/>
    <cellStyle name="Обычный 4 3 2 6 2 7" xfId="10423"/>
    <cellStyle name="Обычный 4 3 2 6 2 8" xfId="10424"/>
    <cellStyle name="Обычный 4 3 2 6 2 9" xfId="10425"/>
    <cellStyle name="Обычный 4 3 2 6 3" xfId="10426"/>
    <cellStyle name="Обычный 4 3 2 6 3 2" xfId="10427"/>
    <cellStyle name="Обычный 4 3 2 6 4" xfId="10428"/>
    <cellStyle name="Обычный 4 3 2 6 5" xfId="10429"/>
    <cellStyle name="Обычный 4 3 2 6 6" xfId="10430"/>
    <cellStyle name="Обычный 4 3 2 6 7" xfId="10431"/>
    <cellStyle name="Обычный 4 3 2 6 8" xfId="10432"/>
    <cellStyle name="Обычный 4 3 2 6 9" xfId="10433"/>
    <cellStyle name="Обычный 4 3 2 7" xfId="10434"/>
    <cellStyle name="Обычный 4 3 2 7 10" xfId="10435"/>
    <cellStyle name="Обычный 4 3 2 7 11" xfId="10436"/>
    <cellStyle name="Обычный 4 3 2 7 12" xfId="18894"/>
    <cellStyle name="Обычный 4 3 2 7 13" xfId="20589"/>
    <cellStyle name="Обычный 4 3 2 7 14" xfId="22201"/>
    <cellStyle name="Обычный 4 3 2 7 2" xfId="10437"/>
    <cellStyle name="Обычный 4 3 2 7 2 10" xfId="10438"/>
    <cellStyle name="Обычный 4 3 2 7 2 11" xfId="18895"/>
    <cellStyle name="Обычный 4 3 2 7 2 12" xfId="20590"/>
    <cellStyle name="Обычный 4 3 2 7 2 13" xfId="22202"/>
    <cellStyle name="Обычный 4 3 2 7 2 2" xfId="10439"/>
    <cellStyle name="Обычный 4 3 2 7 2 2 2" xfId="10440"/>
    <cellStyle name="Обычный 4 3 2 7 2 3" xfId="10441"/>
    <cellStyle name="Обычный 4 3 2 7 2 4" xfId="10442"/>
    <cellStyle name="Обычный 4 3 2 7 2 5" xfId="10443"/>
    <cellStyle name="Обычный 4 3 2 7 2 6" xfId="10444"/>
    <cellStyle name="Обычный 4 3 2 7 2 7" xfId="10445"/>
    <cellStyle name="Обычный 4 3 2 7 2 8" xfId="10446"/>
    <cellStyle name="Обычный 4 3 2 7 2 9" xfId="10447"/>
    <cellStyle name="Обычный 4 3 2 7 3" xfId="10448"/>
    <cellStyle name="Обычный 4 3 2 7 3 2" xfId="10449"/>
    <cellStyle name="Обычный 4 3 2 7 4" xfId="10450"/>
    <cellStyle name="Обычный 4 3 2 7 5" xfId="10451"/>
    <cellStyle name="Обычный 4 3 2 7 6" xfId="10452"/>
    <cellStyle name="Обычный 4 3 2 7 7" xfId="10453"/>
    <cellStyle name="Обычный 4 3 2 7 8" xfId="10454"/>
    <cellStyle name="Обычный 4 3 2 7 9" xfId="10455"/>
    <cellStyle name="Обычный 4 3 2 8" xfId="10456"/>
    <cellStyle name="Обычный 4 3 2 8 10" xfId="10457"/>
    <cellStyle name="Обычный 4 3 2 8 11" xfId="18896"/>
    <cellStyle name="Обычный 4 3 2 8 12" xfId="20591"/>
    <cellStyle name="Обычный 4 3 2 8 13" xfId="22203"/>
    <cellStyle name="Обычный 4 3 2 8 2" xfId="10458"/>
    <cellStyle name="Обычный 4 3 2 8 2 2" xfId="10459"/>
    <cellStyle name="Обычный 4 3 2 8 3" xfId="10460"/>
    <cellStyle name="Обычный 4 3 2 8 4" xfId="10461"/>
    <cellStyle name="Обычный 4 3 2 8 5" xfId="10462"/>
    <cellStyle name="Обычный 4 3 2 8 6" xfId="10463"/>
    <cellStyle name="Обычный 4 3 2 8 7" xfId="10464"/>
    <cellStyle name="Обычный 4 3 2 8 8" xfId="10465"/>
    <cellStyle name="Обычный 4 3 2 8 9" xfId="10466"/>
    <cellStyle name="Обычный 4 3 2 9" xfId="10467"/>
    <cellStyle name="Обычный 4 3 2 9 10" xfId="20592"/>
    <cellStyle name="Обычный 4 3 2 9 11" xfId="22204"/>
    <cellStyle name="Обычный 4 3 2 9 2" xfId="10468"/>
    <cellStyle name="Обычный 4 3 2 9 2 2" xfId="10469"/>
    <cellStyle name="Обычный 4 3 2 9 3" xfId="10470"/>
    <cellStyle name="Обычный 4 3 2 9 4" xfId="10471"/>
    <cellStyle name="Обычный 4 3 2 9 5" xfId="10472"/>
    <cellStyle name="Обычный 4 3 2 9 6" xfId="10473"/>
    <cellStyle name="Обычный 4 3 2 9 7" xfId="10474"/>
    <cellStyle name="Обычный 4 3 2 9 8" xfId="10475"/>
    <cellStyle name="Обычный 4 3 2 9 9" xfId="18897"/>
    <cellStyle name="Обычный 4 3 20" xfId="10476"/>
    <cellStyle name="Обычный 4 3 21" xfId="10477"/>
    <cellStyle name="Обычный 4 3 22" xfId="10478"/>
    <cellStyle name="Обычный 4 3 23" xfId="10479"/>
    <cellStyle name="Обычный 4 3 24" xfId="18859"/>
    <cellStyle name="Обычный 4 3 25" xfId="19636"/>
    <cellStyle name="Обычный 4 3 26" xfId="20554"/>
    <cellStyle name="Обычный 4 3 27" xfId="22166"/>
    <cellStyle name="Обычный 4 3 3" xfId="10480"/>
    <cellStyle name="Обычный 4 3 3 10" xfId="10481"/>
    <cellStyle name="Обычный 4 3 3 11" xfId="10482"/>
    <cellStyle name="Обычный 4 3 3 12" xfId="10483"/>
    <cellStyle name="Обычный 4 3 3 13" xfId="10484"/>
    <cellStyle name="Обычный 4 3 3 14" xfId="10485"/>
    <cellStyle name="Обычный 4 3 3 15" xfId="10486"/>
    <cellStyle name="Обычный 4 3 3 16" xfId="10487"/>
    <cellStyle name="Обычный 4 3 3 17" xfId="10488"/>
    <cellStyle name="Обычный 4 3 3 18" xfId="18898"/>
    <cellStyle name="Обычный 4 3 3 19" xfId="20593"/>
    <cellStyle name="Обычный 4 3 3 2" xfId="10489"/>
    <cellStyle name="Обычный 4 3 3 2 10" xfId="10490"/>
    <cellStyle name="Обычный 4 3 3 2 11" xfId="10491"/>
    <cellStyle name="Обычный 4 3 3 2 12" xfId="18899"/>
    <cellStyle name="Обычный 4 3 3 2 13" xfId="20594"/>
    <cellStyle name="Обычный 4 3 3 2 14" xfId="22206"/>
    <cellStyle name="Обычный 4 3 3 2 2" xfId="10492"/>
    <cellStyle name="Обычный 4 3 3 2 2 10" xfId="10493"/>
    <cellStyle name="Обычный 4 3 3 2 2 11" xfId="18900"/>
    <cellStyle name="Обычный 4 3 3 2 2 12" xfId="20595"/>
    <cellStyle name="Обычный 4 3 3 2 2 13" xfId="22207"/>
    <cellStyle name="Обычный 4 3 3 2 2 2" xfId="10494"/>
    <cellStyle name="Обычный 4 3 3 2 2 2 2" xfId="10495"/>
    <cellStyle name="Обычный 4 3 3 2 2 3" xfId="10496"/>
    <cellStyle name="Обычный 4 3 3 2 2 4" xfId="10497"/>
    <cellStyle name="Обычный 4 3 3 2 2 5" xfId="10498"/>
    <cellStyle name="Обычный 4 3 3 2 2 6" xfId="10499"/>
    <cellStyle name="Обычный 4 3 3 2 2 7" xfId="10500"/>
    <cellStyle name="Обычный 4 3 3 2 2 8" xfId="10501"/>
    <cellStyle name="Обычный 4 3 3 2 2 9" xfId="10502"/>
    <cellStyle name="Обычный 4 3 3 2 3" xfId="10503"/>
    <cellStyle name="Обычный 4 3 3 2 3 2" xfId="10504"/>
    <cellStyle name="Обычный 4 3 3 2 4" xfId="10505"/>
    <cellStyle name="Обычный 4 3 3 2 5" xfId="10506"/>
    <cellStyle name="Обычный 4 3 3 2 6" xfId="10507"/>
    <cellStyle name="Обычный 4 3 3 2 7" xfId="10508"/>
    <cellStyle name="Обычный 4 3 3 2 8" xfId="10509"/>
    <cellStyle name="Обычный 4 3 3 2 9" xfId="10510"/>
    <cellStyle name="Обычный 4 3 3 20" xfId="22205"/>
    <cellStyle name="Обычный 4 3 3 3" xfId="10511"/>
    <cellStyle name="Обычный 4 3 3 3 10" xfId="10512"/>
    <cellStyle name="Обычный 4 3 3 3 11" xfId="10513"/>
    <cellStyle name="Обычный 4 3 3 3 12" xfId="18901"/>
    <cellStyle name="Обычный 4 3 3 3 13" xfId="20596"/>
    <cellStyle name="Обычный 4 3 3 3 14" xfId="22208"/>
    <cellStyle name="Обычный 4 3 3 3 2" xfId="10514"/>
    <cellStyle name="Обычный 4 3 3 3 2 10" xfId="10515"/>
    <cellStyle name="Обычный 4 3 3 3 2 11" xfId="18902"/>
    <cellStyle name="Обычный 4 3 3 3 2 12" xfId="20597"/>
    <cellStyle name="Обычный 4 3 3 3 2 13" xfId="22209"/>
    <cellStyle name="Обычный 4 3 3 3 2 2" xfId="10516"/>
    <cellStyle name="Обычный 4 3 3 3 2 2 2" xfId="10517"/>
    <cellStyle name="Обычный 4 3 3 3 2 3" xfId="10518"/>
    <cellStyle name="Обычный 4 3 3 3 2 4" xfId="10519"/>
    <cellStyle name="Обычный 4 3 3 3 2 5" xfId="10520"/>
    <cellStyle name="Обычный 4 3 3 3 2 6" xfId="10521"/>
    <cellStyle name="Обычный 4 3 3 3 2 7" xfId="10522"/>
    <cellStyle name="Обычный 4 3 3 3 2 8" xfId="10523"/>
    <cellStyle name="Обычный 4 3 3 3 2 9" xfId="10524"/>
    <cellStyle name="Обычный 4 3 3 3 3" xfId="10525"/>
    <cellStyle name="Обычный 4 3 3 3 3 2" xfId="10526"/>
    <cellStyle name="Обычный 4 3 3 3 4" xfId="10527"/>
    <cellStyle name="Обычный 4 3 3 3 5" xfId="10528"/>
    <cellStyle name="Обычный 4 3 3 3 6" xfId="10529"/>
    <cellStyle name="Обычный 4 3 3 3 7" xfId="10530"/>
    <cellStyle name="Обычный 4 3 3 3 8" xfId="10531"/>
    <cellStyle name="Обычный 4 3 3 3 9" xfId="10532"/>
    <cellStyle name="Обычный 4 3 3 4" xfId="10533"/>
    <cellStyle name="Обычный 4 3 3 4 10" xfId="10534"/>
    <cellStyle name="Обычный 4 3 3 4 11" xfId="10535"/>
    <cellStyle name="Обычный 4 3 3 4 12" xfId="18903"/>
    <cellStyle name="Обычный 4 3 3 4 13" xfId="20598"/>
    <cellStyle name="Обычный 4 3 3 4 14" xfId="22210"/>
    <cellStyle name="Обычный 4 3 3 4 2" xfId="10536"/>
    <cellStyle name="Обычный 4 3 3 4 2 10" xfId="10537"/>
    <cellStyle name="Обычный 4 3 3 4 2 11" xfId="18904"/>
    <cellStyle name="Обычный 4 3 3 4 2 12" xfId="20599"/>
    <cellStyle name="Обычный 4 3 3 4 2 13" xfId="22211"/>
    <cellStyle name="Обычный 4 3 3 4 2 2" xfId="10538"/>
    <cellStyle name="Обычный 4 3 3 4 2 2 2" xfId="10539"/>
    <cellStyle name="Обычный 4 3 3 4 2 3" xfId="10540"/>
    <cellStyle name="Обычный 4 3 3 4 2 4" xfId="10541"/>
    <cellStyle name="Обычный 4 3 3 4 2 5" xfId="10542"/>
    <cellStyle name="Обычный 4 3 3 4 2 6" xfId="10543"/>
    <cellStyle name="Обычный 4 3 3 4 2 7" xfId="10544"/>
    <cellStyle name="Обычный 4 3 3 4 2 8" xfId="10545"/>
    <cellStyle name="Обычный 4 3 3 4 2 9" xfId="10546"/>
    <cellStyle name="Обычный 4 3 3 4 3" xfId="10547"/>
    <cellStyle name="Обычный 4 3 3 4 3 2" xfId="10548"/>
    <cellStyle name="Обычный 4 3 3 4 4" xfId="10549"/>
    <cellStyle name="Обычный 4 3 3 4 5" xfId="10550"/>
    <cellStyle name="Обычный 4 3 3 4 6" xfId="10551"/>
    <cellStyle name="Обычный 4 3 3 4 7" xfId="10552"/>
    <cellStyle name="Обычный 4 3 3 4 8" xfId="10553"/>
    <cellStyle name="Обычный 4 3 3 4 9" xfId="10554"/>
    <cellStyle name="Обычный 4 3 3 5" xfId="10555"/>
    <cellStyle name="Обычный 4 3 3 5 10" xfId="10556"/>
    <cellStyle name="Обычный 4 3 3 5 11" xfId="10557"/>
    <cellStyle name="Обычный 4 3 3 5 12" xfId="18905"/>
    <cellStyle name="Обычный 4 3 3 5 13" xfId="20600"/>
    <cellStyle name="Обычный 4 3 3 5 14" xfId="22212"/>
    <cellStyle name="Обычный 4 3 3 5 2" xfId="10558"/>
    <cellStyle name="Обычный 4 3 3 5 2 10" xfId="10559"/>
    <cellStyle name="Обычный 4 3 3 5 2 11" xfId="18906"/>
    <cellStyle name="Обычный 4 3 3 5 2 12" xfId="20601"/>
    <cellStyle name="Обычный 4 3 3 5 2 13" xfId="22213"/>
    <cellStyle name="Обычный 4 3 3 5 2 2" xfId="10560"/>
    <cellStyle name="Обычный 4 3 3 5 2 2 2" xfId="10561"/>
    <cellStyle name="Обычный 4 3 3 5 2 3" xfId="10562"/>
    <cellStyle name="Обычный 4 3 3 5 2 4" xfId="10563"/>
    <cellStyle name="Обычный 4 3 3 5 2 5" xfId="10564"/>
    <cellStyle name="Обычный 4 3 3 5 2 6" xfId="10565"/>
    <cellStyle name="Обычный 4 3 3 5 2 7" xfId="10566"/>
    <cellStyle name="Обычный 4 3 3 5 2 8" xfId="10567"/>
    <cellStyle name="Обычный 4 3 3 5 2 9" xfId="10568"/>
    <cellStyle name="Обычный 4 3 3 5 3" xfId="10569"/>
    <cellStyle name="Обычный 4 3 3 5 3 2" xfId="10570"/>
    <cellStyle name="Обычный 4 3 3 5 4" xfId="10571"/>
    <cellStyle name="Обычный 4 3 3 5 5" xfId="10572"/>
    <cellStyle name="Обычный 4 3 3 5 6" xfId="10573"/>
    <cellStyle name="Обычный 4 3 3 5 7" xfId="10574"/>
    <cellStyle name="Обычный 4 3 3 5 8" xfId="10575"/>
    <cellStyle name="Обычный 4 3 3 5 9" xfId="10576"/>
    <cellStyle name="Обычный 4 3 3 6" xfId="10577"/>
    <cellStyle name="Обычный 4 3 3 6 10" xfId="10578"/>
    <cellStyle name="Обычный 4 3 3 6 11" xfId="18907"/>
    <cellStyle name="Обычный 4 3 3 6 12" xfId="20602"/>
    <cellStyle name="Обычный 4 3 3 6 13" xfId="22214"/>
    <cellStyle name="Обычный 4 3 3 6 2" xfId="10579"/>
    <cellStyle name="Обычный 4 3 3 6 2 2" xfId="10580"/>
    <cellStyle name="Обычный 4 3 3 6 3" xfId="10581"/>
    <cellStyle name="Обычный 4 3 3 6 4" xfId="10582"/>
    <cellStyle name="Обычный 4 3 3 6 5" xfId="10583"/>
    <cellStyle name="Обычный 4 3 3 6 6" xfId="10584"/>
    <cellStyle name="Обычный 4 3 3 6 7" xfId="10585"/>
    <cellStyle name="Обычный 4 3 3 6 8" xfId="10586"/>
    <cellStyle name="Обычный 4 3 3 6 9" xfId="10587"/>
    <cellStyle name="Обычный 4 3 3 7" xfId="10588"/>
    <cellStyle name="Обычный 4 3 3 7 10" xfId="20603"/>
    <cellStyle name="Обычный 4 3 3 7 11" xfId="22215"/>
    <cellStyle name="Обычный 4 3 3 7 2" xfId="10589"/>
    <cellStyle name="Обычный 4 3 3 7 2 2" xfId="10590"/>
    <cellStyle name="Обычный 4 3 3 7 3" xfId="10591"/>
    <cellStyle name="Обычный 4 3 3 7 4" xfId="10592"/>
    <cellStyle name="Обычный 4 3 3 7 5" xfId="10593"/>
    <cellStyle name="Обычный 4 3 3 7 6" xfId="10594"/>
    <cellStyle name="Обычный 4 3 3 7 7" xfId="10595"/>
    <cellStyle name="Обычный 4 3 3 7 8" xfId="10596"/>
    <cellStyle name="Обычный 4 3 3 7 9" xfId="18908"/>
    <cellStyle name="Обычный 4 3 3 8" xfId="10597"/>
    <cellStyle name="Обычный 4 3 3 8 2" xfId="10598"/>
    <cellStyle name="Обычный 4 3 3 9" xfId="10599"/>
    <cellStyle name="Обычный 4 3 4" xfId="10600"/>
    <cellStyle name="Обычный 4 3 4 10" xfId="10601"/>
    <cellStyle name="Обычный 4 3 4 11" xfId="10602"/>
    <cellStyle name="Обычный 4 3 4 12" xfId="10603"/>
    <cellStyle name="Обычный 4 3 4 13" xfId="10604"/>
    <cellStyle name="Обычный 4 3 4 14" xfId="10605"/>
    <cellStyle name="Обычный 4 3 4 15" xfId="10606"/>
    <cellStyle name="Обычный 4 3 4 16" xfId="10607"/>
    <cellStyle name="Обычный 4 3 4 17" xfId="10608"/>
    <cellStyle name="Обычный 4 3 4 18" xfId="18909"/>
    <cellStyle name="Обычный 4 3 4 19" xfId="20604"/>
    <cellStyle name="Обычный 4 3 4 2" xfId="10609"/>
    <cellStyle name="Обычный 4 3 4 2 10" xfId="10610"/>
    <cellStyle name="Обычный 4 3 4 2 11" xfId="10611"/>
    <cellStyle name="Обычный 4 3 4 2 12" xfId="18910"/>
    <cellStyle name="Обычный 4 3 4 2 13" xfId="20605"/>
    <cellStyle name="Обычный 4 3 4 2 14" xfId="22217"/>
    <cellStyle name="Обычный 4 3 4 2 2" xfId="10612"/>
    <cellStyle name="Обычный 4 3 4 2 2 10" xfId="10613"/>
    <cellStyle name="Обычный 4 3 4 2 2 11" xfId="18911"/>
    <cellStyle name="Обычный 4 3 4 2 2 12" xfId="20606"/>
    <cellStyle name="Обычный 4 3 4 2 2 13" xfId="22218"/>
    <cellStyle name="Обычный 4 3 4 2 2 2" xfId="10614"/>
    <cellStyle name="Обычный 4 3 4 2 2 2 2" xfId="10615"/>
    <cellStyle name="Обычный 4 3 4 2 2 3" xfId="10616"/>
    <cellStyle name="Обычный 4 3 4 2 2 4" xfId="10617"/>
    <cellStyle name="Обычный 4 3 4 2 2 5" xfId="10618"/>
    <cellStyle name="Обычный 4 3 4 2 2 6" xfId="10619"/>
    <cellStyle name="Обычный 4 3 4 2 2 7" xfId="10620"/>
    <cellStyle name="Обычный 4 3 4 2 2 8" xfId="10621"/>
    <cellStyle name="Обычный 4 3 4 2 2 9" xfId="10622"/>
    <cellStyle name="Обычный 4 3 4 2 3" xfId="10623"/>
    <cellStyle name="Обычный 4 3 4 2 3 2" xfId="10624"/>
    <cellStyle name="Обычный 4 3 4 2 4" xfId="10625"/>
    <cellStyle name="Обычный 4 3 4 2 5" xfId="10626"/>
    <cellStyle name="Обычный 4 3 4 2 6" xfId="10627"/>
    <cellStyle name="Обычный 4 3 4 2 7" xfId="10628"/>
    <cellStyle name="Обычный 4 3 4 2 8" xfId="10629"/>
    <cellStyle name="Обычный 4 3 4 2 9" xfId="10630"/>
    <cellStyle name="Обычный 4 3 4 20" xfId="22216"/>
    <cellStyle name="Обычный 4 3 4 3" xfId="10631"/>
    <cellStyle name="Обычный 4 3 4 3 10" xfId="10632"/>
    <cellStyle name="Обычный 4 3 4 3 11" xfId="10633"/>
    <cellStyle name="Обычный 4 3 4 3 12" xfId="18912"/>
    <cellStyle name="Обычный 4 3 4 3 13" xfId="20607"/>
    <cellStyle name="Обычный 4 3 4 3 14" xfId="22219"/>
    <cellStyle name="Обычный 4 3 4 3 2" xfId="10634"/>
    <cellStyle name="Обычный 4 3 4 3 2 10" xfId="10635"/>
    <cellStyle name="Обычный 4 3 4 3 2 11" xfId="18913"/>
    <cellStyle name="Обычный 4 3 4 3 2 12" xfId="20608"/>
    <cellStyle name="Обычный 4 3 4 3 2 13" xfId="22220"/>
    <cellStyle name="Обычный 4 3 4 3 2 2" xfId="10636"/>
    <cellStyle name="Обычный 4 3 4 3 2 2 2" xfId="10637"/>
    <cellStyle name="Обычный 4 3 4 3 2 3" xfId="10638"/>
    <cellStyle name="Обычный 4 3 4 3 2 4" xfId="10639"/>
    <cellStyle name="Обычный 4 3 4 3 2 5" xfId="10640"/>
    <cellStyle name="Обычный 4 3 4 3 2 6" xfId="10641"/>
    <cellStyle name="Обычный 4 3 4 3 2 7" xfId="10642"/>
    <cellStyle name="Обычный 4 3 4 3 2 8" xfId="10643"/>
    <cellStyle name="Обычный 4 3 4 3 2 9" xfId="10644"/>
    <cellStyle name="Обычный 4 3 4 3 3" xfId="10645"/>
    <cellStyle name="Обычный 4 3 4 3 3 2" xfId="10646"/>
    <cellStyle name="Обычный 4 3 4 3 4" xfId="10647"/>
    <cellStyle name="Обычный 4 3 4 3 5" xfId="10648"/>
    <cellStyle name="Обычный 4 3 4 3 6" xfId="10649"/>
    <cellStyle name="Обычный 4 3 4 3 7" xfId="10650"/>
    <cellStyle name="Обычный 4 3 4 3 8" xfId="10651"/>
    <cellStyle name="Обычный 4 3 4 3 9" xfId="10652"/>
    <cellStyle name="Обычный 4 3 4 4" xfId="10653"/>
    <cellStyle name="Обычный 4 3 4 4 10" xfId="10654"/>
    <cellStyle name="Обычный 4 3 4 4 11" xfId="10655"/>
    <cellStyle name="Обычный 4 3 4 4 12" xfId="18914"/>
    <cellStyle name="Обычный 4 3 4 4 13" xfId="20609"/>
    <cellStyle name="Обычный 4 3 4 4 14" xfId="22221"/>
    <cellStyle name="Обычный 4 3 4 4 2" xfId="10656"/>
    <cellStyle name="Обычный 4 3 4 4 2 10" xfId="10657"/>
    <cellStyle name="Обычный 4 3 4 4 2 11" xfId="18915"/>
    <cellStyle name="Обычный 4 3 4 4 2 12" xfId="20610"/>
    <cellStyle name="Обычный 4 3 4 4 2 13" xfId="22222"/>
    <cellStyle name="Обычный 4 3 4 4 2 2" xfId="10658"/>
    <cellStyle name="Обычный 4 3 4 4 2 2 2" xfId="10659"/>
    <cellStyle name="Обычный 4 3 4 4 2 3" xfId="10660"/>
    <cellStyle name="Обычный 4 3 4 4 2 4" xfId="10661"/>
    <cellStyle name="Обычный 4 3 4 4 2 5" xfId="10662"/>
    <cellStyle name="Обычный 4 3 4 4 2 6" xfId="10663"/>
    <cellStyle name="Обычный 4 3 4 4 2 7" xfId="10664"/>
    <cellStyle name="Обычный 4 3 4 4 2 8" xfId="10665"/>
    <cellStyle name="Обычный 4 3 4 4 2 9" xfId="10666"/>
    <cellStyle name="Обычный 4 3 4 4 3" xfId="10667"/>
    <cellStyle name="Обычный 4 3 4 4 3 2" xfId="10668"/>
    <cellStyle name="Обычный 4 3 4 4 4" xfId="10669"/>
    <cellStyle name="Обычный 4 3 4 4 5" xfId="10670"/>
    <cellStyle name="Обычный 4 3 4 4 6" xfId="10671"/>
    <cellStyle name="Обычный 4 3 4 4 7" xfId="10672"/>
    <cellStyle name="Обычный 4 3 4 4 8" xfId="10673"/>
    <cellStyle name="Обычный 4 3 4 4 9" xfId="10674"/>
    <cellStyle name="Обычный 4 3 4 5" xfId="10675"/>
    <cellStyle name="Обычный 4 3 4 5 10" xfId="10676"/>
    <cellStyle name="Обычный 4 3 4 5 11" xfId="10677"/>
    <cellStyle name="Обычный 4 3 4 5 12" xfId="18916"/>
    <cellStyle name="Обычный 4 3 4 5 13" xfId="20611"/>
    <cellStyle name="Обычный 4 3 4 5 14" xfId="22223"/>
    <cellStyle name="Обычный 4 3 4 5 2" xfId="10678"/>
    <cellStyle name="Обычный 4 3 4 5 2 10" xfId="10679"/>
    <cellStyle name="Обычный 4 3 4 5 2 11" xfId="18917"/>
    <cellStyle name="Обычный 4 3 4 5 2 12" xfId="20612"/>
    <cellStyle name="Обычный 4 3 4 5 2 13" xfId="22224"/>
    <cellStyle name="Обычный 4 3 4 5 2 2" xfId="10680"/>
    <cellStyle name="Обычный 4 3 4 5 2 2 2" xfId="10681"/>
    <cellStyle name="Обычный 4 3 4 5 2 3" xfId="10682"/>
    <cellStyle name="Обычный 4 3 4 5 2 4" xfId="10683"/>
    <cellStyle name="Обычный 4 3 4 5 2 5" xfId="10684"/>
    <cellStyle name="Обычный 4 3 4 5 2 6" xfId="10685"/>
    <cellStyle name="Обычный 4 3 4 5 2 7" xfId="10686"/>
    <cellStyle name="Обычный 4 3 4 5 2 8" xfId="10687"/>
    <cellStyle name="Обычный 4 3 4 5 2 9" xfId="10688"/>
    <cellStyle name="Обычный 4 3 4 5 3" xfId="10689"/>
    <cellStyle name="Обычный 4 3 4 5 3 2" xfId="10690"/>
    <cellStyle name="Обычный 4 3 4 5 4" xfId="10691"/>
    <cellStyle name="Обычный 4 3 4 5 5" xfId="10692"/>
    <cellStyle name="Обычный 4 3 4 5 6" xfId="10693"/>
    <cellStyle name="Обычный 4 3 4 5 7" xfId="10694"/>
    <cellStyle name="Обычный 4 3 4 5 8" xfId="10695"/>
    <cellStyle name="Обычный 4 3 4 5 9" xfId="10696"/>
    <cellStyle name="Обычный 4 3 4 6" xfId="10697"/>
    <cellStyle name="Обычный 4 3 4 6 10" xfId="10698"/>
    <cellStyle name="Обычный 4 3 4 6 11" xfId="18918"/>
    <cellStyle name="Обычный 4 3 4 6 12" xfId="20613"/>
    <cellStyle name="Обычный 4 3 4 6 13" xfId="22225"/>
    <cellStyle name="Обычный 4 3 4 6 2" xfId="10699"/>
    <cellStyle name="Обычный 4 3 4 6 2 2" xfId="10700"/>
    <cellStyle name="Обычный 4 3 4 6 3" xfId="10701"/>
    <cellStyle name="Обычный 4 3 4 6 4" xfId="10702"/>
    <cellStyle name="Обычный 4 3 4 6 5" xfId="10703"/>
    <cellStyle name="Обычный 4 3 4 6 6" xfId="10704"/>
    <cellStyle name="Обычный 4 3 4 6 7" xfId="10705"/>
    <cellStyle name="Обычный 4 3 4 6 8" xfId="10706"/>
    <cellStyle name="Обычный 4 3 4 6 9" xfId="10707"/>
    <cellStyle name="Обычный 4 3 4 7" xfId="10708"/>
    <cellStyle name="Обычный 4 3 4 7 10" xfId="20614"/>
    <cellStyle name="Обычный 4 3 4 7 11" xfId="22226"/>
    <cellStyle name="Обычный 4 3 4 7 2" xfId="10709"/>
    <cellStyle name="Обычный 4 3 4 7 2 2" xfId="10710"/>
    <cellStyle name="Обычный 4 3 4 7 3" xfId="10711"/>
    <cellStyle name="Обычный 4 3 4 7 4" xfId="10712"/>
    <cellStyle name="Обычный 4 3 4 7 5" xfId="10713"/>
    <cellStyle name="Обычный 4 3 4 7 6" xfId="10714"/>
    <cellStyle name="Обычный 4 3 4 7 7" xfId="10715"/>
    <cellStyle name="Обычный 4 3 4 7 8" xfId="10716"/>
    <cellStyle name="Обычный 4 3 4 7 9" xfId="18919"/>
    <cellStyle name="Обычный 4 3 4 8" xfId="10717"/>
    <cellStyle name="Обычный 4 3 4 8 2" xfId="10718"/>
    <cellStyle name="Обычный 4 3 4 9" xfId="10719"/>
    <cellStyle name="Обычный 4 3 5" xfId="10720"/>
    <cellStyle name="Обычный 4 3 5 10" xfId="10721"/>
    <cellStyle name="Обычный 4 3 5 11" xfId="10722"/>
    <cellStyle name="Обычный 4 3 5 12" xfId="18920"/>
    <cellStyle name="Обычный 4 3 5 13" xfId="20615"/>
    <cellStyle name="Обычный 4 3 5 14" xfId="22227"/>
    <cellStyle name="Обычный 4 3 5 2" xfId="10723"/>
    <cellStyle name="Обычный 4 3 5 2 10" xfId="10724"/>
    <cellStyle name="Обычный 4 3 5 2 11" xfId="18921"/>
    <cellStyle name="Обычный 4 3 5 2 12" xfId="20616"/>
    <cellStyle name="Обычный 4 3 5 2 13" xfId="22228"/>
    <cellStyle name="Обычный 4 3 5 2 2" xfId="10725"/>
    <cellStyle name="Обычный 4 3 5 2 2 2" xfId="10726"/>
    <cellStyle name="Обычный 4 3 5 2 3" xfId="10727"/>
    <cellStyle name="Обычный 4 3 5 2 4" xfId="10728"/>
    <cellStyle name="Обычный 4 3 5 2 5" xfId="10729"/>
    <cellStyle name="Обычный 4 3 5 2 6" xfId="10730"/>
    <cellStyle name="Обычный 4 3 5 2 7" xfId="10731"/>
    <cellStyle name="Обычный 4 3 5 2 8" xfId="10732"/>
    <cellStyle name="Обычный 4 3 5 2 9" xfId="10733"/>
    <cellStyle name="Обычный 4 3 5 3" xfId="10734"/>
    <cellStyle name="Обычный 4 3 5 3 2" xfId="10735"/>
    <cellStyle name="Обычный 4 3 5 4" xfId="10736"/>
    <cellStyle name="Обычный 4 3 5 5" xfId="10737"/>
    <cellStyle name="Обычный 4 3 5 6" xfId="10738"/>
    <cellStyle name="Обычный 4 3 5 7" xfId="10739"/>
    <cellStyle name="Обычный 4 3 5 8" xfId="10740"/>
    <cellStyle name="Обычный 4 3 5 9" xfId="10741"/>
    <cellStyle name="Обычный 4 3 6" xfId="10742"/>
    <cellStyle name="Обычный 4 3 6 10" xfId="10743"/>
    <cellStyle name="Обычный 4 3 6 11" xfId="10744"/>
    <cellStyle name="Обычный 4 3 6 12" xfId="18922"/>
    <cellStyle name="Обычный 4 3 6 13" xfId="20617"/>
    <cellStyle name="Обычный 4 3 6 14" xfId="22229"/>
    <cellStyle name="Обычный 4 3 6 2" xfId="10745"/>
    <cellStyle name="Обычный 4 3 6 2 10" xfId="10746"/>
    <cellStyle name="Обычный 4 3 6 2 11" xfId="18923"/>
    <cellStyle name="Обычный 4 3 6 2 12" xfId="20618"/>
    <cellStyle name="Обычный 4 3 6 2 13" xfId="22230"/>
    <cellStyle name="Обычный 4 3 6 2 2" xfId="10747"/>
    <cellStyle name="Обычный 4 3 6 2 2 2" xfId="10748"/>
    <cellStyle name="Обычный 4 3 6 2 3" xfId="10749"/>
    <cellStyle name="Обычный 4 3 6 2 4" xfId="10750"/>
    <cellStyle name="Обычный 4 3 6 2 5" xfId="10751"/>
    <cellStyle name="Обычный 4 3 6 2 6" xfId="10752"/>
    <cellStyle name="Обычный 4 3 6 2 7" xfId="10753"/>
    <cellStyle name="Обычный 4 3 6 2 8" xfId="10754"/>
    <cellStyle name="Обычный 4 3 6 2 9" xfId="10755"/>
    <cellStyle name="Обычный 4 3 6 3" xfId="10756"/>
    <cellStyle name="Обычный 4 3 6 3 2" xfId="10757"/>
    <cellStyle name="Обычный 4 3 6 4" xfId="10758"/>
    <cellStyle name="Обычный 4 3 6 5" xfId="10759"/>
    <cellStyle name="Обычный 4 3 6 6" xfId="10760"/>
    <cellStyle name="Обычный 4 3 6 7" xfId="10761"/>
    <cellStyle name="Обычный 4 3 6 8" xfId="10762"/>
    <cellStyle name="Обычный 4 3 6 9" xfId="10763"/>
    <cellStyle name="Обычный 4 3 7" xfId="10764"/>
    <cellStyle name="Обычный 4 3 7 10" xfId="10765"/>
    <cellStyle name="Обычный 4 3 7 11" xfId="10766"/>
    <cellStyle name="Обычный 4 3 7 12" xfId="18924"/>
    <cellStyle name="Обычный 4 3 7 13" xfId="20619"/>
    <cellStyle name="Обычный 4 3 7 14" xfId="22231"/>
    <cellStyle name="Обычный 4 3 7 2" xfId="10767"/>
    <cellStyle name="Обычный 4 3 7 2 10" xfId="10768"/>
    <cellStyle name="Обычный 4 3 7 2 11" xfId="18925"/>
    <cellStyle name="Обычный 4 3 7 2 12" xfId="20620"/>
    <cellStyle name="Обычный 4 3 7 2 13" xfId="22232"/>
    <cellStyle name="Обычный 4 3 7 2 2" xfId="10769"/>
    <cellStyle name="Обычный 4 3 7 2 2 2" xfId="10770"/>
    <cellStyle name="Обычный 4 3 7 2 3" xfId="10771"/>
    <cellStyle name="Обычный 4 3 7 2 4" xfId="10772"/>
    <cellStyle name="Обычный 4 3 7 2 5" xfId="10773"/>
    <cellStyle name="Обычный 4 3 7 2 6" xfId="10774"/>
    <cellStyle name="Обычный 4 3 7 2 7" xfId="10775"/>
    <cellStyle name="Обычный 4 3 7 2 8" xfId="10776"/>
    <cellStyle name="Обычный 4 3 7 2 9" xfId="10777"/>
    <cellStyle name="Обычный 4 3 7 3" xfId="10778"/>
    <cellStyle name="Обычный 4 3 7 3 2" xfId="10779"/>
    <cellStyle name="Обычный 4 3 7 4" xfId="10780"/>
    <cellStyle name="Обычный 4 3 7 5" xfId="10781"/>
    <cellStyle name="Обычный 4 3 7 6" xfId="10782"/>
    <cellStyle name="Обычный 4 3 7 7" xfId="10783"/>
    <cellStyle name="Обычный 4 3 7 8" xfId="10784"/>
    <cellStyle name="Обычный 4 3 7 9" xfId="10785"/>
    <cellStyle name="Обычный 4 3 8" xfId="10786"/>
    <cellStyle name="Обычный 4 3 8 10" xfId="10787"/>
    <cellStyle name="Обычный 4 3 8 11" xfId="10788"/>
    <cellStyle name="Обычный 4 3 8 12" xfId="18926"/>
    <cellStyle name="Обычный 4 3 8 13" xfId="20621"/>
    <cellStyle name="Обычный 4 3 8 14" xfId="22233"/>
    <cellStyle name="Обычный 4 3 8 2" xfId="10789"/>
    <cellStyle name="Обычный 4 3 8 2 10" xfId="10790"/>
    <cellStyle name="Обычный 4 3 8 2 11" xfId="18927"/>
    <cellStyle name="Обычный 4 3 8 2 12" xfId="20622"/>
    <cellStyle name="Обычный 4 3 8 2 13" xfId="22234"/>
    <cellStyle name="Обычный 4 3 8 2 2" xfId="10791"/>
    <cellStyle name="Обычный 4 3 8 2 2 2" xfId="10792"/>
    <cellStyle name="Обычный 4 3 8 2 3" xfId="10793"/>
    <cellStyle name="Обычный 4 3 8 2 4" xfId="10794"/>
    <cellStyle name="Обычный 4 3 8 2 5" xfId="10795"/>
    <cellStyle name="Обычный 4 3 8 2 6" xfId="10796"/>
    <cellStyle name="Обычный 4 3 8 2 7" xfId="10797"/>
    <cellStyle name="Обычный 4 3 8 2 8" xfId="10798"/>
    <cellStyle name="Обычный 4 3 8 2 9" xfId="10799"/>
    <cellStyle name="Обычный 4 3 8 3" xfId="10800"/>
    <cellStyle name="Обычный 4 3 8 3 2" xfId="10801"/>
    <cellStyle name="Обычный 4 3 8 4" xfId="10802"/>
    <cellStyle name="Обычный 4 3 8 5" xfId="10803"/>
    <cellStyle name="Обычный 4 3 8 6" xfId="10804"/>
    <cellStyle name="Обычный 4 3 8 7" xfId="10805"/>
    <cellStyle name="Обычный 4 3 8 8" xfId="10806"/>
    <cellStyle name="Обычный 4 3 8 9" xfId="10807"/>
    <cellStyle name="Обычный 4 3 9" xfId="10808"/>
    <cellStyle name="Обычный 4 3 9 10" xfId="10809"/>
    <cellStyle name="Обычный 4 3 9 11" xfId="10810"/>
    <cellStyle name="Обычный 4 3 9 12" xfId="18928"/>
    <cellStyle name="Обычный 4 3 9 13" xfId="20623"/>
    <cellStyle name="Обычный 4 3 9 14" xfId="22235"/>
    <cellStyle name="Обычный 4 3 9 2" xfId="10811"/>
    <cellStyle name="Обычный 4 3 9 2 10" xfId="10812"/>
    <cellStyle name="Обычный 4 3 9 2 11" xfId="18929"/>
    <cellStyle name="Обычный 4 3 9 2 12" xfId="20624"/>
    <cellStyle name="Обычный 4 3 9 2 13" xfId="22236"/>
    <cellStyle name="Обычный 4 3 9 2 2" xfId="10813"/>
    <cellStyle name="Обычный 4 3 9 2 2 2" xfId="10814"/>
    <cellStyle name="Обычный 4 3 9 2 3" xfId="10815"/>
    <cellStyle name="Обычный 4 3 9 2 4" xfId="10816"/>
    <cellStyle name="Обычный 4 3 9 2 5" xfId="10817"/>
    <cellStyle name="Обычный 4 3 9 2 6" xfId="10818"/>
    <cellStyle name="Обычный 4 3 9 2 7" xfId="10819"/>
    <cellStyle name="Обычный 4 3 9 2 8" xfId="10820"/>
    <cellStyle name="Обычный 4 3 9 2 9" xfId="10821"/>
    <cellStyle name="Обычный 4 3 9 3" xfId="10822"/>
    <cellStyle name="Обычный 4 3 9 3 2" xfId="10823"/>
    <cellStyle name="Обычный 4 3 9 4" xfId="10824"/>
    <cellStyle name="Обычный 4 3 9 5" xfId="10825"/>
    <cellStyle name="Обычный 4 3 9 6" xfId="10826"/>
    <cellStyle name="Обычный 4 3 9 7" xfId="10827"/>
    <cellStyle name="Обычный 4 3 9 8" xfId="10828"/>
    <cellStyle name="Обычный 4 3 9 9" xfId="10829"/>
    <cellStyle name="Обычный 4 30" xfId="19634"/>
    <cellStyle name="Обычный 4 31" xfId="20467"/>
    <cellStyle name="Обычный 4 32" xfId="22079"/>
    <cellStyle name="Обычный 4 4" xfId="10830"/>
    <cellStyle name="Обычный 4 4 10" xfId="10831"/>
    <cellStyle name="Обычный 4 4 10 10" xfId="10832"/>
    <cellStyle name="Обычный 4 4 10 11" xfId="10833"/>
    <cellStyle name="Обычный 4 4 10 12" xfId="18931"/>
    <cellStyle name="Обычный 4 4 10 13" xfId="20626"/>
    <cellStyle name="Обычный 4 4 10 14" xfId="22238"/>
    <cellStyle name="Обычный 4 4 10 2" xfId="10834"/>
    <cellStyle name="Обычный 4 4 10 2 10" xfId="10835"/>
    <cellStyle name="Обычный 4 4 10 2 11" xfId="18932"/>
    <cellStyle name="Обычный 4 4 10 2 12" xfId="20627"/>
    <cellStyle name="Обычный 4 4 10 2 13" xfId="22239"/>
    <cellStyle name="Обычный 4 4 10 2 2" xfId="10836"/>
    <cellStyle name="Обычный 4 4 10 2 2 2" xfId="10837"/>
    <cellStyle name="Обычный 4 4 10 2 3" xfId="10838"/>
    <cellStyle name="Обычный 4 4 10 2 4" xfId="10839"/>
    <cellStyle name="Обычный 4 4 10 2 5" xfId="10840"/>
    <cellStyle name="Обычный 4 4 10 2 6" xfId="10841"/>
    <cellStyle name="Обычный 4 4 10 2 7" xfId="10842"/>
    <cellStyle name="Обычный 4 4 10 2 8" xfId="10843"/>
    <cellStyle name="Обычный 4 4 10 2 9" xfId="10844"/>
    <cellStyle name="Обычный 4 4 10 3" xfId="10845"/>
    <cellStyle name="Обычный 4 4 10 3 2" xfId="10846"/>
    <cellStyle name="Обычный 4 4 10 4" xfId="10847"/>
    <cellStyle name="Обычный 4 4 10 5" xfId="10848"/>
    <cellStyle name="Обычный 4 4 10 6" xfId="10849"/>
    <cellStyle name="Обычный 4 4 10 7" xfId="10850"/>
    <cellStyle name="Обычный 4 4 10 8" xfId="10851"/>
    <cellStyle name="Обычный 4 4 10 9" xfId="10852"/>
    <cellStyle name="Обычный 4 4 11" xfId="10853"/>
    <cellStyle name="Обычный 4 4 11 10" xfId="10854"/>
    <cellStyle name="Обычный 4 4 11 11" xfId="18933"/>
    <cellStyle name="Обычный 4 4 11 12" xfId="20628"/>
    <cellStyle name="Обычный 4 4 11 13" xfId="22240"/>
    <cellStyle name="Обычный 4 4 11 2" xfId="10855"/>
    <cellStyle name="Обычный 4 4 11 2 2" xfId="10856"/>
    <cellStyle name="Обычный 4 4 11 3" xfId="10857"/>
    <cellStyle name="Обычный 4 4 11 4" xfId="10858"/>
    <cellStyle name="Обычный 4 4 11 5" xfId="10859"/>
    <cellStyle name="Обычный 4 4 11 6" xfId="10860"/>
    <cellStyle name="Обычный 4 4 11 7" xfId="10861"/>
    <cellStyle name="Обычный 4 4 11 8" xfId="10862"/>
    <cellStyle name="Обычный 4 4 11 9" xfId="10863"/>
    <cellStyle name="Обычный 4 4 12" xfId="10864"/>
    <cellStyle name="Обычный 4 4 12 10" xfId="20629"/>
    <cellStyle name="Обычный 4 4 12 11" xfId="22241"/>
    <cellStyle name="Обычный 4 4 12 2" xfId="10865"/>
    <cellStyle name="Обычный 4 4 12 2 2" xfId="10866"/>
    <cellStyle name="Обычный 4 4 12 3" xfId="10867"/>
    <cellStyle name="Обычный 4 4 12 4" xfId="10868"/>
    <cellStyle name="Обычный 4 4 12 5" xfId="10869"/>
    <cellStyle name="Обычный 4 4 12 6" xfId="10870"/>
    <cellStyle name="Обычный 4 4 12 7" xfId="10871"/>
    <cellStyle name="Обычный 4 4 12 8" xfId="10872"/>
    <cellStyle name="Обычный 4 4 12 9" xfId="18934"/>
    <cellStyle name="Обычный 4 4 13" xfId="10873"/>
    <cellStyle name="Обычный 4 4 13 10" xfId="20630"/>
    <cellStyle name="Обычный 4 4 13 11" xfId="22242"/>
    <cellStyle name="Обычный 4 4 13 2" xfId="10874"/>
    <cellStyle name="Обычный 4 4 13 2 2" xfId="10875"/>
    <cellStyle name="Обычный 4 4 13 3" xfId="10876"/>
    <cellStyle name="Обычный 4 4 13 4" xfId="10877"/>
    <cellStyle name="Обычный 4 4 13 5" xfId="10878"/>
    <cellStyle name="Обычный 4 4 13 6" xfId="10879"/>
    <cellStyle name="Обычный 4 4 13 7" xfId="10880"/>
    <cellStyle name="Обычный 4 4 13 8" xfId="10881"/>
    <cellStyle name="Обычный 4 4 13 9" xfId="18935"/>
    <cellStyle name="Обычный 4 4 14" xfId="10882"/>
    <cellStyle name="Обычный 4 4 14 2" xfId="10883"/>
    <cellStyle name="Обычный 4 4 15" xfId="10884"/>
    <cellStyle name="Обычный 4 4 16" xfId="10885"/>
    <cellStyle name="Обычный 4 4 17" xfId="10886"/>
    <cellStyle name="Обычный 4 4 18" xfId="10887"/>
    <cellStyle name="Обычный 4 4 19" xfId="10888"/>
    <cellStyle name="Обычный 4 4 2" xfId="10889"/>
    <cellStyle name="Обычный 4 4 2 10" xfId="10890"/>
    <cellStyle name="Обычный 4 4 2 10 2" xfId="10891"/>
    <cellStyle name="Обычный 4 4 2 11" xfId="10892"/>
    <cellStyle name="Обычный 4 4 2 12" xfId="10893"/>
    <cellStyle name="Обычный 4 4 2 13" xfId="10894"/>
    <cellStyle name="Обычный 4 4 2 14" xfId="10895"/>
    <cellStyle name="Обычный 4 4 2 15" xfId="10896"/>
    <cellStyle name="Обычный 4 4 2 16" xfId="10897"/>
    <cellStyle name="Обычный 4 4 2 17" xfId="10898"/>
    <cellStyle name="Обычный 4 4 2 18" xfId="10899"/>
    <cellStyle name="Обычный 4 4 2 19" xfId="10900"/>
    <cellStyle name="Обычный 4 4 2 2" xfId="10901"/>
    <cellStyle name="Обычный 4 4 2 2 10" xfId="10902"/>
    <cellStyle name="Обычный 4 4 2 2 11" xfId="10903"/>
    <cellStyle name="Обычный 4 4 2 2 12" xfId="10904"/>
    <cellStyle name="Обычный 4 4 2 2 13" xfId="10905"/>
    <cellStyle name="Обычный 4 4 2 2 14" xfId="10906"/>
    <cellStyle name="Обычный 4 4 2 2 15" xfId="10907"/>
    <cellStyle name="Обычный 4 4 2 2 16" xfId="10908"/>
    <cellStyle name="Обычный 4 4 2 2 17" xfId="10909"/>
    <cellStyle name="Обычный 4 4 2 2 18" xfId="18937"/>
    <cellStyle name="Обычный 4 4 2 2 19" xfId="20632"/>
    <cellStyle name="Обычный 4 4 2 2 2" xfId="10910"/>
    <cellStyle name="Обычный 4 4 2 2 2 10" xfId="10911"/>
    <cellStyle name="Обычный 4 4 2 2 2 11" xfId="10912"/>
    <cellStyle name="Обычный 4 4 2 2 2 12" xfId="18938"/>
    <cellStyle name="Обычный 4 4 2 2 2 13" xfId="20633"/>
    <cellStyle name="Обычный 4 4 2 2 2 14" xfId="22245"/>
    <cellStyle name="Обычный 4 4 2 2 2 2" xfId="10913"/>
    <cellStyle name="Обычный 4 4 2 2 2 2 10" xfId="10914"/>
    <cellStyle name="Обычный 4 4 2 2 2 2 11" xfId="18939"/>
    <cellStyle name="Обычный 4 4 2 2 2 2 12" xfId="20634"/>
    <cellStyle name="Обычный 4 4 2 2 2 2 13" xfId="22246"/>
    <cellStyle name="Обычный 4 4 2 2 2 2 2" xfId="10915"/>
    <cellStyle name="Обычный 4 4 2 2 2 2 2 2" xfId="10916"/>
    <cellStyle name="Обычный 4 4 2 2 2 2 3" xfId="10917"/>
    <cellStyle name="Обычный 4 4 2 2 2 2 4" xfId="10918"/>
    <cellStyle name="Обычный 4 4 2 2 2 2 5" xfId="10919"/>
    <cellStyle name="Обычный 4 4 2 2 2 2 6" xfId="10920"/>
    <cellStyle name="Обычный 4 4 2 2 2 2 7" xfId="10921"/>
    <cellStyle name="Обычный 4 4 2 2 2 2 8" xfId="10922"/>
    <cellStyle name="Обычный 4 4 2 2 2 2 9" xfId="10923"/>
    <cellStyle name="Обычный 4 4 2 2 2 3" xfId="10924"/>
    <cellStyle name="Обычный 4 4 2 2 2 3 2" xfId="10925"/>
    <cellStyle name="Обычный 4 4 2 2 2 4" xfId="10926"/>
    <cellStyle name="Обычный 4 4 2 2 2 5" xfId="10927"/>
    <cellStyle name="Обычный 4 4 2 2 2 6" xfId="10928"/>
    <cellStyle name="Обычный 4 4 2 2 2 7" xfId="10929"/>
    <cellStyle name="Обычный 4 4 2 2 2 8" xfId="10930"/>
    <cellStyle name="Обычный 4 4 2 2 2 9" xfId="10931"/>
    <cellStyle name="Обычный 4 4 2 2 20" xfId="22244"/>
    <cellStyle name="Обычный 4 4 2 2 3" xfId="10932"/>
    <cellStyle name="Обычный 4 4 2 2 3 10" xfId="10933"/>
    <cellStyle name="Обычный 4 4 2 2 3 11" xfId="10934"/>
    <cellStyle name="Обычный 4 4 2 2 3 12" xfId="18940"/>
    <cellStyle name="Обычный 4 4 2 2 3 13" xfId="20635"/>
    <cellStyle name="Обычный 4 4 2 2 3 14" xfId="22247"/>
    <cellStyle name="Обычный 4 4 2 2 3 2" xfId="10935"/>
    <cellStyle name="Обычный 4 4 2 2 3 2 10" xfId="10936"/>
    <cellStyle name="Обычный 4 4 2 2 3 2 11" xfId="18941"/>
    <cellStyle name="Обычный 4 4 2 2 3 2 12" xfId="20636"/>
    <cellStyle name="Обычный 4 4 2 2 3 2 13" xfId="22248"/>
    <cellStyle name="Обычный 4 4 2 2 3 2 2" xfId="10937"/>
    <cellStyle name="Обычный 4 4 2 2 3 2 2 2" xfId="10938"/>
    <cellStyle name="Обычный 4 4 2 2 3 2 3" xfId="10939"/>
    <cellStyle name="Обычный 4 4 2 2 3 2 4" xfId="10940"/>
    <cellStyle name="Обычный 4 4 2 2 3 2 5" xfId="10941"/>
    <cellStyle name="Обычный 4 4 2 2 3 2 6" xfId="10942"/>
    <cellStyle name="Обычный 4 4 2 2 3 2 7" xfId="10943"/>
    <cellStyle name="Обычный 4 4 2 2 3 2 8" xfId="10944"/>
    <cellStyle name="Обычный 4 4 2 2 3 2 9" xfId="10945"/>
    <cellStyle name="Обычный 4 4 2 2 3 3" xfId="10946"/>
    <cellStyle name="Обычный 4 4 2 2 3 3 2" xfId="10947"/>
    <cellStyle name="Обычный 4 4 2 2 3 4" xfId="10948"/>
    <cellStyle name="Обычный 4 4 2 2 3 5" xfId="10949"/>
    <cellStyle name="Обычный 4 4 2 2 3 6" xfId="10950"/>
    <cellStyle name="Обычный 4 4 2 2 3 7" xfId="10951"/>
    <cellStyle name="Обычный 4 4 2 2 3 8" xfId="10952"/>
    <cellStyle name="Обычный 4 4 2 2 3 9" xfId="10953"/>
    <cellStyle name="Обычный 4 4 2 2 4" xfId="10954"/>
    <cellStyle name="Обычный 4 4 2 2 4 10" xfId="10955"/>
    <cellStyle name="Обычный 4 4 2 2 4 11" xfId="10956"/>
    <cellStyle name="Обычный 4 4 2 2 4 12" xfId="18942"/>
    <cellStyle name="Обычный 4 4 2 2 4 13" xfId="20637"/>
    <cellStyle name="Обычный 4 4 2 2 4 14" xfId="22249"/>
    <cellStyle name="Обычный 4 4 2 2 4 2" xfId="10957"/>
    <cellStyle name="Обычный 4 4 2 2 4 2 10" xfId="10958"/>
    <cellStyle name="Обычный 4 4 2 2 4 2 11" xfId="18943"/>
    <cellStyle name="Обычный 4 4 2 2 4 2 12" xfId="20638"/>
    <cellStyle name="Обычный 4 4 2 2 4 2 13" xfId="22250"/>
    <cellStyle name="Обычный 4 4 2 2 4 2 2" xfId="10959"/>
    <cellStyle name="Обычный 4 4 2 2 4 2 2 2" xfId="10960"/>
    <cellStyle name="Обычный 4 4 2 2 4 2 3" xfId="10961"/>
    <cellStyle name="Обычный 4 4 2 2 4 2 4" xfId="10962"/>
    <cellStyle name="Обычный 4 4 2 2 4 2 5" xfId="10963"/>
    <cellStyle name="Обычный 4 4 2 2 4 2 6" xfId="10964"/>
    <cellStyle name="Обычный 4 4 2 2 4 2 7" xfId="10965"/>
    <cellStyle name="Обычный 4 4 2 2 4 2 8" xfId="10966"/>
    <cellStyle name="Обычный 4 4 2 2 4 2 9" xfId="10967"/>
    <cellStyle name="Обычный 4 4 2 2 4 3" xfId="10968"/>
    <cellStyle name="Обычный 4 4 2 2 4 3 2" xfId="10969"/>
    <cellStyle name="Обычный 4 4 2 2 4 4" xfId="10970"/>
    <cellStyle name="Обычный 4 4 2 2 4 5" xfId="10971"/>
    <cellStyle name="Обычный 4 4 2 2 4 6" xfId="10972"/>
    <cellStyle name="Обычный 4 4 2 2 4 7" xfId="10973"/>
    <cellStyle name="Обычный 4 4 2 2 4 8" xfId="10974"/>
    <cellStyle name="Обычный 4 4 2 2 4 9" xfId="10975"/>
    <cellStyle name="Обычный 4 4 2 2 5" xfId="10976"/>
    <cellStyle name="Обычный 4 4 2 2 5 10" xfId="10977"/>
    <cellStyle name="Обычный 4 4 2 2 5 11" xfId="10978"/>
    <cellStyle name="Обычный 4 4 2 2 5 12" xfId="18944"/>
    <cellStyle name="Обычный 4 4 2 2 5 13" xfId="20639"/>
    <cellStyle name="Обычный 4 4 2 2 5 14" xfId="22251"/>
    <cellStyle name="Обычный 4 4 2 2 5 2" xfId="10979"/>
    <cellStyle name="Обычный 4 4 2 2 5 2 10" xfId="10980"/>
    <cellStyle name="Обычный 4 4 2 2 5 2 11" xfId="18945"/>
    <cellStyle name="Обычный 4 4 2 2 5 2 12" xfId="20640"/>
    <cellStyle name="Обычный 4 4 2 2 5 2 13" xfId="22252"/>
    <cellStyle name="Обычный 4 4 2 2 5 2 2" xfId="10981"/>
    <cellStyle name="Обычный 4 4 2 2 5 2 2 2" xfId="10982"/>
    <cellStyle name="Обычный 4 4 2 2 5 2 3" xfId="10983"/>
    <cellStyle name="Обычный 4 4 2 2 5 2 4" xfId="10984"/>
    <cellStyle name="Обычный 4 4 2 2 5 2 5" xfId="10985"/>
    <cellStyle name="Обычный 4 4 2 2 5 2 6" xfId="10986"/>
    <cellStyle name="Обычный 4 4 2 2 5 2 7" xfId="10987"/>
    <cellStyle name="Обычный 4 4 2 2 5 2 8" xfId="10988"/>
    <cellStyle name="Обычный 4 4 2 2 5 2 9" xfId="10989"/>
    <cellStyle name="Обычный 4 4 2 2 5 3" xfId="10990"/>
    <cellStyle name="Обычный 4 4 2 2 5 3 2" xfId="10991"/>
    <cellStyle name="Обычный 4 4 2 2 5 4" xfId="10992"/>
    <cellStyle name="Обычный 4 4 2 2 5 5" xfId="10993"/>
    <cellStyle name="Обычный 4 4 2 2 5 6" xfId="10994"/>
    <cellStyle name="Обычный 4 4 2 2 5 7" xfId="10995"/>
    <cellStyle name="Обычный 4 4 2 2 5 8" xfId="10996"/>
    <cellStyle name="Обычный 4 4 2 2 5 9" xfId="10997"/>
    <cellStyle name="Обычный 4 4 2 2 6" xfId="10998"/>
    <cellStyle name="Обычный 4 4 2 2 6 10" xfId="10999"/>
    <cellStyle name="Обычный 4 4 2 2 6 11" xfId="18946"/>
    <cellStyle name="Обычный 4 4 2 2 6 12" xfId="20641"/>
    <cellStyle name="Обычный 4 4 2 2 6 13" xfId="22253"/>
    <cellStyle name="Обычный 4 4 2 2 6 2" xfId="11000"/>
    <cellStyle name="Обычный 4 4 2 2 6 2 2" xfId="11001"/>
    <cellStyle name="Обычный 4 4 2 2 6 3" xfId="11002"/>
    <cellStyle name="Обычный 4 4 2 2 6 4" xfId="11003"/>
    <cellStyle name="Обычный 4 4 2 2 6 5" xfId="11004"/>
    <cellStyle name="Обычный 4 4 2 2 6 6" xfId="11005"/>
    <cellStyle name="Обычный 4 4 2 2 6 7" xfId="11006"/>
    <cellStyle name="Обычный 4 4 2 2 6 8" xfId="11007"/>
    <cellStyle name="Обычный 4 4 2 2 6 9" xfId="11008"/>
    <cellStyle name="Обычный 4 4 2 2 7" xfId="11009"/>
    <cellStyle name="Обычный 4 4 2 2 7 10" xfId="20642"/>
    <cellStyle name="Обычный 4 4 2 2 7 11" xfId="22254"/>
    <cellStyle name="Обычный 4 4 2 2 7 2" xfId="11010"/>
    <cellStyle name="Обычный 4 4 2 2 7 2 2" xfId="11011"/>
    <cellStyle name="Обычный 4 4 2 2 7 3" xfId="11012"/>
    <cellStyle name="Обычный 4 4 2 2 7 4" xfId="11013"/>
    <cellStyle name="Обычный 4 4 2 2 7 5" xfId="11014"/>
    <cellStyle name="Обычный 4 4 2 2 7 6" xfId="11015"/>
    <cellStyle name="Обычный 4 4 2 2 7 7" xfId="11016"/>
    <cellStyle name="Обычный 4 4 2 2 7 8" xfId="11017"/>
    <cellStyle name="Обычный 4 4 2 2 7 9" xfId="18947"/>
    <cellStyle name="Обычный 4 4 2 2 8" xfId="11018"/>
    <cellStyle name="Обычный 4 4 2 2 8 2" xfId="11019"/>
    <cellStyle name="Обычный 4 4 2 2 9" xfId="11020"/>
    <cellStyle name="Обычный 4 4 2 20" xfId="18936"/>
    <cellStyle name="Обычный 4 4 2 21" xfId="20631"/>
    <cellStyle name="Обычный 4 4 2 22" xfId="22243"/>
    <cellStyle name="Обычный 4 4 2 3" xfId="11021"/>
    <cellStyle name="Обычный 4 4 2 3 10" xfId="11022"/>
    <cellStyle name="Обычный 4 4 2 3 11" xfId="11023"/>
    <cellStyle name="Обычный 4 4 2 3 12" xfId="11024"/>
    <cellStyle name="Обычный 4 4 2 3 13" xfId="11025"/>
    <cellStyle name="Обычный 4 4 2 3 14" xfId="11026"/>
    <cellStyle name="Обычный 4 4 2 3 15" xfId="11027"/>
    <cellStyle name="Обычный 4 4 2 3 16" xfId="11028"/>
    <cellStyle name="Обычный 4 4 2 3 17" xfId="11029"/>
    <cellStyle name="Обычный 4 4 2 3 18" xfId="18948"/>
    <cellStyle name="Обычный 4 4 2 3 19" xfId="20643"/>
    <cellStyle name="Обычный 4 4 2 3 2" xfId="11030"/>
    <cellStyle name="Обычный 4 4 2 3 2 10" xfId="11031"/>
    <cellStyle name="Обычный 4 4 2 3 2 11" xfId="11032"/>
    <cellStyle name="Обычный 4 4 2 3 2 12" xfId="18949"/>
    <cellStyle name="Обычный 4 4 2 3 2 13" xfId="20644"/>
    <cellStyle name="Обычный 4 4 2 3 2 14" xfId="22256"/>
    <cellStyle name="Обычный 4 4 2 3 2 2" xfId="11033"/>
    <cellStyle name="Обычный 4 4 2 3 2 2 10" xfId="11034"/>
    <cellStyle name="Обычный 4 4 2 3 2 2 11" xfId="18950"/>
    <cellStyle name="Обычный 4 4 2 3 2 2 12" xfId="20645"/>
    <cellStyle name="Обычный 4 4 2 3 2 2 13" xfId="22257"/>
    <cellStyle name="Обычный 4 4 2 3 2 2 2" xfId="11035"/>
    <cellStyle name="Обычный 4 4 2 3 2 2 2 2" xfId="11036"/>
    <cellStyle name="Обычный 4 4 2 3 2 2 3" xfId="11037"/>
    <cellStyle name="Обычный 4 4 2 3 2 2 4" xfId="11038"/>
    <cellStyle name="Обычный 4 4 2 3 2 2 5" xfId="11039"/>
    <cellStyle name="Обычный 4 4 2 3 2 2 6" xfId="11040"/>
    <cellStyle name="Обычный 4 4 2 3 2 2 7" xfId="11041"/>
    <cellStyle name="Обычный 4 4 2 3 2 2 8" xfId="11042"/>
    <cellStyle name="Обычный 4 4 2 3 2 2 9" xfId="11043"/>
    <cellStyle name="Обычный 4 4 2 3 2 3" xfId="11044"/>
    <cellStyle name="Обычный 4 4 2 3 2 3 2" xfId="11045"/>
    <cellStyle name="Обычный 4 4 2 3 2 4" xfId="11046"/>
    <cellStyle name="Обычный 4 4 2 3 2 5" xfId="11047"/>
    <cellStyle name="Обычный 4 4 2 3 2 6" xfId="11048"/>
    <cellStyle name="Обычный 4 4 2 3 2 7" xfId="11049"/>
    <cellStyle name="Обычный 4 4 2 3 2 8" xfId="11050"/>
    <cellStyle name="Обычный 4 4 2 3 2 9" xfId="11051"/>
    <cellStyle name="Обычный 4 4 2 3 20" xfId="22255"/>
    <cellStyle name="Обычный 4 4 2 3 3" xfId="11052"/>
    <cellStyle name="Обычный 4 4 2 3 3 10" xfId="11053"/>
    <cellStyle name="Обычный 4 4 2 3 3 11" xfId="11054"/>
    <cellStyle name="Обычный 4 4 2 3 3 12" xfId="18951"/>
    <cellStyle name="Обычный 4 4 2 3 3 13" xfId="20646"/>
    <cellStyle name="Обычный 4 4 2 3 3 14" xfId="22258"/>
    <cellStyle name="Обычный 4 4 2 3 3 2" xfId="11055"/>
    <cellStyle name="Обычный 4 4 2 3 3 2 10" xfId="11056"/>
    <cellStyle name="Обычный 4 4 2 3 3 2 11" xfId="18952"/>
    <cellStyle name="Обычный 4 4 2 3 3 2 12" xfId="20647"/>
    <cellStyle name="Обычный 4 4 2 3 3 2 13" xfId="22259"/>
    <cellStyle name="Обычный 4 4 2 3 3 2 2" xfId="11057"/>
    <cellStyle name="Обычный 4 4 2 3 3 2 2 2" xfId="11058"/>
    <cellStyle name="Обычный 4 4 2 3 3 2 3" xfId="11059"/>
    <cellStyle name="Обычный 4 4 2 3 3 2 4" xfId="11060"/>
    <cellStyle name="Обычный 4 4 2 3 3 2 5" xfId="11061"/>
    <cellStyle name="Обычный 4 4 2 3 3 2 6" xfId="11062"/>
    <cellStyle name="Обычный 4 4 2 3 3 2 7" xfId="11063"/>
    <cellStyle name="Обычный 4 4 2 3 3 2 8" xfId="11064"/>
    <cellStyle name="Обычный 4 4 2 3 3 2 9" xfId="11065"/>
    <cellStyle name="Обычный 4 4 2 3 3 3" xfId="11066"/>
    <cellStyle name="Обычный 4 4 2 3 3 3 2" xfId="11067"/>
    <cellStyle name="Обычный 4 4 2 3 3 4" xfId="11068"/>
    <cellStyle name="Обычный 4 4 2 3 3 5" xfId="11069"/>
    <cellStyle name="Обычный 4 4 2 3 3 6" xfId="11070"/>
    <cellStyle name="Обычный 4 4 2 3 3 7" xfId="11071"/>
    <cellStyle name="Обычный 4 4 2 3 3 8" xfId="11072"/>
    <cellStyle name="Обычный 4 4 2 3 3 9" xfId="11073"/>
    <cellStyle name="Обычный 4 4 2 3 4" xfId="11074"/>
    <cellStyle name="Обычный 4 4 2 3 4 10" xfId="11075"/>
    <cellStyle name="Обычный 4 4 2 3 4 11" xfId="11076"/>
    <cellStyle name="Обычный 4 4 2 3 4 12" xfId="18953"/>
    <cellStyle name="Обычный 4 4 2 3 4 13" xfId="20648"/>
    <cellStyle name="Обычный 4 4 2 3 4 14" xfId="22260"/>
    <cellStyle name="Обычный 4 4 2 3 4 2" xfId="11077"/>
    <cellStyle name="Обычный 4 4 2 3 4 2 10" xfId="11078"/>
    <cellStyle name="Обычный 4 4 2 3 4 2 11" xfId="18954"/>
    <cellStyle name="Обычный 4 4 2 3 4 2 12" xfId="20649"/>
    <cellStyle name="Обычный 4 4 2 3 4 2 13" xfId="22261"/>
    <cellStyle name="Обычный 4 4 2 3 4 2 2" xfId="11079"/>
    <cellStyle name="Обычный 4 4 2 3 4 2 2 2" xfId="11080"/>
    <cellStyle name="Обычный 4 4 2 3 4 2 3" xfId="11081"/>
    <cellStyle name="Обычный 4 4 2 3 4 2 4" xfId="11082"/>
    <cellStyle name="Обычный 4 4 2 3 4 2 5" xfId="11083"/>
    <cellStyle name="Обычный 4 4 2 3 4 2 6" xfId="11084"/>
    <cellStyle name="Обычный 4 4 2 3 4 2 7" xfId="11085"/>
    <cellStyle name="Обычный 4 4 2 3 4 2 8" xfId="11086"/>
    <cellStyle name="Обычный 4 4 2 3 4 2 9" xfId="11087"/>
    <cellStyle name="Обычный 4 4 2 3 4 3" xfId="11088"/>
    <cellStyle name="Обычный 4 4 2 3 4 3 2" xfId="11089"/>
    <cellStyle name="Обычный 4 4 2 3 4 4" xfId="11090"/>
    <cellStyle name="Обычный 4 4 2 3 4 5" xfId="11091"/>
    <cellStyle name="Обычный 4 4 2 3 4 6" xfId="11092"/>
    <cellStyle name="Обычный 4 4 2 3 4 7" xfId="11093"/>
    <cellStyle name="Обычный 4 4 2 3 4 8" xfId="11094"/>
    <cellStyle name="Обычный 4 4 2 3 4 9" xfId="11095"/>
    <cellStyle name="Обычный 4 4 2 3 5" xfId="11096"/>
    <cellStyle name="Обычный 4 4 2 3 5 10" xfId="11097"/>
    <cellStyle name="Обычный 4 4 2 3 5 11" xfId="11098"/>
    <cellStyle name="Обычный 4 4 2 3 5 12" xfId="18955"/>
    <cellStyle name="Обычный 4 4 2 3 5 13" xfId="20650"/>
    <cellStyle name="Обычный 4 4 2 3 5 14" xfId="22262"/>
    <cellStyle name="Обычный 4 4 2 3 5 2" xfId="11099"/>
    <cellStyle name="Обычный 4 4 2 3 5 2 10" xfId="11100"/>
    <cellStyle name="Обычный 4 4 2 3 5 2 11" xfId="18956"/>
    <cellStyle name="Обычный 4 4 2 3 5 2 12" xfId="20651"/>
    <cellStyle name="Обычный 4 4 2 3 5 2 13" xfId="22263"/>
    <cellStyle name="Обычный 4 4 2 3 5 2 2" xfId="11101"/>
    <cellStyle name="Обычный 4 4 2 3 5 2 2 2" xfId="11102"/>
    <cellStyle name="Обычный 4 4 2 3 5 2 3" xfId="11103"/>
    <cellStyle name="Обычный 4 4 2 3 5 2 4" xfId="11104"/>
    <cellStyle name="Обычный 4 4 2 3 5 2 5" xfId="11105"/>
    <cellStyle name="Обычный 4 4 2 3 5 2 6" xfId="11106"/>
    <cellStyle name="Обычный 4 4 2 3 5 2 7" xfId="11107"/>
    <cellStyle name="Обычный 4 4 2 3 5 2 8" xfId="11108"/>
    <cellStyle name="Обычный 4 4 2 3 5 2 9" xfId="11109"/>
    <cellStyle name="Обычный 4 4 2 3 5 3" xfId="11110"/>
    <cellStyle name="Обычный 4 4 2 3 5 3 2" xfId="11111"/>
    <cellStyle name="Обычный 4 4 2 3 5 4" xfId="11112"/>
    <cellStyle name="Обычный 4 4 2 3 5 5" xfId="11113"/>
    <cellStyle name="Обычный 4 4 2 3 5 6" xfId="11114"/>
    <cellStyle name="Обычный 4 4 2 3 5 7" xfId="11115"/>
    <cellStyle name="Обычный 4 4 2 3 5 8" xfId="11116"/>
    <cellStyle name="Обычный 4 4 2 3 5 9" xfId="11117"/>
    <cellStyle name="Обычный 4 4 2 3 6" xfId="11118"/>
    <cellStyle name="Обычный 4 4 2 3 6 10" xfId="11119"/>
    <cellStyle name="Обычный 4 4 2 3 6 11" xfId="18957"/>
    <cellStyle name="Обычный 4 4 2 3 6 12" xfId="20652"/>
    <cellStyle name="Обычный 4 4 2 3 6 13" xfId="22264"/>
    <cellStyle name="Обычный 4 4 2 3 6 2" xfId="11120"/>
    <cellStyle name="Обычный 4 4 2 3 6 2 2" xfId="11121"/>
    <cellStyle name="Обычный 4 4 2 3 6 3" xfId="11122"/>
    <cellStyle name="Обычный 4 4 2 3 6 4" xfId="11123"/>
    <cellStyle name="Обычный 4 4 2 3 6 5" xfId="11124"/>
    <cellStyle name="Обычный 4 4 2 3 6 6" xfId="11125"/>
    <cellStyle name="Обычный 4 4 2 3 6 7" xfId="11126"/>
    <cellStyle name="Обычный 4 4 2 3 6 8" xfId="11127"/>
    <cellStyle name="Обычный 4 4 2 3 6 9" xfId="11128"/>
    <cellStyle name="Обычный 4 4 2 3 7" xfId="11129"/>
    <cellStyle name="Обычный 4 4 2 3 7 10" xfId="20653"/>
    <cellStyle name="Обычный 4 4 2 3 7 11" xfId="22265"/>
    <cellStyle name="Обычный 4 4 2 3 7 2" xfId="11130"/>
    <cellStyle name="Обычный 4 4 2 3 7 2 2" xfId="11131"/>
    <cellStyle name="Обычный 4 4 2 3 7 3" xfId="11132"/>
    <cellStyle name="Обычный 4 4 2 3 7 4" xfId="11133"/>
    <cellStyle name="Обычный 4 4 2 3 7 5" xfId="11134"/>
    <cellStyle name="Обычный 4 4 2 3 7 6" xfId="11135"/>
    <cellStyle name="Обычный 4 4 2 3 7 7" xfId="11136"/>
    <cellStyle name="Обычный 4 4 2 3 7 8" xfId="11137"/>
    <cellStyle name="Обычный 4 4 2 3 7 9" xfId="18958"/>
    <cellStyle name="Обычный 4 4 2 3 8" xfId="11138"/>
    <cellStyle name="Обычный 4 4 2 3 8 2" xfId="11139"/>
    <cellStyle name="Обычный 4 4 2 3 9" xfId="11140"/>
    <cellStyle name="Обычный 4 4 2 4" xfId="11141"/>
    <cellStyle name="Обычный 4 4 2 4 10" xfId="11142"/>
    <cellStyle name="Обычный 4 4 2 4 11" xfId="11143"/>
    <cellStyle name="Обычный 4 4 2 4 12" xfId="18959"/>
    <cellStyle name="Обычный 4 4 2 4 13" xfId="20654"/>
    <cellStyle name="Обычный 4 4 2 4 14" xfId="22266"/>
    <cellStyle name="Обычный 4 4 2 4 2" xfId="11144"/>
    <cellStyle name="Обычный 4 4 2 4 2 10" xfId="11145"/>
    <cellStyle name="Обычный 4 4 2 4 2 11" xfId="18960"/>
    <cellStyle name="Обычный 4 4 2 4 2 12" xfId="20655"/>
    <cellStyle name="Обычный 4 4 2 4 2 13" xfId="22267"/>
    <cellStyle name="Обычный 4 4 2 4 2 2" xfId="11146"/>
    <cellStyle name="Обычный 4 4 2 4 2 2 2" xfId="11147"/>
    <cellStyle name="Обычный 4 4 2 4 2 3" xfId="11148"/>
    <cellStyle name="Обычный 4 4 2 4 2 4" xfId="11149"/>
    <cellStyle name="Обычный 4 4 2 4 2 5" xfId="11150"/>
    <cellStyle name="Обычный 4 4 2 4 2 6" xfId="11151"/>
    <cellStyle name="Обычный 4 4 2 4 2 7" xfId="11152"/>
    <cellStyle name="Обычный 4 4 2 4 2 8" xfId="11153"/>
    <cellStyle name="Обычный 4 4 2 4 2 9" xfId="11154"/>
    <cellStyle name="Обычный 4 4 2 4 3" xfId="11155"/>
    <cellStyle name="Обычный 4 4 2 4 3 2" xfId="11156"/>
    <cellStyle name="Обычный 4 4 2 4 4" xfId="11157"/>
    <cellStyle name="Обычный 4 4 2 4 5" xfId="11158"/>
    <cellStyle name="Обычный 4 4 2 4 6" xfId="11159"/>
    <cellStyle name="Обычный 4 4 2 4 7" xfId="11160"/>
    <cellStyle name="Обычный 4 4 2 4 8" xfId="11161"/>
    <cellStyle name="Обычный 4 4 2 4 9" xfId="11162"/>
    <cellStyle name="Обычный 4 4 2 5" xfId="11163"/>
    <cellStyle name="Обычный 4 4 2 5 10" xfId="11164"/>
    <cellStyle name="Обычный 4 4 2 5 11" xfId="11165"/>
    <cellStyle name="Обычный 4 4 2 5 12" xfId="18961"/>
    <cellStyle name="Обычный 4 4 2 5 13" xfId="20656"/>
    <cellStyle name="Обычный 4 4 2 5 14" xfId="22268"/>
    <cellStyle name="Обычный 4 4 2 5 2" xfId="11166"/>
    <cellStyle name="Обычный 4 4 2 5 2 10" xfId="11167"/>
    <cellStyle name="Обычный 4 4 2 5 2 11" xfId="18962"/>
    <cellStyle name="Обычный 4 4 2 5 2 12" xfId="20657"/>
    <cellStyle name="Обычный 4 4 2 5 2 13" xfId="22269"/>
    <cellStyle name="Обычный 4 4 2 5 2 2" xfId="11168"/>
    <cellStyle name="Обычный 4 4 2 5 2 2 2" xfId="11169"/>
    <cellStyle name="Обычный 4 4 2 5 2 3" xfId="11170"/>
    <cellStyle name="Обычный 4 4 2 5 2 4" xfId="11171"/>
    <cellStyle name="Обычный 4 4 2 5 2 5" xfId="11172"/>
    <cellStyle name="Обычный 4 4 2 5 2 6" xfId="11173"/>
    <cellStyle name="Обычный 4 4 2 5 2 7" xfId="11174"/>
    <cellStyle name="Обычный 4 4 2 5 2 8" xfId="11175"/>
    <cellStyle name="Обычный 4 4 2 5 2 9" xfId="11176"/>
    <cellStyle name="Обычный 4 4 2 5 3" xfId="11177"/>
    <cellStyle name="Обычный 4 4 2 5 3 2" xfId="11178"/>
    <cellStyle name="Обычный 4 4 2 5 4" xfId="11179"/>
    <cellStyle name="Обычный 4 4 2 5 5" xfId="11180"/>
    <cellStyle name="Обычный 4 4 2 5 6" xfId="11181"/>
    <cellStyle name="Обычный 4 4 2 5 7" xfId="11182"/>
    <cellStyle name="Обычный 4 4 2 5 8" xfId="11183"/>
    <cellStyle name="Обычный 4 4 2 5 9" xfId="11184"/>
    <cellStyle name="Обычный 4 4 2 6" xfId="11185"/>
    <cellStyle name="Обычный 4 4 2 6 10" xfId="11186"/>
    <cellStyle name="Обычный 4 4 2 6 11" xfId="11187"/>
    <cellStyle name="Обычный 4 4 2 6 12" xfId="18963"/>
    <cellStyle name="Обычный 4 4 2 6 13" xfId="20658"/>
    <cellStyle name="Обычный 4 4 2 6 14" xfId="22270"/>
    <cellStyle name="Обычный 4 4 2 6 2" xfId="11188"/>
    <cellStyle name="Обычный 4 4 2 6 2 10" xfId="11189"/>
    <cellStyle name="Обычный 4 4 2 6 2 11" xfId="18964"/>
    <cellStyle name="Обычный 4 4 2 6 2 12" xfId="20659"/>
    <cellStyle name="Обычный 4 4 2 6 2 13" xfId="22271"/>
    <cellStyle name="Обычный 4 4 2 6 2 2" xfId="11190"/>
    <cellStyle name="Обычный 4 4 2 6 2 2 2" xfId="11191"/>
    <cellStyle name="Обычный 4 4 2 6 2 3" xfId="11192"/>
    <cellStyle name="Обычный 4 4 2 6 2 4" xfId="11193"/>
    <cellStyle name="Обычный 4 4 2 6 2 5" xfId="11194"/>
    <cellStyle name="Обычный 4 4 2 6 2 6" xfId="11195"/>
    <cellStyle name="Обычный 4 4 2 6 2 7" xfId="11196"/>
    <cellStyle name="Обычный 4 4 2 6 2 8" xfId="11197"/>
    <cellStyle name="Обычный 4 4 2 6 2 9" xfId="11198"/>
    <cellStyle name="Обычный 4 4 2 6 3" xfId="11199"/>
    <cellStyle name="Обычный 4 4 2 6 3 2" xfId="11200"/>
    <cellStyle name="Обычный 4 4 2 6 4" xfId="11201"/>
    <cellStyle name="Обычный 4 4 2 6 5" xfId="11202"/>
    <cellStyle name="Обычный 4 4 2 6 6" xfId="11203"/>
    <cellStyle name="Обычный 4 4 2 6 7" xfId="11204"/>
    <cellStyle name="Обычный 4 4 2 6 8" xfId="11205"/>
    <cellStyle name="Обычный 4 4 2 6 9" xfId="11206"/>
    <cellStyle name="Обычный 4 4 2 7" xfId="11207"/>
    <cellStyle name="Обычный 4 4 2 7 10" xfId="11208"/>
    <cellStyle name="Обычный 4 4 2 7 11" xfId="11209"/>
    <cellStyle name="Обычный 4 4 2 7 12" xfId="18965"/>
    <cellStyle name="Обычный 4 4 2 7 13" xfId="20660"/>
    <cellStyle name="Обычный 4 4 2 7 14" xfId="22272"/>
    <cellStyle name="Обычный 4 4 2 7 2" xfId="11210"/>
    <cellStyle name="Обычный 4 4 2 7 2 10" xfId="11211"/>
    <cellStyle name="Обычный 4 4 2 7 2 11" xfId="18966"/>
    <cellStyle name="Обычный 4 4 2 7 2 12" xfId="20661"/>
    <cellStyle name="Обычный 4 4 2 7 2 13" xfId="22273"/>
    <cellStyle name="Обычный 4 4 2 7 2 2" xfId="11212"/>
    <cellStyle name="Обычный 4 4 2 7 2 2 2" xfId="11213"/>
    <cellStyle name="Обычный 4 4 2 7 2 3" xfId="11214"/>
    <cellStyle name="Обычный 4 4 2 7 2 4" xfId="11215"/>
    <cellStyle name="Обычный 4 4 2 7 2 5" xfId="11216"/>
    <cellStyle name="Обычный 4 4 2 7 2 6" xfId="11217"/>
    <cellStyle name="Обычный 4 4 2 7 2 7" xfId="11218"/>
    <cellStyle name="Обычный 4 4 2 7 2 8" xfId="11219"/>
    <cellStyle name="Обычный 4 4 2 7 2 9" xfId="11220"/>
    <cellStyle name="Обычный 4 4 2 7 3" xfId="11221"/>
    <cellStyle name="Обычный 4 4 2 7 3 2" xfId="11222"/>
    <cellStyle name="Обычный 4 4 2 7 4" xfId="11223"/>
    <cellStyle name="Обычный 4 4 2 7 5" xfId="11224"/>
    <cellStyle name="Обычный 4 4 2 7 6" xfId="11225"/>
    <cellStyle name="Обычный 4 4 2 7 7" xfId="11226"/>
    <cellStyle name="Обычный 4 4 2 7 8" xfId="11227"/>
    <cellStyle name="Обычный 4 4 2 7 9" xfId="11228"/>
    <cellStyle name="Обычный 4 4 2 8" xfId="11229"/>
    <cellStyle name="Обычный 4 4 2 8 10" xfId="11230"/>
    <cellStyle name="Обычный 4 4 2 8 11" xfId="18967"/>
    <cellStyle name="Обычный 4 4 2 8 12" xfId="20662"/>
    <cellStyle name="Обычный 4 4 2 8 13" xfId="22274"/>
    <cellStyle name="Обычный 4 4 2 8 2" xfId="11231"/>
    <cellStyle name="Обычный 4 4 2 8 2 2" xfId="11232"/>
    <cellStyle name="Обычный 4 4 2 8 3" xfId="11233"/>
    <cellStyle name="Обычный 4 4 2 8 4" xfId="11234"/>
    <cellStyle name="Обычный 4 4 2 8 5" xfId="11235"/>
    <cellStyle name="Обычный 4 4 2 8 6" xfId="11236"/>
    <cellStyle name="Обычный 4 4 2 8 7" xfId="11237"/>
    <cellStyle name="Обычный 4 4 2 8 8" xfId="11238"/>
    <cellStyle name="Обычный 4 4 2 8 9" xfId="11239"/>
    <cellStyle name="Обычный 4 4 2 9" xfId="11240"/>
    <cellStyle name="Обычный 4 4 2 9 10" xfId="20663"/>
    <cellStyle name="Обычный 4 4 2 9 11" xfId="22275"/>
    <cellStyle name="Обычный 4 4 2 9 2" xfId="11241"/>
    <cellStyle name="Обычный 4 4 2 9 2 2" xfId="11242"/>
    <cellStyle name="Обычный 4 4 2 9 3" xfId="11243"/>
    <cellStyle name="Обычный 4 4 2 9 4" xfId="11244"/>
    <cellStyle name="Обычный 4 4 2 9 5" xfId="11245"/>
    <cellStyle name="Обычный 4 4 2 9 6" xfId="11246"/>
    <cellStyle name="Обычный 4 4 2 9 7" xfId="11247"/>
    <cellStyle name="Обычный 4 4 2 9 8" xfId="11248"/>
    <cellStyle name="Обычный 4 4 2 9 9" xfId="18968"/>
    <cellStyle name="Обычный 4 4 20" xfId="11249"/>
    <cellStyle name="Обычный 4 4 21" xfId="11250"/>
    <cellStyle name="Обычный 4 4 22" xfId="11251"/>
    <cellStyle name="Обычный 4 4 23" xfId="11252"/>
    <cellStyle name="Обычный 4 4 24" xfId="18930"/>
    <cellStyle name="Обычный 4 4 25" xfId="19637"/>
    <cellStyle name="Обычный 4 4 26" xfId="20625"/>
    <cellStyle name="Обычный 4 4 27" xfId="22237"/>
    <cellStyle name="Обычный 4 4 3" xfId="11253"/>
    <cellStyle name="Обычный 4 4 3 10" xfId="11254"/>
    <cellStyle name="Обычный 4 4 3 11" xfId="11255"/>
    <cellStyle name="Обычный 4 4 3 12" xfId="11256"/>
    <cellStyle name="Обычный 4 4 3 13" xfId="11257"/>
    <cellStyle name="Обычный 4 4 3 14" xfId="11258"/>
    <cellStyle name="Обычный 4 4 3 15" xfId="11259"/>
    <cellStyle name="Обычный 4 4 3 16" xfId="11260"/>
    <cellStyle name="Обычный 4 4 3 17" xfId="11261"/>
    <cellStyle name="Обычный 4 4 3 18" xfId="18969"/>
    <cellStyle name="Обычный 4 4 3 19" xfId="20664"/>
    <cellStyle name="Обычный 4 4 3 2" xfId="11262"/>
    <cellStyle name="Обычный 4 4 3 2 10" xfId="11263"/>
    <cellStyle name="Обычный 4 4 3 2 11" xfId="11264"/>
    <cellStyle name="Обычный 4 4 3 2 12" xfId="18970"/>
    <cellStyle name="Обычный 4 4 3 2 13" xfId="20665"/>
    <cellStyle name="Обычный 4 4 3 2 14" xfId="22277"/>
    <cellStyle name="Обычный 4 4 3 2 2" xfId="11265"/>
    <cellStyle name="Обычный 4 4 3 2 2 10" xfId="11266"/>
    <cellStyle name="Обычный 4 4 3 2 2 11" xfId="18971"/>
    <cellStyle name="Обычный 4 4 3 2 2 12" xfId="20666"/>
    <cellStyle name="Обычный 4 4 3 2 2 13" xfId="22278"/>
    <cellStyle name="Обычный 4 4 3 2 2 2" xfId="11267"/>
    <cellStyle name="Обычный 4 4 3 2 2 2 2" xfId="11268"/>
    <cellStyle name="Обычный 4 4 3 2 2 3" xfId="11269"/>
    <cellStyle name="Обычный 4 4 3 2 2 4" xfId="11270"/>
    <cellStyle name="Обычный 4 4 3 2 2 5" xfId="11271"/>
    <cellStyle name="Обычный 4 4 3 2 2 6" xfId="11272"/>
    <cellStyle name="Обычный 4 4 3 2 2 7" xfId="11273"/>
    <cellStyle name="Обычный 4 4 3 2 2 8" xfId="11274"/>
    <cellStyle name="Обычный 4 4 3 2 2 9" xfId="11275"/>
    <cellStyle name="Обычный 4 4 3 2 3" xfId="11276"/>
    <cellStyle name="Обычный 4 4 3 2 3 2" xfId="11277"/>
    <cellStyle name="Обычный 4 4 3 2 4" xfId="11278"/>
    <cellStyle name="Обычный 4 4 3 2 5" xfId="11279"/>
    <cellStyle name="Обычный 4 4 3 2 6" xfId="11280"/>
    <cellStyle name="Обычный 4 4 3 2 7" xfId="11281"/>
    <cellStyle name="Обычный 4 4 3 2 8" xfId="11282"/>
    <cellStyle name="Обычный 4 4 3 2 9" xfId="11283"/>
    <cellStyle name="Обычный 4 4 3 20" xfId="22276"/>
    <cellStyle name="Обычный 4 4 3 3" xfId="11284"/>
    <cellStyle name="Обычный 4 4 3 3 10" xfId="11285"/>
    <cellStyle name="Обычный 4 4 3 3 11" xfId="11286"/>
    <cellStyle name="Обычный 4 4 3 3 12" xfId="18972"/>
    <cellStyle name="Обычный 4 4 3 3 13" xfId="20667"/>
    <cellStyle name="Обычный 4 4 3 3 14" xfId="22279"/>
    <cellStyle name="Обычный 4 4 3 3 2" xfId="11287"/>
    <cellStyle name="Обычный 4 4 3 3 2 10" xfId="11288"/>
    <cellStyle name="Обычный 4 4 3 3 2 11" xfId="18973"/>
    <cellStyle name="Обычный 4 4 3 3 2 12" xfId="20668"/>
    <cellStyle name="Обычный 4 4 3 3 2 13" xfId="22280"/>
    <cellStyle name="Обычный 4 4 3 3 2 2" xfId="11289"/>
    <cellStyle name="Обычный 4 4 3 3 2 2 2" xfId="11290"/>
    <cellStyle name="Обычный 4 4 3 3 2 3" xfId="11291"/>
    <cellStyle name="Обычный 4 4 3 3 2 4" xfId="11292"/>
    <cellStyle name="Обычный 4 4 3 3 2 5" xfId="11293"/>
    <cellStyle name="Обычный 4 4 3 3 2 6" xfId="11294"/>
    <cellStyle name="Обычный 4 4 3 3 2 7" xfId="11295"/>
    <cellStyle name="Обычный 4 4 3 3 2 8" xfId="11296"/>
    <cellStyle name="Обычный 4 4 3 3 2 9" xfId="11297"/>
    <cellStyle name="Обычный 4 4 3 3 3" xfId="11298"/>
    <cellStyle name="Обычный 4 4 3 3 3 2" xfId="11299"/>
    <cellStyle name="Обычный 4 4 3 3 4" xfId="11300"/>
    <cellStyle name="Обычный 4 4 3 3 5" xfId="11301"/>
    <cellStyle name="Обычный 4 4 3 3 6" xfId="11302"/>
    <cellStyle name="Обычный 4 4 3 3 7" xfId="11303"/>
    <cellStyle name="Обычный 4 4 3 3 8" xfId="11304"/>
    <cellStyle name="Обычный 4 4 3 3 9" xfId="11305"/>
    <cellStyle name="Обычный 4 4 3 4" xfId="11306"/>
    <cellStyle name="Обычный 4 4 3 4 10" xfId="11307"/>
    <cellStyle name="Обычный 4 4 3 4 11" xfId="11308"/>
    <cellStyle name="Обычный 4 4 3 4 12" xfId="18974"/>
    <cellStyle name="Обычный 4 4 3 4 13" xfId="20669"/>
    <cellStyle name="Обычный 4 4 3 4 14" xfId="22281"/>
    <cellStyle name="Обычный 4 4 3 4 2" xfId="11309"/>
    <cellStyle name="Обычный 4 4 3 4 2 10" xfId="11310"/>
    <cellStyle name="Обычный 4 4 3 4 2 11" xfId="18975"/>
    <cellStyle name="Обычный 4 4 3 4 2 12" xfId="20670"/>
    <cellStyle name="Обычный 4 4 3 4 2 13" xfId="22282"/>
    <cellStyle name="Обычный 4 4 3 4 2 2" xfId="11311"/>
    <cellStyle name="Обычный 4 4 3 4 2 2 2" xfId="11312"/>
    <cellStyle name="Обычный 4 4 3 4 2 3" xfId="11313"/>
    <cellStyle name="Обычный 4 4 3 4 2 4" xfId="11314"/>
    <cellStyle name="Обычный 4 4 3 4 2 5" xfId="11315"/>
    <cellStyle name="Обычный 4 4 3 4 2 6" xfId="11316"/>
    <cellStyle name="Обычный 4 4 3 4 2 7" xfId="11317"/>
    <cellStyle name="Обычный 4 4 3 4 2 8" xfId="11318"/>
    <cellStyle name="Обычный 4 4 3 4 2 9" xfId="11319"/>
    <cellStyle name="Обычный 4 4 3 4 3" xfId="11320"/>
    <cellStyle name="Обычный 4 4 3 4 3 2" xfId="11321"/>
    <cellStyle name="Обычный 4 4 3 4 4" xfId="11322"/>
    <cellStyle name="Обычный 4 4 3 4 5" xfId="11323"/>
    <cellStyle name="Обычный 4 4 3 4 6" xfId="11324"/>
    <cellStyle name="Обычный 4 4 3 4 7" xfId="11325"/>
    <cellStyle name="Обычный 4 4 3 4 8" xfId="11326"/>
    <cellStyle name="Обычный 4 4 3 4 9" xfId="11327"/>
    <cellStyle name="Обычный 4 4 3 5" xfId="11328"/>
    <cellStyle name="Обычный 4 4 3 5 10" xfId="11329"/>
    <cellStyle name="Обычный 4 4 3 5 11" xfId="11330"/>
    <cellStyle name="Обычный 4 4 3 5 12" xfId="18976"/>
    <cellStyle name="Обычный 4 4 3 5 13" xfId="20671"/>
    <cellStyle name="Обычный 4 4 3 5 14" xfId="22283"/>
    <cellStyle name="Обычный 4 4 3 5 2" xfId="11331"/>
    <cellStyle name="Обычный 4 4 3 5 2 10" xfId="11332"/>
    <cellStyle name="Обычный 4 4 3 5 2 11" xfId="18977"/>
    <cellStyle name="Обычный 4 4 3 5 2 12" xfId="20672"/>
    <cellStyle name="Обычный 4 4 3 5 2 13" xfId="22284"/>
    <cellStyle name="Обычный 4 4 3 5 2 2" xfId="11333"/>
    <cellStyle name="Обычный 4 4 3 5 2 2 2" xfId="11334"/>
    <cellStyle name="Обычный 4 4 3 5 2 3" xfId="11335"/>
    <cellStyle name="Обычный 4 4 3 5 2 4" xfId="11336"/>
    <cellStyle name="Обычный 4 4 3 5 2 5" xfId="11337"/>
    <cellStyle name="Обычный 4 4 3 5 2 6" xfId="11338"/>
    <cellStyle name="Обычный 4 4 3 5 2 7" xfId="11339"/>
    <cellStyle name="Обычный 4 4 3 5 2 8" xfId="11340"/>
    <cellStyle name="Обычный 4 4 3 5 2 9" xfId="11341"/>
    <cellStyle name="Обычный 4 4 3 5 3" xfId="11342"/>
    <cellStyle name="Обычный 4 4 3 5 3 2" xfId="11343"/>
    <cellStyle name="Обычный 4 4 3 5 4" xfId="11344"/>
    <cellStyle name="Обычный 4 4 3 5 5" xfId="11345"/>
    <cellStyle name="Обычный 4 4 3 5 6" xfId="11346"/>
    <cellStyle name="Обычный 4 4 3 5 7" xfId="11347"/>
    <cellStyle name="Обычный 4 4 3 5 8" xfId="11348"/>
    <cellStyle name="Обычный 4 4 3 5 9" xfId="11349"/>
    <cellStyle name="Обычный 4 4 3 6" xfId="11350"/>
    <cellStyle name="Обычный 4 4 3 6 10" xfId="11351"/>
    <cellStyle name="Обычный 4 4 3 6 11" xfId="18978"/>
    <cellStyle name="Обычный 4 4 3 6 12" xfId="20673"/>
    <cellStyle name="Обычный 4 4 3 6 13" xfId="22285"/>
    <cellStyle name="Обычный 4 4 3 6 2" xfId="11352"/>
    <cellStyle name="Обычный 4 4 3 6 2 2" xfId="11353"/>
    <cellStyle name="Обычный 4 4 3 6 3" xfId="11354"/>
    <cellStyle name="Обычный 4 4 3 6 4" xfId="11355"/>
    <cellStyle name="Обычный 4 4 3 6 5" xfId="11356"/>
    <cellStyle name="Обычный 4 4 3 6 6" xfId="11357"/>
    <cellStyle name="Обычный 4 4 3 6 7" xfId="11358"/>
    <cellStyle name="Обычный 4 4 3 6 8" xfId="11359"/>
    <cellStyle name="Обычный 4 4 3 6 9" xfId="11360"/>
    <cellStyle name="Обычный 4 4 3 7" xfId="11361"/>
    <cellStyle name="Обычный 4 4 3 7 10" xfId="20674"/>
    <cellStyle name="Обычный 4 4 3 7 11" xfId="22286"/>
    <cellStyle name="Обычный 4 4 3 7 2" xfId="11362"/>
    <cellStyle name="Обычный 4 4 3 7 2 2" xfId="11363"/>
    <cellStyle name="Обычный 4 4 3 7 3" xfId="11364"/>
    <cellStyle name="Обычный 4 4 3 7 4" xfId="11365"/>
    <cellStyle name="Обычный 4 4 3 7 5" xfId="11366"/>
    <cellStyle name="Обычный 4 4 3 7 6" xfId="11367"/>
    <cellStyle name="Обычный 4 4 3 7 7" xfId="11368"/>
    <cellStyle name="Обычный 4 4 3 7 8" xfId="11369"/>
    <cellStyle name="Обычный 4 4 3 7 9" xfId="18979"/>
    <cellStyle name="Обычный 4 4 3 8" xfId="11370"/>
    <cellStyle name="Обычный 4 4 3 8 2" xfId="11371"/>
    <cellStyle name="Обычный 4 4 3 9" xfId="11372"/>
    <cellStyle name="Обычный 4 4 4" xfId="11373"/>
    <cellStyle name="Обычный 4 4 4 10" xfId="11374"/>
    <cellStyle name="Обычный 4 4 4 11" xfId="11375"/>
    <cellStyle name="Обычный 4 4 4 12" xfId="11376"/>
    <cellStyle name="Обычный 4 4 4 13" xfId="11377"/>
    <cellStyle name="Обычный 4 4 4 14" xfId="11378"/>
    <cellStyle name="Обычный 4 4 4 15" xfId="11379"/>
    <cellStyle name="Обычный 4 4 4 16" xfId="11380"/>
    <cellStyle name="Обычный 4 4 4 17" xfId="11381"/>
    <cellStyle name="Обычный 4 4 4 18" xfId="18980"/>
    <cellStyle name="Обычный 4 4 4 19" xfId="20675"/>
    <cellStyle name="Обычный 4 4 4 2" xfId="11382"/>
    <cellStyle name="Обычный 4 4 4 2 10" xfId="11383"/>
    <cellStyle name="Обычный 4 4 4 2 11" xfId="11384"/>
    <cellStyle name="Обычный 4 4 4 2 12" xfId="18981"/>
    <cellStyle name="Обычный 4 4 4 2 13" xfId="20676"/>
    <cellStyle name="Обычный 4 4 4 2 14" xfId="22288"/>
    <cellStyle name="Обычный 4 4 4 2 2" xfId="11385"/>
    <cellStyle name="Обычный 4 4 4 2 2 10" xfId="11386"/>
    <cellStyle name="Обычный 4 4 4 2 2 11" xfId="18982"/>
    <cellStyle name="Обычный 4 4 4 2 2 12" xfId="20677"/>
    <cellStyle name="Обычный 4 4 4 2 2 13" xfId="22289"/>
    <cellStyle name="Обычный 4 4 4 2 2 2" xfId="11387"/>
    <cellStyle name="Обычный 4 4 4 2 2 2 2" xfId="11388"/>
    <cellStyle name="Обычный 4 4 4 2 2 3" xfId="11389"/>
    <cellStyle name="Обычный 4 4 4 2 2 4" xfId="11390"/>
    <cellStyle name="Обычный 4 4 4 2 2 5" xfId="11391"/>
    <cellStyle name="Обычный 4 4 4 2 2 6" xfId="11392"/>
    <cellStyle name="Обычный 4 4 4 2 2 7" xfId="11393"/>
    <cellStyle name="Обычный 4 4 4 2 2 8" xfId="11394"/>
    <cellStyle name="Обычный 4 4 4 2 2 9" xfId="11395"/>
    <cellStyle name="Обычный 4 4 4 2 3" xfId="11396"/>
    <cellStyle name="Обычный 4 4 4 2 3 2" xfId="11397"/>
    <cellStyle name="Обычный 4 4 4 2 4" xfId="11398"/>
    <cellStyle name="Обычный 4 4 4 2 5" xfId="11399"/>
    <cellStyle name="Обычный 4 4 4 2 6" xfId="11400"/>
    <cellStyle name="Обычный 4 4 4 2 7" xfId="11401"/>
    <cellStyle name="Обычный 4 4 4 2 8" xfId="11402"/>
    <cellStyle name="Обычный 4 4 4 2 9" xfId="11403"/>
    <cellStyle name="Обычный 4 4 4 20" xfId="22287"/>
    <cellStyle name="Обычный 4 4 4 3" xfId="11404"/>
    <cellStyle name="Обычный 4 4 4 3 10" xfId="11405"/>
    <cellStyle name="Обычный 4 4 4 3 11" xfId="11406"/>
    <cellStyle name="Обычный 4 4 4 3 12" xfId="18983"/>
    <cellStyle name="Обычный 4 4 4 3 13" xfId="20678"/>
    <cellStyle name="Обычный 4 4 4 3 14" xfId="22290"/>
    <cellStyle name="Обычный 4 4 4 3 2" xfId="11407"/>
    <cellStyle name="Обычный 4 4 4 3 2 10" xfId="11408"/>
    <cellStyle name="Обычный 4 4 4 3 2 11" xfId="18984"/>
    <cellStyle name="Обычный 4 4 4 3 2 12" xfId="20679"/>
    <cellStyle name="Обычный 4 4 4 3 2 13" xfId="22291"/>
    <cellStyle name="Обычный 4 4 4 3 2 2" xfId="11409"/>
    <cellStyle name="Обычный 4 4 4 3 2 2 2" xfId="11410"/>
    <cellStyle name="Обычный 4 4 4 3 2 3" xfId="11411"/>
    <cellStyle name="Обычный 4 4 4 3 2 4" xfId="11412"/>
    <cellStyle name="Обычный 4 4 4 3 2 5" xfId="11413"/>
    <cellStyle name="Обычный 4 4 4 3 2 6" xfId="11414"/>
    <cellStyle name="Обычный 4 4 4 3 2 7" xfId="11415"/>
    <cellStyle name="Обычный 4 4 4 3 2 8" xfId="11416"/>
    <cellStyle name="Обычный 4 4 4 3 2 9" xfId="11417"/>
    <cellStyle name="Обычный 4 4 4 3 3" xfId="11418"/>
    <cellStyle name="Обычный 4 4 4 3 3 2" xfId="11419"/>
    <cellStyle name="Обычный 4 4 4 3 4" xfId="11420"/>
    <cellStyle name="Обычный 4 4 4 3 5" xfId="11421"/>
    <cellStyle name="Обычный 4 4 4 3 6" xfId="11422"/>
    <cellStyle name="Обычный 4 4 4 3 7" xfId="11423"/>
    <cellStyle name="Обычный 4 4 4 3 8" xfId="11424"/>
    <cellStyle name="Обычный 4 4 4 3 9" xfId="11425"/>
    <cellStyle name="Обычный 4 4 4 4" xfId="11426"/>
    <cellStyle name="Обычный 4 4 4 4 10" xfId="11427"/>
    <cellStyle name="Обычный 4 4 4 4 11" xfId="11428"/>
    <cellStyle name="Обычный 4 4 4 4 12" xfId="18985"/>
    <cellStyle name="Обычный 4 4 4 4 13" xfId="20680"/>
    <cellStyle name="Обычный 4 4 4 4 14" xfId="22292"/>
    <cellStyle name="Обычный 4 4 4 4 2" xfId="11429"/>
    <cellStyle name="Обычный 4 4 4 4 2 10" xfId="11430"/>
    <cellStyle name="Обычный 4 4 4 4 2 11" xfId="18986"/>
    <cellStyle name="Обычный 4 4 4 4 2 12" xfId="20681"/>
    <cellStyle name="Обычный 4 4 4 4 2 13" xfId="22293"/>
    <cellStyle name="Обычный 4 4 4 4 2 2" xfId="11431"/>
    <cellStyle name="Обычный 4 4 4 4 2 2 2" xfId="11432"/>
    <cellStyle name="Обычный 4 4 4 4 2 3" xfId="11433"/>
    <cellStyle name="Обычный 4 4 4 4 2 4" xfId="11434"/>
    <cellStyle name="Обычный 4 4 4 4 2 5" xfId="11435"/>
    <cellStyle name="Обычный 4 4 4 4 2 6" xfId="11436"/>
    <cellStyle name="Обычный 4 4 4 4 2 7" xfId="11437"/>
    <cellStyle name="Обычный 4 4 4 4 2 8" xfId="11438"/>
    <cellStyle name="Обычный 4 4 4 4 2 9" xfId="11439"/>
    <cellStyle name="Обычный 4 4 4 4 3" xfId="11440"/>
    <cellStyle name="Обычный 4 4 4 4 3 2" xfId="11441"/>
    <cellStyle name="Обычный 4 4 4 4 4" xfId="11442"/>
    <cellStyle name="Обычный 4 4 4 4 5" xfId="11443"/>
    <cellStyle name="Обычный 4 4 4 4 6" xfId="11444"/>
    <cellStyle name="Обычный 4 4 4 4 7" xfId="11445"/>
    <cellStyle name="Обычный 4 4 4 4 8" xfId="11446"/>
    <cellStyle name="Обычный 4 4 4 4 9" xfId="11447"/>
    <cellStyle name="Обычный 4 4 4 5" xfId="11448"/>
    <cellStyle name="Обычный 4 4 4 5 10" xfId="11449"/>
    <cellStyle name="Обычный 4 4 4 5 11" xfId="11450"/>
    <cellStyle name="Обычный 4 4 4 5 12" xfId="18987"/>
    <cellStyle name="Обычный 4 4 4 5 13" xfId="20682"/>
    <cellStyle name="Обычный 4 4 4 5 14" xfId="22294"/>
    <cellStyle name="Обычный 4 4 4 5 2" xfId="11451"/>
    <cellStyle name="Обычный 4 4 4 5 2 10" xfId="11452"/>
    <cellStyle name="Обычный 4 4 4 5 2 11" xfId="18988"/>
    <cellStyle name="Обычный 4 4 4 5 2 12" xfId="20683"/>
    <cellStyle name="Обычный 4 4 4 5 2 13" xfId="22295"/>
    <cellStyle name="Обычный 4 4 4 5 2 2" xfId="11453"/>
    <cellStyle name="Обычный 4 4 4 5 2 2 2" xfId="11454"/>
    <cellStyle name="Обычный 4 4 4 5 2 3" xfId="11455"/>
    <cellStyle name="Обычный 4 4 4 5 2 4" xfId="11456"/>
    <cellStyle name="Обычный 4 4 4 5 2 5" xfId="11457"/>
    <cellStyle name="Обычный 4 4 4 5 2 6" xfId="11458"/>
    <cellStyle name="Обычный 4 4 4 5 2 7" xfId="11459"/>
    <cellStyle name="Обычный 4 4 4 5 2 8" xfId="11460"/>
    <cellStyle name="Обычный 4 4 4 5 2 9" xfId="11461"/>
    <cellStyle name="Обычный 4 4 4 5 3" xfId="11462"/>
    <cellStyle name="Обычный 4 4 4 5 3 2" xfId="11463"/>
    <cellStyle name="Обычный 4 4 4 5 4" xfId="11464"/>
    <cellStyle name="Обычный 4 4 4 5 5" xfId="11465"/>
    <cellStyle name="Обычный 4 4 4 5 6" xfId="11466"/>
    <cellStyle name="Обычный 4 4 4 5 7" xfId="11467"/>
    <cellStyle name="Обычный 4 4 4 5 8" xfId="11468"/>
    <cellStyle name="Обычный 4 4 4 5 9" xfId="11469"/>
    <cellStyle name="Обычный 4 4 4 6" xfId="11470"/>
    <cellStyle name="Обычный 4 4 4 6 10" xfId="11471"/>
    <cellStyle name="Обычный 4 4 4 6 11" xfId="18989"/>
    <cellStyle name="Обычный 4 4 4 6 12" xfId="20684"/>
    <cellStyle name="Обычный 4 4 4 6 13" xfId="22296"/>
    <cellStyle name="Обычный 4 4 4 6 2" xfId="11472"/>
    <cellStyle name="Обычный 4 4 4 6 2 2" xfId="11473"/>
    <cellStyle name="Обычный 4 4 4 6 3" xfId="11474"/>
    <cellStyle name="Обычный 4 4 4 6 4" xfId="11475"/>
    <cellStyle name="Обычный 4 4 4 6 5" xfId="11476"/>
    <cellStyle name="Обычный 4 4 4 6 6" xfId="11477"/>
    <cellStyle name="Обычный 4 4 4 6 7" xfId="11478"/>
    <cellStyle name="Обычный 4 4 4 6 8" xfId="11479"/>
    <cellStyle name="Обычный 4 4 4 6 9" xfId="11480"/>
    <cellStyle name="Обычный 4 4 4 7" xfId="11481"/>
    <cellStyle name="Обычный 4 4 4 7 10" xfId="20685"/>
    <cellStyle name="Обычный 4 4 4 7 11" xfId="22297"/>
    <cellStyle name="Обычный 4 4 4 7 2" xfId="11482"/>
    <cellStyle name="Обычный 4 4 4 7 2 2" xfId="11483"/>
    <cellStyle name="Обычный 4 4 4 7 3" xfId="11484"/>
    <cellStyle name="Обычный 4 4 4 7 4" xfId="11485"/>
    <cellStyle name="Обычный 4 4 4 7 5" xfId="11486"/>
    <cellStyle name="Обычный 4 4 4 7 6" xfId="11487"/>
    <cellStyle name="Обычный 4 4 4 7 7" xfId="11488"/>
    <cellStyle name="Обычный 4 4 4 7 8" xfId="11489"/>
    <cellStyle name="Обычный 4 4 4 7 9" xfId="18990"/>
    <cellStyle name="Обычный 4 4 4 8" xfId="11490"/>
    <cellStyle name="Обычный 4 4 4 8 2" xfId="11491"/>
    <cellStyle name="Обычный 4 4 4 9" xfId="11492"/>
    <cellStyle name="Обычный 4 4 5" xfId="11493"/>
    <cellStyle name="Обычный 4 4 5 10" xfId="11494"/>
    <cellStyle name="Обычный 4 4 5 11" xfId="11495"/>
    <cellStyle name="Обычный 4 4 5 12" xfId="18991"/>
    <cellStyle name="Обычный 4 4 5 13" xfId="20686"/>
    <cellStyle name="Обычный 4 4 5 14" xfId="22298"/>
    <cellStyle name="Обычный 4 4 5 2" xfId="11496"/>
    <cellStyle name="Обычный 4 4 5 2 10" xfId="11497"/>
    <cellStyle name="Обычный 4 4 5 2 11" xfId="18992"/>
    <cellStyle name="Обычный 4 4 5 2 12" xfId="20687"/>
    <cellStyle name="Обычный 4 4 5 2 13" xfId="22299"/>
    <cellStyle name="Обычный 4 4 5 2 2" xfId="11498"/>
    <cellStyle name="Обычный 4 4 5 2 2 2" xfId="11499"/>
    <cellStyle name="Обычный 4 4 5 2 3" xfId="11500"/>
    <cellStyle name="Обычный 4 4 5 2 4" xfId="11501"/>
    <cellStyle name="Обычный 4 4 5 2 5" xfId="11502"/>
    <cellStyle name="Обычный 4 4 5 2 6" xfId="11503"/>
    <cellStyle name="Обычный 4 4 5 2 7" xfId="11504"/>
    <cellStyle name="Обычный 4 4 5 2 8" xfId="11505"/>
    <cellStyle name="Обычный 4 4 5 2 9" xfId="11506"/>
    <cellStyle name="Обычный 4 4 5 3" xfId="11507"/>
    <cellStyle name="Обычный 4 4 5 3 2" xfId="11508"/>
    <cellStyle name="Обычный 4 4 5 4" xfId="11509"/>
    <cellStyle name="Обычный 4 4 5 5" xfId="11510"/>
    <cellStyle name="Обычный 4 4 5 6" xfId="11511"/>
    <cellStyle name="Обычный 4 4 5 7" xfId="11512"/>
    <cellStyle name="Обычный 4 4 5 8" xfId="11513"/>
    <cellStyle name="Обычный 4 4 5 9" xfId="11514"/>
    <cellStyle name="Обычный 4 4 6" xfId="11515"/>
    <cellStyle name="Обычный 4 4 6 10" xfId="11516"/>
    <cellStyle name="Обычный 4 4 6 11" xfId="11517"/>
    <cellStyle name="Обычный 4 4 6 12" xfId="18993"/>
    <cellStyle name="Обычный 4 4 6 13" xfId="20688"/>
    <cellStyle name="Обычный 4 4 6 14" xfId="22300"/>
    <cellStyle name="Обычный 4 4 6 2" xfId="11518"/>
    <cellStyle name="Обычный 4 4 6 2 10" xfId="11519"/>
    <cellStyle name="Обычный 4 4 6 2 11" xfId="18994"/>
    <cellStyle name="Обычный 4 4 6 2 12" xfId="20689"/>
    <cellStyle name="Обычный 4 4 6 2 13" xfId="22301"/>
    <cellStyle name="Обычный 4 4 6 2 2" xfId="11520"/>
    <cellStyle name="Обычный 4 4 6 2 2 2" xfId="11521"/>
    <cellStyle name="Обычный 4 4 6 2 3" xfId="11522"/>
    <cellStyle name="Обычный 4 4 6 2 4" xfId="11523"/>
    <cellStyle name="Обычный 4 4 6 2 5" xfId="11524"/>
    <cellStyle name="Обычный 4 4 6 2 6" xfId="11525"/>
    <cellStyle name="Обычный 4 4 6 2 7" xfId="11526"/>
    <cellStyle name="Обычный 4 4 6 2 8" xfId="11527"/>
    <cellStyle name="Обычный 4 4 6 2 9" xfId="11528"/>
    <cellStyle name="Обычный 4 4 6 3" xfId="11529"/>
    <cellStyle name="Обычный 4 4 6 3 2" xfId="11530"/>
    <cellStyle name="Обычный 4 4 6 4" xfId="11531"/>
    <cellStyle name="Обычный 4 4 6 5" xfId="11532"/>
    <cellStyle name="Обычный 4 4 6 6" xfId="11533"/>
    <cellStyle name="Обычный 4 4 6 7" xfId="11534"/>
    <cellStyle name="Обычный 4 4 6 8" xfId="11535"/>
    <cellStyle name="Обычный 4 4 6 9" xfId="11536"/>
    <cellStyle name="Обычный 4 4 7" xfId="11537"/>
    <cellStyle name="Обычный 4 4 7 10" xfId="11538"/>
    <cellStyle name="Обычный 4 4 7 11" xfId="11539"/>
    <cellStyle name="Обычный 4 4 7 12" xfId="18995"/>
    <cellStyle name="Обычный 4 4 7 13" xfId="20690"/>
    <cellStyle name="Обычный 4 4 7 14" xfId="22302"/>
    <cellStyle name="Обычный 4 4 7 2" xfId="11540"/>
    <cellStyle name="Обычный 4 4 7 2 10" xfId="11541"/>
    <cellStyle name="Обычный 4 4 7 2 11" xfId="18996"/>
    <cellStyle name="Обычный 4 4 7 2 12" xfId="20691"/>
    <cellStyle name="Обычный 4 4 7 2 13" xfId="22303"/>
    <cellStyle name="Обычный 4 4 7 2 2" xfId="11542"/>
    <cellStyle name="Обычный 4 4 7 2 2 2" xfId="11543"/>
    <cellStyle name="Обычный 4 4 7 2 3" xfId="11544"/>
    <cellStyle name="Обычный 4 4 7 2 4" xfId="11545"/>
    <cellStyle name="Обычный 4 4 7 2 5" xfId="11546"/>
    <cellStyle name="Обычный 4 4 7 2 6" xfId="11547"/>
    <cellStyle name="Обычный 4 4 7 2 7" xfId="11548"/>
    <cellStyle name="Обычный 4 4 7 2 8" xfId="11549"/>
    <cellStyle name="Обычный 4 4 7 2 9" xfId="11550"/>
    <cellStyle name="Обычный 4 4 7 3" xfId="11551"/>
    <cellStyle name="Обычный 4 4 7 3 2" xfId="11552"/>
    <cellStyle name="Обычный 4 4 7 4" xfId="11553"/>
    <cellStyle name="Обычный 4 4 7 5" xfId="11554"/>
    <cellStyle name="Обычный 4 4 7 6" xfId="11555"/>
    <cellStyle name="Обычный 4 4 7 7" xfId="11556"/>
    <cellStyle name="Обычный 4 4 7 8" xfId="11557"/>
    <cellStyle name="Обычный 4 4 7 9" xfId="11558"/>
    <cellStyle name="Обычный 4 4 8" xfId="11559"/>
    <cellStyle name="Обычный 4 4 8 10" xfId="11560"/>
    <cellStyle name="Обычный 4 4 8 11" xfId="11561"/>
    <cellStyle name="Обычный 4 4 8 12" xfId="18997"/>
    <cellStyle name="Обычный 4 4 8 13" xfId="20692"/>
    <cellStyle name="Обычный 4 4 8 14" xfId="22304"/>
    <cellStyle name="Обычный 4 4 8 2" xfId="11562"/>
    <cellStyle name="Обычный 4 4 8 2 10" xfId="11563"/>
    <cellStyle name="Обычный 4 4 8 2 11" xfId="18998"/>
    <cellStyle name="Обычный 4 4 8 2 12" xfId="20693"/>
    <cellStyle name="Обычный 4 4 8 2 13" xfId="22305"/>
    <cellStyle name="Обычный 4 4 8 2 2" xfId="11564"/>
    <cellStyle name="Обычный 4 4 8 2 2 2" xfId="11565"/>
    <cellStyle name="Обычный 4 4 8 2 3" xfId="11566"/>
    <cellStyle name="Обычный 4 4 8 2 4" xfId="11567"/>
    <cellStyle name="Обычный 4 4 8 2 5" xfId="11568"/>
    <cellStyle name="Обычный 4 4 8 2 6" xfId="11569"/>
    <cellStyle name="Обычный 4 4 8 2 7" xfId="11570"/>
    <cellStyle name="Обычный 4 4 8 2 8" xfId="11571"/>
    <cellStyle name="Обычный 4 4 8 2 9" xfId="11572"/>
    <cellStyle name="Обычный 4 4 8 3" xfId="11573"/>
    <cellStyle name="Обычный 4 4 8 3 2" xfId="11574"/>
    <cellStyle name="Обычный 4 4 8 4" xfId="11575"/>
    <cellStyle name="Обычный 4 4 8 5" xfId="11576"/>
    <cellStyle name="Обычный 4 4 8 6" xfId="11577"/>
    <cellStyle name="Обычный 4 4 8 7" xfId="11578"/>
    <cellStyle name="Обычный 4 4 8 8" xfId="11579"/>
    <cellStyle name="Обычный 4 4 8 9" xfId="11580"/>
    <cellStyle name="Обычный 4 4 9" xfId="11581"/>
    <cellStyle name="Обычный 4 4 9 10" xfId="11582"/>
    <cellStyle name="Обычный 4 4 9 11" xfId="11583"/>
    <cellStyle name="Обычный 4 4 9 12" xfId="18999"/>
    <cellStyle name="Обычный 4 4 9 13" xfId="20694"/>
    <cellStyle name="Обычный 4 4 9 14" xfId="22306"/>
    <cellStyle name="Обычный 4 4 9 2" xfId="11584"/>
    <cellStyle name="Обычный 4 4 9 2 10" xfId="11585"/>
    <cellStyle name="Обычный 4 4 9 2 11" xfId="19000"/>
    <cellStyle name="Обычный 4 4 9 2 12" xfId="20695"/>
    <cellStyle name="Обычный 4 4 9 2 13" xfId="22307"/>
    <cellStyle name="Обычный 4 4 9 2 2" xfId="11586"/>
    <cellStyle name="Обычный 4 4 9 2 2 2" xfId="11587"/>
    <cellStyle name="Обычный 4 4 9 2 3" xfId="11588"/>
    <cellStyle name="Обычный 4 4 9 2 4" xfId="11589"/>
    <cellStyle name="Обычный 4 4 9 2 5" xfId="11590"/>
    <cellStyle name="Обычный 4 4 9 2 6" xfId="11591"/>
    <cellStyle name="Обычный 4 4 9 2 7" xfId="11592"/>
    <cellStyle name="Обычный 4 4 9 2 8" xfId="11593"/>
    <cellStyle name="Обычный 4 4 9 2 9" xfId="11594"/>
    <cellStyle name="Обычный 4 4 9 3" xfId="11595"/>
    <cellStyle name="Обычный 4 4 9 3 2" xfId="11596"/>
    <cellStyle name="Обычный 4 4 9 4" xfId="11597"/>
    <cellStyle name="Обычный 4 4 9 5" xfId="11598"/>
    <cellStyle name="Обычный 4 4 9 6" xfId="11599"/>
    <cellStyle name="Обычный 4 4 9 7" xfId="11600"/>
    <cellStyle name="Обычный 4 4 9 8" xfId="11601"/>
    <cellStyle name="Обычный 4 4 9 9" xfId="11602"/>
    <cellStyle name="Обычный 4 5" xfId="11603"/>
    <cellStyle name="Обычный 4 5 10" xfId="11604"/>
    <cellStyle name="Обычный 4 5 10 2" xfId="11605"/>
    <cellStyle name="Обычный 4 5 11" xfId="11606"/>
    <cellStyle name="Обычный 4 5 12" xfId="11607"/>
    <cellStyle name="Обычный 4 5 13" xfId="11608"/>
    <cellStyle name="Обычный 4 5 14" xfId="11609"/>
    <cellStyle name="Обычный 4 5 15" xfId="11610"/>
    <cellStyle name="Обычный 4 5 16" xfId="11611"/>
    <cellStyle name="Обычный 4 5 17" xfId="11612"/>
    <cellStyle name="Обычный 4 5 18" xfId="11613"/>
    <cellStyle name="Обычный 4 5 19" xfId="11614"/>
    <cellStyle name="Обычный 4 5 2" xfId="11615"/>
    <cellStyle name="Обычный 4 5 2 10" xfId="11616"/>
    <cellStyle name="Обычный 4 5 2 11" xfId="11617"/>
    <cellStyle name="Обычный 4 5 2 12" xfId="11618"/>
    <cellStyle name="Обычный 4 5 2 13" xfId="11619"/>
    <cellStyle name="Обычный 4 5 2 14" xfId="11620"/>
    <cellStyle name="Обычный 4 5 2 15" xfId="11621"/>
    <cellStyle name="Обычный 4 5 2 16" xfId="11622"/>
    <cellStyle name="Обычный 4 5 2 17" xfId="11623"/>
    <cellStyle name="Обычный 4 5 2 18" xfId="19002"/>
    <cellStyle name="Обычный 4 5 2 19" xfId="20697"/>
    <cellStyle name="Обычный 4 5 2 2" xfId="11624"/>
    <cellStyle name="Обычный 4 5 2 2 10" xfId="11625"/>
    <cellStyle name="Обычный 4 5 2 2 11" xfId="11626"/>
    <cellStyle name="Обычный 4 5 2 2 12" xfId="19003"/>
    <cellStyle name="Обычный 4 5 2 2 13" xfId="20698"/>
    <cellStyle name="Обычный 4 5 2 2 14" xfId="22310"/>
    <cellStyle name="Обычный 4 5 2 2 2" xfId="11627"/>
    <cellStyle name="Обычный 4 5 2 2 2 10" xfId="11628"/>
    <cellStyle name="Обычный 4 5 2 2 2 11" xfId="19004"/>
    <cellStyle name="Обычный 4 5 2 2 2 12" xfId="20699"/>
    <cellStyle name="Обычный 4 5 2 2 2 13" xfId="22311"/>
    <cellStyle name="Обычный 4 5 2 2 2 2" xfId="11629"/>
    <cellStyle name="Обычный 4 5 2 2 2 2 2" xfId="11630"/>
    <cellStyle name="Обычный 4 5 2 2 2 3" xfId="11631"/>
    <cellStyle name="Обычный 4 5 2 2 2 4" xfId="11632"/>
    <cellStyle name="Обычный 4 5 2 2 2 5" xfId="11633"/>
    <cellStyle name="Обычный 4 5 2 2 2 6" xfId="11634"/>
    <cellStyle name="Обычный 4 5 2 2 2 7" xfId="11635"/>
    <cellStyle name="Обычный 4 5 2 2 2 8" xfId="11636"/>
    <cellStyle name="Обычный 4 5 2 2 2 9" xfId="11637"/>
    <cellStyle name="Обычный 4 5 2 2 3" xfId="11638"/>
    <cellStyle name="Обычный 4 5 2 2 3 2" xfId="11639"/>
    <cellStyle name="Обычный 4 5 2 2 4" xfId="11640"/>
    <cellStyle name="Обычный 4 5 2 2 5" xfId="11641"/>
    <cellStyle name="Обычный 4 5 2 2 6" xfId="11642"/>
    <cellStyle name="Обычный 4 5 2 2 7" xfId="11643"/>
    <cellStyle name="Обычный 4 5 2 2 8" xfId="11644"/>
    <cellStyle name="Обычный 4 5 2 2 9" xfId="11645"/>
    <cellStyle name="Обычный 4 5 2 20" xfId="22309"/>
    <cellStyle name="Обычный 4 5 2 3" xfId="11646"/>
    <cellStyle name="Обычный 4 5 2 3 10" xfId="11647"/>
    <cellStyle name="Обычный 4 5 2 3 11" xfId="11648"/>
    <cellStyle name="Обычный 4 5 2 3 12" xfId="19005"/>
    <cellStyle name="Обычный 4 5 2 3 13" xfId="20700"/>
    <cellStyle name="Обычный 4 5 2 3 14" xfId="22312"/>
    <cellStyle name="Обычный 4 5 2 3 2" xfId="11649"/>
    <cellStyle name="Обычный 4 5 2 3 2 10" xfId="11650"/>
    <cellStyle name="Обычный 4 5 2 3 2 11" xfId="19006"/>
    <cellStyle name="Обычный 4 5 2 3 2 12" xfId="20701"/>
    <cellStyle name="Обычный 4 5 2 3 2 13" xfId="22313"/>
    <cellStyle name="Обычный 4 5 2 3 2 2" xfId="11651"/>
    <cellStyle name="Обычный 4 5 2 3 2 2 2" xfId="11652"/>
    <cellStyle name="Обычный 4 5 2 3 2 3" xfId="11653"/>
    <cellStyle name="Обычный 4 5 2 3 2 4" xfId="11654"/>
    <cellStyle name="Обычный 4 5 2 3 2 5" xfId="11655"/>
    <cellStyle name="Обычный 4 5 2 3 2 6" xfId="11656"/>
    <cellStyle name="Обычный 4 5 2 3 2 7" xfId="11657"/>
    <cellStyle name="Обычный 4 5 2 3 2 8" xfId="11658"/>
    <cellStyle name="Обычный 4 5 2 3 2 9" xfId="11659"/>
    <cellStyle name="Обычный 4 5 2 3 3" xfId="11660"/>
    <cellStyle name="Обычный 4 5 2 3 3 2" xfId="11661"/>
    <cellStyle name="Обычный 4 5 2 3 4" xfId="11662"/>
    <cellStyle name="Обычный 4 5 2 3 5" xfId="11663"/>
    <cellStyle name="Обычный 4 5 2 3 6" xfId="11664"/>
    <cellStyle name="Обычный 4 5 2 3 7" xfId="11665"/>
    <cellStyle name="Обычный 4 5 2 3 8" xfId="11666"/>
    <cellStyle name="Обычный 4 5 2 3 9" xfId="11667"/>
    <cellStyle name="Обычный 4 5 2 4" xfId="11668"/>
    <cellStyle name="Обычный 4 5 2 4 10" xfId="11669"/>
    <cellStyle name="Обычный 4 5 2 4 11" xfId="11670"/>
    <cellStyle name="Обычный 4 5 2 4 12" xfId="19007"/>
    <cellStyle name="Обычный 4 5 2 4 13" xfId="20702"/>
    <cellStyle name="Обычный 4 5 2 4 14" xfId="22314"/>
    <cellStyle name="Обычный 4 5 2 4 2" xfId="11671"/>
    <cellStyle name="Обычный 4 5 2 4 2 10" xfId="11672"/>
    <cellStyle name="Обычный 4 5 2 4 2 11" xfId="19008"/>
    <cellStyle name="Обычный 4 5 2 4 2 12" xfId="20703"/>
    <cellStyle name="Обычный 4 5 2 4 2 13" xfId="22315"/>
    <cellStyle name="Обычный 4 5 2 4 2 2" xfId="11673"/>
    <cellStyle name="Обычный 4 5 2 4 2 2 2" xfId="11674"/>
    <cellStyle name="Обычный 4 5 2 4 2 3" xfId="11675"/>
    <cellStyle name="Обычный 4 5 2 4 2 4" xfId="11676"/>
    <cellStyle name="Обычный 4 5 2 4 2 5" xfId="11677"/>
    <cellStyle name="Обычный 4 5 2 4 2 6" xfId="11678"/>
    <cellStyle name="Обычный 4 5 2 4 2 7" xfId="11679"/>
    <cellStyle name="Обычный 4 5 2 4 2 8" xfId="11680"/>
    <cellStyle name="Обычный 4 5 2 4 2 9" xfId="11681"/>
    <cellStyle name="Обычный 4 5 2 4 3" xfId="11682"/>
    <cellStyle name="Обычный 4 5 2 4 3 2" xfId="11683"/>
    <cellStyle name="Обычный 4 5 2 4 4" xfId="11684"/>
    <cellStyle name="Обычный 4 5 2 4 5" xfId="11685"/>
    <cellStyle name="Обычный 4 5 2 4 6" xfId="11686"/>
    <cellStyle name="Обычный 4 5 2 4 7" xfId="11687"/>
    <cellStyle name="Обычный 4 5 2 4 8" xfId="11688"/>
    <cellStyle name="Обычный 4 5 2 4 9" xfId="11689"/>
    <cellStyle name="Обычный 4 5 2 5" xfId="11690"/>
    <cellStyle name="Обычный 4 5 2 5 10" xfId="11691"/>
    <cellStyle name="Обычный 4 5 2 5 11" xfId="11692"/>
    <cellStyle name="Обычный 4 5 2 5 12" xfId="19009"/>
    <cellStyle name="Обычный 4 5 2 5 13" xfId="20704"/>
    <cellStyle name="Обычный 4 5 2 5 14" xfId="22316"/>
    <cellStyle name="Обычный 4 5 2 5 2" xfId="11693"/>
    <cellStyle name="Обычный 4 5 2 5 2 10" xfId="11694"/>
    <cellStyle name="Обычный 4 5 2 5 2 11" xfId="19010"/>
    <cellStyle name="Обычный 4 5 2 5 2 12" xfId="20705"/>
    <cellStyle name="Обычный 4 5 2 5 2 13" xfId="22317"/>
    <cellStyle name="Обычный 4 5 2 5 2 2" xfId="11695"/>
    <cellStyle name="Обычный 4 5 2 5 2 2 2" xfId="11696"/>
    <cellStyle name="Обычный 4 5 2 5 2 3" xfId="11697"/>
    <cellStyle name="Обычный 4 5 2 5 2 4" xfId="11698"/>
    <cellStyle name="Обычный 4 5 2 5 2 5" xfId="11699"/>
    <cellStyle name="Обычный 4 5 2 5 2 6" xfId="11700"/>
    <cellStyle name="Обычный 4 5 2 5 2 7" xfId="11701"/>
    <cellStyle name="Обычный 4 5 2 5 2 8" xfId="11702"/>
    <cellStyle name="Обычный 4 5 2 5 2 9" xfId="11703"/>
    <cellStyle name="Обычный 4 5 2 5 3" xfId="11704"/>
    <cellStyle name="Обычный 4 5 2 5 3 2" xfId="11705"/>
    <cellStyle name="Обычный 4 5 2 5 4" xfId="11706"/>
    <cellStyle name="Обычный 4 5 2 5 5" xfId="11707"/>
    <cellStyle name="Обычный 4 5 2 5 6" xfId="11708"/>
    <cellStyle name="Обычный 4 5 2 5 7" xfId="11709"/>
    <cellStyle name="Обычный 4 5 2 5 8" xfId="11710"/>
    <cellStyle name="Обычный 4 5 2 5 9" xfId="11711"/>
    <cellStyle name="Обычный 4 5 2 6" xfId="11712"/>
    <cellStyle name="Обычный 4 5 2 6 10" xfId="11713"/>
    <cellStyle name="Обычный 4 5 2 6 11" xfId="19011"/>
    <cellStyle name="Обычный 4 5 2 6 12" xfId="20706"/>
    <cellStyle name="Обычный 4 5 2 6 13" xfId="22318"/>
    <cellStyle name="Обычный 4 5 2 6 2" xfId="11714"/>
    <cellStyle name="Обычный 4 5 2 6 2 2" xfId="11715"/>
    <cellStyle name="Обычный 4 5 2 6 3" xfId="11716"/>
    <cellStyle name="Обычный 4 5 2 6 4" xfId="11717"/>
    <cellStyle name="Обычный 4 5 2 6 5" xfId="11718"/>
    <cellStyle name="Обычный 4 5 2 6 6" xfId="11719"/>
    <cellStyle name="Обычный 4 5 2 6 7" xfId="11720"/>
    <cellStyle name="Обычный 4 5 2 6 8" xfId="11721"/>
    <cellStyle name="Обычный 4 5 2 6 9" xfId="11722"/>
    <cellStyle name="Обычный 4 5 2 7" xfId="11723"/>
    <cellStyle name="Обычный 4 5 2 7 10" xfId="20707"/>
    <cellStyle name="Обычный 4 5 2 7 11" xfId="22319"/>
    <cellStyle name="Обычный 4 5 2 7 2" xfId="11724"/>
    <cellStyle name="Обычный 4 5 2 7 2 2" xfId="11725"/>
    <cellStyle name="Обычный 4 5 2 7 3" xfId="11726"/>
    <cellStyle name="Обычный 4 5 2 7 4" xfId="11727"/>
    <cellStyle name="Обычный 4 5 2 7 5" xfId="11728"/>
    <cellStyle name="Обычный 4 5 2 7 6" xfId="11729"/>
    <cellStyle name="Обычный 4 5 2 7 7" xfId="11730"/>
    <cellStyle name="Обычный 4 5 2 7 8" xfId="11731"/>
    <cellStyle name="Обычный 4 5 2 7 9" xfId="19012"/>
    <cellStyle name="Обычный 4 5 2 8" xfId="11732"/>
    <cellStyle name="Обычный 4 5 2 8 2" xfId="11733"/>
    <cellStyle name="Обычный 4 5 2 9" xfId="11734"/>
    <cellStyle name="Обычный 4 5 20" xfId="19001"/>
    <cellStyle name="Обычный 4 5 21" xfId="20696"/>
    <cellStyle name="Обычный 4 5 22" xfId="22308"/>
    <cellStyle name="Обычный 4 5 3" xfId="11735"/>
    <cellStyle name="Обычный 4 5 3 10" xfId="11736"/>
    <cellStyle name="Обычный 4 5 3 11" xfId="11737"/>
    <cellStyle name="Обычный 4 5 3 12" xfId="11738"/>
    <cellStyle name="Обычный 4 5 3 13" xfId="11739"/>
    <cellStyle name="Обычный 4 5 3 14" xfId="11740"/>
    <cellStyle name="Обычный 4 5 3 15" xfId="11741"/>
    <cellStyle name="Обычный 4 5 3 16" xfId="11742"/>
    <cellStyle name="Обычный 4 5 3 17" xfId="11743"/>
    <cellStyle name="Обычный 4 5 3 18" xfId="19013"/>
    <cellStyle name="Обычный 4 5 3 19" xfId="20708"/>
    <cellStyle name="Обычный 4 5 3 2" xfId="11744"/>
    <cellStyle name="Обычный 4 5 3 2 10" xfId="11745"/>
    <cellStyle name="Обычный 4 5 3 2 11" xfId="11746"/>
    <cellStyle name="Обычный 4 5 3 2 12" xfId="19014"/>
    <cellStyle name="Обычный 4 5 3 2 13" xfId="20709"/>
    <cellStyle name="Обычный 4 5 3 2 14" xfId="22321"/>
    <cellStyle name="Обычный 4 5 3 2 2" xfId="11747"/>
    <cellStyle name="Обычный 4 5 3 2 2 10" xfId="11748"/>
    <cellStyle name="Обычный 4 5 3 2 2 11" xfId="19015"/>
    <cellStyle name="Обычный 4 5 3 2 2 12" xfId="20710"/>
    <cellStyle name="Обычный 4 5 3 2 2 13" xfId="22322"/>
    <cellStyle name="Обычный 4 5 3 2 2 2" xfId="11749"/>
    <cellStyle name="Обычный 4 5 3 2 2 2 2" xfId="11750"/>
    <cellStyle name="Обычный 4 5 3 2 2 3" xfId="11751"/>
    <cellStyle name="Обычный 4 5 3 2 2 4" xfId="11752"/>
    <cellStyle name="Обычный 4 5 3 2 2 5" xfId="11753"/>
    <cellStyle name="Обычный 4 5 3 2 2 6" xfId="11754"/>
    <cellStyle name="Обычный 4 5 3 2 2 7" xfId="11755"/>
    <cellStyle name="Обычный 4 5 3 2 2 8" xfId="11756"/>
    <cellStyle name="Обычный 4 5 3 2 2 9" xfId="11757"/>
    <cellStyle name="Обычный 4 5 3 2 3" xfId="11758"/>
    <cellStyle name="Обычный 4 5 3 2 3 2" xfId="11759"/>
    <cellStyle name="Обычный 4 5 3 2 4" xfId="11760"/>
    <cellStyle name="Обычный 4 5 3 2 5" xfId="11761"/>
    <cellStyle name="Обычный 4 5 3 2 6" xfId="11762"/>
    <cellStyle name="Обычный 4 5 3 2 7" xfId="11763"/>
    <cellStyle name="Обычный 4 5 3 2 8" xfId="11764"/>
    <cellStyle name="Обычный 4 5 3 2 9" xfId="11765"/>
    <cellStyle name="Обычный 4 5 3 20" xfId="22320"/>
    <cellStyle name="Обычный 4 5 3 3" xfId="11766"/>
    <cellStyle name="Обычный 4 5 3 3 10" xfId="11767"/>
    <cellStyle name="Обычный 4 5 3 3 11" xfId="11768"/>
    <cellStyle name="Обычный 4 5 3 3 12" xfId="19016"/>
    <cellStyle name="Обычный 4 5 3 3 13" xfId="20711"/>
    <cellStyle name="Обычный 4 5 3 3 14" xfId="22323"/>
    <cellStyle name="Обычный 4 5 3 3 2" xfId="11769"/>
    <cellStyle name="Обычный 4 5 3 3 2 10" xfId="11770"/>
    <cellStyle name="Обычный 4 5 3 3 2 11" xfId="19017"/>
    <cellStyle name="Обычный 4 5 3 3 2 12" xfId="20712"/>
    <cellStyle name="Обычный 4 5 3 3 2 13" xfId="22324"/>
    <cellStyle name="Обычный 4 5 3 3 2 2" xfId="11771"/>
    <cellStyle name="Обычный 4 5 3 3 2 2 2" xfId="11772"/>
    <cellStyle name="Обычный 4 5 3 3 2 3" xfId="11773"/>
    <cellStyle name="Обычный 4 5 3 3 2 4" xfId="11774"/>
    <cellStyle name="Обычный 4 5 3 3 2 5" xfId="11775"/>
    <cellStyle name="Обычный 4 5 3 3 2 6" xfId="11776"/>
    <cellStyle name="Обычный 4 5 3 3 2 7" xfId="11777"/>
    <cellStyle name="Обычный 4 5 3 3 2 8" xfId="11778"/>
    <cellStyle name="Обычный 4 5 3 3 2 9" xfId="11779"/>
    <cellStyle name="Обычный 4 5 3 3 3" xfId="11780"/>
    <cellStyle name="Обычный 4 5 3 3 3 2" xfId="11781"/>
    <cellStyle name="Обычный 4 5 3 3 4" xfId="11782"/>
    <cellStyle name="Обычный 4 5 3 3 5" xfId="11783"/>
    <cellStyle name="Обычный 4 5 3 3 6" xfId="11784"/>
    <cellStyle name="Обычный 4 5 3 3 7" xfId="11785"/>
    <cellStyle name="Обычный 4 5 3 3 8" xfId="11786"/>
    <cellStyle name="Обычный 4 5 3 3 9" xfId="11787"/>
    <cellStyle name="Обычный 4 5 3 4" xfId="11788"/>
    <cellStyle name="Обычный 4 5 3 4 10" xfId="11789"/>
    <cellStyle name="Обычный 4 5 3 4 11" xfId="11790"/>
    <cellStyle name="Обычный 4 5 3 4 12" xfId="19018"/>
    <cellStyle name="Обычный 4 5 3 4 13" xfId="20713"/>
    <cellStyle name="Обычный 4 5 3 4 14" xfId="22325"/>
    <cellStyle name="Обычный 4 5 3 4 2" xfId="11791"/>
    <cellStyle name="Обычный 4 5 3 4 2 10" xfId="11792"/>
    <cellStyle name="Обычный 4 5 3 4 2 11" xfId="19019"/>
    <cellStyle name="Обычный 4 5 3 4 2 12" xfId="20714"/>
    <cellStyle name="Обычный 4 5 3 4 2 13" xfId="22326"/>
    <cellStyle name="Обычный 4 5 3 4 2 2" xfId="11793"/>
    <cellStyle name="Обычный 4 5 3 4 2 2 2" xfId="11794"/>
    <cellStyle name="Обычный 4 5 3 4 2 3" xfId="11795"/>
    <cellStyle name="Обычный 4 5 3 4 2 4" xfId="11796"/>
    <cellStyle name="Обычный 4 5 3 4 2 5" xfId="11797"/>
    <cellStyle name="Обычный 4 5 3 4 2 6" xfId="11798"/>
    <cellStyle name="Обычный 4 5 3 4 2 7" xfId="11799"/>
    <cellStyle name="Обычный 4 5 3 4 2 8" xfId="11800"/>
    <cellStyle name="Обычный 4 5 3 4 2 9" xfId="11801"/>
    <cellStyle name="Обычный 4 5 3 4 3" xfId="11802"/>
    <cellStyle name="Обычный 4 5 3 4 3 2" xfId="11803"/>
    <cellStyle name="Обычный 4 5 3 4 4" xfId="11804"/>
    <cellStyle name="Обычный 4 5 3 4 5" xfId="11805"/>
    <cellStyle name="Обычный 4 5 3 4 6" xfId="11806"/>
    <cellStyle name="Обычный 4 5 3 4 7" xfId="11807"/>
    <cellStyle name="Обычный 4 5 3 4 8" xfId="11808"/>
    <cellStyle name="Обычный 4 5 3 4 9" xfId="11809"/>
    <cellStyle name="Обычный 4 5 3 5" xfId="11810"/>
    <cellStyle name="Обычный 4 5 3 5 10" xfId="11811"/>
    <cellStyle name="Обычный 4 5 3 5 11" xfId="11812"/>
    <cellStyle name="Обычный 4 5 3 5 12" xfId="19020"/>
    <cellStyle name="Обычный 4 5 3 5 13" xfId="20715"/>
    <cellStyle name="Обычный 4 5 3 5 14" xfId="22327"/>
    <cellStyle name="Обычный 4 5 3 5 2" xfId="11813"/>
    <cellStyle name="Обычный 4 5 3 5 2 10" xfId="11814"/>
    <cellStyle name="Обычный 4 5 3 5 2 11" xfId="19021"/>
    <cellStyle name="Обычный 4 5 3 5 2 12" xfId="20716"/>
    <cellStyle name="Обычный 4 5 3 5 2 13" xfId="22328"/>
    <cellStyle name="Обычный 4 5 3 5 2 2" xfId="11815"/>
    <cellStyle name="Обычный 4 5 3 5 2 2 2" xfId="11816"/>
    <cellStyle name="Обычный 4 5 3 5 2 3" xfId="11817"/>
    <cellStyle name="Обычный 4 5 3 5 2 4" xfId="11818"/>
    <cellStyle name="Обычный 4 5 3 5 2 5" xfId="11819"/>
    <cellStyle name="Обычный 4 5 3 5 2 6" xfId="11820"/>
    <cellStyle name="Обычный 4 5 3 5 2 7" xfId="11821"/>
    <cellStyle name="Обычный 4 5 3 5 2 8" xfId="11822"/>
    <cellStyle name="Обычный 4 5 3 5 2 9" xfId="11823"/>
    <cellStyle name="Обычный 4 5 3 5 3" xfId="11824"/>
    <cellStyle name="Обычный 4 5 3 5 3 2" xfId="11825"/>
    <cellStyle name="Обычный 4 5 3 5 4" xfId="11826"/>
    <cellStyle name="Обычный 4 5 3 5 5" xfId="11827"/>
    <cellStyle name="Обычный 4 5 3 5 6" xfId="11828"/>
    <cellStyle name="Обычный 4 5 3 5 7" xfId="11829"/>
    <cellStyle name="Обычный 4 5 3 5 8" xfId="11830"/>
    <cellStyle name="Обычный 4 5 3 5 9" xfId="11831"/>
    <cellStyle name="Обычный 4 5 3 6" xfId="11832"/>
    <cellStyle name="Обычный 4 5 3 6 10" xfId="11833"/>
    <cellStyle name="Обычный 4 5 3 6 11" xfId="19022"/>
    <cellStyle name="Обычный 4 5 3 6 12" xfId="20717"/>
    <cellStyle name="Обычный 4 5 3 6 13" xfId="22329"/>
    <cellStyle name="Обычный 4 5 3 6 2" xfId="11834"/>
    <cellStyle name="Обычный 4 5 3 6 2 2" xfId="11835"/>
    <cellStyle name="Обычный 4 5 3 6 3" xfId="11836"/>
    <cellStyle name="Обычный 4 5 3 6 4" xfId="11837"/>
    <cellStyle name="Обычный 4 5 3 6 5" xfId="11838"/>
    <cellStyle name="Обычный 4 5 3 6 6" xfId="11839"/>
    <cellStyle name="Обычный 4 5 3 6 7" xfId="11840"/>
    <cellStyle name="Обычный 4 5 3 6 8" xfId="11841"/>
    <cellStyle name="Обычный 4 5 3 6 9" xfId="11842"/>
    <cellStyle name="Обычный 4 5 3 7" xfId="11843"/>
    <cellStyle name="Обычный 4 5 3 7 10" xfId="20718"/>
    <cellStyle name="Обычный 4 5 3 7 11" xfId="22330"/>
    <cellStyle name="Обычный 4 5 3 7 2" xfId="11844"/>
    <cellStyle name="Обычный 4 5 3 7 2 2" xfId="11845"/>
    <cellStyle name="Обычный 4 5 3 7 3" xfId="11846"/>
    <cellStyle name="Обычный 4 5 3 7 4" xfId="11847"/>
    <cellStyle name="Обычный 4 5 3 7 5" xfId="11848"/>
    <cellStyle name="Обычный 4 5 3 7 6" xfId="11849"/>
    <cellStyle name="Обычный 4 5 3 7 7" xfId="11850"/>
    <cellStyle name="Обычный 4 5 3 7 8" xfId="11851"/>
    <cellStyle name="Обычный 4 5 3 7 9" xfId="19023"/>
    <cellStyle name="Обычный 4 5 3 8" xfId="11852"/>
    <cellStyle name="Обычный 4 5 3 8 2" xfId="11853"/>
    <cellStyle name="Обычный 4 5 3 9" xfId="11854"/>
    <cellStyle name="Обычный 4 5 4" xfId="11855"/>
    <cellStyle name="Обычный 4 5 4 10" xfId="11856"/>
    <cellStyle name="Обычный 4 5 4 11" xfId="11857"/>
    <cellStyle name="Обычный 4 5 4 12" xfId="19024"/>
    <cellStyle name="Обычный 4 5 4 13" xfId="20719"/>
    <cellStyle name="Обычный 4 5 4 14" xfId="22331"/>
    <cellStyle name="Обычный 4 5 4 2" xfId="11858"/>
    <cellStyle name="Обычный 4 5 4 2 10" xfId="11859"/>
    <cellStyle name="Обычный 4 5 4 2 11" xfId="19025"/>
    <cellStyle name="Обычный 4 5 4 2 12" xfId="20720"/>
    <cellStyle name="Обычный 4 5 4 2 13" xfId="22332"/>
    <cellStyle name="Обычный 4 5 4 2 2" xfId="11860"/>
    <cellStyle name="Обычный 4 5 4 2 2 2" xfId="11861"/>
    <cellStyle name="Обычный 4 5 4 2 3" xfId="11862"/>
    <cellStyle name="Обычный 4 5 4 2 4" xfId="11863"/>
    <cellStyle name="Обычный 4 5 4 2 5" xfId="11864"/>
    <cellStyle name="Обычный 4 5 4 2 6" xfId="11865"/>
    <cellStyle name="Обычный 4 5 4 2 7" xfId="11866"/>
    <cellStyle name="Обычный 4 5 4 2 8" xfId="11867"/>
    <cellStyle name="Обычный 4 5 4 2 9" xfId="11868"/>
    <cellStyle name="Обычный 4 5 4 3" xfId="11869"/>
    <cellStyle name="Обычный 4 5 4 3 2" xfId="11870"/>
    <cellStyle name="Обычный 4 5 4 4" xfId="11871"/>
    <cellStyle name="Обычный 4 5 4 5" xfId="11872"/>
    <cellStyle name="Обычный 4 5 4 6" xfId="11873"/>
    <cellStyle name="Обычный 4 5 4 7" xfId="11874"/>
    <cellStyle name="Обычный 4 5 4 8" xfId="11875"/>
    <cellStyle name="Обычный 4 5 4 9" xfId="11876"/>
    <cellStyle name="Обычный 4 5 5" xfId="11877"/>
    <cellStyle name="Обычный 4 5 5 10" xfId="11878"/>
    <cellStyle name="Обычный 4 5 5 11" xfId="11879"/>
    <cellStyle name="Обычный 4 5 5 12" xfId="19026"/>
    <cellStyle name="Обычный 4 5 5 13" xfId="20721"/>
    <cellStyle name="Обычный 4 5 5 14" xfId="22333"/>
    <cellStyle name="Обычный 4 5 5 2" xfId="11880"/>
    <cellStyle name="Обычный 4 5 5 2 10" xfId="11881"/>
    <cellStyle name="Обычный 4 5 5 2 11" xfId="19027"/>
    <cellStyle name="Обычный 4 5 5 2 12" xfId="20722"/>
    <cellStyle name="Обычный 4 5 5 2 13" xfId="22334"/>
    <cellStyle name="Обычный 4 5 5 2 2" xfId="11882"/>
    <cellStyle name="Обычный 4 5 5 2 2 2" xfId="11883"/>
    <cellStyle name="Обычный 4 5 5 2 3" xfId="11884"/>
    <cellStyle name="Обычный 4 5 5 2 4" xfId="11885"/>
    <cellStyle name="Обычный 4 5 5 2 5" xfId="11886"/>
    <cellStyle name="Обычный 4 5 5 2 6" xfId="11887"/>
    <cellStyle name="Обычный 4 5 5 2 7" xfId="11888"/>
    <cellStyle name="Обычный 4 5 5 2 8" xfId="11889"/>
    <cellStyle name="Обычный 4 5 5 2 9" xfId="11890"/>
    <cellStyle name="Обычный 4 5 5 3" xfId="11891"/>
    <cellStyle name="Обычный 4 5 5 3 2" xfId="11892"/>
    <cellStyle name="Обычный 4 5 5 4" xfId="11893"/>
    <cellStyle name="Обычный 4 5 5 5" xfId="11894"/>
    <cellStyle name="Обычный 4 5 5 6" xfId="11895"/>
    <cellStyle name="Обычный 4 5 5 7" xfId="11896"/>
    <cellStyle name="Обычный 4 5 5 8" xfId="11897"/>
    <cellStyle name="Обычный 4 5 5 9" xfId="11898"/>
    <cellStyle name="Обычный 4 5 6" xfId="11899"/>
    <cellStyle name="Обычный 4 5 6 10" xfId="11900"/>
    <cellStyle name="Обычный 4 5 6 11" xfId="11901"/>
    <cellStyle name="Обычный 4 5 6 12" xfId="19028"/>
    <cellStyle name="Обычный 4 5 6 13" xfId="20723"/>
    <cellStyle name="Обычный 4 5 6 14" xfId="22335"/>
    <cellStyle name="Обычный 4 5 6 2" xfId="11902"/>
    <cellStyle name="Обычный 4 5 6 2 10" xfId="11903"/>
    <cellStyle name="Обычный 4 5 6 2 11" xfId="19029"/>
    <cellStyle name="Обычный 4 5 6 2 12" xfId="20724"/>
    <cellStyle name="Обычный 4 5 6 2 13" xfId="22336"/>
    <cellStyle name="Обычный 4 5 6 2 2" xfId="11904"/>
    <cellStyle name="Обычный 4 5 6 2 2 2" xfId="11905"/>
    <cellStyle name="Обычный 4 5 6 2 3" xfId="11906"/>
    <cellStyle name="Обычный 4 5 6 2 4" xfId="11907"/>
    <cellStyle name="Обычный 4 5 6 2 5" xfId="11908"/>
    <cellStyle name="Обычный 4 5 6 2 6" xfId="11909"/>
    <cellStyle name="Обычный 4 5 6 2 7" xfId="11910"/>
    <cellStyle name="Обычный 4 5 6 2 8" xfId="11911"/>
    <cellStyle name="Обычный 4 5 6 2 9" xfId="11912"/>
    <cellStyle name="Обычный 4 5 6 3" xfId="11913"/>
    <cellStyle name="Обычный 4 5 6 3 2" xfId="11914"/>
    <cellStyle name="Обычный 4 5 6 4" xfId="11915"/>
    <cellStyle name="Обычный 4 5 6 5" xfId="11916"/>
    <cellStyle name="Обычный 4 5 6 6" xfId="11917"/>
    <cellStyle name="Обычный 4 5 6 7" xfId="11918"/>
    <cellStyle name="Обычный 4 5 6 8" xfId="11919"/>
    <cellStyle name="Обычный 4 5 6 9" xfId="11920"/>
    <cellStyle name="Обычный 4 5 7" xfId="11921"/>
    <cellStyle name="Обычный 4 5 7 10" xfId="11922"/>
    <cellStyle name="Обычный 4 5 7 11" xfId="11923"/>
    <cellStyle name="Обычный 4 5 7 12" xfId="19030"/>
    <cellStyle name="Обычный 4 5 7 13" xfId="20725"/>
    <cellStyle name="Обычный 4 5 7 14" xfId="22337"/>
    <cellStyle name="Обычный 4 5 7 2" xfId="11924"/>
    <cellStyle name="Обычный 4 5 7 2 10" xfId="11925"/>
    <cellStyle name="Обычный 4 5 7 2 11" xfId="19031"/>
    <cellStyle name="Обычный 4 5 7 2 12" xfId="20726"/>
    <cellStyle name="Обычный 4 5 7 2 13" xfId="22338"/>
    <cellStyle name="Обычный 4 5 7 2 2" xfId="11926"/>
    <cellStyle name="Обычный 4 5 7 2 2 2" xfId="11927"/>
    <cellStyle name="Обычный 4 5 7 2 3" xfId="11928"/>
    <cellStyle name="Обычный 4 5 7 2 4" xfId="11929"/>
    <cellStyle name="Обычный 4 5 7 2 5" xfId="11930"/>
    <cellStyle name="Обычный 4 5 7 2 6" xfId="11931"/>
    <cellStyle name="Обычный 4 5 7 2 7" xfId="11932"/>
    <cellStyle name="Обычный 4 5 7 2 8" xfId="11933"/>
    <cellStyle name="Обычный 4 5 7 2 9" xfId="11934"/>
    <cellStyle name="Обычный 4 5 7 3" xfId="11935"/>
    <cellStyle name="Обычный 4 5 7 3 2" xfId="11936"/>
    <cellStyle name="Обычный 4 5 7 4" xfId="11937"/>
    <cellStyle name="Обычный 4 5 7 5" xfId="11938"/>
    <cellStyle name="Обычный 4 5 7 6" xfId="11939"/>
    <cellStyle name="Обычный 4 5 7 7" xfId="11940"/>
    <cellStyle name="Обычный 4 5 7 8" xfId="11941"/>
    <cellStyle name="Обычный 4 5 7 9" xfId="11942"/>
    <cellStyle name="Обычный 4 5 8" xfId="11943"/>
    <cellStyle name="Обычный 4 5 8 10" xfId="11944"/>
    <cellStyle name="Обычный 4 5 8 11" xfId="19032"/>
    <cellStyle name="Обычный 4 5 8 12" xfId="20727"/>
    <cellStyle name="Обычный 4 5 8 13" xfId="22339"/>
    <cellStyle name="Обычный 4 5 8 2" xfId="11945"/>
    <cellStyle name="Обычный 4 5 8 2 2" xfId="11946"/>
    <cellStyle name="Обычный 4 5 8 3" xfId="11947"/>
    <cellStyle name="Обычный 4 5 8 4" xfId="11948"/>
    <cellStyle name="Обычный 4 5 8 5" xfId="11949"/>
    <cellStyle name="Обычный 4 5 8 6" xfId="11950"/>
    <cellStyle name="Обычный 4 5 8 7" xfId="11951"/>
    <cellStyle name="Обычный 4 5 8 8" xfId="11952"/>
    <cellStyle name="Обычный 4 5 8 9" xfId="11953"/>
    <cellStyle name="Обычный 4 5 9" xfId="11954"/>
    <cellStyle name="Обычный 4 5 9 10" xfId="20728"/>
    <cellStyle name="Обычный 4 5 9 11" xfId="22340"/>
    <cellStyle name="Обычный 4 5 9 2" xfId="11955"/>
    <cellStyle name="Обычный 4 5 9 2 2" xfId="11956"/>
    <cellStyle name="Обычный 4 5 9 3" xfId="11957"/>
    <cellStyle name="Обычный 4 5 9 4" xfId="11958"/>
    <cellStyle name="Обычный 4 5 9 5" xfId="11959"/>
    <cellStyle name="Обычный 4 5 9 6" xfId="11960"/>
    <cellStyle name="Обычный 4 5 9 7" xfId="11961"/>
    <cellStyle name="Обычный 4 5 9 8" xfId="11962"/>
    <cellStyle name="Обычный 4 5 9 9" xfId="19033"/>
    <cellStyle name="Обычный 4 6" xfId="11963"/>
    <cellStyle name="Обычный 4 6 10" xfId="11964"/>
    <cellStyle name="Обычный 4 6 11" xfId="11965"/>
    <cellStyle name="Обычный 4 6 12" xfId="11966"/>
    <cellStyle name="Обычный 4 6 13" xfId="11967"/>
    <cellStyle name="Обычный 4 6 14" xfId="11968"/>
    <cellStyle name="Обычный 4 6 15" xfId="11969"/>
    <cellStyle name="Обычный 4 6 16" xfId="11970"/>
    <cellStyle name="Обычный 4 6 17" xfId="11971"/>
    <cellStyle name="Обычный 4 6 18" xfId="19034"/>
    <cellStyle name="Обычный 4 6 19" xfId="20729"/>
    <cellStyle name="Обычный 4 6 2" xfId="11972"/>
    <cellStyle name="Обычный 4 6 2 10" xfId="11973"/>
    <cellStyle name="Обычный 4 6 2 11" xfId="11974"/>
    <cellStyle name="Обычный 4 6 2 12" xfId="19035"/>
    <cellStyle name="Обычный 4 6 2 13" xfId="20730"/>
    <cellStyle name="Обычный 4 6 2 14" xfId="22342"/>
    <cellStyle name="Обычный 4 6 2 2" xfId="11975"/>
    <cellStyle name="Обычный 4 6 2 2 10" xfId="11976"/>
    <cellStyle name="Обычный 4 6 2 2 11" xfId="19036"/>
    <cellStyle name="Обычный 4 6 2 2 12" xfId="20731"/>
    <cellStyle name="Обычный 4 6 2 2 13" xfId="22343"/>
    <cellStyle name="Обычный 4 6 2 2 2" xfId="11977"/>
    <cellStyle name="Обычный 4 6 2 2 2 2" xfId="11978"/>
    <cellStyle name="Обычный 4 6 2 2 3" xfId="11979"/>
    <cellStyle name="Обычный 4 6 2 2 4" xfId="11980"/>
    <cellStyle name="Обычный 4 6 2 2 5" xfId="11981"/>
    <cellStyle name="Обычный 4 6 2 2 6" xfId="11982"/>
    <cellStyle name="Обычный 4 6 2 2 7" xfId="11983"/>
    <cellStyle name="Обычный 4 6 2 2 8" xfId="11984"/>
    <cellStyle name="Обычный 4 6 2 2 9" xfId="11985"/>
    <cellStyle name="Обычный 4 6 2 3" xfId="11986"/>
    <cellStyle name="Обычный 4 6 2 3 2" xfId="11987"/>
    <cellStyle name="Обычный 4 6 2 4" xfId="11988"/>
    <cellStyle name="Обычный 4 6 2 5" xfId="11989"/>
    <cellStyle name="Обычный 4 6 2 6" xfId="11990"/>
    <cellStyle name="Обычный 4 6 2 7" xfId="11991"/>
    <cellStyle name="Обычный 4 6 2 8" xfId="11992"/>
    <cellStyle name="Обычный 4 6 2 9" xfId="11993"/>
    <cellStyle name="Обычный 4 6 20" xfId="22341"/>
    <cellStyle name="Обычный 4 6 3" xfId="11994"/>
    <cellStyle name="Обычный 4 6 3 10" xfId="11995"/>
    <cellStyle name="Обычный 4 6 3 11" xfId="11996"/>
    <cellStyle name="Обычный 4 6 3 12" xfId="19037"/>
    <cellStyle name="Обычный 4 6 3 13" xfId="20732"/>
    <cellStyle name="Обычный 4 6 3 14" xfId="22344"/>
    <cellStyle name="Обычный 4 6 3 2" xfId="11997"/>
    <cellStyle name="Обычный 4 6 3 2 10" xfId="11998"/>
    <cellStyle name="Обычный 4 6 3 2 11" xfId="19038"/>
    <cellStyle name="Обычный 4 6 3 2 12" xfId="20733"/>
    <cellStyle name="Обычный 4 6 3 2 13" xfId="22345"/>
    <cellStyle name="Обычный 4 6 3 2 2" xfId="11999"/>
    <cellStyle name="Обычный 4 6 3 2 2 2" xfId="12000"/>
    <cellStyle name="Обычный 4 6 3 2 3" xfId="12001"/>
    <cellStyle name="Обычный 4 6 3 2 4" xfId="12002"/>
    <cellStyle name="Обычный 4 6 3 2 5" xfId="12003"/>
    <cellStyle name="Обычный 4 6 3 2 6" xfId="12004"/>
    <cellStyle name="Обычный 4 6 3 2 7" xfId="12005"/>
    <cellStyle name="Обычный 4 6 3 2 8" xfId="12006"/>
    <cellStyle name="Обычный 4 6 3 2 9" xfId="12007"/>
    <cellStyle name="Обычный 4 6 3 3" xfId="12008"/>
    <cellStyle name="Обычный 4 6 3 3 2" xfId="12009"/>
    <cellStyle name="Обычный 4 6 3 4" xfId="12010"/>
    <cellStyle name="Обычный 4 6 3 5" xfId="12011"/>
    <cellStyle name="Обычный 4 6 3 6" xfId="12012"/>
    <cellStyle name="Обычный 4 6 3 7" xfId="12013"/>
    <cellStyle name="Обычный 4 6 3 8" xfId="12014"/>
    <cellStyle name="Обычный 4 6 3 9" xfId="12015"/>
    <cellStyle name="Обычный 4 6 4" xfId="12016"/>
    <cellStyle name="Обычный 4 6 4 10" xfId="12017"/>
    <cellStyle name="Обычный 4 6 4 11" xfId="12018"/>
    <cellStyle name="Обычный 4 6 4 12" xfId="19039"/>
    <cellStyle name="Обычный 4 6 4 13" xfId="20734"/>
    <cellStyle name="Обычный 4 6 4 14" xfId="22346"/>
    <cellStyle name="Обычный 4 6 4 2" xfId="12019"/>
    <cellStyle name="Обычный 4 6 4 2 10" xfId="12020"/>
    <cellStyle name="Обычный 4 6 4 2 11" xfId="19040"/>
    <cellStyle name="Обычный 4 6 4 2 12" xfId="20735"/>
    <cellStyle name="Обычный 4 6 4 2 13" xfId="22347"/>
    <cellStyle name="Обычный 4 6 4 2 2" xfId="12021"/>
    <cellStyle name="Обычный 4 6 4 2 2 2" xfId="12022"/>
    <cellStyle name="Обычный 4 6 4 2 3" xfId="12023"/>
    <cellStyle name="Обычный 4 6 4 2 4" xfId="12024"/>
    <cellStyle name="Обычный 4 6 4 2 5" xfId="12025"/>
    <cellStyle name="Обычный 4 6 4 2 6" xfId="12026"/>
    <cellStyle name="Обычный 4 6 4 2 7" xfId="12027"/>
    <cellStyle name="Обычный 4 6 4 2 8" xfId="12028"/>
    <cellStyle name="Обычный 4 6 4 2 9" xfId="12029"/>
    <cellStyle name="Обычный 4 6 4 3" xfId="12030"/>
    <cellStyle name="Обычный 4 6 4 3 2" xfId="12031"/>
    <cellStyle name="Обычный 4 6 4 4" xfId="12032"/>
    <cellStyle name="Обычный 4 6 4 5" xfId="12033"/>
    <cellStyle name="Обычный 4 6 4 6" xfId="12034"/>
    <cellStyle name="Обычный 4 6 4 7" xfId="12035"/>
    <cellStyle name="Обычный 4 6 4 8" xfId="12036"/>
    <cellStyle name="Обычный 4 6 4 9" xfId="12037"/>
    <cellStyle name="Обычный 4 6 5" xfId="12038"/>
    <cellStyle name="Обычный 4 6 5 10" xfId="12039"/>
    <cellStyle name="Обычный 4 6 5 11" xfId="12040"/>
    <cellStyle name="Обычный 4 6 5 12" xfId="19041"/>
    <cellStyle name="Обычный 4 6 5 13" xfId="20736"/>
    <cellStyle name="Обычный 4 6 5 14" xfId="22348"/>
    <cellStyle name="Обычный 4 6 5 2" xfId="12041"/>
    <cellStyle name="Обычный 4 6 5 2 10" xfId="12042"/>
    <cellStyle name="Обычный 4 6 5 2 11" xfId="19042"/>
    <cellStyle name="Обычный 4 6 5 2 12" xfId="20737"/>
    <cellStyle name="Обычный 4 6 5 2 13" xfId="22349"/>
    <cellStyle name="Обычный 4 6 5 2 2" xfId="12043"/>
    <cellStyle name="Обычный 4 6 5 2 2 2" xfId="12044"/>
    <cellStyle name="Обычный 4 6 5 2 3" xfId="12045"/>
    <cellStyle name="Обычный 4 6 5 2 4" xfId="12046"/>
    <cellStyle name="Обычный 4 6 5 2 5" xfId="12047"/>
    <cellStyle name="Обычный 4 6 5 2 6" xfId="12048"/>
    <cellStyle name="Обычный 4 6 5 2 7" xfId="12049"/>
    <cellStyle name="Обычный 4 6 5 2 8" xfId="12050"/>
    <cellStyle name="Обычный 4 6 5 2 9" xfId="12051"/>
    <cellStyle name="Обычный 4 6 5 3" xfId="12052"/>
    <cellStyle name="Обычный 4 6 5 3 2" xfId="12053"/>
    <cellStyle name="Обычный 4 6 5 4" xfId="12054"/>
    <cellStyle name="Обычный 4 6 5 5" xfId="12055"/>
    <cellStyle name="Обычный 4 6 5 6" xfId="12056"/>
    <cellStyle name="Обычный 4 6 5 7" xfId="12057"/>
    <cellStyle name="Обычный 4 6 5 8" xfId="12058"/>
    <cellStyle name="Обычный 4 6 5 9" xfId="12059"/>
    <cellStyle name="Обычный 4 6 6" xfId="12060"/>
    <cellStyle name="Обычный 4 6 6 10" xfId="12061"/>
    <cellStyle name="Обычный 4 6 6 11" xfId="19043"/>
    <cellStyle name="Обычный 4 6 6 12" xfId="20738"/>
    <cellStyle name="Обычный 4 6 6 13" xfId="22350"/>
    <cellStyle name="Обычный 4 6 6 2" xfId="12062"/>
    <cellStyle name="Обычный 4 6 6 2 2" xfId="12063"/>
    <cellStyle name="Обычный 4 6 6 3" xfId="12064"/>
    <cellStyle name="Обычный 4 6 6 4" xfId="12065"/>
    <cellStyle name="Обычный 4 6 6 5" xfId="12066"/>
    <cellStyle name="Обычный 4 6 6 6" xfId="12067"/>
    <cellStyle name="Обычный 4 6 6 7" xfId="12068"/>
    <cellStyle name="Обычный 4 6 6 8" xfId="12069"/>
    <cellStyle name="Обычный 4 6 6 9" xfId="12070"/>
    <cellStyle name="Обычный 4 6 7" xfId="12071"/>
    <cellStyle name="Обычный 4 6 7 10" xfId="20739"/>
    <cellStyle name="Обычный 4 6 7 11" xfId="22351"/>
    <cellStyle name="Обычный 4 6 7 2" xfId="12072"/>
    <cellStyle name="Обычный 4 6 7 2 2" xfId="12073"/>
    <cellStyle name="Обычный 4 6 7 3" xfId="12074"/>
    <cellStyle name="Обычный 4 6 7 4" xfId="12075"/>
    <cellStyle name="Обычный 4 6 7 5" xfId="12076"/>
    <cellStyle name="Обычный 4 6 7 6" xfId="12077"/>
    <cellStyle name="Обычный 4 6 7 7" xfId="12078"/>
    <cellStyle name="Обычный 4 6 7 8" xfId="12079"/>
    <cellStyle name="Обычный 4 6 7 9" xfId="19044"/>
    <cellStyle name="Обычный 4 6 8" xfId="12080"/>
    <cellStyle name="Обычный 4 6 8 2" xfId="12081"/>
    <cellStyle name="Обычный 4 6 9" xfId="12082"/>
    <cellStyle name="Обычный 4 7" xfId="12083"/>
    <cellStyle name="Обычный 4 7 10" xfId="12084"/>
    <cellStyle name="Обычный 4 7 11" xfId="12085"/>
    <cellStyle name="Обычный 4 7 12" xfId="12086"/>
    <cellStyle name="Обычный 4 7 13" xfId="12087"/>
    <cellStyle name="Обычный 4 7 14" xfId="12088"/>
    <cellStyle name="Обычный 4 7 15" xfId="12089"/>
    <cellStyle name="Обычный 4 7 16" xfId="12090"/>
    <cellStyle name="Обычный 4 7 17" xfId="12091"/>
    <cellStyle name="Обычный 4 7 18" xfId="19045"/>
    <cellStyle name="Обычный 4 7 19" xfId="20740"/>
    <cellStyle name="Обычный 4 7 2" xfId="12092"/>
    <cellStyle name="Обычный 4 7 2 10" xfId="12093"/>
    <cellStyle name="Обычный 4 7 2 11" xfId="12094"/>
    <cellStyle name="Обычный 4 7 2 12" xfId="19046"/>
    <cellStyle name="Обычный 4 7 2 13" xfId="20741"/>
    <cellStyle name="Обычный 4 7 2 14" xfId="22353"/>
    <cellStyle name="Обычный 4 7 2 2" xfId="12095"/>
    <cellStyle name="Обычный 4 7 2 2 10" xfId="12096"/>
    <cellStyle name="Обычный 4 7 2 2 11" xfId="19047"/>
    <cellStyle name="Обычный 4 7 2 2 12" xfId="20742"/>
    <cellStyle name="Обычный 4 7 2 2 13" xfId="22354"/>
    <cellStyle name="Обычный 4 7 2 2 2" xfId="12097"/>
    <cellStyle name="Обычный 4 7 2 2 2 2" xfId="12098"/>
    <cellStyle name="Обычный 4 7 2 2 3" xfId="12099"/>
    <cellStyle name="Обычный 4 7 2 2 4" xfId="12100"/>
    <cellStyle name="Обычный 4 7 2 2 5" xfId="12101"/>
    <cellStyle name="Обычный 4 7 2 2 6" xfId="12102"/>
    <cellStyle name="Обычный 4 7 2 2 7" xfId="12103"/>
    <cellStyle name="Обычный 4 7 2 2 8" xfId="12104"/>
    <cellStyle name="Обычный 4 7 2 2 9" xfId="12105"/>
    <cellStyle name="Обычный 4 7 2 3" xfId="12106"/>
    <cellStyle name="Обычный 4 7 2 3 2" xfId="12107"/>
    <cellStyle name="Обычный 4 7 2 4" xfId="12108"/>
    <cellStyle name="Обычный 4 7 2 5" xfId="12109"/>
    <cellStyle name="Обычный 4 7 2 6" xfId="12110"/>
    <cellStyle name="Обычный 4 7 2 7" xfId="12111"/>
    <cellStyle name="Обычный 4 7 2 8" xfId="12112"/>
    <cellStyle name="Обычный 4 7 2 9" xfId="12113"/>
    <cellStyle name="Обычный 4 7 20" xfId="22352"/>
    <cellStyle name="Обычный 4 7 3" xfId="12114"/>
    <cellStyle name="Обычный 4 7 3 10" xfId="12115"/>
    <cellStyle name="Обычный 4 7 3 11" xfId="12116"/>
    <cellStyle name="Обычный 4 7 3 12" xfId="19048"/>
    <cellStyle name="Обычный 4 7 3 13" xfId="20743"/>
    <cellStyle name="Обычный 4 7 3 14" xfId="22355"/>
    <cellStyle name="Обычный 4 7 3 2" xfId="12117"/>
    <cellStyle name="Обычный 4 7 3 2 10" xfId="12118"/>
    <cellStyle name="Обычный 4 7 3 2 11" xfId="19049"/>
    <cellStyle name="Обычный 4 7 3 2 12" xfId="20744"/>
    <cellStyle name="Обычный 4 7 3 2 13" xfId="22356"/>
    <cellStyle name="Обычный 4 7 3 2 2" xfId="12119"/>
    <cellStyle name="Обычный 4 7 3 2 2 2" xfId="12120"/>
    <cellStyle name="Обычный 4 7 3 2 3" xfId="12121"/>
    <cellStyle name="Обычный 4 7 3 2 4" xfId="12122"/>
    <cellStyle name="Обычный 4 7 3 2 5" xfId="12123"/>
    <cellStyle name="Обычный 4 7 3 2 6" xfId="12124"/>
    <cellStyle name="Обычный 4 7 3 2 7" xfId="12125"/>
    <cellStyle name="Обычный 4 7 3 2 8" xfId="12126"/>
    <cellStyle name="Обычный 4 7 3 2 9" xfId="12127"/>
    <cellStyle name="Обычный 4 7 3 3" xfId="12128"/>
    <cellStyle name="Обычный 4 7 3 3 2" xfId="12129"/>
    <cellStyle name="Обычный 4 7 3 4" xfId="12130"/>
    <cellStyle name="Обычный 4 7 3 5" xfId="12131"/>
    <cellStyle name="Обычный 4 7 3 6" xfId="12132"/>
    <cellStyle name="Обычный 4 7 3 7" xfId="12133"/>
    <cellStyle name="Обычный 4 7 3 8" xfId="12134"/>
    <cellStyle name="Обычный 4 7 3 9" xfId="12135"/>
    <cellStyle name="Обычный 4 7 4" xfId="12136"/>
    <cellStyle name="Обычный 4 7 4 10" xfId="12137"/>
    <cellStyle name="Обычный 4 7 4 11" xfId="12138"/>
    <cellStyle name="Обычный 4 7 4 12" xfId="19050"/>
    <cellStyle name="Обычный 4 7 4 13" xfId="20745"/>
    <cellStyle name="Обычный 4 7 4 14" xfId="22357"/>
    <cellStyle name="Обычный 4 7 4 2" xfId="12139"/>
    <cellStyle name="Обычный 4 7 4 2 10" xfId="12140"/>
    <cellStyle name="Обычный 4 7 4 2 11" xfId="19051"/>
    <cellStyle name="Обычный 4 7 4 2 12" xfId="20746"/>
    <cellStyle name="Обычный 4 7 4 2 13" xfId="22358"/>
    <cellStyle name="Обычный 4 7 4 2 2" xfId="12141"/>
    <cellStyle name="Обычный 4 7 4 2 2 2" xfId="12142"/>
    <cellStyle name="Обычный 4 7 4 2 3" xfId="12143"/>
    <cellStyle name="Обычный 4 7 4 2 4" xfId="12144"/>
    <cellStyle name="Обычный 4 7 4 2 5" xfId="12145"/>
    <cellStyle name="Обычный 4 7 4 2 6" xfId="12146"/>
    <cellStyle name="Обычный 4 7 4 2 7" xfId="12147"/>
    <cellStyle name="Обычный 4 7 4 2 8" xfId="12148"/>
    <cellStyle name="Обычный 4 7 4 2 9" xfId="12149"/>
    <cellStyle name="Обычный 4 7 4 3" xfId="12150"/>
    <cellStyle name="Обычный 4 7 4 3 2" xfId="12151"/>
    <cellStyle name="Обычный 4 7 4 4" xfId="12152"/>
    <cellStyle name="Обычный 4 7 4 5" xfId="12153"/>
    <cellStyle name="Обычный 4 7 4 6" xfId="12154"/>
    <cellStyle name="Обычный 4 7 4 7" xfId="12155"/>
    <cellStyle name="Обычный 4 7 4 8" xfId="12156"/>
    <cellStyle name="Обычный 4 7 4 9" xfId="12157"/>
    <cellStyle name="Обычный 4 7 5" xfId="12158"/>
    <cellStyle name="Обычный 4 7 5 10" xfId="12159"/>
    <cellStyle name="Обычный 4 7 5 11" xfId="12160"/>
    <cellStyle name="Обычный 4 7 5 12" xfId="19052"/>
    <cellStyle name="Обычный 4 7 5 13" xfId="20747"/>
    <cellStyle name="Обычный 4 7 5 14" xfId="22359"/>
    <cellStyle name="Обычный 4 7 5 2" xfId="12161"/>
    <cellStyle name="Обычный 4 7 5 2 10" xfId="12162"/>
    <cellStyle name="Обычный 4 7 5 2 11" xfId="19053"/>
    <cellStyle name="Обычный 4 7 5 2 12" xfId="20748"/>
    <cellStyle name="Обычный 4 7 5 2 13" xfId="22360"/>
    <cellStyle name="Обычный 4 7 5 2 2" xfId="12163"/>
    <cellStyle name="Обычный 4 7 5 2 2 2" xfId="12164"/>
    <cellStyle name="Обычный 4 7 5 2 3" xfId="12165"/>
    <cellStyle name="Обычный 4 7 5 2 4" xfId="12166"/>
    <cellStyle name="Обычный 4 7 5 2 5" xfId="12167"/>
    <cellStyle name="Обычный 4 7 5 2 6" xfId="12168"/>
    <cellStyle name="Обычный 4 7 5 2 7" xfId="12169"/>
    <cellStyle name="Обычный 4 7 5 2 8" xfId="12170"/>
    <cellStyle name="Обычный 4 7 5 2 9" xfId="12171"/>
    <cellStyle name="Обычный 4 7 5 3" xfId="12172"/>
    <cellStyle name="Обычный 4 7 5 3 2" xfId="12173"/>
    <cellStyle name="Обычный 4 7 5 4" xfId="12174"/>
    <cellStyle name="Обычный 4 7 5 5" xfId="12175"/>
    <cellStyle name="Обычный 4 7 5 6" xfId="12176"/>
    <cellStyle name="Обычный 4 7 5 7" xfId="12177"/>
    <cellStyle name="Обычный 4 7 5 8" xfId="12178"/>
    <cellStyle name="Обычный 4 7 5 9" xfId="12179"/>
    <cellStyle name="Обычный 4 7 6" xfId="12180"/>
    <cellStyle name="Обычный 4 7 6 10" xfId="12181"/>
    <cellStyle name="Обычный 4 7 6 11" xfId="19054"/>
    <cellStyle name="Обычный 4 7 6 12" xfId="20749"/>
    <cellStyle name="Обычный 4 7 6 13" xfId="22361"/>
    <cellStyle name="Обычный 4 7 6 2" xfId="12182"/>
    <cellStyle name="Обычный 4 7 6 2 2" xfId="12183"/>
    <cellStyle name="Обычный 4 7 6 3" xfId="12184"/>
    <cellStyle name="Обычный 4 7 6 4" xfId="12185"/>
    <cellStyle name="Обычный 4 7 6 5" xfId="12186"/>
    <cellStyle name="Обычный 4 7 6 6" xfId="12187"/>
    <cellStyle name="Обычный 4 7 6 7" xfId="12188"/>
    <cellStyle name="Обычный 4 7 6 8" xfId="12189"/>
    <cellStyle name="Обычный 4 7 6 9" xfId="12190"/>
    <cellStyle name="Обычный 4 7 7" xfId="12191"/>
    <cellStyle name="Обычный 4 7 7 10" xfId="20750"/>
    <cellStyle name="Обычный 4 7 7 11" xfId="22362"/>
    <cellStyle name="Обычный 4 7 7 2" xfId="12192"/>
    <cellStyle name="Обычный 4 7 7 2 2" xfId="12193"/>
    <cellStyle name="Обычный 4 7 7 3" xfId="12194"/>
    <cellStyle name="Обычный 4 7 7 4" xfId="12195"/>
    <cellStyle name="Обычный 4 7 7 5" xfId="12196"/>
    <cellStyle name="Обычный 4 7 7 6" xfId="12197"/>
    <cellStyle name="Обычный 4 7 7 7" xfId="12198"/>
    <cellStyle name="Обычный 4 7 7 8" xfId="12199"/>
    <cellStyle name="Обычный 4 7 7 9" xfId="19055"/>
    <cellStyle name="Обычный 4 7 8" xfId="12200"/>
    <cellStyle name="Обычный 4 7 8 2" xfId="12201"/>
    <cellStyle name="Обычный 4 7 9" xfId="12202"/>
    <cellStyle name="Обычный 4 8" xfId="12203"/>
    <cellStyle name="Обычный 4 8 10" xfId="12204"/>
    <cellStyle name="Обычный 4 8 11" xfId="12205"/>
    <cellStyle name="Обычный 4 8 12" xfId="19056"/>
    <cellStyle name="Обычный 4 8 13" xfId="20751"/>
    <cellStyle name="Обычный 4 8 14" xfId="22363"/>
    <cellStyle name="Обычный 4 8 2" xfId="12206"/>
    <cellStyle name="Обычный 4 8 2 10" xfId="12207"/>
    <cellStyle name="Обычный 4 8 2 11" xfId="19057"/>
    <cellStyle name="Обычный 4 8 2 12" xfId="20752"/>
    <cellStyle name="Обычный 4 8 2 13" xfId="22364"/>
    <cellStyle name="Обычный 4 8 2 2" xfId="12208"/>
    <cellStyle name="Обычный 4 8 2 2 2" xfId="12209"/>
    <cellStyle name="Обычный 4 8 2 3" xfId="12210"/>
    <cellStyle name="Обычный 4 8 2 4" xfId="12211"/>
    <cellStyle name="Обычный 4 8 2 5" xfId="12212"/>
    <cellStyle name="Обычный 4 8 2 6" xfId="12213"/>
    <cellStyle name="Обычный 4 8 2 7" xfId="12214"/>
    <cellStyle name="Обычный 4 8 2 8" xfId="12215"/>
    <cellStyle name="Обычный 4 8 2 9" xfId="12216"/>
    <cellStyle name="Обычный 4 8 3" xfId="12217"/>
    <cellStyle name="Обычный 4 8 3 2" xfId="12218"/>
    <cellStyle name="Обычный 4 8 4" xfId="12219"/>
    <cellStyle name="Обычный 4 8 5" xfId="12220"/>
    <cellStyle name="Обычный 4 8 6" xfId="12221"/>
    <cellStyle name="Обычный 4 8 7" xfId="12222"/>
    <cellStyle name="Обычный 4 8 8" xfId="12223"/>
    <cellStyle name="Обычный 4 8 9" xfId="12224"/>
    <cellStyle name="Обычный 4 9" xfId="12225"/>
    <cellStyle name="Обычный 4 9 10" xfId="12226"/>
    <cellStyle name="Обычный 4 9 11" xfId="12227"/>
    <cellStyle name="Обычный 4 9 12" xfId="19058"/>
    <cellStyle name="Обычный 4 9 13" xfId="20753"/>
    <cellStyle name="Обычный 4 9 14" xfId="22365"/>
    <cellStyle name="Обычный 4 9 2" xfId="12228"/>
    <cellStyle name="Обычный 4 9 2 10" xfId="12229"/>
    <cellStyle name="Обычный 4 9 2 11" xfId="19059"/>
    <cellStyle name="Обычный 4 9 2 12" xfId="20754"/>
    <cellStyle name="Обычный 4 9 2 13" xfId="22366"/>
    <cellStyle name="Обычный 4 9 2 2" xfId="12230"/>
    <cellStyle name="Обычный 4 9 2 2 2" xfId="12231"/>
    <cellStyle name="Обычный 4 9 2 3" xfId="12232"/>
    <cellStyle name="Обычный 4 9 2 4" xfId="12233"/>
    <cellStyle name="Обычный 4 9 2 5" xfId="12234"/>
    <cellStyle name="Обычный 4 9 2 6" xfId="12235"/>
    <cellStyle name="Обычный 4 9 2 7" xfId="12236"/>
    <cellStyle name="Обычный 4 9 2 8" xfId="12237"/>
    <cellStyle name="Обычный 4 9 2 9" xfId="12238"/>
    <cellStyle name="Обычный 4 9 3" xfId="12239"/>
    <cellStyle name="Обычный 4 9 3 2" xfId="12240"/>
    <cellStyle name="Обычный 4 9 4" xfId="12241"/>
    <cellStyle name="Обычный 4 9 5" xfId="12242"/>
    <cellStyle name="Обычный 4 9 6" xfId="12243"/>
    <cellStyle name="Обычный 4 9 7" xfId="12244"/>
    <cellStyle name="Обычный 4 9 8" xfId="12245"/>
    <cellStyle name="Обычный 4 9 9" xfId="12246"/>
    <cellStyle name="Обычный 4_5. общ.V" xfId="12247"/>
    <cellStyle name="Обычный 5" xfId="12248"/>
    <cellStyle name="Обычный 5 2" xfId="12249"/>
    <cellStyle name="Обычный 5 2 10" xfId="12250"/>
    <cellStyle name="Обычный 5 2 10 10" xfId="12251"/>
    <cellStyle name="Обычный 5 2 10 11" xfId="12252"/>
    <cellStyle name="Обычный 5 2 10 12" xfId="19062"/>
    <cellStyle name="Обычный 5 2 10 13" xfId="20756"/>
    <cellStyle name="Обычный 5 2 10 14" xfId="22368"/>
    <cellStyle name="Обычный 5 2 10 2" xfId="12253"/>
    <cellStyle name="Обычный 5 2 10 2 10" xfId="12254"/>
    <cellStyle name="Обычный 5 2 10 2 11" xfId="19063"/>
    <cellStyle name="Обычный 5 2 10 2 12" xfId="20757"/>
    <cellStyle name="Обычный 5 2 10 2 13" xfId="22369"/>
    <cellStyle name="Обычный 5 2 10 2 2" xfId="12255"/>
    <cellStyle name="Обычный 5 2 10 2 2 2" xfId="12256"/>
    <cellStyle name="Обычный 5 2 10 2 3" xfId="12257"/>
    <cellStyle name="Обычный 5 2 10 2 4" xfId="12258"/>
    <cellStyle name="Обычный 5 2 10 2 5" xfId="12259"/>
    <cellStyle name="Обычный 5 2 10 2 6" xfId="12260"/>
    <cellStyle name="Обычный 5 2 10 2 7" xfId="12261"/>
    <cellStyle name="Обычный 5 2 10 2 8" xfId="12262"/>
    <cellStyle name="Обычный 5 2 10 2 9" xfId="12263"/>
    <cellStyle name="Обычный 5 2 10 3" xfId="12264"/>
    <cellStyle name="Обычный 5 2 10 3 2" xfId="12265"/>
    <cellStyle name="Обычный 5 2 10 4" xfId="12266"/>
    <cellStyle name="Обычный 5 2 10 5" xfId="12267"/>
    <cellStyle name="Обычный 5 2 10 6" xfId="12268"/>
    <cellStyle name="Обычный 5 2 10 7" xfId="12269"/>
    <cellStyle name="Обычный 5 2 10 8" xfId="12270"/>
    <cellStyle name="Обычный 5 2 10 9" xfId="12271"/>
    <cellStyle name="Обычный 5 2 11" xfId="12272"/>
    <cellStyle name="Обычный 5 2 11 10" xfId="12273"/>
    <cellStyle name="Обычный 5 2 11 11" xfId="19064"/>
    <cellStyle name="Обычный 5 2 11 12" xfId="20758"/>
    <cellStyle name="Обычный 5 2 11 13" xfId="22370"/>
    <cellStyle name="Обычный 5 2 11 2" xfId="12274"/>
    <cellStyle name="Обычный 5 2 11 2 2" xfId="12275"/>
    <cellStyle name="Обычный 5 2 11 3" xfId="12276"/>
    <cellStyle name="Обычный 5 2 11 4" xfId="12277"/>
    <cellStyle name="Обычный 5 2 11 5" xfId="12278"/>
    <cellStyle name="Обычный 5 2 11 6" xfId="12279"/>
    <cellStyle name="Обычный 5 2 11 7" xfId="12280"/>
    <cellStyle name="Обычный 5 2 11 8" xfId="12281"/>
    <cellStyle name="Обычный 5 2 11 9" xfId="12282"/>
    <cellStyle name="Обычный 5 2 12" xfId="12283"/>
    <cellStyle name="Обычный 5 2 12 10" xfId="20759"/>
    <cellStyle name="Обычный 5 2 12 11" xfId="22371"/>
    <cellStyle name="Обычный 5 2 12 2" xfId="12284"/>
    <cellStyle name="Обычный 5 2 12 2 2" xfId="12285"/>
    <cellStyle name="Обычный 5 2 12 3" xfId="12286"/>
    <cellStyle name="Обычный 5 2 12 4" xfId="12287"/>
    <cellStyle name="Обычный 5 2 12 5" xfId="12288"/>
    <cellStyle name="Обычный 5 2 12 6" xfId="12289"/>
    <cellStyle name="Обычный 5 2 12 7" xfId="12290"/>
    <cellStyle name="Обычный 5 2 12 8" xfId="12291"/>
    <cellStyle name="Обычный 5 2 12 9" xfId="19065"/>
    <cellStyle name="Обычный 5 2 13" xfId="12292"/>
    <cellStyle name="Обычный 5 2 13 10" xfId="20760"/>
    <cellStyle name="Обычный 5 2 13 11" xfId="22372"/>
    <cellStyle name="Обычный 5 2 13 2" xfId="12293"/>
    <cellStyle name="Обычный 5 2 13 2 2" xfId="12294"/>
    <cellStyle name="Обычный 5 2 13 3" xfId="12295"/>
    <cellStyle name="Обычный 5 2 13 4" xfId="12296"/>
    <cellStyle name="Обычный 5 2 13 5" xfId="12297"/>
    <cellStyle name="Обычный 5 2 13 6" xfId="12298"/>
    <cellStyle name="Обычный 5 2 13 7" xfId="12299"/>
    <cellStyle name="Обычный 5 2 13 8" xfId="12300"/>
    <cellStyle name="Обычный 5 2 13 9" xfId="19066"/>
    <cellStyle name="Обычный 5 2 14" xfId="12301"/>
    <cellStyle name="Обычный 5 2 14 2" xfId="12302"/>
    <cellStyle name="Обычный 5 2 15" xfId="12303"/>
    <cellStyle name="Обычный 5 2 16" xfId="12304"/>
    <cellStyle name="Обычный 5 2 17" xfId="12305"/>
    <cellStyle name="Обычный 5 2 18" xfId="12306"/>
    <cellStyle name="Обычный 5 2 19" xfId="12307"/>
    <cellStyle name="Обычный 5 2 2" xfId="12308"/>
    <cellStyle name="Обычный 5 2 2 10" xfId="12309"/>
    <cellStyle name="Обычный 5 2 2 10 2" xfId="12310"/>
    <cellStyle name="Обычный 5 2 2 11" xfId="12311"/>
    <cellStyle name="Обычный 5 2 2 12" xfId="12312"/>
    <cellStyle name="Обычный 5 2 2 13" xfId="12313"/>
    <cellStyle name="Обычный 5 2 2 14" xfId="12314"/>
    <cellStyle name="Обычный 5 2 2 15" xfId="12315"/>
    <cellStyle name="Обычный 5 2 2 16" xfId="12316"/>
    <cellStyle name="Обычный 5 2 2 17" xfId="12317"/>
    <cellStyle name="Обычный 5 2 2 18" xfId="12318"/>
    <cellStyle name="Обычный 5 2 2 19" xfId="12319"/>
    <cellStyle name="Обычный 5 2 2 2" xfId="12320"/>
    <cellStyle name="Обычный 5 2 2 2 10" xfId="12321"/>
    <cellStyle name="Обычный 5 2 2 2 11" xfId="12322"/>
    <cellStyle name="Обычный 5 2 2 2 12" xfId="12323"/>
    <cellStyle name="Обычный 5 2 2 2 13" xfId="12324"/>
    <cellStyle name="Обычный 5 2 2 2 14" xfId="12325"/>
    <cellStyle name="Обычный 5 2 2 2 15" xfId="12326"/>
    <cellStyle name="Обычный 5 2 2 2 16" xfId="12327"/>
    <cellStyle name="Обычный 5 2 2 2 17" xfId="12328"/>
    <cellStyle name="Обычный 5 2 2 2 18" xfId="19068"/>
    <cellStyle name="Обычный 5 2 2 2 19" xfId="20762"/>
    <cellStyle name="Обычный 5 2 2 2 2" xfId="12329"/>
    <cellStyle name="Обычный 5 2 2 2 2 10" xfId="12330"/>
    <cellStyle name="Обычный 5 2 2 2 2 11" xfId="12331"/>
    <cellStyle name="Обычный 5 2 2 2 2 12" xfId="19069"/>
    <cellStyle name="Обычный 5 2 2 2 2 13" xfId="20763"/>
    <cellStyle name="Обычный 5 2 2 2 2 14" xfId="22375"/>
    <cellStyle name="Обычный 5 2 2 2 2 2" xfId="12332"/>
    <cellStyle name="Обычный 5 2 2 2 2 2 10" xfId="12333"/>
    <cellStyle name="Обычный 5 2 2 2 2 2 11" xfId="19070"/>
    <cellStyle name="Обычный 5 2 2 2 2 2 12" xfId="20764"/>
    <cellStyle name="Обычный 5 2 2 2 2 2 13" xfId="22376"/>
    <cellStyle name="Обычный 5 2 2 2 2 2 2" xfId="12334"/>
    <cellStyle name="Обычный 5 2 2 2 2 2 2 2" xfId="12335"/>
    <cellStyle name="Обычный 5 2 2 2 2 2 3" xfId="12336"/>
    <cellStyle name="Обычный 5 2 2 2 2 2 4" xfId="12337"/>
    <cellStyle name="Обычный 5 2 2 2 2 2 5" xfId="12338"/>
    <cellStyle name="Обычный 5 2 2 2 2 2 6" xfId="12339"/>
    <cellStyle name="Обычный 5 2 2 2 2 2 7" xfId="12340"/>
    <cellStyle name="Обычный 5 2 2 2 2 2 8" xfId="12341"/>
    <cellStyle name="Обычный 5 2 2 2 2 2 9" xfId="12342"/>
    <cellStyle name="Обычный 5 2 2 2 2 3" xfId="12343"/>
    <cellStyle name="Обычный 5 2 2 2 2 3 2" xfId="12344"/>
    <cellStyle name="Обычный 5 2 2 2 2 4" xfId="12345"/>
    <cellStyle name="Обычный 5 2 2 2 2 5" xfId="12346"/>
    <cellStyle name="Обычный 5 2 2 2 2 6" xfId="12347"/>
    <cellStyle name="Обычный 5 2 2 2 2 7" xfId="12348"/>
    <cellStyle name="Обычный 5 2 2 2 2 8" xfId="12349"/>
    <cellStyle name="Обычный 5 2 2 2 2 9" xfId="12350"/>
    <cellStyle name="Обычный 5 2 2 2 20" xfId="22374"/>
    <cellStyle name="Обычный 5 2 2 2 3" xfId="12351"/>
    <cellStyle name="Обычный 5 2 2 2 3 10" xfId="12352"/>
    <cellStyle name="Обычный 5 2 2 2 3 11" xfId="12353"/>
    <cellStyle name="Обычный 5 2 2 2 3 12" xfId="19071"/>
    <cellStyle name="Обычный 5 2 2 2 3 13" xfId="20765"/>
    <cellStyle name="Обычный 5 2 2 2 3 14" xfId="22377"/>
    <cellStyle name="Обычный 5 2 2 2 3 2" xfId="12354"/>
    <cellStyle name="Обычный 5 2 2 2 3 2 10" xfId="12355"/>
    <cellStyle name="Обычный 5 2 2 2 3 2 11" xfId="19072"/>
    <cellStyle name="Обычный 5 2 2 2 3 2 12" xfId="20766"/>
    <cellStyle name="Обычный 5 2 2 2 3 2 13" xfId="22378"/>
    <cellStyle name="Обычный 5 2 2 2 3 2 2" xfId="12356"/>
    <cellStyle name="Обычный 5 2 2 2 3 2 2 2" xfId="12357"/>
    <cellStyle name="Обычный 5 2 2 2 3 2 3" xfId="12358"/>
    <cellStyle name="Обычный 5 2 2 2 3 2 4" xfId="12359"/>
    <cellStyle name="Обычный 5 2 2 2 3 2 5" xfId="12360"/>
    <cellStyle name="Обычный 5 2 2 2 3 2 6" xfId="12361"/>
    <cellStyle name="Обычный 5 2 2 2 3 2 7" xfId="12362"/>
    <cellStyle name="Обычный 5 2 2 2 3 2 8" xfId="12363"/>
    <cellStyle name="Обычный 5 2 2 2 3 2 9" xfId="12364"/>
    <cellStyle name="Обычный 5 2 2 2 3 3" xfId="12365"/>
    <cellStyle name="Обычный 5 2 2 2 3 3 2" xfId="12366"/>
    <cellStyle name="Обычный 5 2 2 2 3 4" xfId="12367"/>
    <cellStyle name="Обычный 5 2 2 2 3 5" xfId="12368"/>
    <cellStyle name="Обычный 5 2 2 2 3 6" xfId="12369"/>
    <cellStyle name="Обычный 5 2 2 2 3 7" xfId="12370"/>
    <cellStyle name="Обычный 5 2 2 2 3 8" xfId="12371"/>
    <cellStyle name="Обычный 5 2 2 2 3 9" xfId="12372"/>
    <cellStyle name="Обычный 5 2 2 2 4" xfId="12373"/>
    <cellStyle name="Обычный 5 2 2 2 4 10" xfId="12374"/>
    <cellStyle name="Обычный 5 2 2 2 4 11" xfId="12375"/>
    <cellStyle name="Обычный 5 2 2 2 4 12" xfId="19073"/>
    <cellStyle name="Обычный 5 2 2 2 4 13" xfId="20767"/>
    <cellStyle name="Обычный 5 2 2 2 4 14" xfId="22379"/>
    <cellStyle name="Обычный 5 2 2 2 4 2" xfId="12376"/>
    <cellStyle name="Обычный 5 2 2 2 4 2 10" xfId="12377"/>
    <cellStyle name="Обычный 5 2 2 2 4 2 11" xfId="19074"/>
    <cellStyle name="Обычный 5 2 2 2 4 2 12" xfId="20768"/>
    <cellStyle name="Обычный 5 2 2 2 4 2 13" xfId="22380"/>
    <cellStyle name="Обычный 5 2 2 2 4 2 2" xfId="12378"/>
    <cellStyle name="Обычный 5 2 2 2 4 2 2 2" xfId="12379"/>
    <cellStyle name="Обычный 5 2 2 2 4 2 3" xfId="12380"/>
    <cellStyle name="Обычный 5 2 2 2 4 2 4" xfId="12381"/>
    <cellStyle name="Обычный 5 2 2 2 4 2 5" xfId="12382"/>
    <cellStyle name="Обычный 5 2 2 2 4 2 6" xfId="12383"/>
    <cellStyle name="Обычный 5 2 2 2 4 2 7" xfId="12384"/>
    <cellStyle name="Обычный 5 2 2 2 4 2 8" xfId="12385"/>
    <cellStyle name="Обычный 5 2 2 2 4 2 9" xfId="12386"/>
    <cellStyle name="Обычный 5 2 2 2 4 3" xfId="12387"/>
    <cellStyle name="Обычный 5 2 2 2 4 3 2" xfId="12388"/>
    <cellStyle name="Обычный 5 2 2 2 4 4" xfId="12389"/>
    <cellStyle name="Обычный 5 2 2 2 4 5" xfId="12390"/>
    <cellStyle name="Обычный 5 2 2 2 4 6" xfId="12391"/>
    <cellStyle name="Обычный 5 2 2 2 4 7" xfId="12392"/>
    <cellStyle name="Обычный 5 2 2 2 4 8" xfId="12393"/>
    <cellStyle name="Обычный 5 2 2 2 4 9" xfId="12394"/>
    <cellStyle name="Обычный 5 2 2 2 5" xfId="12395"/>
    <cellStyle name="Обычный 5 2 2 2 5 10" xfId="12396"/>
    <cellStyle name="Обычный 5 2 2 2 5 11" xfId="12397"/>
    <cellStyle name="Обычный 5 2 2 2 5 12" xfId="19075"/>
    <cellStyle name="Обычный 5 2 2 2 5 13" xfId="20769"/>
    <cellStyle name="Обычный 5 2 2 2 5 14" xfId="22381"/>
    <cellStyle name="Обычный 5 2 2 2 5 2" xfId="12398"/>
    <cellStyle name="Обычный 5 2 2 2 5 2 10" xfId="12399"/>
    <cellStyle name="Обычный 5 2 2 2 5 2 11" xfId="19076"/>
    <cellStyle name="Обычный 5 2 2 2 5 2 12" xfId="20770"/>
    <cellStyle name="Обычный 5 2 2 2 5 2 13" xfId="22382"/>
    <cellStyle name="Обычный 5 2 2 2 5 2 2" xfId="12400"/>
    <cellStyle name="Обычный 5 2 2 2 5 2 2 2" xfId="12401"/>
    <cellStyle name="Обычный 5 2 2 2 5 2 3" xfId="12402"/>
    <cellStyle name="Обычный 5 2 2 2 5 2 4" xfId="12403"/>
    <cellStyle name="Обычный 5 2 2 2 5 2 5" xfId="12404"/>
    <cellStyle name="Обычный 5 2 2 2 5 2 6" xfId="12405"/>
    <cellStyle name="Обычный 5 2 2 2 5 2 7" xfId="12406"/>
    <cellStyle name="Обычный 5 2 2 2 5 2 8" xfId="12407"/>
    <cellStyle name="Обычный 5 2 2 2 5 2 9" xfId="12408"/>
    <cellStyle name="Обычный 5 2 2 2 5 3" xfId="12409"/>
    <cellStyle name="Обычный 5 2 2 2 5 3 2" xfId="12410"/>
    <cellStyle name="Обычный 5 2 2 2 5 4" xfId="12411"/>
    <cellStyle name="Обычный 5 2 2 2 5 5" xfId="12412"/>
    <cellStyle name="Обычный 5 2 2 2 5 6" xfId="12413"/>
    <cellStyle name="Обычный 5 2 2 2 5 7" xfId="12414"/>
    <cellStyle name="Обычный 5 2 2 2 5 8" xfId="12415"/>
    <cellStyle name="Обычный 5 2 2 2 5 9" xfId="12416"/>
    <cellStyle name="Обычный 5 2 2 2 6" xfId="12417"/>
    <cellStyle name="Обычный 5 2 2 2 6 10" xfId="12418"/>
    <cellStyle name="Обычный 5 2 2 2 6 11" xfId="19077"/>
    <cellStyle name="Обычный 5 2 2 2 6 12" xfId="20771"/>
    <cellStyle name="Обычный 5 2 2 2 6 13" xfId="22383"/>
    <cellStyle name="Обычный 5 2 2 2 6 2" xfId="12419"/>
    <cellStyle name="Обычный 5 2 2 2 6 2 2" xfId="12420"/>
    <cellStyle name="Обычный 5 2 2 2 6 3" xfId="12421"/>
    <cellStyle name="Обычный 5 2 2 2 6 4" xfId="12422"/>
    <cellStyle name="Обычный 5 2 2 2 6 5" xfId="12423"/>
    <cellStyle name="Обычный 5 2 2 2 6 6" xfId="12424"/>
    <cellStyle name="Обычный 5 2 2 2 6 7" xfId="12425"/>
    <cellStyle name="Обычный 5 2 2 2 6 8" xfId="12426"/>
    <cellStyle name="Обычный 5 2 2 2 6 9" xfId="12427"/>
    <cellStyle name="Обычный 5 2 2 2 7" xfId="12428"/>
    <cellStyle name="Обычный 5 2 2 2 7 10" xfId="20772"/>
    <cellStyle name="Обычный 5 2 2 2 7 11" xfId="22384"/>
    <cellStyle name="Обычный 5 2 2 2 7 2" xfId="12429"/>
    <cellStyle name="Обычный 5 2 2 2 7 2 2" xfId="12430"/>
    <cellStyle name="Обычный 5 2 2 2 7 3" xfId="12431"/>
    <cellStyle name="Обычный 5 2 2 2 7 4" xfId="12432"/>
    <cellStyle name="Обычный 5 2 2 2 7 5" xfId="12433"/>
    <cellStyle name="Обычный 5 2 2 2 7 6" xfId="12434"/>
    <cellStyle name="Обычный 5 2 2 2 7 7" xfId="12435"/>
    <cellStyle name="Обычный 5 2 2 2 7 8" xfId="12436"/>
    <cellStyle name="Обычный 5 2 2 2 7 9" xfId="19078"/>
    <cellStyle name="Обычный 5 2 2 2 8" xfId="12437"/>
    <cellStyle name="Обычный 5 2 2 2 8 2" xfId="12438"/>
    <cellStyle name="Обычный 5 2 2 2 9" xfId="12439"/>
    <cellStyle name="Обычный 5 2 2 20" xfId="19067"/>
    <cellStyle name="Обычный 5 2 2 21" xfId="20761"/>
    <cellStyle name="Обычный 5 2 2 22" xfId="22373"/>
    <cellStyle name="Обычный 5 2 2 3" xfId="12440"/>
    <cellStyle name="Обычный 5 2 2 3 10" xfId="12441"/>
    <cellStyle name="Обычный 5 2 2 3 11" xfId="12442"/>
    <cellStyle name="Обычный 5 2 2 3 12" xfId="12443"/>
    <cellStyle name="Обычный 5 2 2 3 13" xfId="12444"/>
    <cellStyle name="Обычный 5 2 2 3 14" xfId="12445"/>
    <cellStyle name="Обычный 5 2 2 3 15" xfId="12446"/>
    <cellStyle name="Обычный 5 2 2 3 16" xfId="12447"/>
    <cellStyle name="Обычный 5 2 2 3 17" xfId="12448"/>
    <cellStyle name="Обычный 5 2 2 3 18" xfId="19079"/>
    <cellStyle name="Обычный 5 2 2 3 19" xfId="20773"/>
    <cellStyle name="Обычный 5 2 2 3 2" xfId="12449"/>
    <cellStyle name="Обычный 5 2 2 3 2 10" xfId="12450"/>
    <cellStyle name="Обычный 5 2 2 3 2 11" xfId="12451"/>
    <cellStyle name="Обычный 5 2 2 3 2 12" xfId="19080"/>
    <cellStyle name="Обычный 5 2 2 3 2 13" xfId="20774"/>
    <cellStyle name="Обычный 5 2 2 3 2 14" xfId="22386"/>
    <cellStyle name="Обычный 5 2 2 3 2 2" xfId="12452"/>
    <cellStyle name="Обычный 5 2 2 3 2 2 10" xfId="12453"/>
    <cellStyle name="Обычный 5 2 2 3 2 2 11" xfId="19081"/>
    <cellStyle name="Обычный 5 2 2 3 2 2 12" xfId="20775"/>
    <cellStyle name="Обычный 5 2 2 3 2 2 13" xfId="22387"/>
    <cellStyle name="Обычный 5 2 2 3 2 2 2" xfId="12454"/>
    <cellStyle name="Обычный 5 2 2 3 2 2 2 2" xfId="12455"/>
    <cellStyle name="Обычный 5 2 2 3 2 2 3" xfId="12456"/>
    <cellStyle name="Обычный 5 2 2 3 2 2 4" xfId="12457"/>
    <cellStyle name="Обычный 5 2 2 3 2 2 5" xfId="12458"/>
    <cellStyle name="Обычный 5 2 2 3 2 2 6" xfId="12459"/>
    <cellStyle name="Обычный 5 2 2 3 2 2 7" xfId="12460"/>
    <cellStyle name="Обычный 5 2 2 3 2 2 8" xfId="12461"/>
    <cellStyle name="Обычный 5 2 2 3 2 2 9" xfId="12462"/>
    <cellStyle name="Обычный 5 2 2 3 2 3" xfId="12463"/>
    <cellStyle name="Обычный 5 2 2 3 2 3 2" xfId="12464"/>
    <cellStyle name="Обычный 5 2 2 3 2 4" xfId="12465"/>
    <cellStyle name="Обычный 5 2 2 3 2 5" xfId="12466"/>
    <cellStyle name="Обычный 5 2 2 3 2 6" xfId="12467"/>
    <cellStyle name="Обычный 5 2 2 3 2 7" xfId="12468"/>
    <cellStyle name="Обычный 5 2 2 3 2 8" xfId="12469"/>
    <cellStyle name="Обычный 5 2 2 3 2 9" xfId="12470"/>
    <cellStyle name="Обычный 5 2 2 3 20" xfId="22385"/>
    <cellStyle name="Обычный 5 2 2 3 3" xfId="12471"/>
    <cellStyle name="Обычный 5 2 2 3 3 10" xfId="12472"/>
    <cellStyle name="Обычный 5 2 2 3 3 11" xfId="12473"/>
    <cellStyle name="Обычный 5 2 2 3 3 12" xfId="19082"/>
    <cellStyle name="Обычный 5 2 2 3 3 13" xfId="20776"/>
    <cellStyle name="Обычный 5 2 2 3 3 14" xfId="22388"/>
    <cellStyle name="Обычный 5 2 2 3 3 2" xfId="12474"/>
    <cellStyle name="Обычный 5 2 2 3 3 2 10" xfId="12475"/>
    <cellStyle name="Обычный 5 2 2 3 3 2 11" xfId="19083"/>
    <cellStyle name="Обычный 5 2 2 3 3 2 12" xfId="20777"/>
    <cellStyle name="Обычный 5 2 2 3 3 2 13" xfId="22389"/>
    <cellStyle name="Обычный 5 2 2 3 3 2 2" xfId="12476"/>
    <cellStyle name="Обычный 5 2 2 3 3 2 2 2" xfId="12477"/>
    <cellStyle name="Обычный 5 2 2 3 3 2 3" xfId="12478"/>
    <cellStyle name="Обычный 5 2 2 3 3 2 4" xfId="12479"/>
    <cellStyle name="Обычный 5 2 2 3 3 2 5" xfId="12480"/>
    <cellStyle name="Обычный 5 2 2 3 3 2 6" xfId="12481"/>
    <cellStyle name="Обычный 5 2 2 3 3 2 7" xfId="12482"/>
    <cellStyle name="Обычный 5 2 2 3 3 2 8" xfId="12483"/>
    <cellStyle name="Обычный 5 2 2 3 3 2 9" xfId="12484"/>
    <cellStyle name="Обычный 5 2 2 3 3 3" xfId="12485"/>
    <cellStyle name="Обычный 5 2 2 3 3 3 2" xfId="12486"/>
    <cellStyle name="Обычный 5 2 2 3 3 4" xfId="12487"/>
    <cellStyle name="Обычный 5 2 2 3 3 5" xfId="12488"/>
    <cellStyle name="Обычный 5 2 2 3 3 6" xfId="12489"/>
    <cellStyle name="Обычный 5 2 2 3 3 7" xfId="12490"/>
    <cellStyle name="Обычный 5 2 2 3 3 8" xfId="12491"/>
    <cellStyle name="Обычный 5 2 2 3 3 9" xfId="12492"/>
    <cellStyle name="Обычный 5 2 2 3 4" xfId="12493"/>
    <cellStyle name="Обычный 5 2 2 3 4 10" xfId="12494"/>
    <cellStyle name="Обычный 5 2 2 3 4 11" xfId="12495"/>
    <cellStyle name="Обычный 5 2 2 3 4 12" xfId="19084"/>
    <cellStyle name="Обычный 5 2 2 3 4 13" xfId="20778"/>
    <cellStyle name="Обычный 5 2 2 3 4 14" xfId="22390"/>
    <cellStyle name="Обычный 5 2 2 3 4 2" xfId="12496"/>
    <cellStyle name="Обычный 5 2 2 3 4 2 10" xfId="12497"/>
    <cellStyle name="Обычный 5 2 2 3 4 2 11" xfId="19085"/>
    <cellStyle name="Обычный 5 2 2 3 4 2 12" xfId="20779"/>
    <cellStyle name="Обычный 5 2 2 3 4 2 13" xfId="22391"/>
    <cellStyle name="Обычный 5 2 2 3 4 2 2" xfId="12498"/>
    <cellStyle name="Обычный 5 2 2 3 4 2 2 2" xfId="12499"/>
    <cellStyle name="Обычный 5 2 2 3 4 2 3" xfId="12500"/>
    <cellStyle name="Обычный 5 2 2 3 4 2 4" xfId="12501"/>
    <cellStyle name="Обычный 5 2 2 3 4 2 5" xfId="12502"/>
    <cellStyle name="Обычный 5 2 2 3 4 2 6" xfId="12503"/>
    <cellStyle name="Обычный 5 2 2 3 4 2 7" xfId="12504"/>
    <cellStyle name="Обычный 5 2 2 3 4 2 8" xfId="12505"/>
    <cellStyle name="Обычный 5 2 2 3 4 2 9" xfId="12506"/>
    <cellStyle name="Обычный 5 2 2 3 4 3" xfId="12507"/>
    <cellStyle name="Обычный 5 2 2 3 4 3 2" xfId="12508"/>
    <cellStyle name="Обычный 5 2 2 3 4 4" xfId="12509"/>
    <cellStyle name="Обычный 5 2 2 3 4 5" xfId="12510"/>
    <cellStyle name="Обычный 5 2 2 3 4 6" xfId="12511"/>
    <cellStyle name="Обычный 5 2 2 3 4 7" xfId="12512"/>
    <cellStyle name="Обычный 5 2 2 3 4 8" xfId="12513"/>
    <cellStyle name="Обычный 5 2 2 3 4 9" xfId="12514"/>
    <cellStyle name="Обычный 5 2 2 3 5" xfId="12515"/>
    <cellStyle name="Обычный 5 2 2 3 5 10" xfId="12516"/>
    <cellStyle name="Обычный 5 2 2 3 5 11" xfId="12517"/>
    <cellStyle name="Обычный 5 2 2 3 5 12" xfId="19086"/>
    <cellStyle name="Обычный 5 2 2 3 5 13" xfId="20780"/>
    <cellStyle name="Обычный 5 2 2 3 5 14" xfId="22392"/>
    <cellStyle name="Обычный 5 2 2 3 5 2" xfId="12518"/>
    <cellStyle name="Обычный 5 2 2 3 5 2 10" xfId="12519"/>
    <cellStyle name="Обычный 5 2 2 3 5 2 11" xfId="19087"/>
    <cellStyle name="Обычный 5 2 2 3 5 2 12" xfId="20781"/>
    <cellStyle name="Обычный 5 2 2 3 5 2 13" xfId="22393"/>
    <cellStyle name="Обычный 5 2 2 3 5 2 2" xfId="12520"/>
    <cellStyle name="Обычный 5 2 2 3 5 2 2 2" xfId="12521"/>
    <cellStyle name="Обычный 5 2 2 3 5 2 3" xfId="12522"/>
    <cellStyle name="Обычный 5 2 2 3 5 2 4" xfId="12523"/>
    <cellStyle name="Обычный 5 2 2 3 5 2 5" xfId="12524"/>
    <cellStyle name="Обычный 5 2 2 3 5 2 6" xfId="12525"/>
    <cellStyle name="Обычный 5 2 2 3 5 2 7" xfId="12526"/>
    <cellStyle name="Обычный 5 2 2 3 5 2 8" xfId="12527"/>
    <cellStyle name="Обычный 5 2 2 3 5 2 9" xfId="12528"/>
    <cellStyle name="Обычный 5 2 2 3 5 3" xfId="12529"/>
    <cellStyle name="Обычный 5 2 2 3 5 3 2" xfId="12530"/>
    <cellStyle name="Обычный 5 2 2 3 5 4" xfId="12531"/>
    <cellStyle name="Обычный 5 2 2 3 5 5" xfId="12532"/>
    <cellStyle name="Обычный 5 2 2 3 5 6" xfId="12533"/>
    <cellStyle name="Обычный 5 2 2 3 5 7" xfId="12534"/>
    <cellStyle name="Обычный 5 2 2 3 5 8" xfId="12535"/>
    <cellStyle name="Обычный 5 2 2 3 5 9" xfId="12536"/>
    <cellStyle name="Обычный 5 2 2 3 6" xfId="12537"/>
    <cellStyle name="Обычный 5 2 2 3 6 10" xfId="12538"/>
    <cellStyle name="Обычный 5 2 2 3 6 11" xfId="19088"/>
    <cellStyle name="Обычный 5 2 2 3 6 12" xfId="20782"/>
    <cellStyle name="Обычный 5 2 2 3 6 13" xfId="22394"/>
    <cellStyle name="Обычный 5 2 2 3 6 2" xfId="12539"/>
    <cellStyle name="Обычный 5 2 2 3 6 2 2" xfId="12540"/>
    <cellStyle name="Обычный 5 2 2 3 6 3" xfId="12541"/>
    <cellStyle name="Обычный 5 2 2 3 6 4" xfId="12542"/>
    <cellStyle name="Обычный 5 2 2 3 6 5" xfId="12543"/>
    <cellStyle name="Обычный 5 2 2 3 6 6" xfId="12544"/>
    <cellStyle name="Обычный 5 2 2 3 6 7" xfId="12545"/>
    <cellStyle name="Обычный 5 2 2 3 6 8" xfId="12546"/>
    <cellStyle name="Обычный 5 2 2 3 6 9" xfId="12547"/>
    <cellStyle name="Обычный 5 2 2 3 7" xfId="12548"/>
    <cellStyle name="Обычный 5 2 2 3 7 10" xfId="20783"/>
    <cellStyle name="Обычный 5 2 2 3 7 11" xfId="22395"/>
    <cellStyle name="Обычный 5 2 2 3 7 2" xfId="12549"/>
    <cellStyle name="Обычный 5 2 2 3 7 2 2" xfId="12550"/>
    <cellStyle name="Обычный 5 2 2 3 7 3" xfId="12551"/>
    <cellStyle name="Обычный 5 2 2 3 7 4" xfId="12552"/>
    <cellStyle name="Обычный 5 2 2 3 7 5" xfId="12553"/>
    <cellStyle name="Обычный 5 2 2 3 7 6" xfId="12554"/>
    <cellStyle name="Обычный 5 2 2 3 7 7" xfId="12555"/>
    <cellStyle name="Обычный 5 2 2 3 7 8" xfId="12556"/>
    <cellStyle name="Обычный 5 2 2 3 7 9" xfId="19089"/>
    <cellStyle name="Обычный 5 2 2 3 8" xfId="12557"/>
    <cellStyle name="Обычный 5 2 2 3 8 2" xfId="12558"/>
    <cellStyle name="Обычный 5 2 2 3 9" xfId="12559"/>
    <cellStyle name="Обычный 5 2 2 4" xfId="12560"/>
    <cellStyle name="Обычный 5 2 2 4 10" xfId="12561"/>
    <cellStyle name="Обычный 5 2 2 4 11" xfId="12562"/>
    <cellStyle name="Обычный 5 2 2 4 12" xfId="19090"/>
    <cellStyle name="Обычный 5 2 2 4 13" xfId="20784"/>
    <cellStyle name="Обычный 5 2 2 4 14" xfId="22396"/>
    <cellStyle name="Обычный 5 2 2 4 2" xfId="12563"/>
    <cellStyle name="Обычный 5 2 2 4 2 10" xfId="12564"/>
    <cellStyle name="Обычный 5 2 2 4 2 11" xfId="19091"/>
    <cellStyle name="Обычный 5 2 2 4 2 12" xfId="20785"/>
    <cellStyle name="Обычный 5 2 2 4 2 13" xfId="22397"/>
    <cellStyle name="Обычный 5 2 2 4 2 2" xfId="12565"/>
    <cellStyle name="Обычный 5 2 2 4 2 2 2" xfId="12566"/>
    <cellStyle name="Обычный 5 2 2 4 2 3" xfId="12567"/>
    <cellStyle name="Обычный 5 2 2 4 2 4" xfId="12568"/>
    <cellStyle name="Обычный 5 2 2 4 2 5" xfId="12569"/>
    <cellStyle name="Обычный 5 2 2 4 2 6" xfId="12570"/>
    <cellStyle name="Обычный 5 2 2 4 2 7" xfId="12571"/>
    <cellStyle name="Обычный 5 2 2 4 2 8" xfId="12572"/>
    <cellStyle name="Обычный 5 2 2 4 2 9" xfId="12573"/>
    <cellStyle name="Обычный 5 2 2 4 3" xfId="12574"/>
    <cellStyle name="Обычный 5 2 2 4 3 2" xfId="12575"/>
    <cellStyle name="Обычный 5 2 2 4 4" xfId="12576"/>
    <cellStyle name="Обычный 5 2 2 4 5" xfId="12577"/>
    <cellStyle name="Обычный 5 2 2 4 6" xfId="12578"/>
    <cellStyle name="Обычный 5 2 2 4 7" xfId="12579"/>
    <cellStyle name="Обычный 5 2 2 4 8" xfId="12580"/>
    <cellStyle name="Обычный 5 2 2 4 9" xfId="12581"/>
    <cellStyle name="Обычный 5 2 2 5" xfId="12582"/>
    <cellStyle name="Обычный 5 2 2 5 10" xfId="12583"/>
    <cellStyle name="Обычный 5 2 2 5 11" xfId="12584"/>
    <cellStyle name="Обычный 5 2 2 5 12" xfId="19092"/>
    <cellStyle name="Обычный 5 2 2 5 13" xfId="20786"/>
    <cellStyle name="Обычный 5 2 2 5 14" xfId="22398"/>
    <cellStyle name="Обычный 5 2 2 5 2" xfId="12585"/>
    <cellStyle name="Обычный 5 2 2 5 2 10" xfId="12586"/>
    <cellStyle name="Обычный 5 2 2 5 2 11" xfId="19093"/>
    <cellStyle name="Обычный 5 2 2 5 2 12" xfId="20787"/>
    <cellStyle name="Обычный 5 2 2 5 2 13" xfId="22399"/>
    <cellStyle name="Обычный 5 2 2 5 2 2" xfId="12587"/>
    <cellStyle name="Обычный 5 2 2 5 2 2 2" xfId="12588"/>
    <cellStyle name="Обычный 5 2 2 5 2 3" xfId="12589"/>
    <cellStyle name="Обычный 5 2 2 5 2 4" xfId="12590"/>
    <cellStyle name="Обычный 5 2 2 5 2 5" xfId="12591"/>
    <cellStyle name="Обычный 5 2 2 5 2 6" xfId="12592"/>
    <cellStyle name="Обычный 5 2 2 5 2 7" xfId="12593"/>
    <cellStyle name="Обычный 5 2 2 5 2 8" xfId="12594"/>
    <cellStyle name="Обычный 5 2 2 5 2 9" xfId="12595"/>
    <cellStyle name="Обычный 5 2 2 5 3" xfId="12596"/>
    <cellStyle name="Обычный 5 2 2 5 3 2" xfId="12597"/>
    <cellStyle name="Обычный 5 2 2 5 4" xfId="12598"/>
    <cellStyle name="Обычный 5 2 2 5 5" xfId="12599"/>
    <cellStyle name="Обычный 5 2 2 5 6" xfId="12600"/>
    <cellStyle name="Обычный 5 2 2 5 7" xfId="12601"/>
    <cellStyle name="Обычный 5 2 2 5 8" xfId="12602"/>
    <cellStyle name="Обычный 5 2 2 5 9" xfId="12603"/>
    <cellStyle name="Обычный 5 2 2 6" xfId="12604"/>
    <cellStyle name="Обычный 5 2 2 6 10" xfId="12605"/>
    <cellStyle name="Обычный 5 2 2 6 11" xfId="12606"/>
    <cellStyle name="Обычный 5 2 2 6 12" xfId="19094"/>
    <cellStyle name="Обычный 5 2 2 6 13" xfId="20788"/>
    <cellStyle name="Обычный 5 2 2 6 14" xfId="22400"/>
    <cellStyle name="Обычный 5 2 2 6 2" xfId="12607"/>
    <cellStyle name="Обычный 5 2 2 6 2 10" xfId="12608"/>
    <cellStyle name="Обычный 5 2 2 6 2 11" xfId="19095"/>
    <cellStyle name="Обычный 5 2 2 6 2 12" xfId="20789"/>
    <cellStyle name="Обычный 5 2 2 6 2 13" xfId="22401"/>
    <cellStyle name="Обычный 5 2 2 6 2 2" xfId="12609"/>
    <cellStyle name="Обычный 5 2 2 6 2 2 2" xfId="12610"/>
    <cellStyle name="Обычный 5 2 2 6 2 3" xfId="12611"/>
    <cellStyle name="Обычный 5 2 2 6 2 4" xfId="12612"/>
    <cellStyle name="Обычный 5 2 2 6 2 5" xfId="12613"/>
    <cellStyle name="Обычный 5 2 2 6 2 6" xfId="12614"/>
    <cellStyle name="Обычный 5 2 2 6 2 7" xfId="12615"/>
    <cellStyle name="Обычный 5 2 2 6 2 8" xfId="12616"/>
    <cellStyle name="Обычный 5 2 2 6 2 9" xfId="12617"/>
    <cellStyle name="Обычный 5 2 2 6 3" xfId="12618"/>
    <cellStyle name="Обычный 5 2 2 6 3 2" xfId="12619"/>
    <cellStyle name="Обычный 5 2 2 6 4" xfId="12620"/>
    <cellStyle name="Обычный 5 2 2 6 5" xfId="12621"/>
    <cellStyle name="Обычный 5 2 2 6 6" xfId="12622"/>
    <cellStyle name="Обычный 5 2 2 6 7" xfId="12623"/>
    <cellStyle name="Обычный 5 2 2 6 8" xfId="12624"/>
    <cellStyle name="Обычный 5 2 2 6 9" xfId="12625"/>
    <cellStyle name="Обычный 5 2 2 7" xfId="12626"/>
    <cellStyle name="Обычный 5 2 2 7 10" xfId="12627"/>
    <cellStyle name="Обычный 5 2 2 7 11" xfId="12628"/>
    <cellStyle name="Обычный 5 2 2 7 12" xfId="19096"/>
    <cellStyle name="Обычный 5 2 2 7 13" xfId="20790"/>
    <cellStyle name="Обычный 5 2 2 7 14" xfId="22402"/>
    <cellStyle name="Обычный 5 2 2 7 2" xfId="12629"/>
    <cellStyle name="Обычный 5 2 2 7 2 10" xfId="12630"/>
    <cellStyle name="Обычный 5 2 2 7 2 11" xfId="19097"/>
    <cellStyle name="Обычный 5 2 2 7 2 12" xfId="20791"/>
    <cellStyle name="Обычный 5 2 2 7 2 13" xfId="22403"/>
    <cellStyle name="Обычный 5 2 2 7 2 2" xfId="12631"/>
    <cellStyle name="Обычный 5 2 2 7 2 2 2" xfId="12632"/>
    <cellStyle name="Обычный 5 2 2 7 2 3" xfId="12633"/>
    <cellStyle name="Обычный 5 2 2 7 2 4" xfId="12634"/>
    <cellStyle name="Обычный 5 2 2 7 2 5" xfId="12635"/>
    <cellStyle name="Обычный 5 2 2 7 2 6" xfId="12636"/>
    <cellStyle name="Обычный 5 2 2 7 2 7" xfId="12637"/>
    <cellStyle name="Обычный 5 2 2 7 2 8" xfId="12638"/>
    <cellStyle name="Обычный 5 2 2 7 2 9" xfId="12639"/>
    <cellStyle name="Обычный 5 2 2 7 3" xfId="12640"/>
    <cellStyle name="Обычный 5 2 2 7 3 2" xfId="12641"/>
    <cellStyle name="Обычный 5 2 2 7 4" xfId="12642"/>
    <cellStyle name="Обычный 5 2 2 7 5" xfId="12643"/>
    <cellStyle name="Обычный 5 2 2 7 6" xfId="12644"/>
    <cellStyle name="Обычный 5 2 2 7 7" xfId="12645"/>
    <cellStyle name="Обычный 5 2 2 7 8" xfId="12646"/>
    <cellStyle name="Обычный 5 2 2 7 9" xfId="12647"/>
    <cellStyle name="Обычный 5 2 2 8" xfId="12648"/>
    <cellStyle name="Обычный 5 2 2 8 10" xfId="12649"/>
    <cellStyle name="Обычный 5 2 2 8 11" xfId="19098"/>
    <cellStyle name="Обычный 5 2 2 8 12" xfId="20792"/>
    <cellStyle name="Обычный 5 2 2 8 13" xfId="22404"/>
    <cellStyle name="Обычный 5 2 2 8 2" xfId="12650"/>
    <cellStyle name="Обычный 5 2 2 8 2 2" xfId="12651"/>
    <cellStyle name="Обычный 5 2 2 8 3" xfId="12652"/>
    <cellStyle name="Обычный 5 2 2 8 4" xfId="12653"/>
    <cellStyle name="Обычный 5 2 2 8 5" xfId="12654"/>
    <cellStyle name="Обычный 5 2 2 8 6" xfId="12655"/>
    <cellStyle name="Обычный 5 2 2 8 7" xfId="12656"/>
    <cellStyle name="Обычный 5 2 2 8 8" xfId="12657"/>
    <cellStyle name="Обычный 5 2 2 8 9" xfId="12658"/>
    <cellStyle name="Обычный 5 2 2 9" xfId="12659"/>
    <cellStyle name="Обычный 5 2 2 9 10" xfId="20793"/>
    <cellStyle name="Обычный 5 2 2 9 11" xfId="22405"/>
    <cellStyle name="Обычный 5 2 2 9 2" xfId="12660"/>
    <cellStyle name="Обычный 5 2 2 9 2 2" xfId="12661"/>
    <cellStyle name="Обычный 5 2 2 9 3" xfId="12662"/>
    <cellStyle name="Обычный 5 2 2 9 4" xfId="12663"/>
    <cellStyle name="Обычный 5 2 2 9 5" xfId="12664"/>
    <cellStyle name="Обычный 5 2 2 9 6" xfId="12665"/>
    <cellStyle name="Обычный 5 2 2 9 7" xfId="12666"/>
    <cellStyle name="Обычный 5 2 2 9 8" xfId="12667"/>
    <cellStyle name="Обычный 5 2 2 9 9" xfId="19099"/>
    <cellStyle name="Обычный 5 2 20" xfId="12668"/>
    <cellStyle name="Обычный 5 2 21" xfId="12669"/>
    <cellStyle name="Обычный 5 2 22" xfId="12670"/>
    <cellStyle name="Обычный 5 2 23" xfId="12671"/>
    <cellStyle name="Обычный 5 2 24" xfId="19061"/>
    <cellStyle name="Обычный 5 2 25" xfId="19638"/>
    <cellStyle name="Обычный 5 2 26" xfId="20755"/>
    <cellStyle name="Обычный 5 2 27" xfId="22367"/>
    <cellStyle name="Обычный 5 2 3" xfId="12672"/>
    <cellStyle name="Обычный 5 2 3 10" xfId="12673"/>
    <cellStyle name="Обычный 5 2 3 11" xfId="12674"/>
    <cellStyle name="Обычный 5 2 3 12" xfId="12675"/>
    <cellStyle name="Обычный 5 2 3 13" xfId="12676"/>
    <cellStyle name="Обычный 5 2 3 14" xfId="12677"/>
    <cellStyle name="Обычный 5 2 3 15" xfId="12678"/>
    <cellStyle name="Обычный 5 2 3 16" xfId="12679"/>
    <cellStyle name="Обычный 5 2 3 17" xfId="12680"/>
    <cellStyle name="Обычный 5 2 3 18" xfId="19100"/>
    <cellStyle name="Обычный 5 2 3 19" xfId="20794"/>
    <cellStyle name="Обычный 5 2 3 2" xfId="12681"/>
    <cellStyle name="Обычный 5 2 3 2 10" xfId="12682"/>
    <cellStyle name="Обычный 5 2 3 2 11" xfId="12683"/>
    <cellStyle name="Обычный 5 2 3 2 12" xfId="19101"/>
    <cellStyle name="Обычный 5 2 3 2 13" xfId="20795"/>
    <cellStyle name="Обычный 5 2 3 2 14" xfId="22407"/>
    <cellStyle name="Обычный 5 2 3 2 2" xfId="12684"/>
    <cellStyle name="Обычный 5 2 3 2 2 10" xfId="12685"/>
    <cellStyle name="Обычный 5 2 3 2 2 11" xfId="19102"/>
    <cellStyle name="Обычный 5 2 3 2 2 12" xfId="20796"/>
    <cellStyle name="Обычный 5 2 3 2 2 13" xfId="22408"/>
    <cellStyle name="Обычный 5 2 3 2 2 2" xfId="12686"/>
    <cellStyle name="Обычный 5 2 3 2 2 2 2" xfId="12687"/>
    <cellStyle name="Обычный 5 2 3 2 2 3" xfId="12688"/>
    <cellStyle name="Обычный 5 2 3 2 2 4" xfId="12689"/>
    <cellStyle name="Обычный 5 2 3 2 2 5" xfId="12690"/>
    <cellStyle name="Обычный 5 2 3 2 2 6" xfId="12691"/>
    <cellStyle name="Обычный 5 2 3 2 2 7" xfId="12692"/>
    <cellStyle name="Обычный 5 2 3 2 2 8" xfId="12693"/>
    <cellStyle name="Обычный 5 2 3 2 2 9" xfId="12694"/>
    <cellStyle name="Обычный 5 2 3 2 3" xfId="12695"/>
    <cellStyle name="Обычный 5 2 3 2 3 2" xfId="12696"/>
    <cellStyle name="Обычный 5 2 3 2 4" xfId="12697"/>
    <cellStyle name="Обычный 5 2 3 2 5" xfId="12698"/>
    <cellStyle name="Обычный 5 2 3 2 6" xfId="12699"/>
    <cellStyle name="Обычный 5 2 3 2 7" xfId="12700"/>
    <cellStyle name="Обычный 5 2 3 2 8" xfId="12701"/>
    <cellStyle name="Обычный 5 2 3 2 9" xfId="12702"/>
    <cellStyle name="Обычный 5 2 3 20" xfId="22406"/>
    <cellStyle name="Обычный 5 2 3 3" xfId="12703"/>
    <cellStyle name="Обычный 5 2 3 3 10" xfId="12704"/>
    <cellStyle name="Обычный 5 2 3 3 11" xfId="12705"/>
    <cellStyle name="Обычный 5 2 3 3 12" xfId="19103"/>
    <cellStyle name="Обычный 5 2 3 3 13" xfId="20797"/>
    <cellStyle name="Обычный 5 2 3 3 14" xfId="22409"/>
    <cellStyle name="Обычный 5 2 3 3 2" xfId="12706"/>
    <cellStyle name="Обычный 5 2 3 3 2 10" xfId="12707"/>
    <cellStyle name="Обычный 5 2 3 3 2 11" xfId="19104"/>
    <cellStyle name="Обычный 5 2 3 3 2 12" xfId="20798"/>
    <cellStyle name="Обычный 5 2 3 3 2 13" xfId="22410"/>
    <cellStyle name="Обычный 5 2 3 3 2 2" xfId="12708"/>
    <cellStyle name="Обычный 5 2 3 3 2 2 2" xfId="12709"/>
    <cellStyle name="Обычный 5 2 3 3 2 3" xfId="12710"/>
    <cellStyle name="Обычный 5 2 3 3 2 4" xfId="12711"/>
    <cellStyle name="Обычный 5 2 3 3 2 5" xfId="12712"/>
    <cellStyle name="Обычный 5 2 3 3 2 6" xfId="12713"/>
    <cellStyle name="Обычный 5 2 3 3 2 7" xfId="12714"/>
    <cellStyle name="Обычный 5 2 3 3 2 8" xfId="12715"/>
    <cellStyle name="Обычный 5 2 3 3 2 9" xfId="12716"/>
    <cellStyle name="Обычный 5 2 3 3 3" xfId="12717"/>
    <cellStyle name="Обычный 5 2 3 3 3 2" xfId="12718"/>
    <cellStyle name="Обычный 5 2 3 3 4" xfId="12719"/>
    <cellStyle name="Обычный 5 2 3 3 5" xfId="12720"/>
    <cellStyle name="Обычный 5 2 3 3 6" xfId="12721"/>
    <cellStyle name="Обычный 5 2 3 3 7" xfId="12722"/>
    <cellStyle name="Обычный 5 2 3 3 8" xfId="12723"/>
    <cellStyle name="Обычный 5 2 3 3 9" xfId="12724"/>
    <cellStyle name="Обычный 5 2 3 4" xfId="12725"/>
    <cellStyle name="Обычный 5 2 3 4 10" xfId="12726"/>
    <cellStyle name="Обычный 5 2 3 4 11" xfId="12727"/>
    <cellStyle name="Обычный 5 2 3 4 12" xfId="19105"/>
    <cellStyle name="Обычный 5 2 3 4 13" xfId="20799"/>
    <cellStyle name="Обычный 5 2 3 4 14" xfId="22411"/>
    <cellStyle name="Обычный 5 2 3 4 2" xfId="12728"/>
    <cellStyle name="Обычный 5 2 3 4 2 10" xfId="12729"/>
    <cellStyle name="Обычный 5 2 3 4 2 11" xfId="19106"/>
    <cellStyle name="Обычный 5 2 3 4 2 12" xfId="20800"/>
    <cellStyle name="Обычный 5 2 3 4 2 13" xfId="22412"/>
    <cellStyle name="Обычный 5 2 3 4 2 2" xfId="12730"/>
    <cellStyle name="Обычный 5 2 3 4 2 2 2" xfId="12731"/>
    <cellStyle name="Обычный 5 2 3 4 2 3" xfId="12732"/>
    <cellStyle name="Обычный 5 2 3 4 2 4" xfId="12733"/>
    <cellStyle name="Обычный 5 2 3 4 2 5" xfId="12734"/>
    <cellStyle name="Обычный 5 2 3 4 2 6" xfId="12735"/>
    <cellStyle name="Обычный 5 2 3 4 2 7" xfId="12736"/>
    <cellStyle name="Обычный 5 2 3 4 2 8" xfId="12737"/>
    <cellStyle name="Обычный 5 2 3 4 2 9" xfId="12738"/>
    <cellStyle name="Обычный 5 2 3 4 3" xfId="12739"/>
    <cellStyle name="Обычный 5 2 3 4 3 2" xfId="12740"/>
    <cellStyle name="Обычный 5 2 3 4 4" xfId="12741"/>
    <cellStyle name="Обычный 5 2 3 4 5" xfId="12742"/>
    <cellStyle name="Обычный 5 2 3 4 6" xfId="12743"/>
    <cellStyle name="Обычный 5 2 3 4 7" xfId="12744"/>
    <cellStyle name="Обычный 5 2 3 4 8" xfId="12745"/>
    <cellStyle name="Обычный 5 2 3 4 9" xfId="12746"/>
    <cellStyle name="Обычный 5 2 3 5" xfId="12747"/>
    <cellStyle name="Обычный 5 2 3 5 10" xfId="12748"/>
    <cellStyle name="Обычный 5 2 3 5 11" xfId="12749"/>
    <cellStyle name="Обычный 5 2 3 5 12" xfId="19107"/>
    <cellStyle name="Обычный 5 2 3 5 13" xfId="20801"/>
    <cellStyle name="Обычный 5 2 3 5 14" xfId="22413"/>
    <cellStyle name="Обычный 5 2 3 5 2" xfId="12750"/>
    <cellStyle name="Обычный 5 2 3 5 2 10" xfId="12751"/>
    <cellStyle name="Обычный 5 2 3 5 2 11" xfId="19108"/>
    <cellStyle name="Обычный 5 2 3 5 2 12" xfId="20802"/>
    <cellStyle name="Обычный 5 2 3 5 2 13" xfId="22414"/>
    <cellStyle name="Обычный 5 2 3 5 2 2" xfId="12752"/>
    <cellStyle name="Обычный 5 2 3 5 2 2 2" xfId="12753"/>
    <cellStyle name="Обычный 5 2 3 5 2 3" xfId="12754"/>
    <cellStyle name="Обычный 5 2 3 5 2 4" xfId="12755"/>
    <cellStyle name="Обычный 5 2 3 5 2 5" xfId="12756"/>
    <cellStyle name="Обычный 5 2 3 5 2 6" xfId="12757"/>
    <cellStyle name="Обычный 5 2 3 5 2 7" xfId="12758"/>
    <cellStyle name="Обычный 5 2 3 5 2 8" xfId="12759"/>
    <cellStyle name="Обычный 5 2 3 5 2 9" xfId="12760"/>
    <cellStyle name="Обычный 5 2 3 5 3" xfId="12761"/>
    <cellStyle name="Обычный 5 2 3 5 3 2" xfId="12762"/>
    <cellStyle name="Обычный 5 2 3 5 4" xfId="12763"/>
    <cellStyle name="Обычный 5 2 3 5 5" xfId="12764"/>
    <cellStyle name="Обычный 5 2 3 5 6" xfId="12765"/>
    <cellStyle name="Обычный 5 2 3 5 7" xfId="12766"/>
    <cellStyle name="Обычный 5 2 3 5 8" xfId="12767"/>
    <cellStyle name="Обычный 5 2 3 5 9" xfId="12768"/>
    <cellStyle name="Обычный 5 2 3 6" xfId="12769"/>
    <cellStyle name="Обычный 5 2 3 6 10" xfId="12770"/>
    <cellStyle name="Обычный 5 2 3 6 11" xfId="19109"/>
    <cellStyle name="Обычный 5 2 3 6 12" xfId="20803"/>
    <cellStyle name="Обычный 5 2 3 6 13" xfId="22415"/>
    <cellStyle name="Обычный 5 2 3 6 2" xfId="12771"/>
    <cellStyle name="Обычный 5 2 3 6 2 2" xfId="12772"/>
    <cellStyle name="Обычный 5 2 3 6 3" xfId="12773"/>
    <cellStyle name="Обычный 5 2 3 6 4" xfId="12774"/>
    <cellStyle name="Обычный 5 2 3 6 5" xfId="12775"/>
    <cellStyle name="Обычный 5 2 3 6 6" xfId="12776"/>
    <cellStyle name="Обычный 5 2 3 6 7" xfId="12777"/>
    <cellStyle name="Обычный 5 2 3 6 8" xfId="12778"/>
    <cellStyle name="Обычный 5 2 3 6 9" xfId="12779"/>
    <cellStyle name="Обычный 5 2 3 7" xfId="12780"/>
    <cellStyle name="Обычный 5 2 3 7 10" xfId="20804"/>
    <cellStyle name="Обычный 5 2 3 7 11" xfId="22416"/>
    <cellStyle name="Обычный 5 2 3 7 2" xfId="12781"/>
    <cellStyle name="Обычный 5 2 3 7 2 2" xfId="12782"/>
    <cellStyle name="Обычный 5 2 3 7 3" xfId="12783"/>
    <cellStyle name="Обычный 5 2 3 7 4" xfId="12784"/>
    <cellStyle name="Обычный 5 2 3 7 5" xfId="12785"/>
    <cellStyle name="Обычный 5 2 3 7 6" xfId="12786"/>
    <cellStyle name="Обычный 5 2 3 7 7" xfId="12787"/>
    <cellStyle name="Обычный 5 2 3 7 8" xfId="12788"/>
    <cellStyle name="Обычный 5 2 3 7 9" xfId="19110"/>
    <cellStyle name="Обычный 5 2 3 8" xfId="12789"/>
    <cellStyle name="Обычный 5 2 3 8 2" xfId="12790"/>
    <cellStyle name="Обычный 5 2 3 9" xfId="12791"/>
    <cellStyle name="Обычный 5 2 4" xfId="12792"/>
    <cellStyle name="Обычный 5 2 4 10" xfId="12793"/>
    <cellStyle name="Обычный 5 2 4 11" xfId="12794"/>
    <cellStyle name="Обычный 5 2 4 12" xfId="12795"/>
    <cellStyle name="Обычный 5 2 4 13" xfId="12796"/>
    <cellStyle name="Обычный 5 2 4 14" xfId="12797"/>
    <cellStyle name="Обычный 5 2 4 15" xfId="12798"/>
    <cellStyle name="Обычный 5 2 4 16" xfId="12799"/>
    <cellStyle name="Обычный 5 2 4 17" xfId="12800"/>
    <cellStyle name="Обычный 5 2 4 18" xfId="19111"/>
    <cellStyle name="Обычный 5 2 4 19" xfId="20805"/>
    <cellStyle name="Обычный 5 2 4 2" xfId="12801"/>
    <cellStyle name="Обычный 5 2 4 2 10" xfId="12802"/>
    <cellStyle name="Обычный 5 2 4 2 11" xfId="12803"/>
    <cellStyle name="Обычный 5 2 4 2 12" xfId="19112"/>
    <cellStyle name="Обычный 5 2 4 2 13" xfId="20806"/>
    <cellStyle name="Обычный 5 2 4 2 14" xfId="22418"/>
    <cellStyle name="Обычный 5 2 4 2 2" xfId="12804"/>
    <cellStyle name="Обычный 5 2 4 2 2 10" xfId="12805"/>
    <cellStyle name="Обычный 5 2 4 2 2 11" xfId="19113"/>
    <cellStyle name="Обычный 5 2 4 2 2 12" xfId="20807"/>
    <cellStyle name="Обычный 5 2 4 2 2 13" xfId="22419"/>
    <cellStyle name="Обычный 5 2 4 2 2 2" xfId="12806"/>
    <cellStyle name="Обычный 5 2 4 2 2 2 2" xfId="12807"/>
    <cellStyle name="Обычный 5 2 4 2 2 3" xfId="12808"/>
    <cellStyle name="Обычный 5 2 4 2 2 4" xfId="12809"/>
    <cellStyle name="Обычный 5 2 4 2 2 5" xfId="12810"/>
    <cellStyle name="Обычный 5 2 4 2 2 6" xfId="12811"/>
    <cellStyle name="Обычный 5 2 4 2 2 7" xfId="12812"/>
    <cellStyle name="Обычный 5 2 4 2 2 8" xfId="12813"/>
    <cellStyle name="Обычный 5 2 4 2 2 9" xfId="12814"/>
    <cellStyle name="Обычный 5 2 4 2 3" xfId="12815"/>
    <cellStyle name="Обычный 5 2 4 2 3 2" xfId="12816"/>
    <cellStyle name="Обычный 5 2 4 2 4" xfId="12817"/>
    <cellStyle name="Обычный 5 2 4 2 5" xfId="12818"/>
    <cellStyle name="Обычный 5 2 4 2 6" xfId="12819"/>
    <cellStyle name="Обычный 5 2 4 2 7" xfId="12820"/>
    <cellStyle name="Обычный 5 2 4 2 8" xfId="12821"/>
    <cellStyle name="Обычный 5 2 4 2 9" xfId="12822"/>
    <cellStyle name="Обычный 5 2 4 20" xfId="22417"/>
    <cellStyle name="Обычный 5 2 4 3" xfId="12823"/>
    <cellStyle name="Обычный 5 2 4 3 10" xfId="12824"/>
    <cellStyle name="Обычный 5 2 4 3 11" xfId="12825"/>
    <cellStyle name="Обычный 5 2 4 3 12" xfId="19114"/>
    <cellStyle name="Обычный 5 2 4 3 13" xfId="20808"/>
    <cellStyle name="Обычный 5 2 4 3 14" xfId="22420"/>
    <cellStyle name="Обычный 5 2 4 3 2" xfId="12826"/>
    <cellStyle name="Обычный 5 2 4 3 2 10" xfId="12827"/>
    <cellStyle name="Обычный 5 2 4 3 2 11" xfId="19115"/>
    <cellStyle name="Обычный 5 2 4 3 2 12" xfId="20809"/>
    <cellStyle name="Обычный 5 2 4 3 2 13" xfId="22421"/>
    <cellStyle name="Обычный 5 2 4 3 2 2" xfId="12828"/>
    <cellStyle name="Обычный 5 2 4 3 2 2 2" xfId="12829"/>
    <cellStyle name="Обычный 5 2 4 3 2 3" xfId="12830"/>
    <cellStyle name="Обычный 5 2 4 3 2 4" xfId="12831"/>
    <cellStyle name="Обычный 5 2 4 3 2 5" xfId="12832"/>
    <cellStyle name="Обычный 5 2 4 3 2 6" xfId="12833"/>
    <cellStyle name="Обычный 5 2 4 3 2 7" xfId="12834"/>
    <cellStyle name="Обычный 5 2 4 3 2 8" xfId="12835"/>
    <cellStyle name="Обычный 5 2 4 3 2 9" xfId="12836"/>
    <cellStyle name="Обычный 5 2 4 3 3" xfId="12837"/>
    <cellStyle name="Обычный 5 2 4 3 3 2" xfId="12838"/>
    <cellStyle name="Обычный 5 2 4 3 4" xfId="12839"/>
    <cellStyle name="Обычный 5 2 4 3 5" xfId="12840"/>
    <cellStyle name="Обычный 5 2 4 3 6" xfId="12841"/>
    <cellStyle name="Обычный 5 2 4 3 7" xfId="12842"/>
    <cellStyle name="Обычный 5 2 4 3 8" xfId="12843"/>
    <cellStyle name="Обычный 5 2 4 3 9" xfId="12844"/>
    <cellStyle name="Обычный 5 2 4 4" xfId="12845"/>
    <cellStyle name="Обычный 5 2 4 4 10" xfId="12846"/>
    <cellStyle name="Обычный 5 2 4 4 11" xfId="12847"/>
    <cellStyle name="Обычный 5 2 4 4 12" xfId="19116"/>
    <cellStyle name="Обычный 5 2 4 4 13" xfId="20810"/>
    <cellStyle name="Обычный 5 2 4 4 14" xfId="22422"/>
    <cellStyle name="Обычный 5 2 4 4 2" xfId="12848"/>
    <cellStyle name="Обычный 5 2 4 4 2 10" xfId="12849"/>
    <cellStyle name="Обычный 5 2 4 4 2 11" xfId="19117"/>
    <cellStyle name="Обычный 5 2 4 4 2 12" xfId="20811"/>
    <cellStyle name="Обычный 5 2 4 4 2 13" xfId="22423"/>
    <cellStyle name="Обычный 5 2 4 4 2 2" xfId="12850"/>
    <cellStyle name="Обычный 5 2 4 4 2 2 2" xfId="12851"/>
    <cellStyle name="Обычный 5 2 4 4 2 3" xfId="12852"/>
    <cellStyle name="Обычный 5 2 4 4 2 4" xfId="12853"/>
    <cellStyle name="Обычный 5 2 4 4 2 5" xfId="12854"/>
    <cellStyle name="Обычный 5 2 4 4 2 6" xfId="12855"/>
    <cellStyle name="Обычный 5 2 4 4 2 7" xfId="12856"/>
    <cellStyle name="Обычный 5 2 4 4 2 8" xfId="12857"/>
    <cellStyle name="Обычный 5 2 4 4 2 9" xfId="12858"/>
    <cellStyle name="Обычный 5 2 4 4 3" xfId="12859"/>
    <cellStyle name="Обычный 5 2 4 4 3 2" xfId="12860"/>
    <cellStyle name="Обычный 5 2 4 4 4" xfId="12861"/>
    <cellStyle name="Обычный 5 2 4 4 5" xfId="12862"/>
    <cellStyle name="Обычный 5 2 4 4 6" xfId="12863"/>
    <cellStyle name="Обычный 5 2 4 4 7" xfId="12864"/>
    <cellStyle name="Обычный 5 2 4 4 8" xfId="12865"/>
    <cellStyle name="Обычный 5 2 4 4 9" xfId="12866"/>
    <cellStyle name="Обычный 5 2 4 5" xfId="12867"/>
    <cellStyle name="Обычный 5 2 4 5 10" xfId="12868"/>
    <cellStyle name="Обычный 5 2 4 5 11" xfId="12869"/>
    <cellStyle name="Обычный 5 2 4 5 12" xfId="19118"/>
    <cellStyle name="Обычный 5 2 4 5 13" xfId="20812"/>
    <cellStyle name="Обычный 5 2 4 5 14" xfId="22424"/>
    <cellStyle name="Обычный 5 2 4 5 2" xfId="12870"/>
    <cellStyle name="Обычный 5 2 4 5 2 10" xfId="12871"/>
    <cellStyle name="Обычный 5 2 4 5 2 11" xfId="19119"/>
    <cellStyle name="Обычный 5 2 4 5 2 12" xfId="20813"/>
    <cellStyle name="Обычный 5 2 4 5 2 13" xfId="22425"/>
    <cellStyle name="Обычный 5 2 4 5 2 2" xfId="12872"/>
    <cellStyle name="Обычный 5 2 4 5 2 2 2" xfId="12873"/>
    <cellStyle name="Обычный 5 2 4 5 2 3" xfId="12874"/>
    <cellStyle name="Обычный 5 2 4 5 2 4" xfId="12875"/>
    <cellStyle name="Обычный 5 2 4 5 2 5" xfId="12876"/>
    <cellStyle name="Обычный 5 2 4 5 2 6" xfId="12877"/>
    <cellStyle name="Обычный 5 2 4 5 2 7" xfId="12878"/>
    <cellStyle name="Обычный 5 2 4 5 2 8" xfId="12879"/>
    <cellStyle name="Обычный 5 2 4 5 2 9" xfId="12880"/>
    <cellStyle name="Обычный 5 2 4 5 3" xfId="12881"/>
    <cellStyle name="Обычный 5 2 4 5 3 2" xfId="12882"/>
    <cellStyle name="Обычный 5 2 4 5 4" xfId="12883"/>
    <cellStyle name="Обычный 5 2 4 5 5" xfId="12884"/>
    <cellStyle name="Обычный 5 2 4 5 6" xfId="12885"/>
    <cellStyle name="Обычный 5 2 4 5 7" xfId="12886"/>
    <cellStyle name="Обычный 5 2 4 5 8" xfId="12887"/>
    <cellStyle name="Обычный 5 2 4 5 9" xfId="12888"/>
    <cellStyle name="Обычный 5 2 4 6" xfId="12889"/>
    <cellStyle name="Обычный 5 2 4 6 10" xfId="12890"/>
    <cellStyle name="Обычный 5 2 4 6 11" xfId="19120"/>
    <cellStyle name="Обычный 5 2 4 6 12" xfId="20814"/>
    <cellStyle name="Обычный 5 2 4 6 13" xfId="22426"/>
    <cellStyle name="Обычный 5 2 4 6 2" xfId="12891"/>
    <cellStyle name="Обычный 5 2 4 6 2 2" xfId="12892"/>
    <cellStyle name="Обычный 5 2 4 6 3" xfId="12893"/>
    <cellStyle name="Обычный 5 2 4 6 4" xfId="12894"/>
    <cellStyle name="Обычный 5 2 4 6 5" xfId="12895"/>
    <cellStyle name="Обычный 5 2 4 6 6" xfId="12896"/>
    <cellStyle name="Обычный 5 2 4 6 7" xfId="12897"/>
    <cellStyle name="Обычный 5 2 4 6 8" xfId="12898"/>
    <cellStyle name="Обычный 5 2 4 6 9" xfId="12899"/>
    <cellStyle name="Обычный 5 2 4 7" xfId="12900"/>
    <cellStyle name="Обычный 5 2 4 7 10" xfId="20815"/>
    <cellStyle name="Обычный 5 2 4 7 11" xfId="22427"/>
    <cellStyle name="Обычный 5 2 4 7 2" xfId="12901"/>
    <cellStyle name="Обычный 5 2 4 7 2 2" xfId="12902"/>
    <cellStyle name="Обычный 5 2 4 7 3" xfId="12903"/>
    <cellStyle name="Обычный 5 2 4 7 4" xfId="12904"/>
    <cellStyle name="Обычный 5 2 4 7 5" xfId="12905"/>
    <cellStyle name="Обычный 5 2 4 7 6" xfId="12906"/>
    <cellStyle name="Обычный 5 2 4 7 7" xfId="12907"/>
    <cellStyle name="Обычный 5 2 4 7 8" xfId="12908"/>
    <cellStyle name="Обычный 5 2 4 7 9" xfId="19121"/>
    <cellStyle name="Обычный 5 2 4 8" xfId="12909"/>
    <cellStyle name="Обычный 5 2 4 8 2" xfId="12910"/>
    <cellStyle name="Обычный 5 2 4 9" xfId="12911"/>
    <cellStyle name="Обычный 5 2 5" xfId="12912"/>
    <cellStyle name="Обычный 5 2 5 10" xfId="12913"/>
    <cellStyle name="Обычный 5 2 5 11" xfId="12914"/>
    <cellStyle name="Обычный 5 2 5 12" xfId="19122"/>
    <cellStyle name="Обычный 5 2 5 13" xfId="20816"/>
    <cellStyle name="Обычный 5 2 5 14" xfId="22428"/>
    <cellStyle name="Обычный 5 2 5 2" xfId="12915"/>
    <cellStyle name="Обычный 5 2 5 2 10" xfId="12916"/>
    <cellStyle name="Обычный 5 2 5 2 11" xfId="19123"/>
    <cellStyle name="Обычный 5 2 5 2 12" xfId="20817"/>
    <cellStyle name="Обычный 5 2 5 2 13" xfId="22429"/>
    <cellStyle name="Обычный 5 2 5 2 2" xfId="12917"/>
    <cellStyle name="Обычный 5 2 5 2 2 2" xfId="12918"/>
    <cellStyle name="Обычный 5 2 5 2 3" xfId="12919"/>
    <cellStyle name="Обычный 5 2 5 2 4" xfId="12920"/>
    <cellStyle name="Обычный 5 2 5 2 5" xfId="12921"/>
    <cellStyle name="Обычный 5 2 5 2 6" xfId="12922"/>
    <cellStyle name="Обычный 5 2 5 2 7" xfId="12923"/>
    <cellStyle name="Обычный 5 2 5 2 8" xfId="12924"/>
    <cellStyle name="Обычный 5 2 5 2 9" xfId="12925"/>
    <cellStyle name="Обычный 5 2 5 3" xfId="12926"/>
    <cellStyle name="Обычный 5 2 5 3 2" xfId="12927"/>
    <cellStyle name="Обычный 5 2 5 4" xfId="12928"/>
    <cellStyle name="Обычный 5 2 5 5" xfId="12929"/>
    <cellStyle name="Обычный 5 2 5 6" xfId="12930"/>
    <cellStyle name="Обычный 5 2 5 7" xfId="12931"/>
    <cellStyle name="Обычный 5 2 5 8" xfId="12932"/>
    <cellStyle name="Обычный 5 2 5 9" xfId="12933"/>
    <cellStyle name="Обычный 5 2 6" xfId="12934"/>
    <cellStyle name="Обычный 5 2 6 10" xfId="12935"/>
    <cellStyle name="Обычный 5 2 6 11" xfId="12936"/>
    <cellStyle name="Обычный 5 2 6 12" xfId="19124"/>
    <cellStyle name="Обычный 5 2 6 13" xfId="20818"/>
    <cellStyle name="Обычный 5 2 6 14" xfId="22430"/>
    <cellStyle name="Обычный 5 2 6 2" xfId="12937"/>
    <cellStyle name="Обычный 5 2 6 2 10" xfId="12938"/>
    <cellStyle name="Обычный 5 2 6 2 11" xfId="19125"/>
    <cellStyle name="Обычный 5 2 6 2 12" xfId="20819"/>
    <cellStyle name="Обычный 5 2 6 2 13" xfId="22431"/>
    <cellStyle name="Обычный 5 2 6 2 2" xfId="12939"/>
    <cellStyle name="Обычный 5 2 6 2 2 2" xfId="12940"/>
    <cellStyle name="Обычный 5 2 6 2 3" xfId="12941"/>
    <cellStyle name="Обычный 5 2 6 2 4" xfId="12942"/>
    <cellStyle name="Обычный 5 2 6 2 5" xfId="12943"/>
    <cellStyle name="Обычный 5 2 6 2 6" xfId="12944"/>
    <cellStyle name="Обычный 5 2 6 2 7" xfId="12945"/>
    <cellStyle name="Обычный 5 2 6 2 8" xfId="12946"/>
    <cellStyle name="Обычный 5 2 6 2 9" xfId="12947"/>
    <cellStyle name="Обычный 5 2 6 3" xfId="12948"/>
    <cellStyle name="Обычный 5 2 6 3 2" xfId="12949"/>
    <cellStyle name="Обычный 5 2 6 4" xfId="12950"/>
    <cellStyle name="Обычный 5 2 6 5" xfId="12951"/>
    <cellStyle name="Обычный 5 2 6 6" xfId="12952"/>
    <cellStyle name="Обычный 5 2 6 7" xfId="12953"/>
    <cellStyle name="Обычный 5 2 6 8" xfId="12954"/>
    <cellStyle name="Обычный 5 2 6 9" xfId="12955"/>
    <cellStyle name="Обычный 5 2 7" xfId="12956"/>
    <cellStyle name="Обычный 5 2 7 10" xfId="12957"/>
    <cellStyle name="Обычный 5 2 7 11" xfId="12958"/>
    <cellStyle name="Обычный 5 2 7 12" xfId="19126"/>
    <cellStyle name="Обычный 5 2 7 13" xfId="20820"/>
    <cellStyle name="Обычный 5 2 7 14" xfId="22432"/>
    <cellStyle name="Обычный 5 2 7 2" xfId="12959"/>
    <cellStyle name="Обычный 5 2 7 2 10" xfId="12960"/>
    <cellStyle name="Обычный 5 2 7 2 11" xfId="19127"/>
    <cellStyle name="Обычный 5 2 7 2 12" xfId="20821"/>
    <cellStyle name="Обычный 5 2 7 2 13" xfId="22433"/>
    <cellStyle name="Обычный 5 2 7 2 2" xfId="12961"/>
    <cellStyle name="Обычный 5 2 7 2 2 2" xfId="12962"/>
    <cellStyle name="Обычный 5 2 7 2 3" xfId="12963"/>
    <cellStyle name="Обычный 5 2 7 2 4" xfId="12964"/>
    <cellStyle name="Обычный 5 2 7 2 5" xfId="12965"/>
    <cellStyle name="Обычный 5 2 7 2 6" xfId="12966"/>
    <cellStyle name="Обычный 5 2 7 2 7" xfId="12967"/>
    <cellStyle name="Обычный 5 2 7 2 8" xfId="12968"/>
    <cellStyle name="Обычный 5 2 7 2 9" xfId="12969"/>
    <cellStyle name="Обычный 5 2 7 3" xfId="12970"/>
    <cellStyle name="Обычный 5 2 7 3 2" xfId="12971"/>
    <cellStyle name="Обычный 5 2 7 4" xfId="12972"/>
    <cellStyle name="Обычный 5 2 7 5" xfId="12973"/>
    <cellStyle name="Обычный 5 2 7 6" xfId="12974"/>
    <cellStyle name="Обычный 5 2 7 7" xfId="12975"/>
    <cellStyle name="Обычный 5 2 7 8" xfId="12976"/>
    <cellStyle name="Обычный 5 2 7 9" xfId="12977"/>
    <cellStyle name="Обычный 5 2 8" xfId="12978"/>
    <cellStyle name="Обычный 5 2 8 10" xfId="12979"/>
    <cellStyle name="Обычный 5 2 8 11" xfId="12980"/>
    <cellStyle name="Обычный 5 2 8 12" xfId="19128"/>
    <cellStyle name="Обычный 5 2 8 13" xfId="20822"/>
    <cellStyle name="Обычный 5 2 8 14" xfId="22434"/>
    <cellStyle name="Обычный 5 2 8 2" xfId="12981"/>
    <cellStyle name="Обычный 5 2 8 2 10" xfId="12982"/>
    <cellStyle name="Обычный 5 2 8 2 11" xfId="19129"/>
    <cellStyle name="Обычный 5 2 8 2 12" xfId="20823"/>
    <cellStyle name="Обычный 5 2 8 2 13" xfId="22435"/>
    <cellStyle name="Обычный 5 2 8 2 2" xfId="12983"/>
    <cellStyle name="Обычный 5 2 8 2 2 2" xfId="12984"/>
    <cellStyle name="Обычный 5 2 8 2 3" xfId="12985"/>
    <cellStyle name="Обычный 5 2 8 2 4" xfId="12986"/>
    <cellStyle name="Обычный 5 2 8 2 5" xfId="12987"/>
    <cellStyle name="Обычный 5 2 8 2 6" xfId="12988"/>
    <cellStyle name="Обычный 5 2 8 2 7" xfId="12989"/>
    <cellStyle name="Обычный 5 2 8 2 8" xfId="12990"/>
    <cellStyle name="Обычный 5 2 8 2 9" xfId="12991"/>
    <cellStyle name="Обычный 5 2 8 3" xfId="12992"/>
    <cellStyle name="Обычный 5 2 8 3 2" xfId="12993"/>
    <cellStyle name="Обычный 5 2 8 4" xfId="12994"/>
    <cellStyle name="Обычный 5 2 8 5" xfId="12995"/>
    <cellStyle name="Обычный 5 2 8 6" xfId="12996"/>
    <cellStyle name="Обычный 5 2 8 7" xfId="12997"/>
    <cellStyle name="Обычный 5 2 8 8" xfId="12998"/>
    <cellStyle name="Обычный 5 2 8 9" xfId="12999"/>
    <cellStyle name="Обычный 5 2 9" xfId="13000"/>
    <cellStyle name="Обычный 5 2 9 10" xfId="13001"/>
    <cellStyle name="Обычный 5 2 9 11" xfId="13002"/>
    <cellStyle name="Обычный 5 2 9 12" xfId="19130"/>
    <cellStyle name="Обычный 5 2 9 13" xfId="20824"/>
    <cellStyle name="Обычный 5 2 9 14" xfId="22436"/>
    <cellStyle name="Обычный 5 2 9 2" xfId="13003"/>
    <cellStyle name="Обычный 5 2 9 2 10" xfId="13004"/>
    <cellStyle name="Обычный 5 2 9 2 11" xfId="19131"/>
    <cellStyle name="Обычный 5 2 9 2 12" xfId="20825"/>
    <cellStyle name="Обычный 5 2 9 2 13" xfId="22437"/>
    <cellStyle name="Обычный 5 2 9 2 2" xfId="13005"/>
    <cellStyle name="Обычный 5 2 9 2 2 2" xfId="13006"/>
    <cellStyle name="Обычный 5 2 9 2 3" xfId="13007"/>
    <cellStyle name="Обычный 5 2 9 2 4" xfId="13008"/>
    <cellStyle name="Обычный 5 2 9 2 5" xfId="13009"/>
    <cellStyle name="Обычный 5 2 9 2 6" xfId="13010"/>
    <cellStyle name="Обычный 5 2 9 2 7" xfId="13011"/>
    <cellStyle name="Обычный 5 2 9 2 8" xfId="13012"/>
    <cellStyle name="Обычный 5 2 9 2 9" xfId="13013"/>
    <cellStyle name="Обычный 5 2 9 3" xfId="13014"/>
    <cellStyle name="Обычный 5 2 9 3 2" xfId="13015"/>
    <cellStyle name="Обычный 5 2 9 4" xfId="13016"/>
    <cellStyle name="Обычный 5 2 9 5" xfId="13017"/>
    <cellStyle name="Обычный 5 2 9 6" xfId="13018"/>
    <cellStyle name="Обычный 5 2 9 7" xfId="13019"/>
    <cellStyle name="Обычный 5 2 9 8" xfId="13020"/>
    <cellStyle name="Обычный 5 2 9 9" xfId="13021"/>
    <cellStyle name="Обычный 5 3" xfId="19060"/>
    <cellStyle name="Обычный 50" xfId="22889"/>
    <cellStyle name="Обычный 6" xfId="13022"/>
    <cellStyle name="Обычный 6 10" xfId="13023"/>
    <cellStyle name="Обычный 6 10 10" xfId="13024"/>
    <cellStyle name="Обычный 6 10 11" xfId="13025"/>
    <cellStyle name="Обычный 6 10 12" xfId="19133"/>
    <cellStyle name="Обычный 6 10 13" xfId="20827"/>
    <cellStyle name="Обычный 6 10 14" xfId="22439"/>
    <cellStyle name="Обычный 6 10 2" xfId="13026"/>
    <cellStyle name="Обычный 6 10 2 10" xfId="13027"/>
    <cellStyle name="Обычный 6 10 2 11" xfId="19134"/>
    <cellStyle name="Обычный 6 10 2 12" xfId="20828"/>
    <cellStyle name="Обычный 6 10 2 13" xfId="22440"/>
    <cellStyle name="Обычный 6 10 2 2" xfId="13028"/>
    <cellStyle name="Обычный 6 10 2 2 2" xfId="13029"/>
    <cellStyle name="Обычный 6 10 2 3" xfId="13030"/>
    <cellStyle name="Обычный 6 10 2 4" xfId="13031"/>
    <cellStyle name="Обычный 6 10 2 5" xfId="13032"/>
    <cellStyle name="Обычный 6 10 2 6" xfId="13033"/>
    <cellStyle name="Обычный 6 10 2 7" xfId="13034"/>
    <cellStyle name="Обычный 6 10 2 8" xfId="13035"/>
    <cellStyle name="Обычный 6 10 2 9" xfId="13036"/>
    <cellStyle name="Обычный 6 10 3" xfId="13037"/>
    <cellStyle name="Обычный 6 10 3 2" xfId="13038"/>
    <cellStyle name="Обычный 6 10 4" xfId="13039"/>
    <cellStyle name="Обычный 6 10 5" xfId="13040"/>
    <cellStyle name="Обычный 6 10 6" xfId="13041"/>
    <cellStyle name="Обычный 6 10 7" xfId="13042"/>
    <cellStyle name="Обычный 6 10 8" xfId="13043"/>
    <cellStyle name="Обычный 6 10 9" xfId="13044"/>
    <cellStyle name="Обычный 6 11" xfId="13045"/>
    <cellStyle name="Обычный 6 11 10" xfId="13046"/>
    <cellStyle name="Обычный 6 11 11" xfId="13047"/>
    <cellStyle name="Обычный 6 11 12" xfId="19135"/>
    <cellStyle name="Обычный 6 11 13" xfId="20829"/>
    <cellStyle name="Обычный 6 11 14" xfId="22441"/>
    <cellStyle name="Обычный 6 11 2" xfId="13048"/>
    <cellStyle name="Обычный 6 11 2 10" xfId="13049"/>
    <cellStyle name="Обычный 6 11 2 11" xfId="19136"/>
    <cellStyle name="Обычный 6 11 2 12" xfId="20830"/>
    <cellStyle name="Обычный 6 11 2 13" xfId="22442"/>
    <cellStyle name="Обычный 6 11 2 2" xfId="13050"/>
    <cellStyle name="Обычный 6 11 2 2 2" xfId="13051"/>
    <cellStyle name="Обычный 6 11 2 3" xfId="13052"/>
    <cellStyle name="Обычный 6 11 2 4" xfId="13053"/>
    <cellStyle name="Обычный 6 11 2 5" xfId="13054"/>
    <cellStyle name="Обычный 6 11 2 6" xfId="13055"/>
    <cellStyle name="Обычный 6 11 2 7" xfId="13056"/>
    <cellStyle name="Обычный 6 11 2 8" xfId="13057"/>
    <cellStyle name="Обычный 6 11 2 9" xfId="13058"/>
    <cellStyle name="Обычный 6 11 3" xfId="13059"/>
    <cellStyle name="Обычный 6 11 3 2" xfId="13060"/>
    <cellStyle name="Обычный 6 11 4" xfId="13061"/>
    <cellStyle name="Обычный 6 11 5" xfId="13062"/>
    <cellStyle name="Обычный 6 11 6" xfId="13063"/>
    <cellStyle name="Обычный 6 11 7" xfId="13064"/>
    <cellStyle name="Обычный 6 11 8" xfId="13065"/>
    <cellStyle name="Обычный 6 11 9" xfId="13066"/>
    <cellStyle name="Обычный 6 12" xfId="13067"/>
    <cellStyle name="Обычный 6 12 10" xfId="13068"/>
    <cellStyle name="Обычный 6 12 11" xfId="13069"/>
    <cellStyle name="Обычный 6 12 12" xfId="19137"/>
    <cellStyle name="Обычный 6 12 13" xfId="20831"/>
    <cellStyle name="Обычный 6 12 14" xfId="22443"/>
    <cellStyle name="Обычный 6 12 2" xfId="13070"/>
    <cellStyle name="Обычный 6 12 2 10" xfId="13071"/>
    <cellStyle name="Обычный 6 12 2 11" xfId="19138"/>
    <cellStyle name="Обычный 6 12 2 12" xfId="20832"/>
    <cellStyle name="Обычный 6 12 2 13" xfId="22444"/>
    <cellStyle name="Обычный 6 12 2 2" xfId="13072"/>
    <cellStyle name="Обычный 6 12 2 2 2" xfId="13073"/>
    <cellStyle name="Обычный 6 12 2 3" xfId="13074"/>
    <cellStyle name="Обычный 6 12 2 4" xfId="13075"/>
    <cellStyle name="Обычный 6 12 2 5" xfId="13076"/>
    <cellStyle name="Обычный 6 12 2 6" xfId="13077"/>
    <cellStyle name="Обычный 6 12 2 7" xfId="13078"/>
    <cellStyle name="Обычный 6 12 2 8" xfId="13079"/>
    <cellStyle name="Обычный 6 12 2 9" xfId="13080"/>
    <cellStyle name="Обычный 6 12 3" xfId="13081"/>
    <cellStyle name="Обычный 6 12 3 2" xfId="13082"/>
    <cellStyle name="Обычный 6 12 4" xfId="13083"/>
    <cellStyle name="Обычный 6 12 5" xfId="13084"/>
    <cellStyle name="Обычный 6 12 6" xfId="13085"/>
    <cellStyle name="Обычный 6 12 7" xfId="13086"/>
    <cellStyle name="Обычный 6 12 8" xfId="13087"/>
    <cellStyle name="Обычный 6 12 9" xfId="13088"/>
    <cellStyle name="Обычный 6 13" xfId="13089"/>
    <cellStyle name="Обычный 6 13 10" xfId="13090"/>
    <cellStyle name="Обычный 6 13 11" xfId="13091"/>
    <cellStyle name="Обычный 6 13 12" xfId="19139"/>
    <cellStyle name="Обычный 6 13 13" xfId="20833"/>
    <cellStyle name="Обычный 6 13 14" xfId="22445"/>
    <cellStyle name="Обычный 6 13 2" xfId="13092"/>
    <cellStyle name="Обычный 6 13 2 10" xfId="13093"/>
    <cellStyle name="Обычный 6 13 2 11" xfId="19140"/>
    <cellStyle name="Обычный 6 13 2 12" xfId="20834"/>
    <cellStyle name="Обычный 6 13 2 13" xfId="22446"/>
    <cellStyle name="Обычный 6 13 2 2" xfId="13094"/>
    <cellStyle name="Обычный 6 13 2 2 2" xfId="13095"/>
    <cellStyle name="Обычный 6 13 2 3" xfId="13096"/>
    <cellStyle name="Обычный 6 13 2 4" xfId="13097"/>
    <cellStyle name="Обычный 6 13 2 5" xfId="13098"/>
    <cellStyle name="Обычный 6 13 2 6" xfId="13099"/>
    <cellStyle name="Обычный 6 13 2 7" xfId="13100"/>
    <cellStyle name="Обычный 6 13 2 8" xfId="13101"/>
    <cellStyle name="Обычный 6 13 2 9" xfId="13102"/>
    <cellStyle name="Обычный 6 13 3" xfId="13103"/>
    <cellStyle name="Обычный 6 13 3 2" xfId="13104"/>
    <cellStyle name="Обычный 6 13 4" xfId="13105"/>
    <cellStyle name="Обычный 6 13 5" xfId="13106"/>
    <cellStyle name="Обычный 6 13 6" xfId="13107"/>
    <cellStyle name="Обычный 6 13 7" xfId="13108"/>
    <cellStyle name="Обычный 6 13 8" xfId="13109"/>
    <cellStyle name="Обычный 6 13 9" xfId="13110"/>
    <cellStyle name="Обычный 6 14" xfId="13111"/>
    <cellStyle name="Обычный 6 14 10" xfId="13112"/>
    <cellStyle name="Обычный 6 14 11" xfId="13113"/>
    <cellStyle name="Обычный 6 14 12" xfId="19141"/>
    <cellStyle name="Обычный 6 14 13" xfId="20835"/>
    <cellStyle name="Обычный 6 14 14" xfId="22447"/>
    <cellStyle name="Обычный 6 14 2" xfId="13114"/>
    <cellStyle name="Обычный 6 14 2 10" xfId="13115"/>
    <cellStyle name="Обычный 6 14 2 11" xfId="19142"/>
    <cellStyle name="Обычный 6 14 2 12" xfId="20836"/>
    <cellStyle name="Обычный 6 14 2 13" xfId="22448"/>
    <cellStyle name="Обычный 6 14 2 2" xfId="13116"/>
    <cellStyle name="Обычный 6 14 2 2 2" xfId="13117"/>
    <cellStyle name="Обычный 6 14 2 3" xfId="13118"/>
    <cellStyle name="Обычный 6 14 2 4" xfId="13119"/>
    <cellStyle name="Обычный 6 14 2 5" xfId="13120"/>
    <cellStyle name="Обычный 6 14 2 6" xfId="13121"/>
    <cellStyle name="Обычный 6 14 2 7" xfId="13122"/>
    <cellStyle name="Обычный 6 14 2 8" xfId="13123"/>
    <cellStyle name="Обычный 6 14 2 9" xfId="13124"/>
    <cellStyle name="Обычный 6 14 3" xfId="13125"/>
    <cellStyle name="Обычный 6 14 3 2" xfId="13126"/>
    <cellStyle name="Обычный 6 14 4" xfId="13127"/>
    <cellStyle name="Обычный 6 14 5" xfId="13128"/>
    <cellStyle name="Обычный 6 14 6" xfId="13129"/>
    <cellStyle name="Обычный 6 14 7" xfId="13130"/>
    <cellStyle name="Обычный 6 14 8" xfId="13131"/>
    <cellStyle name="Обычный 6 14 9" xfId="13132"/>
    <cellStyle name="Обычный 6 15" xfId="13133"/>
    <cellStyle name="Обычный 6 15 10" xfId="13134"/>
    <cellStyle name="Обычный 6 15 11" xfId="19143"/>
    <cellStyle name="Обычный 6 15 12" xfId="20837"/>
    <cellStyle name="Обычный 6 15 13" xfId="22449"/>
    <cellStyle name="Обычный 6 15 2" xfId="13135"/>
    <cellStyle name="Обычный 6 15 2 2" xfId="13136"/>
    <cellStyle name="Обычный 6 15 3" xfId="13137"/>
    <cellStyle name="Обычный 6 15 4" xfId="13138"/>
    <cellStyle name="Обычный 6 15 5" xfId="13139"/>
    <cellStyle name="Обычный 6 15 6" xfId="13140"/>
    <cellStyle name="Обычный 6 15 7" xfId="13141"/>
    <cellStyle name="Обычный 6 15 8" xfId="13142"/>
    <cellStyle name="Обычный 6 15 9" xfId="13143"/>
    <cellStyle name="Обычный 6 16" xfId="13144"/>
    <cellStyle name="Обычный 6 16 10" xfId="20838"/>
    <cellStyle name="Обычный 6 16 11" xfId="22450"/>
    <cellStyle name="Обычный 6 16 2" xfId="13145"/>
    <cellStyle name="Обычный 6 16 2 2" xfId="13146"/>
    <cellStyle name="Обычный 6 16 3" xfId="13147"/>
    <cellStyle name="Обычный 6 16 4" xfId="13148"/>
    <cellStyle name="Обычный 6 16 5" xfId="13149"/>
    <cellStyle name="Обычный 6 16 6" xfId="13150"/>
    <cellStyle name="Обычный 6 16 7" xfId="13151"/>
    <cellStyle name="Обычный 6 16 8" xfId="13152"/>
    <cellStyle name="Обычный 6 16 9" xfId="19144"/>
    <cellStyle name="Обычный 6 17" xfId="13153"/>
    <cellStyle name="Обычный 6 17 10" xfId="20839"/>
    <cellStyle name="Обычный 6 17 11" xfId="22451"/>
    <cellStyle name="Обычный 6 17 2" xfId="13154"/>
    <cellStyle name="Обычный 6 17 2 2" xfId="13155"/>
    <cellStyle name="Обычный 6 17 3" xfId="13156"/>
    <cellStyle name="Обычный 6 17 4" xfId="13157"/>
    <cellStyle name="Обычный 6 17 5" xfId="13158"/>
    <cellStyle name="Обычный 6 17 6" xfId="13159"/>
    <cellStyle name="Обычный 6 17 7" xfId="13160"/>
    <cellStyle name="Обычный 6 17 8" xfId="13161"/>
    <cellStyle name="Обычный 6 17 9" xfId="19145"/>
    <cellStyle name="Обычный 6 18" xfId="13162"/>
    <cellStyle name="Обычный 6 18 2" xfId="13163"/>
    <cellStyle name="Обычный 6 19" xfId="13164"/>
    <cellStyle name="Обычный 6 2" xfId="13165"/>
    <cellStyle name="Обычный 6 2 10" xfId="13166"/>
    <cellStyle name="Обычный 6 2 10 10" xfId="13167"/>
    <cellStyle name="Обычный 6 2 10 11" xfId="13168"/>
    <cellStyle name="Обычный 6 2 10 12" xfId="19147"/>
    <cellStyle name="Обычный 6 2 10 13" xfId="20841"/>
    <cellStyle name="Обычный 6 2 10 14" xfId="22453"/>
    <cellStyle name="Обычный 6 2 10 2" xfId="13169"/>
    <cellStyle name="Обычный 6 2 10 2 10" xfId="13170"/>
    <cellStyle name="Обычный 6 2 10 2 11" xfId="19148"/>
    <cellStyle name="Обычный 6 2 10 2 12" xfId="20842"/>
    <cellStyle name="Обычный 6 2 10 2 13" xfId="22454"/>
    <cellStyle name="Обычный 6 2 10 2 2" xfId="13171"/>
    <cellStyle name="Обычный 6 2 10 2 2 2" xfId="13172"/>
    <cellStyle name="Обычный 6 2 10 2 3" xfId="13173"/>
    <cellStyle name="Обычный 6 2 10 2 4" xfId="13174"/>
    <cellStyle name="Обычный 6 2 10 2 5" xfId="13175"/>
    <cellStyle name="Обычный 6 2 10 2 6" xfId="13176"/>
    <cellStyle name="Обычный 6 2 10 2 7" xfId="13177"/>
    <cellStyle name="Обычный 6 2 10 2 8" xfId="13178"/>
    <cellStyle name="Обычный 6 2 10 2 9" xfId="13179"/>
    <cellStyle name="Обычный 6 2 10 3" xfId="13180"/>
    <cellStyle name="Обычный 6 2 10 3 2" xfId="13181"/>
    <cellStyle name="Обычный 6 2 10 4" xfId="13182"/>
    <cellStyle name="Обычный 6 2 10 5" xfId="13183"/>
    <cellStyle name="Обычный 6 2 10 6" xfId="13184"/>
    <cellStyle name="Обычный 6 2 10 7" xfId="13185"/>
    <cellStyle name="Обычный 6 2 10 8" xfId="13186"/>
    <cellStyle name="Обычный 6 2 10 9" xfId="13187"/>
    <cellStyle name="Обычный 6 2 11" xfId="13188"/>
    <cellStyle name="Обычный 6 2 11 10" xfId="13189"/>
    <cellStyle name="Обычный 6 2 11 11" xfId="19149"/>
    <cellStyle name="Обычный 6 2 11 12" xfId="20843"/>
    <cellStyle name="Обычный 6 2 11 13" xfId="22455"/>
    <cellStyle name="Обычный 6 2 11 2" xfId="13190"/>
    <cellStyle name="Обычный 6 2 11 2 2" xfId="13191"/>
    <cellStyle name="Обычный 6 2 11 3" xfId="13192"/>
    <cellStyle name="Обычный 6 2 11 4" xfId="13193"/>
    <cellStyle name="Обычный 6 2 11 5" xfId="13194"/>
    <cellStyle name="Обычный 6 2 11 6" xfId="13195"/>
    <cellStyle name="Обычный 6 2 11 7" xfId="13196"/>
    <cellStyle name="Обычный 6 2 11 8" xfId="13197"/>
    <cellStyle name="Обычный 6 2 11 9" xfId="13198"/>
    <cellStyle name="Обычный 6 2 12" xfId="13199"/>
    <cellStyle name="Обычный 6 2 12 10" xfId="20844"/>
    <cellStyle name="Обычный 6 2 12 11" xfId="22456"/>
    <cellStyle name="Обычный 6 2 12 2" xfId="13200"/>
    <cellStyle name="Обычный 6 2 12 2 2" xfId="13201"/>
    <cellStyle name="Обычный 6 2 12 3" xfId="13202"/>
    <cellStyle name="Обычный 6 2 12 4" xfId="13203"/>
    <cellStyle name="Обычный 6 2 12 5" xfId="13204"/>
    <cellStyle name="Обычный 6 2 12 6" xfId="13205"/>
    <cellStyle name="Обычный 6 2 12 7" xfId="13206"/>
    <cellStyle name="Обычный 6 2 12 8" xfId="13207"/>
    <cellStyle name="Обычный 6 2 12 9" xfId="19150"/>
    <cellStyle name="Обычный 6 2 13" xfId="13208"/>
    <cellStyle name="Обычный 6 2 13 10" xfId="20845"/>
    <cellStyle name="Обычный 6 2 13 11" xfId="22457"/>
    <cellStyle name="Обычный 6 2 13 2" xfId="13209"/>
    <cellStyle name="Обычный 6 2 13 2 2" xfId="13210"/>
    <cellStyle name="Обычный 6 2 13 3" xfId="13211"/>
    <cellStyle name="Обычный 6 2 13 4" xfId="13212"/>
    <cellStyle name="Обычный 6 2 13 5" xfId="13213"/>
    <cellStyle name="Обычный 6 2 13 6" xfId="13214"/>
    <cellStyle name="Обычный 6 2 13 7" xfId="13215"/>
    <cellStyle name="Обычный 6 2 13 8" xfId="13216"/>
    <cellStyle name="Обычный 6 2 13 9" xfId="19151"/>
    <cellStyle name="Обычный 6 2 14" xfId="13217"/>
    <cellStyle name="Обычный 6 2 14 2" xfId="13218"/>
    <cellStyle name="Обычный 6 2 15" xfId="13219"/>
    <cellStyle name="Обычный 6 2 16" xfId="13220"/>
    <cellStyle name="Обычный 6 2 17" xfId="13221"/>
    <cellStyle name="Обычный 6 2 18" xfId="13222"/>
    <cellStyle name="Обычный 6 2 19" xfId="13223"/>
    <cellStyle name="Обычный 6 2 2" xfId="13224"/>
    <cellStyle name="Обычный 6 2 2 10" xfId="13225"/>
    <cellStyle name="Обычный 6 2 2 10 2" xfId="13226"/>
    <cellStyle name="Обычный 6 2 2 11" xfId="13227"/>
    <cellStyle name="Обычный 6 2 2 12" xfId="13228"/>
    <cellStyle name="Обычный 6 2 2 13" xfId="13229"/>
    <cellStyle name="Обычный 6 2 2 14" xfId="13230"/>
    <cellStyle name="Обычный 6 2 2 15" xfId="13231"/>
    <cellStyle name="Обычный 6 2 2 16" xfId="13232"/>
    <cellStyle name="Обычный 6 2 2 17" xfId="13233"/>
    <cellStyle name="Обычный 6 2 2 18" xfId="13234"/>
    <cellStyle name="Обычный 6 2 2 19" xfId="13235"/>
    <cellStyle name="Обычный 6 2 2 2" xfId="13236"/>
    <cellStyle name="Обычный 6 2 2 2 10" xfId="13237"/>
    <cellStyle name="Обычный 6 2 2 2 11" xfId="13238"/>
    <cellStyle name="Обычный 6 2 2 2 12" xfId="13239"/>
    <cellStyle name="Обычный 6 2 2 2 13" xfId="13240"/>
    <cellStyle name="Обычный 6 2 2 2 14" xfId="13241"/>
    <cellStyle name="Обычный 6 2 2 2 15" xfId="13242"/>
    <cellStyle name="Обычный 6 2 2 2 16" xfId="13243"/>
    <cellStyle name="Обычный 6 2 2 2 17" xfId="13244"/>
    <cellStyle name="Обычный 6 2 2 2 18" xfId="19153"/>
    <cellStyle name="Обычный 6 2 2 2 19" xfId="20847"/>
    <cellStyle name="Обычный 6 2 2 2 2" xfId="13245"/>
    <cellStyle name="Обычный 6 2 2 2 2 10" xfId="13246"/>
    <cellStyle name="Обычный 6 2 2 2 2 11" xfId="13247"/>
    <cellStyle name="Обычный 6 2 2 2 2 12" xfId="19154"/>
    <cellStyle name="Обычный 6 2 2 2 2 13" xfId="20848"/>
    <cellStyle name="Обычный 6 2 2 2 2 14" xfId="22460"/>
    <cellStyle name="Обычный 6 2 2 2 2 2" xfId="13248"/>
    <cellStyle name="Обычный 6 2 2 2 2 2 10" xfId="13249"/>
    <cellStyle name="Обычный 6 2 2 2 2 2 11" xfId="19155"/>
    <cellStyle name="Обычный 6 2 2 2 2 2 12" xfId="20849"/>
    <cellStyle name="Обычный 6 2 2 2 2 2 13" xfId="22461"/>
    <cellStyle name="Обычный 6 2 2 2 2 2 2" xfId="13250"/>
    <cellStyle name="Обычный 6 2 2 2 2 2 2 2" xfId="13251"/>
    <cellStyle name="Обычный 6 2 2 2 2 2 3" xfId="13252"/>
    <cellStyle name="Обычный 6 2 2 2 2 2 4" xfId="13253"/>
    <cellStyle name="Обычный 6 2 2 2 2 2 5" xfId="13254"/>
    <cellStyle name="Обычный 6 2 2 2 2 2 6" xfId="13255"/>
    <cellStyle name="Обычный 6 2 2 2 2 2 7" xfId="13256"/>
    <cellStyle name="Обычный 6 2 2 2 2 2 8" xfId="13257"/>
    <cellStyle name="Обычный 6 2 2 2 2 2 9" xfId="13258"/>
    <cellStyle name="Обычный 6 2 2 2 2 3" xfId="13259"/>
    <cellStyle name="Обычный 6 2 2 2 2 3 2" xfId="13260"/>
    <cellStyle name="Обычный 6 2 2 2 2 4" xfId="13261"/>
    <cellStyle name="Обычный 6 2 2 2 2 5" xfId="13262"/>
    <cellStyle name="Обычный 6 2 2 2 2 6" xfId="13263"/>
    <cellStyle name="Обычный 6 2 2 2 2 7" xfId="13264"/>
    <cellStyle name="Обычный 6 2 2 2 2 8" xfId="13265"/>
    <cellStyle name="Обычный 6 2 2 2 2 9" xfId="13266"/>
    <cellStyle name="Обычный 6 2 2 2 20" xfId="22459"/>
    <cellStyle name="Обычный 6 2 2 2 3" xfId="13267"/>
    <cellStyle name="Обычный 6 2 2 2 3 10" xfId="13268"/>
    <cellStyle name="Обычный 6 2 2 2 3 11" xfId="13269"/>
    <cellStyle name="Обычный 6 2 2 2 3 12" xfId="19156"/>
    <cellStyle name="Обычный 6 2 2 2 3 13" xfId="20850"/>
    <cellStyle name="Обычный 6 2 2 2 3 14" xfId="22462"/>
    <cellStyle name="Обычный 6 2 2 2 3 2" xfId="13270"/>
    <cellStyle name="Обычный 6 2 2 2 3 2 10" xfId="13271"/>
    <cellStyle name="Обычный 6 2 2 2 3 2 11" xfId="19157"/>
    <cellStyle name="Обычный 6 2 2 2 3 2 12" xfId="20851"/>
    <cellStyle name="Обычный 6 2 2 2 3 2 13" xfId="22463"/>
    <cellStyle name="Обычный 6 2 2 2 3 2 2" xfId="13272"/>
    <cellStyle name="Обычный 6 2 2 2 3 2 2 2" xfId="13273"/>
    <cellStyle name="Обычный 6 2 2 2 3 2 3" xfId="13274"/>
    <cellStyle name="Обычный 6 2 2 2 3 2 4" xfId="13275"/>
    <cellStyle name="Обычный 6 2 2 2 3 2 5" xfId="13276"/>
    <cellStyle name="Обычный 6 2 2 2 3 2 6" xfId="13277"/>
    <cellStyle name="Обычный 6 2 2 2 3 2 7" xfId="13278"/>
    <cellStyle name="Обычный 6 2 2 2 3 2 8" xfId="13279"/>
    <cellStyle name="Обычный 6 2 2 2 3 2 9" xfId="13280"/>
    <cellStyle name="Обычный 6 2 2 2 3 3" xfId="13281"/>
    <cellStyle name="Обычный 6 2 2 2 3 3 2" xfId="13282"/>
    <cellStyle name="Обычный 6 2 2 2 3 4" xfId="13283"/>
    <cellStyle name="Обычный 6 2 2 2 3 5" xfId="13284"/>
    <cellStyle name="Обычный 6 2 2 2 3 6" xfId="13285"/>
    <cellStyle name="Обычный 6 2 2 2 3 7" xfId="13286"/>
    <cellStyle name="Обычный 6 2 2 2 3 8" xfId="13287"/>
    <cellStyle name="Обычный 6 2 2 2 3 9" xfId="13288"/>
    <cellStyle name="Обычный 6 2 2 2 4" xfId="13289"/>
    <cellStyle name="Обычный 6 2 2 2 4 10" xfId="13290"/>
    <cellStyle name="Обычный 6 2 2 2 4 11" xfId="13291"/>
    <cellStyle name="Обычный 6 2 2 2 4 12" xfId="19158"/>
    <cellStyle name="Обычный 6 2 2 2 4 13" xfId="20852"/>
    <cellStyle name="Обычный 6 2 2 2 4 14" xfId="22464"/>
    <cellStyle name="Обычный 6 2 2 2 4 2" xfId="13292"/>
    <cellStyle name="Обычный 6 2 2 2 4 2 10" xfId="13293"/>
    <cellStyle name="Обычный 6 2 2 2 4 2 11" xfId="19159"/>
    <cellStyle name="Обычный 6 2 2 2 4 2 12" xfId="20853"/>
    <cellStyle name="Обычный 6 2 2 2 4 2 13" xfId="22465"/>
    <cellStyle name="Обычный 6 2 2 2 4 2 2" xfId="13294"/>
    <cellStyle name="Обычный 6 2 2 2 4 2 2 2" xfId="13295"/>
    <cellStyle name="Обычный 6 2 2 2 4 2 3" xfId="13296"/>
    <cellStyle name="Обычный 6 2 2 2 4 2 4" xfId="13297"/>
    <cellStyle name="Обычный 6 2 2 2 4 2 5" xfId="13298"/>
    <cellStyle name="Обычный 6 2 2 2 4 2 6" xfId="13299"/>
    <cellStyle name="Обычный 6 2 2 2 4 2 7" xfId="13300"/>
    <cellStyle name="Обычный 6 2 2 2 4 2 8" xfId="13301"/>
    <cellStyle name="Обычный 6 2 2 2 4 2 9" xfId="13302"/>
    <cellStyle name="Обычный 6 2 2 2 4 3" xfId="13303"/>
    <cellStyle name="Обычный 6 2 2 2 4 3 2" xfId="13304"/>
    <cellStyle name="Обычный 6 2 2 2 4 4" xfId="13305"/>
    <cellStyle name="Обычный 6 2 2 2 4 5" xfId="13306"/>
    <cellStyle name="Обычный 6 2 2 2 4 6" xfId="13307"/>
    <cellStyle name="Обычный 6 2 2 2 4 7" xfId="13308"/>
    <cellStyle name="Обычный 6 2 2 2 4 8" xfId="13309"/>
    <cellStyle name="Обычный 6 2 2 2 4 9" xfId="13310"/>
    <cellStyle name="Обычный 6 2 2 2 5" xfId="13311"/>
    <cellStyle name="Обычный 6 2 2 2 5 10" xfId="13312"/>
    <cellStyle name="Обычный 6 2 2 2 5 11" xfId="13313"/>
    <cellStyle name="Обычный 6 2 2 2 5 12" xfId="19160"/>
    <cellStyle name="Обычный 6 2 2 2 5 13" xfId="20854"/>
    <cellStyle name="Обычный 6 2 2 2 5 14" xfId="22466"/>
    <cellStyle name="Обычный 6 2 2 2 5 2" xfId="13314"/>
    <cellStyle name="Обычный 6 2 2 2 5 2 10" xfId="13315"/>
    <cellStyle name="Обычный 6 2 2 2 5 2 11" xfId="19161"/>
    <cellStyle name="Обычный 6 2 2 2 5 2 12" xfId="20855"/>
    <cellStyle name="Обычный 6 2 2 2 5 2 13" xfId="22467"/>
    <cellStyle name="Обычный 6 2 2 2 5 2 2" xfId="13316"/>
    <cellStyle name="Обычный 6 2 2 2 5 2 2 2" xfId="13317"/>
    <cellStyle name="Обычный 6 2 2 2 5 2 3" xfId="13318"/>
    <cellStyle name="Обычный 6 2 2 2 5 2 4" xfId="13319"/>
    <cellStyle name="Обычный 6 2 2 2 5 2 5" xfId="13320"/>
    <cellStyle name="Обычный 6 2 2 2 5 2 6" xfId="13321"/>
    <cellStyle name="Обычный 6 2 2 2 5 2 7" xfId="13322"/>
    <cellStyle name="Обычный 6 2 2 2 5 2 8" xfId="13323"/>
    <cellStyle name="Обычный 6 2 2 2 5 2 9" xfId="13324"/>
    <cellStyle name="Обычный 6 2 2 2 5 3" xfId="13325"/>
    <cellStyle name="Обычный 6 2 2 2 5 3 2" xfId="13326"/>
    <cellStyle name="Обычный 6 2 2 2 5 4" xfId="13327"/>
    <cellStyle name="Обычный 6 2 2 2 5 5" xfId="13328"/>
    <cellStyle name="Обычный 6 2 2 2 5 6" xfId="13329"/>
    <cellStyle name="Обычный 6 2 2 2 5 7" xfId="13330"/>
    <cellStyle name="Обычный 6 2 2 2 5 8" xfId="13331"/>
    <cellStyle name="Обычный 6 2 2 2 5 9" xfId="13332"/>
    <cellStyle name="Обычный 6 2 2 2 6" xfId="13333"/>
    <cellStyle name="Обычный 6 2 2 2 6 10" xfId="13334"/>
    <cellStyle name="Обычный 6 2 2 2 6 11" xfId="19162"/>
    <cellStyle name="Обычный 6 2 2 2 6 12" xfId="20856"/>
    <cellStyle name="Обычный 6 2 2 2 6 13" xfId="22468"/>
    <cellStyle name="Обычный 6 2 2 2 6 2" xfId="13335"/>
    <cellStyle name="Обычный 6 2 2 2 6 2 2" xfId="13336"/>
    <cellStyle name="Обычный 6 2 2 2 6 3" xfId="13337"/>
    <cellStyle name="Обычный 6 2 2 2 6 4" xfId="13338"/>
    <cellStyle name="Обычный 6 2 2 2 6 5" xfId="13339"/>
    <cellStyle name="Обычный 6 2 2 2 6 6" xfId="13340"/>
    <cellStyle name="Обычный 6 2 2 2 6 7" xfId="13341"/>
    <cellStyle name="Обычный 6 2 2 2 6 8" xfId="13342"/>
    <cellStyle name="Обычный 6 2 2 2 6 9" xfId="13343"/>
    <cellStyle name="Обычный 6 2 2 2 7" xfId="13344"/>
    <cellStyle name="Обычный 6 2 2 2 7 10" xfId="20857"/>
    <cellStyle name="Обычный 6 2 2 2 7 11" xfId="22469"/>
    <cellStyle name="Обычный 6 2 2 2 7 2" xfId="13345"/>
    <cellStyle name="Обычный 6 2 2 2 7 2 2" xfId="13346"/>
    <cellStyle name="Обычный 6 2 2 2 7 3" xfId="13347"/>
    <cellStyle name="Обычный 6 2 2 2 7 4" xfId="13348"/>
    <cellStyle name="Обычный 6 2 2 2 7 5" xfId="13349"/>
    <cellStyle name="Обычный 6 2 2 2 7 6" xfId="13350"/>
    <cellStyle name="Обычный 6 2 2 2 7 7" xfId="13351"/>
    <cellStyle name="Обычный 6 2 2 2 7 8" xfId="13352"/>
    <cellStyle name="Обычный 6 2 2 2 7 9" xfId="19163"/>
    <cellStyle name="Обычный 6 2 2 2 8" xfId="13353"/>
    <cellStyle name="Обычный 6 2 2 2 8 2" xfId="13354"/>
    <cellStyle name="Обычный 6 2 2 2 9" xfId="13355"/>
    <cellStyle name="Обычный 6 2 2 20" xfId="19152"/>
    <cellStyle name="Обычный 6 2 2 21" xfId="20846"/>
    <cellStyle name="Обычный 6 2 2 22" xfId="22458"/>
    <cellStyle name="Обычный 6 2 2 3" xfId="13356"/>
    <cellStyle name="Обычный 6 2 2 3 10" xfId="13357"/>
    <cellStyle name="Обычный 6 2 2 3 11" xfId="13358"/>
    <cellStyle name="Обычный 6 2 2 3 12" xfId="13359"/>
    <cellStyle name="Обычный 6 2 2 3 13" xfId="13360"/>
    <cellStyle name="Обычный 6 2 2 3 14" xfId="13361"/>
    <cellStyle name="Обычный 6 2 2 3 15" xfId="13362"/>
    <cellStyle name="Обычный 6 2 2 3 16" xfId="13363"/>
    <cellStyle name="Обычный 6 2 2 3 17" xfId="13364"/>
    <cellStyle name="Обычный 6 2 2 3 18" xfId="19164"/>
    <cellStyle name="Обычный 6 2 2 3 19" xfId="20858"/>
    <cellStyle name="Обычный 6 2 2 3 2" xfId="13365"/>
    <cellStyle name="Обычный 6 2 2 3 2 10" xfId="13366"/>
    <cellStyle name="Обычный 6 2 2 3 2 11" xfId="13367"/>
    <cellStyle name="Обычный 6 2 2 3 2 12" xfId="19165"/>
    <cellStyle name="Обычный 6 2 2 3 2 13" xfId="20859"/>
    <cellStyle name="Обычный 6 2 2 3 2 14" xfId="22471"/>
    <cellStyle name="Обычный 6 2 2 3 2 2" xfId="13368"/>
    <cellStyle name="Обычный 6 2 2 3 2 2 10" xfId="13369"/>
    <cellStyle name="Обычный 6 2 2 3 2 2 11" xfId="19166"/>
    <cellStyle name="Обычный 6 2 2 3 2 2 12" xfId="20860"/>
    <cellStyle name="Обычный 6 2 2 3 2 2 13" xfId="22472"/>
    <cellStyle name="Обычный 6 2 2 3 2 2 2" xfId="13370"/>
    <cellStyle name="Обычный 6 2 2 3 2 2 2 2" xfId="13371"/>
    <cellStyle name="Обычный 6 2 2 3 2 2 3" xfId="13372"/>
    <cellStyle name="Обычный 6 2 2 3 2 2 4" xfId="13373"/>
    <cellStyle name="Обычный 6 2 2 3 2 2 5" xfId="13374"/>
    <cellStyle name="Обычный 6 2 2 3 2 2 6" xfId="13375"/>
    <cellStyle name="Обычный 6 2 2 3 2 2 7" xfId="13376"/>
    <cellStyle name="Обычный 6 2 2 3 2 2 8" xfId="13377"/>
    <cellStyle name="Обычный 6 2 2 3 2 2 9" xfId="13378"/>
    <cellStyle name="Обычный 6 2 2 3 2 3" xfId="13379"/>
    <cellStyle name="Обычный 6 2 2 3 2 3 2" xfId="13380"/>
    <cellStyle name="Обычный 6 2 2 3 2 4" xfId="13381"/>
    <cellStyle name="Обычный 6 2 2 3 2 5" xfId="13382"/>
    <cellStyle name="Обычный 6 2 2 3 2 6" xfId="13383"/>
    <cellStyle name="Обычный 6 2 2 3 2 7" xfId="13384"/>
    <cellStyle name="Обычный 6 2 2 3 2 8" xfId="13385"/>
    <cellStyle name="Обычный 6 2 2 3 2 9" xfId="13386"/>
    <cellStyle name="Обычный 6 2 2 3 20" xfId="22470"/>
    <cellStyle name="Обычный 6 2 2 3 3" xfId="13387"/>
    <cellStyle name="Обычный 6 2 2 3 3 10" xfId="13388"/>
    <cellStyle name="Обычный 6 2 2 3 3 11" xfId="13389"/>
    <cellStyle name="Обычный 6 2 2 3 3 12" xfId="19167"/>
    <cellStyle name="Обычный 6 2 2 3 3 13" xfId="20861"/>
    <cellStyle name="Обычный 6 2 2 3 3 14" xfId="22473"/>
    <cellStyle name="Обычный 6 2 2 3 3 2" xfId="13390"/>
    <cellStyle name="Обычный 6 2 2 3 3 2 10" xfId="13391"/>
    <cellStyle name="Обычный 6 2 2 3 3 2 11" xfId="19168"/>
    <cellStyle name="Обычный 6 2 2 3 3 2 12" xfId="20862"/>
    <cellStyle name="Обычный 6 2 2 3 3 2 13" xfId="22474"/>
    <cellStyle name="Обычный 6 2 2 3 3 2 2" xfId="13392"/>
    <cellStyle name="Обычный 6 2 2 3 3 2 2 2" xfId="13393"/>
    <cellStyle name="Обычный 6 2 2 3 3 2 3" xfId="13394"/>
    <cellStyle name="Обычный 6 2 2 3 3 2 4" xfId="13395"/>
    <cellStyle name="Обычный 6 2 2 3 3 2 5" xfId="13396"/>
    <cellStyle name="Обычный 6 2 2 3 3 2 6" xfId="13397"/>
    <cellStyle name="Обычный 6 2 2 3 3 2 7" xfId="13398"/>
    <cellStyle name="Обычный 6 2 2 3 3 2 8" xfId="13399"/>
    <cellStyle name="Обычный 6 2 2 3 3 2 9" xfId="13400"/>
    <cellStyle name="Обычный 6 2 2 3 3 3" xfId="13401"/>
    <cellStyle name="Обычный 6 2 2 3 3 3 2" xfId="13402"/>
    <cellStyle name="Обычный 6 2 2 3 3 4" xfId="13403"/>
    <cellStyle name="Обычный 6 2 2 3 3 5" xfId="13404"/>
    <cellStyle name="Обычный 6 2 2 3 3 6" xfId="13405"/>
    <cellStyle name="Обычный 6 2 2 3 3 7" xfId="13406"/>
    <cellStyle name="Обычный 6 2 2 3 3 8" xfId="13407"/>
    <cellStyle name="Обычный 6 2 2 3 3 9" xfId="13408"/>
    <cellStyle name="Обычный 6 2 2 3 4" xfId="13409"/>
    <cellStyle name="Обычный 6 2 2 3 4 10" xfId="13410"/>
    <cellStyle name="Обычный 6 2 2 3 4 11" xfId="13411"/>
    <cellStyle name="Обычный 6 2 2 3 4 12" xfId="19169"/>
    <cellStyle name="Обычный 6 2 2 3 4 13" xfId="20863"/>
    <cellStyle name="Обычный 6 2 2 3 4 14" xfId="22475"/>
    <cellStyle name="Обычный 6 2 2 3 4 2" xfId="13412"/>
    <cellStyle name="Обычный 6 2 2 3 4 2 10" xfId="13413"/>
    <cellStyle name="Обычный 6 2 2 3 4 2 11" xfId="19170"/>
    <cellStyle name="Обычный 6 2 2 3 4 2 12" xfId="20864"/>
    <cellStyle name="Обычный 6 2 2 3 4 2 13" xfId="22476"/>
    <cellStyle name="Обычный 6 2 2 3 4 2 2" xfId="13414"/>
    <cellStyle name="Обычный 6 2 2 3 4 2 2 2" xfId="13415"/>
    <cellStyle name="Обычный 6 2 2 3 4 2 3" xfId="13416"/>
    <cellStyle name="Обычный 6 2 2 3 4 2 4" xfId="13417"/>
    <cellStyle name="Обычный 6 2 2 3 4 2 5" xfId="13418"/>
    <cellStyle name="Обычный 6 2 2 3 4 2 6" xfId="13419"/>
    <cellStyle name="Обычный 6 2 2 3 4 2 7" xfId="13420"/>
    <cellStyle name="Обычный 6 2 2 3 4 2 8" xfId="13421"/>
    <cellStyle name="Обычный 6 2 2 3 4 2 9" xfId="13422"/>
    <cellStyle name="Обычный 6 2 2 3 4 3" xfId="13423"/>
    <cellStyle name="Обычный 6 2 2 3 4 3 2" xfId="13424"/>
    <cellStyle name="Обычный 6 2 2 3 4 4" xfId="13425"/>
    <cellStyle name="Обычный 6 2 2 3 4 5" xfId="13426"/>
    <cellStyle name="Обычный 6 2 2 3 4 6" xfId="13427"/>
    <cellStyle name="Обычный 6 2 2 3 4 7" xfId="13428"/>
    <cellStyle name="Обычный 6 2 2 3 4 8" xfId="13429"/>
    <cellStyle name="Обычный 6 2 2 3 4 9" xfId="13430"/>
    <cellStyle name="Обычный 6 2 2 3 5" xfId="13431"/>
    <cellStyle name="Обычный 6 2 2 3 5 10" xfId="13432"/>
    <cellStyle name="Обычный 6 2 2 3 5 11" xfId="13433"/>
    <cellStyle name="Обычный 6 2 2 3 5 12" xfId="19171"/>
    <cellStyle name="Обычный 6 2 2 3 5 13" xfId="20865"/>
    <cellStyle name="Обычный 6 2 2 3 5 14" xfId="22477"/>
    <cellStyle name="Обычный 6 2 2 3 5 2" xfId="13434"/>
    <cellStyle name="Обычный 6 2 2 3 5 2 10" xfId="13435"/>
    <cellStyle name="Обычный 6 2 2 3 5 2 11" xfId="19172"/>
    <cellStyle name="Обычный 6 2 2 3 5 2 12" xfId="20866"/>
    <cellStyle name="Обычный 6 2 2 3 5 2 13" xfId="22478"/>
    <cellStyle name="Обычный 6 2 2 3 5 2 2" xfId="13436"/>
    <cellStyle name="Обычный 6 2 2 3 5 2 2 2" xfId="13437"/>
    <cellStyle name="Обычный 6 2 2 3 5 2 3" xfId="13438"/>
    <cellStyle name="Обычный 6 2 2 3 5 2 4" xfId="13439"/>
    <cellStyle name="Обычный 6 2 2 3 5 2 5" xfId="13440"/>
    <cellStyle name="Обычный 6 2 2 3 5 2 6" xfId="13441"/>
    <cellStyle name="Обычный 6 2 2 3 5 2 7" xfId="13442"/>
    <cellStyle name="Обычный 6 2 2 3 5 2 8" xfId="13443"/>
    <cellStyle name="Обычный 6 2 2 3 5 2 9" xfId="13444"/>
    <cellStyle name="Обычный 6 2 2 3 5 3" xfId="13445"/>
    <cellStyle name="Обычный 6 2 2 3 5 3 2" xfId="13446"/>
    <cellStyle name="Обычный 6 2 2 3 5 4" xfId="13447"/>
    <cellStyle name="Обычный 6 2 2 3 5 5" xfId="13448"/>
    <cellStyle name="Обычный 6 2 2 3 5 6" xfId="13449"/>
    <cellStyle name="Обычный 6 2 2 3 5 7" xfId="13450"/>
    <cellStyle name="Обычный 6 2 2 3 5 8" xfId="13451"/>
    <cellStyle name="Обычный 6 2 2 3 5 9" xfId="13452"/>
    <cellStyle name="Обычный 6 2 2 3 6" xfId="13453"/>
    <cellStyle name="Обычный 6 2 2 3 6 10" xfId="13454"/>
    <cellStyle name="Обычный 6 2 2 3 6 11" xfId="19173"/>
    <cellStyle name="Обычный 6 2 2 3 6 12" xfId="20867"/>
    <cellStyle name="Обычный 6 2 2 3 6 13" xfId="22479"/>
    <cellStyle name="Обычный 6 2 2 3 6 2" xfId="13455"/>
    <cellStyle name="Обычный 6 2 2 3 6 2 2" xfId="13456"/>
    <cellStyle name="Обычный 6 2 2 3 6 3" xfId="13457"/>
    <cellStyle name="Обычный 6 2 2 3 6 4" xfId="13458"/>
    <cellStyle name="Обычный 6 2 2 3 6 5" xfId="13459"/>
    <cellStyle name="Обычный 6 2 2 3 6 6" xfId="13460"/>
    <cellStyle name="Обычный 6 2 2 3 6 7" xfId="13461"/>
    <cellStyle name="Обычный 6 2 2 3 6 8" xfId="13462"/>
    <cellStyle name="Обычный 6 2 2 3 6 9" xfId="13463"/>
    <cellStyle name="Обычный 6 2 2 3 7" xfId="13464"/>
    <cellStyle name="Обычный 6 2 2 3 7 10" xfId="20868"/>
    <cellStyle name="Обычный 6 2 2 3 7 11" xfId="22480"/>
    <cellStyle name="Обычный 6 2 2 3 7 2" xfId="13465"/>
    <cellStyle name="Обычный 6 2 2 3 7 2 2" xfId="13466"/>
    <cellStyle name="Обычный 6 2 2 3 7 3" xfId="13467"/>
    <cellStyle name="Обычный 6 2 2 3 7 4" xfId="13468"/>
    <cellStyle name="Обычный 6 2 2 3 7 5" xfId="13469"/>
    <cellStyle name="Обычный 6 2 2 3 7 6" xfId="13470"/>
    <cellStyle name="Обычный 6 2 2 3 7 7" xfId="13471"/>
    <cellStyle name="Обычный 6 2 2 3 7 8" xfId="13472"/>
    <cellStyle name="Обычный 6 2 2 3 7 9" xfId="19174"/>
    <cellStyle name="Обычный 6 2 2 3 8" xfId="13473"/>
    <cellStyle name="Обычный 6 2 2 3 8 2" xfId="13474"/>
    <cellStyle name="Обычный 6 2 2 3 9" xfId="13475"/>
    <cellStyle name="Обычный 6 2 2 4" xfId="13476"/>
    <cellStyle name="Обычный 6 2 2 4 10" xfId="13477"/>
    <cellStyle name="Обычный 6 2 2 4 11" xfId="13478"/>
    <cellStyle name="Обычный 6 2 2 4 12" xfId="19175"/>
    <cellStyle name="Обычный 6 2 2 4 13" xfId="20869"/>
    <cellStyle name="Обычный 6 2 2 4 14" xfId="22481"/>
    <cellStyle name="Обычный 6 2 2 4 2" xfId="13479"/>
    <cellStyle name="Обычный 6 2 2 4 2 10" xfId="13480"/>
    <cellStyle name="Обычный 6 2 2 4 2 11" xfId="19176"/>
    <cellStyle name="Обычный 6 2 2 4 2 12" xfId="20870"/>
    <cellStyle name="Обычный 6 2 2 4 2 13" xfId="22482"/>
    <cellStyle name="Обычный 6 2 2 4 2 2" xfId="13481"/>
    <cellStyle name="Обычный 6 2 2 4 2 2 2" xfId="13482"/>
    <cellStyle name="Обычный 6 2 2 4 2 3" xfId="13483"/>
    <cellStyle name="Обычный 6 2 2 4 2 4" xfId="13484"/>
    <cellStyle name="Обычный 6 2 2 4 2 5" xfId="13485"/>
    <cellStyle name="Обычный 6 2 2 4 2 6" xfId="13486"/>
    <cellStyle name="Обычный 6 2 2 4 2 7" xfId="13487"/>
    <cellStyle name="Обычный 6 2 2 4 2 8" xfId="13488"/>
    <cellStyle name="Обычный 6 2 2 4 2 9" xfId="13489"/>
    <cellStyle name="Обычный 6 2 2 4 3" xfId="13490"/>
    <cellStyle name="Обычный 6 2 2 4 3 2" xfId="13491"/>
    <cellStyle name="Обычный 6 2 2 4 4" xfId="13492"/>
    <cellStyle name="Обычный 6 2 2 4 5" xfId="13493"/>
    <cellStyle name="Обычный 6 2 2 4 6" xfId="13494"/>
    <cellStyle name="Обычный 6 2 2 4 7" xfId="13495"/>
    <cellStyle name="Обычный 6 2 2 4 8" xfId="13496"/>
    <cellStyle name="Обычный 6 2 2 4 9" xfId="13497"/>
    <cellStyle name="Обычный 6 2 2 5" xfId="13498"/>
    <cellStyle name="Обычный 6 2 2 5 10" xfId="13499"/>
    <cellStyle name="Обычный 6 2 2 5 11" xfId="13500"/>
    <cellStyle name="Обычный 6 2 2 5 12" xfId="19177"/>
    <cellStyle name="Обычный 6 2 2 5 13" xfId="20871"/>
    <cellStyle name="Обычный 6 2 2 5 14" xfId="22483"/>
    <cellStyle name="Обычный 6 2 2 5 2" xfId="13501"/>
    <cellStyle name="Обычный 6 2 2 5 2 10" xfId="13502"/>
    <cellStyle name="Обычный 6 2 2 5 2 11" xfId="19178"/>
    <cellStyle name="Обычный 6 2 2 5 2 12" xfId="20872"/>
    <cellStyle name="Обычный 6 2 2 5 2 13" xfId="22484"/>
    <cellStyle name="Обычный 6 2 2 5 2 2" xfId="13503"/>
    <cellStyle name="Обычный 6 2 2 5 2 2 2" xfId="13504"/>
    <cellStyle name="Обычный 6 2 2 5 2 3" xfId="13505"/>
    <cellStyle name="Обычный 6 2 2 5 2 4" xfId="13506"/>
    <cellStyle name="Обычный 6 2 2 5 2 5" xfId="13507"/>
    <cellStyle name="Обычный 6 2 2 5 2 6" xfId="13508"/>
    <cellStyle name="Обычный 6 2 2 5 2 7" xfId="13509"/>
    <cellStyle name="Обычный 6 2 2 5 2 8" xfId="13510"/>
    <cellStyle name="Обычный 6 2 2 5 2 9" xfId="13511"/>
    <cellStyle name="Обычный 6 2 2 5 3" xfId="13512"/>
    <cellStyle name="Обычный 6 2 2 5 3 2" xfId="13513"/>
    <cellStyle name="Обычный 6 2 2 5 4" xfId="13514"/>
    <cellStyle name="Обычный 6 2 2 5 5" xfId="13515"/>
    <cellStyle name="Обычный 6 2 2 5 6" xfId="13516"/>
    <cellStyle name="Обычный 6 2 2 5 7" xfId="13517"/>
    <cellStyle name="Обычный 6 2 2 5 8" xfId="13518"/>
    <cellStyle name="Обычный 6 2 2 5 9" xfId="13519"/>
    <cellStyle name="Обычный 6 2 2 6" xfId="13520"/>
    <cellStyle name="Обычный 6 2 2 6 10" xfId="13521"/>
    <cellStyle name="Обычный 6 2 2 6 11" xfId="13522"/>
    <cellStyle name="Обычный 6 2 2 6 12" xfId="19179"/>
    <cellStyle name="Обычный 6 2 2 6 13" xfId="20873"/>
    <cellStyle name="Обычный 6 2 2 6 14" xfId="22485"/>
    <cellStyle name="Обычный 6 2 2 6 2" xfId="13523"/>
    <cellStyle name="Обычный 6 2 2 6 2 10" xfId="13524"/>
    <cellStyle name="Обычный 6 2 2 6 2 11" xfId="19180"/>
    <cellStyle name="Обычный 6 2 2 6 2 12" xfId="20874"/>
    <cellStyle name="Обычный 6 2 2 6 2 13" xfId="22486"/>
    <cellStyle name="Обычный 6 2 2 6 2 2" xfId="13525"/>
    <cellStyle name="Обычный 6 2 2 6 2 2 2" xfId="13526"/>
    <cellStyle name="Обычный 6 2 2 6 2 3" xfId="13527"/>
    <cellStyle name="Обычный 6 2 2 6 2 4" xfId="13528"/>
    <cellStyle name="Обычный 6 2 2 6 2 5" xfId="13529"/>
    <cellStyle name="Обычный 6 2 2 6 2 6" xfId="13530"/>
    <cellStyle name="Обычный 6 2 2 6 2 7" xfId="13531"/>
    <cellStyle name="Обычный 6 2 2 6 2 8" xfId="13532"/>
    <cellStyle name="Обычный 6 2 2 6 2 9" xfId="13533"/>
    <cellStyle name="Обычный 6 2 2 6 3" xfId="13534"/>
    <cellStyle name="Обычный 6 2 2 6 3 2" xfId="13535"/>
    <cellStyle name="Обычный 6 2 2 6 4" xfId="13536"/>
    <cellStyle name="Обычный 6 2 2 6 5" xfId="13537"/>
    <cellStyle name="Обычный 6 2 2 6 6" xfId="13538"/>
    <cellStyle name="Обычный 6 2 2 6 7" xfId="13539"/>
    <cellStyle name="Обычный 6 2 2 6 8" xfId="13540"/>
    <cellStyle name="Обычный 6 2 2 6 9" xfId="13541"/>
    <cellStyle name="Обычный 6 2 2 7" xfId="13542"/>
    <cellStyle name="Обычный 6 2 2 7 10" xfId="13543"/>
    <cellStyle name="Обычный 6 2 2 7 11" xfId="13544"/>
    <cellStyle name="Обычный 6 2 2 7 12" xfId="19181"/>
    <cellStyle name="Обычный 6 2 2 7 13" xfId="20875"/>
    <cellStyle name="Обычный 6 2 2 7 14" xfId="22487"/>
    <cellStyle name="Обычный 6 2 2 7 2" xfId="13545"/>
    <cellStyle name="Обычный 6 2 2 7 2 10" xfId="13546"/>
    <cellStyle name="Обычный 6 2 2 7 2 11" xfId="19182"/>
    <cellStyle name="Обычный 6 2 2 7 2 12" xfId="20876"/>
    <cellStyle name="Обычный 6 2 2 7 2 13" xfId="22488"/>
    <cellStyle name="Обычный 6 2 2 7 2 2" xfId="13547"/>
    <cellStyle name="Обычный 6 2 2 7 2 2 2" xfId="13548"/>
    <cellStyle name="Обычный 6 2 2 7 2 3" xfId="13549"/>
    <cellStyle name="Обычный 6 2 2 7 2 4" xfId="13550"/>
    <cellStyle name="Обычный 6 2 2 7 2 5" xfId="13551"/>
    <cellStyle name="Обычный 6 2 2 7 2 6" xfId="13552"/>
    <cellStyle name="Обычный 6 2 2 7 2 7" xfId="13553"/>
    <cellStyle name="Обычный 6 2 2 7 2 8" xfId="13554"/>
    <cellStyle name="Обычный 6 2 2 7 2 9" xfId="13555"/>
    <cellStyle name="Обычный 6 2 2 7 3" xfId="13556"/>
    <cellStyle name="Обычный 6 2 2 7 3 2" xfId="13557"/>
    <cellStyle name="Обычный 6 2 2 7 4" xfId="13558"/>
    <cellStyle name="Обычный 6 2 2 7 5" xfId="13559"/>
    <cellStyle name="Обычный 6 2 2 7 6" xfId="13560"/>
    <cellStyle name="Обычный 6 2 2 7 7" xfId="13561"/>
    <cellStyle name="Обычный 6 2 2 7 8" xfId="13562"/>
    <cellStyle name="Обычный 6 2 2 7 9" xfId="13563"/>
    <cellStyle name="Обычный 6 2 2 8" xfId="13564"/>
    <cellStyle name="Обычный 6 2 2 8 10" xfId="13565"/>
    <cellStyle name="Обычный 6 2 2 8 11" xfId="19183"/>
    <cellStyle name="Обычный 6 2 2 8 12" xfId="20877"/>
    <cellStyle name="Обычный 6 2 2 8 13" xfId="22489"/>
    <cellStyle name="Обычный 6 2 2 8 2" xfId="13566"/>
    <cellStyle name="Обычный 6 2 2 8 2 2" xfId="13567"/>
    <cellStyle name="Обычный 6 2 2 8 3" xfId="13568"/>
    <cellStyle name="Обычный 6 2 2 8 4" xfId="13569"/>
    <cellStyle name="Обычный 6 2 2 8 5" xfId="13570"/>
    <cellStyle name="Обычный 6 2 2 8 6" xfId="13571"/>
    <cellStyle name="Обычный 6 2 2 8 7" xfId="13572"/>
    <cellStyle name="Обычный 6 2 2 8 8" xfId="13573"/>
    <cellStyle name="Обычный 6 2 2 8 9" xfId="13574"/>
    <cellStyle name="Обычный 6 2 2 9" xfId="13575"/>
    <cellStyle name="Обычный 6 2 2 9 10" xfId="20878"/>
    <cellStyle name="Обычный 6 2 2 9 11" xfId="22490"/>
    <cellStyle name="Обычный 6 2 2 9 2" xfId="13576"/>
    <cellStyle name="Обычный 6 2 2 9 2 2" xfId="13577"/>
    <cellStyle name="Обычный 6 2 2 9 3" xfId="13578"/>
    <cellStyle name="Обычный 6 2 2 9 4" xfId="13579"/>
    <cellStyle name="Обычный 6 2 2 9 5" xfId="13580"/>
    <cellStyle name="Обычный 6 2 2 9 6" xfId="13581"/>
    <cellStyle name="Обычный 6 2 2 9 7" xfId="13582"/>
    <cellStyle name="Обычный 6 2 2 9 8" xfId="13583"/>
    <cellStyle name="Обычный 6 2 2 9 9" xfId="19184"/>
    <cellStyle name="Обычный 6 2 20" xfId="13584"/>
    <cellStyle name="Обычный 6 2 21" xfId="13585"/>
    <cellStyle name="Обычный 6 2 22" xfId="13586"/>
    <cellStyle name="Обычный 6 2 23" xfId="13587"/>
    <cellStyle name="Обычный 6 2 24" xfId="19146"/>
    <cellStyle name="Обычный 6 2 25" xfId="19640"/>
    <cellStyle name="Обычный 6 2 26" xfId="20840"/>
    <cellStyle name="Обычный 6 2 27" xfId="22452"/>
    <cellStyle name="Обычный 6 2 3" xfId="13588"/>
    <cellStyle name="Обычный 6 2 3 10" xfId="13589"/>
    <cellStyle name="Обычный 6 2 3 11" xfId="13590"/>
    <cellStyle name="Обычный 6 2 3 12" xfId="13591"/>
    <cellStyle name="Обычный 6 2 3 13" xfId="13592"/>
    <cellStyle name="Обычный 6 2 3 14" xfId="13593"/>
    <cellStyle name="Обычный 6 2 3 15" xfId="13594"/>
    <cellStyle name="Обычный 6 2 3 16" xfId="13595"/>
    <cellStyle name="Обычный 6 2 3 17" xfId="13596"/>
    <cellStyle name="Обычный 6 2 3 18" xfId="19185"/>
    <cellStyle name="Обычный 6 2 3 19" xfId="20879"/>
    <cellStyle name="Обычный 6 2 3 2" xfId="13597"/>
    <cellStyle name="Обычный 6 2 3 2 10" xfId="13598"/>
    <cellStyle name="Обычный 6 2 3 2 11" xfId="13599"/>
    <cellStyle name="Обычный 6 2 3 2 12" xfId="19186"/>
    <cellStyle name="Обычный 6 2 3 2 13" xfId="20880"/>
    <cellStyle name="Обычный 6 2 3 2 14" xfId="22492"/>
    <cellStyle name="Обычный 6 2 3 2 2" xfId="13600"/>
    <cellStyle name="Обычный 6 2 3 2 2 10" xfId="13601"/>
    <cellStyle name="Обычный 6 2 3 2 2 11" xfId="19187"/>
    <cellStyle name="Обычный 6 2 3 2 2 12" xfId="20881"/>
    <cellStyle name="Обычный 6 2 3 2 2 13" xfId="22493"/>
    <cellStyle name="Обычный 6 2 3 2 2 2" xfId="13602"/>
    <cellStyle name="Обычный 6 2 3 2 2 2 2" xfId="13603"/>
    <cellStyle name="Обычный 6 2 3 2 2 3" xfId="13604"/>
    <cellStyle name="Обычный 6 2 3 2 2 4" xfId="13605"/>
    <cellStyle name="Обычный 6 2 3 2 2 5" xfId="13606"/>
    <cellStyle name="Обычный 6 2 3 2 2 6" xfId="13607"/>
    <cellStyle name="Обычный 6 2 3 2 2 7" xfId="13608"/>
    <cellStyle name="Обычный 6 2 3 2 2 8" xfId="13609"/>
    <cellStyle name="Обычный 6 2 3 2 2 9" xfId="13610"/>
    <cellStyle name="Обычный 6 2 3 2 3" xfId="13611"/>
    <cellStyle name="Обычный 6 2 3 2 3 2" xfId="13612"/>
    <cellStyle name="Обычный 6 2 3 2 4" xfId="13613"/>
    <cellStyle name="Обычный 6 2 3 2 5" xfId="13614"/>
    <cellStyle name="Обычный 6 2 3 2 6" xfId="13615"/>
    <cellStyle name="Обычный 6 2 3 2 7" xfId="13616"/>
    <cellStyle name="Обычный 6 2 3 2 8" xfId="13617"/>
    <cellStyle name="Обычный 6 2 3 2 9" xfId="13618"/>
    <cellStyle name="Обычный 6 2 3 20" xfId="22491"/>
    <cellStyle name="Обычный 6 2 3 3" xfId="13619"/>
    <cellStyle name="Обычный 6 2 3 3 10" xfId="13620"/>
    <cellStyle name="Обычный 6 2 3 3 11" xfId="13621"/>
    <cellStyle name="Обычный 6 2 3 3 12" xfId="19188"/>
    <cellStyle name="Обычный 6 2 3 3 13" xfId="20882"/>
    <cellStyle name="Обычный 6 2 3 3 14" xfId="22494"/>
    <cellStyle name="Обычный 6 2 3 3 2" xfId="13622"/>
    <cellStyle name="Обычный 6 2 3 3 2 10" xfId="13623"/>
    <cellStyle name="Обычный 6 2 3 3 2 11" xfId="19189"/>
    <cellStyle name="Обычный 6 2 3 3 2 12" xfId="20883"/>
    <cellStyle name="Обычный 6 2 3 3 2 13" xfId="22495"/>
    <cellStyle name="Обычный 6 2 3 3 2 2" xfId="13624"/>
    <cellStyle name="Обычный 6 2 3 3 2 2 2" xfId="13625"/>
    <cellStyle name="Обычный 6 2 3 3 2 3" xfId="13626"/>
    <cellStyle name="Обычный 6 2 3 3 2 4" xfId="13627"/>
    <cellStyle name="Обычный 6 2 3 3 2 5" xfId="13628"/>
    <cellStyle name="Обычный 6 2 3 3 2 6" xfId="13629"/>
    <cellStyle name="Обычный 6 2 3 3 2 7" xfId="13630"/>
    <cellStyle name="Обычный 6 2 3 3 2 8" xfId="13631"/>
    <cellStyle name="Обычный 6 2 3 3 2 9" xfId="13632"/>
    <cellStyle name="Обычный 6 2 3 3 3" xfId="13633"/>
    <cellStyle name="Обычный 6 2 3 3 3 2" xfId="13634"/>
    <cellStyle name="Обычный 6 2 3 3 4" xfId="13635"/>
    <cellStyle name="Обычный 6 2 3 3 5" xfId="13636"/>
    <cellStyle name="Обычный 6 2 3 3 6" xfId="13637"/>
    <cellStyle name="Обычный 6 2 3 3 7" xfId="13638"/>
    <cellStyle name="Обычный 6 2 3 3 8" xfId="13639"/>
    <cellStyle name="Обычный 6 2 3 3 9" xfId="13640"/>
    <cellStyle name="Обычный 6 2 3 4" xfId="13641"/>
    <cellStyle name="Обычный 6 2 3 4 10" xfId="13642"/>
    <cellStyle name="Обычный 6 2 3 4 11" xfId="13643"/>
    <cellStyle name="Обычный 6 2 3 4 12" xfId="19190"/>
    <cellStyle name="Обычный 6 2 3 4 13" xfId="20884"/>
    <cellStyle name="Обычный 6 2 3 4 14" xfId="22496"/>
    <cellStyle name="Обычный 6 2 3 4 2" xfId="13644"/>
    <cellStyle name="Обычный 6 2 3 4 2 10" xfId="13645"/>
    <cellStyle name="Обычный 6 2 3 4 2 11" xfId="19191"/>
    <cellStyle name="Обычный 6 2 3 4 2 12" xfId="20885"/>
    <cellStyle name="Обычный 6 2 3 4 2 13" xfId="22497"/>
    <cellStyle name="Обычный 6 2 3 4 2 2" xfId="13646"/>
    <cellStyle name="Обычный 6 2 3 4 2 2 2" xfId="13647"/>
    <cellStyle name="Обычный 6 2 3 4 2 3" xfId="13648"/>
    <cellStyle name="Обычный 6 2 3 4 2 4" xfId="13649"/>
    <cellStyle name="Обычный 6 2 3 4 2 5" xfId="13650"/>
    <cellStyle name="Обычный 6 2 3 4 2 6" xfId="13651"/>
    <cellStyle name="Обычный 6 2 3 4 2 7" xfId="13652"/>
    <cellStyle name="Обычный 6 2 3 4 2 8" xfId="13653"/>
    <cellStyle name="Обычный 6 2 3 4 2 9" xfId="13654"/>
    <cellStyle name="Обычный 6 2 3 4 3" xfId="13655"/>
    <cellStyle name="Обычный 6 2 3 4 3 2" xfId="13656"/>
    <cellStyle name="Обычный 6 2 3 4 4" xfId="13657"/>
    <cellStyle name="Обычный 6 2 3 4 5" xfId="13658"/>
    <cellStyle name="Обычный 6 2 3 4 6" xfId="13659"/>
    <cellStyle name="Обычный 6 2 3 4 7" xfId="13660"/>
    <cellStyle name="Обычный 6 2 3 4 8" xfId="13661"/>
    <cellStyle name="Обычный 6 2 3 4 9" xfId="13662"/>
    <cellStyle name="Обычный 6 2 3 5" xfId="13663"/>
    <cellStyle name="Обычный 6 2 3 5 10" xfId="13664"/>
    <cellStyle name="Обычный 6 2 3 5 11" xfId="13665"/>
    <cellStyle name="Обычный 6 2 3 5 12" xfId="19192"/>
    <cellStyle name="Обычный 6 2 3 5 13" xfId="20886"/>
    <cellStyle name="Обычный 6 2 3 5 14" xfId="22498"/>
    <cellStyle name="Обычный 6 2 3 5 2" xfId="13666"/>
    <cellStyle name="Обычный 6 2 3 5 2 10" xfId="13667"/>
    <cellStyle name="Обычный 6 2 3 5 2 11" xfId="19193"/>
    <cellStyle name="Обычный 6 2 3 5 2 12" xfId="20887"/>
    <cellStyle name="Обычный 6 2 3 5 2 13" xfId="22499"/>
    <cellStyle name="Обычный 6 2 3 5 2 2" xfId="13668"/>
    <cellStyle name="Обычный 6 2 3 5 2 2 2" xfId="13669"/>
    <cellStyle name="Обычный 6 2 3 5 2 3" xfId="13670"/>
    <cellStyle name="Обычный 6 2 3 5 2 4" xfId="13671"/>
    <cellStyle name="Обычный 6 2 3 5 2 5" xfId="13672"/>
    <cellStyle name="Обычный 6 2 3 5 2 6" xfId="13673"/>
    <cellStyle name="Обычный 6 2 3 5 2 7" xfId="13674"/>
    <cellStyle name="Обычный 6 2 3 5 2 8" xfId="13675"/>
    <cellStyle name="Обычный 6 2 3 5 2 9" xfId="13676"/>
    <cellStyle name="Обычный 6 2 3 5 3" xfId="13677"/>
    <cellStyle name="Обычный 6 2 3 5 3 2" xfId="13678"/>
    <cellStyle name="Обычный 6 2 3 5 4" xfId="13679"/>
    <cellStyle name="Обычный 6 2 3 5 5" xfId="13680"/>
    <cellStyle name="Обычный 6 2 3 5 6" xfId="13681"/>
    <cellStyle name="Обычный 6 2 3 5 7" xfId="13682"/>
    <cellStyle name="Обычный 6 2 3 5 8" xfId="13683"/>
    <cellStyle name="Обычный 6 2 3 5 9" xfId="13684"/>
    <cellStyle name="Обычный 6 2 3 6" xfId="13685"/>
    <cellStyle name="Обычный 6 2 3 6 10" xfId="13686"/>
    <cellStyle name="Обычный 6 2 3 6 11" xfId="19194"/>
    <cellStyle name="Обычный 6 2 3 6 12" xfId="20888"/>
    <cellStyle name="Обычный 6 2 3 6 13" xfId="22500"/>
    <cellStyle name="Обычный 6 2 3 6 2" xfId="13687"/>
    <cellStyle name="Обычный 6 2 3 6 2 2" xfId="13688"/>
    <cellStyle name="Обычный 6 2 3 6 3" xfId="13689"/>
    <cellStyle name="Обычный 6 2 3 6 4" xfId="13690"/>
    <cellStyle name="Обычный 6 2 3 6 5" xfId="13691"/>
    <cellStyle name="Обычный 6 2 3 6 6" xfId="13692"/>
    <cellStyle name="Обычный 6 2 3 6 7" xfId="13693"/>
    <cellStyle name="Обычный 6 2 3 6 8" xfId="13694"/>
    <cellStyle name="Обычный 6 2 3 6 9" xfId="13695"/>
    <cellStyle name="Обычный 6 2 3 7" xfId="13696"/>
    <cellStyle name="Обычный 6 2 3 7 10" xfId="20889"/>
    <cellStyle name="Обычный 6 2 3 7 11" xfId="22501"/>
    <cellStyle name="Обычный 6 2 3 7 2" xfId="13697"/>
    <cellStyle name="Обычный 6 2 3 7 2 2" xfId="13698"/>
    <cellStyle name="Обычный 6 2 3 7 3" xfId="13699"/>
    <cellStyle name="Обычный 6 2 3 7 4" xfId="13700"/>
    <cellStyle name="Обычный 6 2 3 7 5" xfId="13701"/>
    <cellStyle name="Обычный 6 2 3 7 6" xfId="13702"/>
    <cellStyle name="Обычный 6 2 3 7 7" xfId="13703"/>
    <cellStyle name="Обычный 6 2 3 7 8" xfId="13704"/>
    <cellStyle name="Обычный 6 2 3 7 9" xfId="19195"/>
    <cellStyle name="Обычный 6 2 3 8" xfId="13705"/>
    <cellStyle name="Обычный 6 2 3 8 2" xfId="13706"/>
    <cellStyle name="Обычный 6 2 3 9" xfId="13707"/>
    <cellStyle name="Обычный 6 2 4" xfId="13708"/>
    <cellStyle name="Обычный 6 2 4 10" xfId="13709"/>
    <cellStyle name="Обычный 6 2 4 11" xfId="13710"/>
    <cellStyle name="Обычный 6 2 4 12" xfId="13711"/>
    <cellStyle name="Обычный 6 2 4 13" xfId="13712"/>
    <cellStyle name="Обычный 6 2 4 14" xfId="13713"/>
    <cellStyle name="Обычный 6 2 4 15" xfId="13714"/>
    <cellStyle name="Обычный 6 2 4 16" xfId="13715"/>
    <cellStyle name="Обычный 6 2 4 17" xfId="13716"/>
    <cellStyle name="Обычный 6 2 4 18" xfId="19196"/>
    <cellStyle name="Обычный 6 2 4 19" xfId="20890"/>
    <cellStyle name="Обычный 6 2 4 2" xfId="13717"/>
    <cellStyle name="Обычный 6 2 4 2 10" xfId="13718"/>
    <cellStyle name="Обычный 6 2 4 2 11" xfId="13719"/>
    <cellStyle name="Обычный 6 2 4 2 12" xfId="19197"/>
    <cellStyle name="Обычный 6 2 4 2 13" xfId="20891"/>
    <cellStyle name="Обычный 6 2 4 2 14" xfId="22503"/>
    <cellStyle name="Обычный 6 2 4 2 2" xfId="13720"/>
    <cellStyle name="Обычный 6 2 4 2 2 10" xfId="13721"/>
    <cellStyle name="Обычный 6 2 4 2 2 11" xfId="19198"/>
    <cellStyle name="Обычный 6 2 4 2 2 12" xfId="20892"/>
    <cellStyle name="Обычный 6 2 4 2 2 13" xfId="22504"/>
    <cellStyle name="Обычный 6 2 4 2 2 2" xfId="13722"/>
    <cellStyle name="Обычный 6 2 4 2 2 2 2" xfId="13723"/>
    <cellStyle name="Обычный 6 2 4 2 2 3" xfId="13724"/>
    <cellStyle name="Обычный 6 2 4 2 2 4" xfId="13725"/>
    <cellStyle name="Обычный 6 2 4 2 2 5" xfId="13726"/>
    <cellStyle name="Обычный 6 2 4 2 2 6" xfId="13727"/>
    <cellStyle name="Обычный 6 2 4 2 2 7" xfId="13728"/>
    <cellStyle name="Обычный 6 2 4 2 2 8" xfId="13729"/>
    <cellStyle name="Обычный 6 2 4 2 2 9" xfId="13730"/>
    <cellStyle name="Обычный 6 2 4 2 3" xfId="13731"/>
    <cellStyle name="Обычный 6 2 4 2 3 2" xfId="13732"/>
    <cellStyle name="Обычный 6 2 4 2 4" xfId="13733"/>
    <cellStyle name="Обычный 6 2 4 2 5" xfId="13734"/>
    <cellStyle name="Обычный 6 2 4 2 6" xfId="13735"/>
    <cellStyle name="Обычный 6 2 4 2 7" xfId="13736"/>
    <cellStyle name="Обычный 6 2 4 2 8" xfId="13737"/>
    <cellStyle name="Обычный 6 2 4 2 9" xfId="13738"/>
    <cellStyle name="Обычный 6 2 4 20" xfId="22502"/>
    <cellStyle name="Обычный 6 2 4 3" xfId="13739"/>
    <cellStyle name="Обычный 6 2 4 3 10" xfId="13740"/>
    <cellStyle name="Обычный 6 2 4 3 11" xfId="13741"/>
    <cellStyle name="Обычный 6 2 4 3 12" xfId="19199"/>
    <cellStyle name="Обычный 6 2 4 3 13" xfId="20893"/>
    <cellStyle name="Обычный 6 2 4 3 14" xfId="22505"/>
    <cellStyle name="Обычный 6 2 4 3 2" xfId="13742"/>
    <cellStyle name="Обычный 6 2 4 3 2 10" xfId="13743"/>
    <cellStyle name="Обычный 6 2 4 3 2 11" xfId="19200"/>
    <cellStyle name="Обычный 6 2 4 3 2 12" xfId="20894"/>
    <cellStyle name="Обычный 6 2 4 3 2 13" xfId="22506"/>
    <cellStyle name="Обычный 6 2 4 3 2 2" xfId="13744"/>
    <cellStyle name="Обычный 6 2 4 3 2 2 2" xfId="13745"/>
    <cellStyle name="Обычный 6 2 4 3 2 3" xfId="13746"/>
    <cellStyle name="Обычный 6 2 4 3 2 4" xfId="13747"/>
    <cellStyle name="Обычный 6 2 4 3 2 5" xfId="13748"/>
    <cellStyle name="Обычный 6 2 4 3 2 6" xfId="13749"/>
    <cellStyle name="Обычный 6 2 4 3 2 7" xfId="13750"/>
    <cellStyle name="Обычный 6 2 4 3 2 8" xfId="13751"/>
    <cellStyle name="Обычный 6 2 4 3 2 9" xfId="13752"/>
    <cellStyle name="Обычный 6 2 4 3 3" xfId="13753"/>
    <cellStyle name="Обычный 6 2 4 3 3 2" xfId="13754"/>
    <cellStyle name="Обычный 6 2 4 3 4" xfId="13755"/>
    <cellStyle name="Обычный 6 2 4 3 5" xfId="13756"/>
    <cellStyle name="Обычный 6 2 4 3 6" xfId="13757"/>
    <cellStyle name="Обычный 6 2 4 3 7" xfId="13758"/>
    <cellStyle name="Обычный 6 2 4 3 8" xfId="13759"/>
    <cellStyle name="Обычный 6 2 4 3 9" xfId="13760"/>
    <cellStyle name="Обычный 6 2 4 4" xfId="13761"/>
    <cellStyle name="Обычный 6 2 4 4 10" xfId="13762"/>
    <cellStyle name="Обычный 6 2 4 4 11" xfId="13763"/>
    <cellStyle name="Обычный 6 2 4 4 12" xfId="19201"/>
    <cellStyle name="Обычный 6 2 4 4 13" xfId="20895"/>
    <cellStyle name="Обычный 6 2 4 4 14" xfId="22507"/>
    <cellStyle name="Обычный 6 2 4 4 2" xfId="13764"/>
    <cellStyle name="Обычный 6 2 4 4 2 10" xfId="13765"/>
    <cellStyle name="Обычный 6 2 4 4 2 11" xfId="19202"/>
    <cellStyle name="Обычный 6 2 4 4 2 12" xfId="20896"/>
    <cellStyle name="Обычный 6 2 4 4 2 13" xfId="22508"/>
    <cellStyle name="Обычный 6 2 4 4 2 2" xfId="13766"/>
    <cellStyle name="Обычный 6 2 4 4 2 2 2" xfId="13767"/>
    <cellStyle name="Обычный 6 2 4 4 2 3" xfId="13768"/>
    <cellStyle name="Обычный 6 2 4 4 2 4" xfId="13769"/>
    <cellStyle name="Обычный 6 2 4 4 2 5" xfId="13770"/>
    <cellStyle name="Обычный 6 2 4 4 2 6" xfId="13771"/>
    <cellStyle name="Обычный 6 2 4 4 2 7" xfId="13772"/>
    <cellStyle name="Обычный 6 2 4 4 2 8" xfId="13773"/>
    <cellStyle name="Обычный 6 2 4 4 2 9" xfId="13774"/>
    <cellStyle name="Обычный 6 2 4 4 3" xfId="13775"/>
    <cellStyle name="Обычный 6 2 4 4 3 2" xfId="13776"/>
    <cellStyle name="Обычный 6 2 4 4 4" xfId="13777"/>
    <cellStyle name="Обычный 6 2 4 4 5" xfId="13778"/>
    <cellStyle name="Обычный 6 2 4 4 6" xfId="13779"/>
    <cellStyle name="Обычный 6 2 4 4 7" xfId="13780"/>
    <cellStyle name="Обычный 6 2 4 4 8" xfId="13781"/>
    <cellStyle name="Обычный 6 2 4 4 9" xfId="13782"/>
    <cellStyle name="Обычный 6 2 4 5" xfId="13783"/>
    <cellStyle name="Обычный 6 2 4 5 10" xfId="13784"/>
    <cellStyle name="Обычный 6 2 4 5 11" xfId="13785"/>
    <cellStyle name="Обычный 6 2 4 5 12" xfId="19203"/>
    <cellStyle name="Обычный 6 2 4 5 13" xfId="20897"/>
    <cellStyle name="Обычный 6 2 4 5 14" xfId="22509"/>
    <cellStyle name="Обычный 6 2 4 5 2" xfId="13786"/>
    <cellStyle name="Обычный 6 2 4 5 2 10" xfId="13787"/>
    <cellStyle name="Обычный 6 2 4 5 2 11" xfId="19204"/>
    <cellStyle name="Обычный 6 2 4 5 2 12" xfId="20898"/>
    <cellStyle name="Обычный 6 2 4 5 2 13" xfId="22510"/>
    <cellStyle name="Обычный 6 2 4 5 2 2" xfId="13788"/>
    <cellStyle name="Обычный 6 2 4 5 2 2 2" xfId="13789"/>
    <cellStyle name="Обычный 6 2 4 5 2 3" xfId="13790"/>
    <cellStyle name="Обычный 6 2 4 5 2 4" xfId="13791"/>
    <cellStyle name="Обычный 6 2 4 5 2 5" xfId="13792"/>
    <cellStyle name="Обычный 6 2 4 5 2 6" xfId="13793"/>
    <cellStyle name="Обычный 6 2 4 5 2 7" xfId="13794"/>
    <cellStyle name="Обычный 6 2 4 5 2 8" xfId="13795"/>
    <cellStyle name="Обычный 6 2 4 5 2 9" xfId="13796"/>
    <cellStyle name="Обычный 6 2 4 5 3" xfId="13797"/>
    <cellStyle name="Обычный 6 2 4 5 3 2" xfId="13798"/>
    <cellStyle name="Обычный 6 2 4 5 4" xfId="13799"/>
    <cellStyle name="Обычный 6 2 4 5 5" xfId="13800"/>
    <cellStyle name="Обычный 6 2 4 5 6" xfId="13801"/>
    <cellStyle name="Обычный 6 2 4 5 7" xfId="13802"/>
    <cellStyle name="Обычный 6 2 4 5 8" xfId="13803"/>
    <cellStyle name="Обычный 6 2 4 5 9" xfId="13804"/>
    <cellStyle name="Обычный 6 2 4 6" xfId="13805"/>
    <cellStyle name="Обычный 6 2 4 6 10" xfId="13806"/>
    <cellStyle name="Обычный 6 2 4 6 11" xfId="19205"/>
    <cellStyle name="Обычный 6 2 4 6 12" xfId="20899"/>
    <cellStyle name="Обычный 6 2 4 6 13" xfId="22511"/>
    <cellStyle name="Обычный 6 2 4 6 2" xfId="13807"/>
    <cellStyle name="Обычный 6 2 4 6 2 2" xfId="13808"/>
    <cellStyle name="Обычный 6 2 4 6 3" xfId="13809"/>
    <cellStyle name="Обычный 6 2 4 6 4" xfId="13810"/>
    <cellStyle name="Обычный 6 2 4 6 5" xfId="13811"/>
    <cellStyle name="Обычный 6 2 4 6 6" xfId="13812"/>
    <cellStyle name="Обычный 6 2 4 6 7" xfId="13813"/>
    <cellStyle name="Обычный 6 2 4 6 8" xfId="13814"/>
    <cellStyle name="Обычный 6 2 4 6 9" xfId="13815"/>
    <cellStyle name="Обычный 6 2 4 7" xfId="13816"/>
    <cellStyle name="Обычный 6 2 4 7 10" xfId="20900"/>
    <cellStyle name="Обычный 6 2 4 7 11" xfId="22512"/>
    <cellStyle name="Обычный 6 2 4 7 2" xfId="13817"/>
    <cellStyle name="Обычный 6 2 4 7 2 2" xfId="13818"/>
    <cellStyle name="Обычный 6 2 4 7 3" xfId="13819"/>
    <cellStyle name="Обычный 6 2 4 7 4" xfId="13820"/>
    <cellStyle name="Обычный 6 2 4 7 5" xfId="13821"/>
    <cellStyle name="Обычный 6 2 4 7 6" xfId="13822"/>
    <cellStyle name="Обычный 6 2 4 7 7" xfId="13823"/>
    <cellStyle name="Обычный 6 2 4 7 8" xfId="13824"/>
    <cellStyle name="Обычный 6 2 4 7 9" xfId="19206"/>
    <cellStyle name="Обычный 6 2 4 8" xfId="13825"/>
    <cellStyle name="Обычный 6 2 4 8 2" xfId="13826"/>
    <cellStyle name="Обычный 6 2 4 9" xfId="13827"/>
    <cellStyle name="Обычный 6 2 5" xfId="13828"/>
    <cellStyle name="Обычный 6 2 5 10" xfId="13829"/>
    <cellStyle name="Обычный 6 2 5 11" xfId="13830"/>
    <cellStyle name="Обычный 6 2 5 12" xfId="19207"/>
    <cellStyle name="Обычный 6 2 5 13" xfId="20901"/>
    <cellStyle name="Обычный 6 2 5 14" xfId="22513"/>
    <cellStyle name="Обычный 6 2 5 2" xfId="13831"/>
    <cellStyle name="Обычный 6 2 5 2 10" xfId="13832"/>
    <cellStyle name="Обычный 6 2 5 2 11" xfId="19208"/>
    <cellStyle name="Обычный 6 2 5 2 12" xfId="20902"/>
    <cellStyle name="Обычный 6 2 5 2 13" xfId="22514"/>
    <cellStyle name="Обычный 6 2 5 2 2" xfId="13833"/>
    <cellStyle name="Обычный 6 2 5 2 2 2" xfId="13834"/>
    <cellStyle name="Обычный 6 2 5 2 3" xfId="13835"/>
    <cellStyle name="Обычный 6 2 5 2 4" xfId="13836"/>
    <cellStyle name="Обычный 6 2 5 2 5" xfId="13837"/>
    <cellStyle name="Обычный 6 2 5 2 6" xfId="13838"/>
    <cellStyle name="Обычный 6 2 5 2 7" xfId="13839"/>
    <cellStyle name="Обычный 6 2 5 2 8" xfId="13840"/>
    <cellStyle name="Обычный 6 2 5 2 9" xfId="13841"/>
    <cellStyle name="Обычный 6 2 5 3" xfId="13842"/>
    <cellStyle name="Обычный 6 2 5 3 2" xfId="13843"/>
    <cellStyle name="Обычный 6 2 5 4" xfId="13844"/>
    <cellStyle name="Обычный 6 2 5 5" xfId="13845"/>
    <cellStyle name="Обычный 6 2 5 6" xfId="13846"/>
    <cellStyle name="Обычный 6 2 5 7" xfId="13847"/>
    <cellStyle name="Обычный 6 2 5 8" xfId="13848"/>
    <cellStyle name="Обычный 6 2 5 9" xfId="13849"/>
    <cellStyle name="Обычный 6 2 6" xfId="13850"/>
    <cellStyle name="Обычный 6 2 6 10" xfId="13851"/>
    <cellStyle name="Обычный 6 2 6 11" xfId="13852"/>
    <cellStyle name="Обычный 6 2 6 12" xfId="19209"/>
    <cellStyle name="Обычный 6 2 6 13" xfId="20903"/>
    <cellStyle name="Обычный 6 2 6 14" xfId="22515"/>
    <cellStyle name="Обычный 6 2 6 2" xfId="13853"/>
    <cellStyle name="Обычный 6 2 6 2 10" xfId="13854"/>
    <cellStyle name="Обычный 6 2 6 2 11" xfId="19210"/>
    <cellStyle name="Обычный 6 2 6 2 12" xfId="20904"/>
    <cellStyle name="Обычный 6 2 6 2 13" xfId="22516"/>
    <cellStyle name="Обычный 6 2 6 2 2" xfId="13855"/>
    <cellStyle name="Обычный 6 2 6 2 2 2" xfId="13856"/>
    <cellStyle name="Обычный 6 2 6 2 3" xfId="13857"/>
    <cellStyle name="Обычный 6 2 6 2 4" xfId="13858"/>
    <cellStyle name="Обычный 6 2 6 2 5" xfId="13859"/>
    <cellStyle name="Обычный 6 2 6 2 6" xfId="13860"/>
    <cellStyle name="Обычный 6 2 6 2 7" xfId="13861"/>
    <cellStyle name="Обычный 6 2 6 2 8" xfId="13862"/>
    <cellStyle name="Обычный 6 2 6 2 9" xfId="13863"/>
    <cellStyle name="Обычный 6 2 6 3" xfId="13864"/>
    <cellStyle name="Обычный 6 2 6 3 2" xfId="13865"/>
    <cellStyle name="Обычный 6 2 6 4" xfId="13866"/>
    <cellStyle name="Обычный 6 2 6 5" xfId="13867"/>
    <cellStyle name="Обычный 6 2 6 6" xfId="13868"/>
    <cellStyle name="Обычный 6 2 6 7" xfId="13869"/>
    <cellStyle name="Обычный 6 2 6 8" xfId="13870"/>
    <cellStyle name="Обычный 6 2 6 9" xfId="13871"/>
    <cellStyle name="Обычный 6 2 7" xfId="13872"/>
    <cellStyle name="Обычный 6 2 7 10" xfId="13873"/>
    <cellStyle name="Обычный 6 2 7 11" xfId="13874"/>
    <cellStyle name="Обычный 6 2 7 12" xfId="19211"/>
    <cellStyle name="Обычный 6 2 7 13" xfId="20905"/>
    <cellStyle name="Обычный 6 2 7 14" xfId="22517"/>
    <cellStyle name="Обычный 6 2 7 2" xfId="13875"/>
    <cellStyle name="Обычный 6 2 7 2 10" xfId="13876"/>
    <cellStyle name="Обычный 6 2 7 2 11" xfId="19212"/>
    <cellStyle name="Обычный 6 2 7 2 12" xfId="20906"/>
    <cellStyle name="Обычный 6 2 7 2 13" xfId="22518"/>
    <cellStyle name="Обычный 6 2 7 2 2" xfId="13877"/>
    <cellStyle name="Обычный 6 2 7 2 2 2" xfId="13878"/>
    <cellStyle name="Обычный 6 2 7 2 3" xfId="13879"/>
    <cellStyle name="Обычный 6 2 7 2 4" xfId="13880"/>
    <cellStyle name="Обычный 6 2 7 2 5" xfId="13881"/>
    <cellStyle name="Обычный 6 2 7 2 6" xfId="13882"/>
    <cellStyle name="Обычный 6 2 7 2 7" xfId="13883"/>
    <cellStyle name="Обычный 6 2 7 2 8" xfId="13884"/>
    <cellStyle name="Обычный 6 2 7 2 9" xfId="13885"/>
    <cellStyle name="Обычный 6 2 7 3" xfId="13886"/>
    <cellStyle name="Обычный 6 2 7 3 2" xfId="13887"/>
    <cellStyle name="Обычный 6 2 7 4" xfId="13888"/>
    <cellStyle name="Обычный 6 2 7 5" xfId="13889"/>
    <cellStyle name="Обычный 6 2 7 6" xfId="13890"/>
    <cellStyle name="Обычный 6 2 7 7" xfId="13891"/>
    <cellStyle name="Обычный 6 2 7 8" xfId="13892"/>
    <cellStyle name="Обычный 6 2 7 9" xfId="13893"/>
    <cellStyle name="Обычный 6 2 8" xfId="13894"/>
    <cellStyle name="Обычный 6 2 8 10" xfId="13895"/>
    <cellStyle name="Обычный 6 2 8 11" xfId="13896"/>
    <cellStyle name="Обычный 6 2 8 12" xfId="19213"/>
    <cellStyle name="Обычный 6 2 8 13" xfId="20907"/>
    <cellStyle name="Обычный 6 2 8 14" xfId="22519"/>
    <cellStyle name="Обычный 6 2 8 2" xfId="13897"/>
    <cellStyle name="Обычный 6 2 8 2 10" xfId="13898"/>
    <cellStyle name="Обычный 6 2 8 2 11" xfId="19214"/>
    <cellStyle name="Обычный 6 2 8 2 12" xfId="20908"/>
    <cellStyle name="Обычный 6 2 8 2 13" xfId="22520"/>
    <cellStyle name="Обычный 6 2 8 2 2" xfId="13899"/>
    <cellStyle name="Обычный 6 2 8 2 2 2" xfId="13900"/>
    <cellStyle name="Обычный 6 2 8 2 3" xfId="13901"/>
    <cellStyle name="Обычный 6 2 8 2 4" xfId="13902"/>
    <cellStyle name="Обычный 6 2 8 2 5" xfId="13903"/>
    <cellStyle name="Обычный 6 2 8 2 6" xfId="13904"/>
    <cellStyle name="Обычный 6 2 8 2 7" xfId="13905"/>
    <cellStyle name="Обычный 6 2 8 2 8" xfId="13906"/>
    <cellStyle name="Обычный 6 2 8 2 9" xfId="13907"/>
    <cellStyle name="Обычный 6 2 8 3" xfId="13908"/>
    <cellStyle name="Обычный 6 2 8 3 2" xfId="13909"/>
    <cellStyle name="Обычный 6 2 8 4" xfId="13910"/>
    <cellStyle name="Обычный 6 2 8 5" xfId="13911"/>
    <cellStyle name="Обычный 6 2 8 6" xfId="13912"/>
    <cellStyle name="Обычный 6 2 8 7" xfId="13913"/>
    <cellStyle name="Обычный 6 2 8 8" xfId="13914"/>
    <cellStyle name="Обычный 6 2 8 9" xfId="13915"/>
    <cellStyle name="Обычный 6 2 9" xfId="13916"/>
    <cellStyle name="Обычный 6 2 9 10" xfId="13917"/>
    <cellStyle name="Обычный 6 2 9 11" xfId="13918"/>
    <cellStyle name="Обычный 6 2 9 12" xfId="19215"/>
    <cellStyle name="Обычный 6 2 9 13" xfId="20909"/>
    <cellStyle name="Обычный 6 2 9 14" xfId="22521"/>
    <cellStyle name="Обычный 6 2 9 2" xfId="13919"/>
    <cellStyle name="Обычный 6 2 9 2 10" xfId="13920"/>
    <cellStyle name="Обычный 6 2 9 2 11" xfId="19216"/>
    <cellStyle name="Обычный 6 2 9 2 12" xfId="20910"/>
    <cellStyle name="Обычный 6 2 9 2 13" xfId="22522"/>
    <cellStyle name="Обычный 6 2 9 2 2" xfId="13921"/>
    <cellStyle name="Обычный 6 2 9 2 2 2" xfId="13922"/>
    <cellStyle name="Обычный 6 2 9 2 3" xfId="13923"/>
    <cellStyle name="Обычный 6 2 9 2 4" xfId="13924"/>
    <cellStyle name="Обычный 6 2 9 2 5" xfId="13925"/>
    <cellStyle name="Обычный 6 2 9 2 6" xfId="13926"/>
    <cellStyle name="Обычный 6 2 9 2 7" xfId="13927"/>
    <cellStyle name="Обычный 6 2 9 2 8" xfId="13928"/>
    <cellStyle name="Обычный 6 2 9 2 9" xfId="13929"/>
    <cellStyle name="Обычный 6 2 9 3" xfId="13930"/>
    <cellStyle name="Обычный 6 2 9 3 2" xfId="13931"/>
    <cellStyle name="Обычный 6 2 9 4" xfId="13932"/>
    <cellStyle name="Обычный 6 2 9 5" xfId="13933"/>
    <cellStyle name="Обычный 6 2 9 6" xfId="13934"/>
    <cellStyle name="Обычный 6 2 9 7" xfId="13935"/>
    <cellStyle name="Обычный 6 2 9 8" xfId="13936"/>
    <cellStyle name="Обычный 6 2 9 9" xfId="13937"/>
    <cellStyle name="Обычный 6 20" xfId="13938"/>
    <cellStyle name="Обычный 6 21" xfId="13939"/>
    <cellStyle name="Обычный 6 22" xfId="13940"/>
    <cellStyle name="Обычный 6 23" xfId="13941"/>
    <cellStyle name="Обычный 6 24" xfId="13942"/>
    <cellStyle name="Обычный 6 25" xfId="13943"/>
    <cellStyle name="Обычный 6 26" xfId="13944"/>
    <cellStyle name="Обычный 6 27" xfId="13945"/>
    <cellStyle name="Обычный 6 28" xfId="19132"/>
    <cellStyle name="Обычный 6 29" xfId="19639"/>
    <cellStyle name="Обычный 6 3" xfId="13946"/>
    <cellStyle name="Обычный 6 3 10" xfId="13947"/>
    <cellStyle name="Обычный 6 3 10 10" xfId="13948"/>
    <cellStyle name="Обычный 6 3 10 11" xfId="13949"/>
    <cellStyle name="Обычный 6 3 10 12" xfId="19218"/>
    <cellStyle name="Обычный 6 3 10 13" xfId="20912"/>
    <cellStyle name="Обычный 6 3 10 14" xfId="22524"/>
    <cellStyle name="Обычный 6 3 10 2" xfId="13950"/>
    <cellStyle name="Обычный 6 3 10 2 10" xfId="13951"/>
    <cellStyle name="Обычный 6 3 10 2 11" xfId="19219"/>
    <cellStyle name="Обычный 6 3 10 2 12" xfId="20913"/>
    <cellStyle name="Обычный 6 3 10 2 13" xfId="22525"/>
    <cellStyle name="Обычный 6 3 10 2 2" xfId="13952"/>
    <cellStyle name="Обычный 6 3 10 2 2 2" xfId="13953"/>
    <cellStyle name="Обычный 6 3 10 2 3" xfId="13954"/>
    <cellStyle name="Обычный 6 3 10 2 4" xfId="13955"/>
    <cellStyle name="Обычный 6 3 10 2 5" xfId="13956"/>
    <cellStyle name="Обычный 6 3 10 2 6" xfId="13957"/>
    <cellStyle name="Обычный 6 3 10 2 7" xfId="13958"/>
    <cellStyle name="Обычный 6 3 10 2 8" xfId="13959"/>
    <cellStyle name="Обычный 6 3 10 2 9" xfId="13960"/>
    <cellStyle name="Обычный 6 3 10 3" xfId="13961"/>
    <cellStyle name="Обычный 6 3 10 3 2" xfId="13962"/>
    <cellStyle name="Обычный 6 3 10 4" xfId="13963"/>
    <cellStyle name="Обычный 6 3 10 5" xfId="13964"/>
    <cellStyle name="Обычный 6 3 10 6" xfId="13965"/>
    <cellStyle name="Обычный 6 3 10 7" xfId="13966"/>
    <cellStyle name="Обычный 6 3 10 8" xfId="13967"/>
    <cellStyle name="Обычный 6 3 10 9" xfId="13968"/>
    <cellStyle name="Обычный 6 3 11" xfId="13969"/>
    <cellStyle name="Обычный 6 3 11 10" xfId="13970"/>
    <cellStyle name="Обычный 6 3 11 11" xfId="19220"/>
    <cellStyle name="Обычный 6 3 11 12" xfId="20914"/>
    <cellStyle name="Обычный 6 3 11 13" xfId="22526"/>
    <cellStyle name="Обычный 6 3 11 2" xfId="13971"/>
    <cellStyle name="Обычный 6 3 11 2 2" xfId="13972"/>
    <cellStyle name="Обычный 6 3 11 3" xfId="13973"/>
    <cellStyle name="Обычный 6 3 11 4" xfId="13974"/>
    <cellStyle name="Обычный 6 3 11 5" xfId="13975"/>
    <cellStyle name="Обычный 6 3 11 6" xfId="13976"/>
    <cellStyle name="Обычный 6 3 11 7" xfId="13977"/>
    <cellStyle name="Обычный 6 3 11 8" xfId="13978"/>
    <cellStyle name="Обычный 6 3 11 9" xfId="13979"/>
    <cellStyle name="Обычный 6 3 12" xfId="13980"/>
    <cellStyle name="Обычный 6 3 12 10" xfId="20915"/>
    <cellStyle name="Обычный 6 3 12 11" xfId="22527"/>
    <cellStyle name="Обычный 6 3 12 2" xfId="13981"/>
    <cellStyle name="Обычный 6 3 12 2 2" xfId="13982"/>
    <cellStyle name="Обычный 6 3 12 3" xfId="13983"/>
    <cellStyle name="Обычный 6 3 12 4" xfId="13984"/>
    <cellStyle name="Обычный 6 3 12 5" xfId="13985"/>
    <cellStyle name="Обычный 6 3 12 6" xfId="13986"/>
    <cellStyle name="Обычный 6 3 12 7" xfId="13987"/>
    <cellStyle name="Обычный 6 3 12 8" xfId="13988"/>
    <cellStyle name="Обычный 6 3 12 9" xfId="19221"/>
    <cellStyle name="Обычный 6 3 13" xfId="13989"/>
    <cellStyle name="Обычный 6 3 13 10" xfId="20916"/>
    <cellStyle name="Обычный 6 3 13 11" xfId="22528"/>
    <cellStyle name="Обычный 6 3 13 2" xfId="13990"/>
    <cellStyle name="Обычный 6 3 13 2 2" xfId="13991"/>
    <cellStyle name="Обычный 6 3 13 3" xfId="13992"/>
    <cellStyle name="Обычный 6 3 13 4" xfId="13993"/>
    <cellStyle name="Обычный 6 3 13 5" xfId="13994"/>
    <cellStyle name="Обычный 6 3 13 6" xfId="13995"/>
    <cellStyle name="Обычный 6 3 13 7" xfId="13996"/>
    <cellStyle name="Обычный 6 3 13 8" xfId="13997"/>
    <cellStyle name="Обычный 6 3 13 9" xfId="19222"/>
    <cellStyle name="Обычный 6 3 14" xfId="13998"/>
    <cellStyle name="Обычный 6 3 14 2" xfId="13999"/>
    <cellStyle name="Обычный 6 3 15" xfId="14000"/>
    <cellStyle name="Обычный 6 3 16" xfId="14001"/>
    <cellStyle name="Обычный 6 3 17" xfId="14002"/>
    <cellStyle name="Обычный 6 3 18" xfId="14003"/>
    <cellStyle name="Обычный 6 3 19" xfId="14004"/>
    <cellStyle name="Обычный 6 3 2" xfId="14005"/>
    <cellStyle name="Обычный 6 3 2 10" xfId="14006"/>
    <cellStyle name="Обычный 6 3 2 10 2" xfId="14007"/>
    <cellStyle name="Обычный 6 3 2 11" xfId="14008"/>
    <cellStyle name="Обычный 6 3 2 12" xfId="14009"/>
    <cellStyle name="Обычный 6 3 2 13" xfId="14010"/>
    <cellStyle name="Обычный 6 3 2 14" xfId="14011"/>
    <cellStyle name="Обычный 6 3 2 15" xfId="14012"/>
    <cellStyle name="Обычный 6 3 2 16" xfId="14013"/>
    <cellStyle name="Обычный 6 3 2 17" xfId="14014"/>
    <cellStyle name="Обычный 6 3 2 18" xfId="14015"/>
    <cellStyle name="Обычный 6 3 2 19" xfId="14016"/>
    <cellStyle name="Обычный 6 3 2 2" xfId="14017"/>
    <cellStyle name="Обычный 6 3 2 2 10" xfId="14018"/>
    <cellStyle name="Обычный 6 3 2 2 11" xfId="14019"/>
    <cellStyle name="Обычный 6 3 2 2 12" xfId="14020"/>
    <cellStyle name="Обычный 6 3 2 2 13" xfId="14021"/>
    <cellStyle name="Обычный 6 3 2 2 14" xfId="14022"/>
    <cellStyle name="Обычный 6 3 2 2 15" xfId="14023"/>
    <cellStyle name="Обычный 6 3 2 2 16" xfId="14024"/>
    <cellStyle name="Обычный 6 3 2 2 17" xfId="14025"/>
    <cellStyle name="Обычный 6 3 2 2 18" xfId="19224"/>
    <cellStyle name="Обычный 6 3 2 2 19" xfId="20918"/>
    <cellStyle name="Обычный 6 3 2 2 2" xfId="14026"/>
    <cellStyle name="Обычный 6 3 2 2 2 10" xfId="14027"/>
    <cellStyle name="Обычный 6 3 2 2 2 11" xfId="14028"/>
    <cellStyle name="Обычный 6 3 2 2 2 12" xfId="19225"/>
    <cellStyle name="Обычный 6 3 2 2 2 13" xfId="20919"/>
    <cellStyle name="Обычный 6 3 2 2 2 14" xfId="22531"/>
    <cellStyle name="Обычный 6 3 2 2 2 2" xfId="14029"/>
    <cellStyle name="Обычный 6 3 2 2 2 2 10" xfId="14030"/>
    <cellStyle name="Обычный 6 3 2 2 2 2 11" xfId="19226"/>
    <cellStyle name="Обычный 6 3 2 2 2 2 12" xfId="20920"/>
    <cellStyle name="Обычный 6 3 2 2 2 2 13" xfId="22532"/>
    <cellStyle name="Обычный 6 3 2 2 2 2 2" xfId="14031"/>
    <cellStyle name="Обычный 6 3 2 2 2 2 2 2" xfId="14032"/>
    <cellStyle name="Обычный 6 3 2 2 2 2 3" xfId="14033"/>
    <cellStyle name="Обычный 6 3 2 2 2 2 4" xfId="14034"/>
    <cellStyle name="Обычный 6 3 2 2 2 2 5" xfId="14035"/>
    <cellStyle name="Обычный 6 3 2 2 2 2 6" xfId="14036"/>
    <cellStyle name="Обычный 6 3 2 2 2 2 7" xfId="14037"/>
    <cellStyle name="Обычный 6 3 2 2 2 2 8" xfId="14038"/>
    <cellStyle name="Обычный 6 3 2 2 2 2 9" xfId="14039"/>
    <cellStyle name="Обычный 6 3 2 2 2 3" xfId="14040"/>
    <cellStyle name="Обычный 6 3 2 2 2 3 2" xfId="14041"/>
    <cellStyle name="Обычный 6 3 2 2 2 4" xfId="14042"/>
    <cellStyle name="Обычный 6 3 2 2 2 5" xfId="14043"/>
    <cellStyle name="Обычный 6 3 2 2 2 6" xfId="14044"/>
    <cellStyle name="Обычный 6 3 2 2 2 7" xfId="14045"/>
    <cellStyle name="Обычный 6 3 2 2 2 8" xfId="14046"/>
    <cellStyle name="Обычный 6 3 2 2 2 9" xfId="14047"/>
    <cellStyle name="Обычный 6 3 2 2 20" xfId="22530"/>
    <cellStyle name="Обычный 6 3 2 2 3" xfId="14048"/>
    <cellStyle name="Обычный 6 3 2 2 3 10" xfId="14049"/>
    <cellStyle name="Обычный 6 3 2 2 3 11" xfId="14050"/>
    <cellStyle name="Обычный 6 3 2 2 3 12" xfId="19227"/>
    <cellStyle name="Обычный 6 3 2 2 3 13" xfId="20921"/>
    <cellStyle name="Обычный 6 3 2 2 3 14" xfId="22533"/>
    <cellStyle name="Обычный 6 3 2 2 3 2" xfId="14051"/>
    <cellStyle name="Обычный 6 3 2 2 3 2 10" xfId="14052"/>
    <cellStyle name="Обычный 6 3 2 2 3 2 11" xfId="19228"/>
    <cellStyle name="Обычный 6 3 2 2 3 2 12" xfId="20922"/>
    <cellStyle name="Обычный 6 3 2 2 3 2 13" xfId="22534"/>
    <cellStyle name="Обычный 6 3 2 2 3 2 2" xfId="14053"/>
    <cellStyle name="Обычный 6 3 2 2 3 2 2 2" xfId="14054"/>
    <cellStyle name="Обычный 6 3 2 2 3 2 3" xfId="14055"/>
    <cellStyle name="Обычный 6 3 2 2 3 2 4" xfId="14056"/>
    <cellStyle name="Обычный 6 3 2 2 3 2 5" xfId="14057"/>
    <cellStyle name="Обычный 6 3 2 2 3 2 6" xfId="14058"/>
    <cellStyle name="Обычный 6 3 2 2 3 2 7" xfId="14059"/>
    <cellStyle name="Обычный 6 3 2 2 3 2 8" xfId="14060"/>
    <cellStyle name="Обычный 6 3 2 2 3 2 9" xfId="14061"/>
    <cellStyle name="Обычный 6 3 2 2 3 3" xfId="14062"/>
    <cellStyle name="Обычный 6 3 2 2 3 3 2" xfId="14063"/>
    <cellStyle name="Обычный 6 3 2 2 3 4" xfId="14064"/>
    <cellStyle name="Обычный 6 3 2 2 3 5" xfId="14065"/>
    <cellStyle name="Обычный 6 3 2 2 3 6" xfId="14066"/>
    <cellStyle name="Обычный 6 3 2 2 3 7" xfId="14067"/>
    <cellStyle name="Обычный 6 3 2 2 3 8" xfId="14068"/>
    <cellStyle name="Обычный 6 3 2 2 3 9" xfId="14069"/>
    <cellStyle name="Обычный 6 3 2 2 4" xfId="14070"/>
    <cellStyle name="Обычный 6 3 2 2 4 10" xfId="14071"/>
    <cellStyle name="Обычный 6 3 2 2 4 11" xfId="14072"/>
    <cellStyle name="Обычный 6 3 2 2 4 12" xfId="19229"/>
    <cellStyle name="Обычный 6 3 2 2 4 13" xfId="20923"/>
    <cellStyle name="Обычный 6 3 2 2 4 14" xfId="22535"/>
    <cellStyle name="Обычный 6 3 2 2 4 2" xfId="14073"/>
    <cellStyle name="Обычный 6 3 2 2 4 2 10" xfId="14074"/>
    <cellStyle name="Обычный 6 3 2 2 4 2 11" xfId="19230"/>
    <cellStyle name="Обычный 6 3 2 2 4 2 12" xfId="20924"/>
    <cellStyle name="Обычный 6 3 2 2 4 2 13" xfId="22536"/>
    <cellStyle name="Обычный 6 3 2 2 4 2 2" xfId="14075"/>
    <cellStyle name="Обычный 6 3 2 2 4 2 2 2" xfId="14076"/>
    <cellStyle name="Обычный 6 3 2 2 4 2 3" xfId="14077"/>
    <cellStyle name="Обычный 6 3 2 2 4 2 4" xfId="14078"/>
    <cellStyle name="Обычный 6 3 2 2 4 2 5" xfId="14079"/>
    <cellStyle name="Обычный 6 3 2 2 4 2 6" xfId="14080"/>
    <cellStyle name="Обычный 6 3 2 2 4 2 7" xfId="14081"/>
    <cellStyle name="Обычный 6 3 2 2 4 2 8" xfId="14082"/>
    <cellStyle name="Обычный 6 3 2 2 4 2 9" xfId="14083"/>
    <cellStyle name="Обычный 6 3 2 2 4 3" xfId="14084"/>
    <cellStyle name="Обычный 6 3 2 2 4 3 2" xfId="14085"/>
    <cellStyle name="Обычный 6 3 2 2 4 4" xfId="14086"/>
    <cellStyle name="Обычный 6 3 2 2 4 5" xfId="14087"/>
    <cellStyle name="Обычный 6 3 2 2 4 6" xfId="14088"/>
    <cellStyle name="Обычный 6 3 2 2 4 7" xfId="14089"/>
    <cellStyle name="Обычный 6 3 2 2 4 8" xfId="14090"/>
    <cellStyle name="Обычный 6 3 2 2 4 9" xfId="14091"/>
    <cellStyle name="Обычный 6 3 2 2 5" xfId="14092"/>
    <cellStyle name="Обычный 6 3 2 2 5 10" xfId="14093"/>
    <cellStyle name="Обычный 6 3 2 2 5 11" xfId="14094"/>
    <cellStyle name="Обычный 6 3 2 2 5 12" xfId="19231"/>
    <cellStyle name="Обычный 6 3 2 2 5 13" xfId="20925"/>
    <cellStyle name="Обычный 6 3 2 2 5 14" xfId="22537"/>
    <cellStyle name="Обычный 6 3 2 2 5 2" xfId="14095"/>
    <cellStyle name="Обычный 6 3 2 2 5 2 10" xfId="14096"/>
    <cellStyle name="Обычный 6 3 2 2 5 2 11" xfId="19232"/>
    <cellStyle name="Обычный 6 3 2 2 5 2 12" xfId="20926"/>
    <cellStyle name="Обычный 6 3 2 2 5 2 13" xfId="22538"/>
    <cellStyle name="Обычный 6 3 2 2 5 2 2" xfId="14097"/>
    <cellStyle name="Обычный 6 3 2 2 5 2 2 2" xfId="14098"/>
    <cellStyle name="Обычный 6 3 2 2 5 2 3" xfId="14099"/>
    <cellStyle name="Обычный 6 3 2 2 5 2 4" xfId="14100"/>
    <cellStyle name="Обычный 6 3 2 2 5 2 5" xfId="14101"/>
    <cellStyle name="Обычный 6 3 2 2 5 2 6" xfId="14102"/>
    <cellStyle name="Обычный 6 3 2 2 5 2 7" xfId="14103"/>
    <cellStyle name="Обычный 6 3 2 2 5 2 8" xfId="14104"/>
    <cellStyle name="Обычный 6 3 2 2 5 2 9" xfId="14105"/>
    <cellStyle name="Обычный 6 3 2 2 5 3" xfId="14106"/>
    <cellStyle name="Обычный 6 3 2 2 5 3 2" xfId="14107"/>
    <cellStyle name="Обычный 6 3 2 2 5 4" xfId="14108"/>
    <cellStyle name="Обычный 6 3 2 2 5 5" xfId="14109"/>
    <cellStyle name="Обычный 6 3 2 2 5 6" xfId="14110"/>
    <cellStyle name="Обычный 6 3 2 2 5 7" xfId="14111"/>
    <cellStyle name="Обычный 6 3 2 2 5 8" xfId="14112"/>
    <cellStyle name="Обычный 6 3 2 2 5 9" xfId="14113"/>
    <cellStyle name="Обычный 6 3 2 2 6" xfId="14114"/>
    <cellStyle name="Обычный 6 3 2 2 6 10" xfId="14115"/>
    <cellStyle name="Обычный 6 3 2 2 6 11" xfId="19233"/>
    <cellStyle name="Обычный 6 3 2 2 6 12" xfId="20927"/>
    <cellStyle name="Обычный 6 3 2 2 6 13" xfId="22539"/>
    <cellStyle name="Обычный 6 3 2 2 6 2" xfId="14116"/>
    <cellStyle name="Обычный 6 3 2 2 6 2 2" xfId="14117"/>
    <cellStyle name="Обычный 6 3 2 2 6 3" xfId="14118"/>
    <cellStyle name="Обычный 6 3 2 2 6 4" xfId="14119"/>
    <cellStyle name="Обычный 6 3 2 2 6 5" xfId="14120"/>
    <cellStyle name="Обычный 6 3 2 2 6 6" xfId="14121"/>
    <cellStyle name="Обычный 6 3 2 2 6 7" xfId="14122"/>
    <cellStyle name="Обычный 6 3 2 2 6 8" xfId="14123"/>
    <cellStyle name="Обычный 6 3 2 2 6 9" xfId="14124"/>
    <cellStyle name="Обычный 6 3 2 2 7" xfId="14125"/>
    <cellStyle name="Обычный 6 3 2 2 7 10" xfId="20928"/>
    <cellStyle name="Обычный 6 3 2 2 7 11" xfId="22540"/>
    <cellStyle name="Обычный 6 3 2 2 7 2" xfId="14126"/>
    <cellStyle name="Обычный 6 3 2 2 7 2 2" xfId="14127"/>
    <cellStyle name="Обычный 6 3 2 2 7 3" xfId="14128"/>
    <cellStyle name="Обычный 6 3 2 2 7 4" xfId="14129"/>
    <cellStyle name="Обычный 6 3 2 2 7 5" xfId="14130"/>
    <cellStyle name="Обычный 6 3 2 2 7 6" xfId="14131"/>
    <cellStyle name="Обычный 6 3 2 2 7 7" xfId="14132"/>
    <cellStyle name="Обычный 6 3 2 2 7 8" xfId="14133"/>
    <cellStyle name="Обычный 6 3 2 2 7 9" xfId="19234"/>
    <cellStyle name="Обычный 6 3 2 2 8" xfId="14134"/>
    <cellStyle name="Обычный 6 3 2 2 8 2" xfId="14135"/>
    <cellStyle name="Обычный 6 3 2 2 9" xfId="14136"/>
    <cellStyle name="Обычный 6 3 2 20" xfId="19223"/>
    <cellStyle name="Обычный 6 3 2 21" xfId="20917"/>
    <cellStyle name="Обычный 6 3 2 22" xfId="22529"/>
    <cellStyle name="Обычный 6 3 2 3" xfId="14137"/>
    <cellStyle name="Обычный 6 3 2 3 10" xfId="14138"/>
    <cellStyle name="Обычный 6 3 2 3 11" xfId="14139"/>
    <cellStyle name="Обычный 6 3 2 3 12" xfId="14140"/>
    <cellStyle name="Обычный 6 3 2 3 13" xfId="14141"/>
    <cellStyle name="Обычный 6 3 2 3 14" xfId="14142"/>
    <cellStyle name="Обычный 6 3 2 3 15" xfId="14143"/>
    <cellStyle name="Обычный 6 3 2 3 16" xfId="14144"/>
    <cellStyle name="Обычный 6 3 2 3 17" xfId="14145"/>
    <cellStyle name="Обычный 6 3 2 3 18" xfId="19235"/>
    <cellStyle name="Обычный 6 3 2 3 19" xfId="20929"/>
    <cellStyle name="Обычный 6 3 2 3 2" xfId="14146"/>
    <cellStyle name="Обычный 6 3 2 3 2 10" xfId="14147"/>
    <cellStyle name="Обычный 6 3 2 3 2 11" xfId="14148"/>
    <cellStyle name="Обычный 6 3 2 3 2 12" xfId="19236"/>
    <cellStyle name="Обычный 6 3 2 3 2 13" xfId="20930"/>
    <cellStyle name="Обычный 6 3 2 3 2 14" xfId="22542"/>
    <cellStyle name="Обычный 6 3 2 3 2 2" xfId="14149"/>
    <cellStyle name="Обычный 6 3 2 3 2 2 10" xfId="14150"/>
    <cellStyle name="Обычный 6 3 2 3 2 2 11" xfId="19237"/>
    <cellStyle name="Обычный 6 3 2 3 2 2 12" xfId="20931"/>
    <cellStyle name="Обычный 6 3 2 3 2 2 13" xfId="22543"/>
    <cellStyle name="Обычный 6 3 2 3 2 2 2" xfId="14151"/>
    <cellStyle name="Обычный 6 3 2 3 2 2 2 2" xfId="14152"/>
    <cellStyle name="Обычный 6 3 2 3 2 2 3" xfId="14153"/>
    <cellStyle name="Обычный 6 3 2 3 2 2 4" xfId="14154"/>
    <cellStyle name="Обычный 6 3 2 3 2 2 5" xfId="14155"/>
    <cellStyle name="Обычный 6 3 2 3 2 2 6" xfId="14156"/>
    <cellStyle name="Обычный 6 3 2 3 2 2 7" xfId="14157"/>
    <cellStyle name="Обычный 6 3 2 3 2 2 8" xfId="14158"/>
    <cellStyle name="Обычный 6 3 2 3 2 2 9" xfId="14159"/>
    <cellStyle name="Обычный 6 3 2 3 2 3" xfId="14160"/>
    <cellStyle name="Обычный 6 3 2 3 2 3 2" xfId="14161"/>
    <cellStyle name="Обычный 6 3 2 3 2 4" xfId="14162"/>
    <cellStyle name="Обычный 6 3 2 3 2 5" xfId="14163"/>
    <cellStyle name="Обычный 6 3 2 3 2 6" xfId="14164"/>
    <cellStyle name="Обычный 6 3 2 3 2 7" xfId="14165"/>
    <cellStyle name="Обычный 6 3 2 3 2 8" xfId="14166"/>
    <cellStyle name="Обычный 6 3 2 3 2 9" xfId="14167"/>
    <cellStyle name="Обычный 6 3 2 3 20" xfId="22541"/>
    <cellStyle name="Обычный 6 3 2 3 3" xfId="14168"/>
    <cellStyle name="Обычный 6 3 2 3 3 10" xfId="14169"/>
    <cellStyle name="Обычный 6 3 2 3 3 11" xfId="14170"/>
    <cellStyle name="Обычный 6 3 2 3 3 12" xfId="19238"/>
    <cellStyle name="Обычный 6 3 2 3 3 13" xfId="20932"/>
    <cellStyle name="Обычный 6 3 2 3 3 14" xfId="22544"/>
    <cellStyle name="Обычный 6 3 2 3 3 2" xfId="14171"/>
    <cellStyle name="Обычный 6 3 2 3 3 2 10" xfId="14172"/>
    <cellStyle name="Обычный 6 3 2 3 3 2 11" xfId="19239"/>
    <cellStyle name="Обычный 6 3 2 3 3 2 12" xfId="20933"/>
    <cellStyle name="Обычный 6 3 2 3 3 2 13" xfId="22545"/>
    <cellStyle name="Обычный 6 3 2 3 3 2 2" xfId="14173"/>
    <cellStyle name="Обычный 6 3 2 3 3 2 2 2" xfId="14174"/>
    <cellStyle name="Обычный 6 3 2 3 3 2 3" xfId="14175"/>
    <cellStyle name="Обычный 6 3 2 3 3 2 4" xfId="14176"/>
    <cellStyle name="Обычный 6 3 2 3 3 2 5" xfId="14177"/>
    <cellStyle name="Обычный 6 3 2 3 3 2 6" xfId="14178"/>
    <cellStyle name="Обычный 6 3 2 3 3 2 7" xfId="14179"/>
    <cellStyle name="Обычный 6 3 2 3 3 2 8" xfId="14180"/>
    <cellStyle name="Обычный 6 3 2 3 3 2 9" xfId="14181"/>
    <cellStyle name="Обычный 6 3 2 3 3 3" xfId="14182"/>
    <cellStyle name="Обычный 6 3 2 3 3 3 2" xfId="14183"/>
    <cellStyle name="Обычный 6 3 2 3 3 4" xfId="14184"/>
    <cellStyle name="Обычный 6 3 2 3 3 5" xfId="14185"/>
    <cellStyle name="Обычный 6 3 2 3 3 6" xfId="14186"/>
    <cellStyle name="Обычный 6 3 2 3 3 7" xfId="14187"/>
    <cellStyle name="Обычный 6 3 2 3 3 8" xfId="14188"/>
    <cellStyle name="Обычный 6 3 2 3 3 9" xfId="14189"/>
    <cellStyle name="Обычный 6 3 2 3 4" xfId="14190"/>
    <cellStyle name="Обычный 6 3 2 3 4 10" xfId="14191"/>
    <cellStyle name="Обычный 6 3 2 3 4 11" xfId="14192"/>
    <cellStyle name="Обычный 6 3 2 3 4 12" xfId="19240"/>
    <cellStyle name="Обычный 6 3 2 3 4 13" xfId="20934"/>
    <cellStyle name="Обычный 6 3 2 3 4 14" xfId="22546"/>
    <cellStyle name="Обычный 6 3 2 3 4 2" xfId="14193"/>
    <cellStyle name="Обычный 6 3 2 3 4 2 10" xfId="14194"/>
    <cellStyle name="Обычный 6 3 2 3 4 2 11" xfId="19241"/>
    <cellStyle name="Обычный 6 3 2 3 4 2 12" xfId="20935"/>
    <cellStyle name="Обычный 6 3 2 3 4 2 13" xfId="22547"/>
    <cellStyle name="Обычный 6 3 2 3 4 2 2" xfId="14195"/>
    <cellStyle name="Обычный 6 3 2 3 4 2 2 2" xfId="14196"/>
    <cellStyle name="Обычный 6 3 2 3 4 2 3" xfId="14197"/>
    <cellStyle name="Обычный 6 3 2 3 4 2 4" xfId="14198"/>
    <cellStyle name="Обычный 6 3 2 3 4 2 5" xfId="14199"/>
    <cellStyle name="Обычный 6 3 2 3 4 2 6" xfId="14200"/>
    <cellStyle name="Обычный 6 3 2 3 4 2 7" xfId="14201"/>
    <cellStyle name="Обычный 6 3 2 3 4 2 8" xfId="14202"/>
    <cellStyle name="Обычный 6 3 2 3 4 2 9" xfId="14203"/>
    <cellStyle name="Обычный 6 3 2 3 4 3" xfId="14204"/>
    <cellStyle name="Обычный 6 3 2 3 4 3 2" xfId="14205"/>
    <cellStyle name="Обычный 6 3 2 3 4 4" xfId="14206"/>
    <cellStyle name="Обычный 6 3 2 3 4 5" xfId="14207"/>
    <cellStyle name="Обычный 6 3 2 3 4 6" xfId="14208"/>
    <cellStyle name="Обычный 6 3 2 3 4 7" xfId="14209"/>
    <cellStyle name="Обычный 6 3 2 3 4 8" xfId="14210"/>
    <cellStyle name="Обычный 6 3 2 3 4 9" xfId="14211"/>
    <cellStyle name="Обычный 6 3 2 3 5" xfId="14212"/>
    <cellStyle name="Обычный 6 3 2 3 5 10" xfId="14213"/>
    <cellStyle name="Обычный 6 3 2 3 5 11" xfId="14214"/>
    <cellStyle name="Обычный 6 3 2 3 5 12" xfId="19242"/>
    <cellStyle name="Обычный 6 3 2 3 5 13" xfId="20936"/>
    <cellStyle name="Обычный 6 3 2 3 5 14" xfId="22548"/>
    <cellStyle name="Обычный 6 3 2 3 5 2" xfId="14215"/>
    <cellStyle name="Обычный 6 3 2 3 5 2 10" xfId="14216"/>
    <cellStyle name="Обычный 6 3 2 3 5 2 11" xfId="19243"/>
    <cellStyle name="Обычный 6 3 2 3 5 2 12" xfId="20937"/>
    <cellStyle name="Обычный 6 3 2 3 5 2 13" xfId="22549"/>
    <cellStyle name="Обычный 6 3 2 3 5 2 2" xfId="14217"/>
    <cellStyle name="Обычный 6 3 2 3 5 2 2 2" xfId="14218"/>
    <cellStyle name="Обычный 6 3 2 3 5 2 3" xfId="14219"/>
    <cellStyle name="Обычный 6 3 2 3 5 2 4" xfId="14220"/>
    <cellStyle name="Обычный 6 3 2 3 5 2 5" xfId="14221"/>
    <cellStyle name="Обычный 6 3 2 3 5 2 6" xfId="14222"/>
    <cellStyle name="Обычный 6 3 2 3 5 2 7" xfId="14223"/>
    <cellStyle name="Обычный 6 3 2 3 5 2 8" xfId="14224"/>
    <cellStyle name="Обычный 6 3 2 3 5 2 9" xfId="14225"/>
    <cellStyle name="Обычный 6 3 2 3 5 3" xfId="14226"/>
    <cellStyle name="Обычный 6 3 2 3 5 3 2" xfId="14227"/>
    <cellStyle name="Обычный 6 3 2 3 5 4" xfId="14228"/>
    <cellStyle name="Обычный 6 3 2 3 5 5" xfId="14229"/>
    <cellStyle name="Обычный 6 3 2 3 5 6" xfId="14230"/>
    <cellStyle name="Обычный 6 3 2 3 5 7" xfId="14231"/>
    <cellStyle name="Обычный 6 3 2 3 5 8" xfId="14232"/>
    <cellStyle name="Обычный 6 3 2 3 5 9" xfId="14233"/>
    <cellStyle name="Обычный 6 3 2 3 6" xfId="14234"/>
    <cellStyle name="Обычный 6 3 2 3 6 10" xfId="14235"/>
    <cellStyle name="Обычный 6 3 2 3 6 11" xfId="19244"/>
    <cellStyle name="Обычный 6 3 2 3 6 12" xfId="20938"/>
    <cellStyle name="Обычный 6 3 2 3 6 13" xfId="22550"/>
    <cellStyle name="Обычный 6 3 2 3 6 2" xfId="14236"/>
    <cellStyle name="Обычный 6 3 2 3 6 2 2" xfId="14237"/>
    <cellStyle name="Обычный 6 3 2 3 6 3" xfId="14238"/>
    <cellStyle name="Обычный 6 3 2 3 6 4" xfId="14239"/>
    <cellStyle name="Обычный 6 3 2 3 6 5" xfId="14240"/>
    <cellStyle name="Обычный 6 3 2 3 6 6" xfId="14241"/>
    <cellStyle name="Обычный 6 3 2 3 6 7" xfId="14242"/>
    <cellStyle name="Обычный 6 3 2 3 6 8" xfId="14243"/>
    <cellStyle name="Обычный 6 3 2 3 6 9" xfId="14244"/>
    <cellStyle name="Обычный 6 3 2 3 7" xfId="14245"/>
    <cellStyle name="Обычный 6 3 2 3 7 10" xfId="20939"/>
    <cellStyle name="Обычный 6 3 2 3 7 11" xfId="22551"/>
    <cellStyle name="Обычный 6 3 2 3 7 2" xfId="14246"/>
    <cellStyle name="Обычный 6 3 2 3 7 2 2" xfId="14247"/>
    <cellStyle name="Обычный 6 3 2 3 7 3" xfId="14248"/>
    <cellStyle name="Обычный 6 3 2 3 7 4" xfId="14249"/>
    <cellStyle name="Обычный 6 3 2 3 7 5" xfId="14250"/>
    <cellStyle name="Обычный 6 3 2 3 7 6" xfId="14251"/>
    <cellStyle name="Обычный 6 3 2 3 7 7" xfId="14252"/>
    <cellStyle name="Обычный 6 3 2 3 7 8" xfId="14253"/>
    <cellStyle name="Обычный 6 3 2 3 7 9" xfId="19245"/>
    <cellStyle name="Обычный 6 3 2 3 8" xfId="14254"/>
    <cellStyle name="Обычный 6 3 2 3 8 2" xfId="14255"/>
    <cellStyle name="Обычный 6 3 2 3 9" xfId="14256"/>
    <cellStyle name="Обычный 6 3 2 4" xfId="14257"/>
    <cellStyle name="Обычный 6 3 2 4 10" xfId="14258"/>
    <cellStyle name="Обычный 6 3 2 4 11" xfId="14259"/>
    <cellStyle name="Обычный 6 3 2 4 12" xfId="19246"/>
    <cellStyle name="Обычный 6 3 2 4 13" xfId="20940"/>
    <cellStyle name="Обычный 6 3 2 4 14" xfId="22552"/>
    <cellStyle name="Обычный 6 3 2 4 2" xfId="14260"/>
    <cellStyle name="Обычный 6 3 2 4 2 10" xfId="14261"/>
    <cellStyle name="Обычный 6 3 2 4 2 11" xfId="19247"/>
    <cellStyle name="Обычный 6 3 2 4 2 12" xfId="20941"/>
    <cellStyle name="Обычный 6 3 2 4 2 13" xfId="22553"/>
    <cellStyle name="Обычный 6 3 2 4 2 2" xfId="14262"/>
    <cellStyle name="Обычный 6 3 2 4 2 2 2" xfId="14263"/>
    <cellStyle name="Обычный 6 3 2 4 2 3" xfId="14264"/>
    <cellStyle name="Обычный 6 3 2 4 2 4" xfId="14265"/>
    <cellStyle name="Обычный 6 3 2 4 2 5" xfId="14266"/>
    <cellStyle name="Обычный 6 3 2 4 2 6" xfId="14267"/>
    <cellStyle name="Обычный 6 3 2 4 2 7" xfId="14268"/>
    <cellStyle name="Обычный 6 3 2 4 2 8" xfId="14269"/>
    <cellStyle name="Обычный 6 3 2 4 2 9" xfId="14270"/>
    <cellStyle name="Обычный 6 3 2 4 3" xfId="14271"/>
    <cellStyle name="Обычный 6 3 2 4 3 2" xfId="14272"/>
    <cellStyle name="Обычный 6 3 2 4 4" xfId="14273"/>
    <cellStyle name="Обычный 6 3 2 4 5" xfId="14274"/>
    <cellStyle name="Обычный 6 3 2 4 6" xfId="14275"/>
    <cellStyle name="Обычный 6 3 2 4 7" xfId="14276"/>
    <cellStyle name="Обычный 6 3 2 4 8" xfId="14277"/>
    <cellStyle name="Обычный 6 3 2 4 9" xfId="14278"/>
    <cellStyle name="Обычный 6 3 2 5" xfId="14279"/>
    <cellStyle name="Обычный 6 3 2 5 10" xfId="14280"/>
    <cellStyle name="Обычный 6 3 2 5 11" xfId="14281"/>
    <cellStyle name="Обычный 6 3 2 5 12" xfId="19248"/>
    <cellStyle name="Обычный 6 3 2 5 13" xfId="20942"/>
    <cellStyle name="Обычный 6 3 2 5 14" xfId="22554"/>
    <cellStyle name="Обычный 6 3 2 5 2" xfId="14282"/>
    <cellStyle name="Обычный 6 3 2 5 2 10" xfId="14283"/>
    <cellStyle name="Обычный 6 3 2 5 2 11" xfId="19249"/>
    <cellStyle name="Обычный 6 3 2 5 2 12" xfId="20943"/>
    <cellStyle name="Обычный 6 3 2 5 2 13" xfId="22555"/>
    <cellStyle name="Обычный 6 3 2 5 2 2" xfId="14284"/>
    <cellStyle name="Обычный 6 3 2 5 2 2 2" xfId="14285"/>
    <cellStyle name="Обычный 6 3 2 5 2 3" xfId="14286"/>
    <cellStyle name="Обычный 6 3 2 5 2 4" xfId="14287"/>
    <cellStyle name="Обычный 6 3 2 5 2 5" xfId="14288"/>
    <cellStyle name="Обычный 6 3 2 5 2 6" xfId="14289"/>
    <cellStyle name="Обычный 6 3 2 5 2 7" xfId="14290"/>
    <cellStyle name="Обычный 6 3 2 5 2 8" xfId="14291"/>
    <cellStyle name="Обычный 6 3 2 5 2 9" xfId="14292"/>
    <cellStyle name="Обычный 6 3 2 5 3" xfId="14293"/>
    <cellStyle name="Обычный 6 3 2 5 3 2" xfId="14294"/>
    <cellStyle name="Обычный 6 3 2 5 4" xfId="14295"/>
    <cellStyle name="Обычный 6 3 2 5 5" xfId="14296"/>
    <cellStyle name="Обычный 6 3 2 5 6" xfId="14297"/>
    <cellStyle name="Обычный 6 3 2 5 7" xfId="14298"/>
    <cellStyle name="Обычный 6 3 2 5 8" xfId="14299"/>
    <cellStyle name="Обычный 6 3 2 5 9" xfId="14300"/>
    <cellStyle name="Обычный 6 3 2 6" xfId="14301"/>
    <cellStyle name="Обычный 6 3 2 6 10" xfId="14302"/>
    <cellStyle name="Обычный 6 3 2 6 11" xfId="14303"/>
    <cellStyle name="Обычный 6 3 2 6 12" xfId="19250"/>
    <cellStyle name="Обычный 6 3 2 6 13" xfId="20944"/>
    <cellStyle name="Обычный 6 3 2 6 14" xfId="22556"/>
    <cellStyle name="Обычный 6 3 2 6 2" xfId="14304"/>
    <cellStyle name="Обычный 6 3 2 6 2 10" xfId="14305"/>
    <cellStyle name="Обычный 6 3 2 6 2 11" xfId="19251"/>
    <cellStyle name="Обычный 6 3 2 6 2 12" xfId="20945"/>
    <cellStyle name="Обычный 6 3 2 6 2 13" xfId="22557"/>
    <cellStyle name="Обычный 6 3 2 6 2 2" xfId="14306"/>
    <cellStyle name="Обычный 6 3 2 6 2 2 2" xfId="14307"/>
    <cellStyle name="Обычный 6 3 2 6 2 3" xfId="14308"/>
    <cellStyle name="Обычный 6 3 2 6 2 4" xfId="14309"/>
    <cellStyle name="Обычный 6 3 2 6 2 5" xfId="14310"/>
    <cellStyle name="Обычный 6 3 2 6 2 6" xfId="14311"/>
    <cellStyle name="Обычный 6 3 2 6 2 7" xfId="14312"/>
    <cellStyle name="Обычный 6 3 2 6 2 8" xfId="14313"/>
    <cellStyle name="Обычный 6 3 2 6 2 9" xfId="14314"/>
    <cellStyle name="Обычный 6 3 2 6 3" xfId="14315"/>
    <cellStyle name="Обычный 6 3 2 6 3 2" xfId="14316"/>
    <cellStyle name="Обычный 6 3 2 6 4" xfId="14317"/>
    <cellStyle name="Обычный 6 3 2 6 5" xfId="14318"/>
    <cellStyle name="Обычный 6 3 2 6 6" xfId="14319"/>
    <cellStyle name="Обычный 6 3 2 6 7" xfId="14320"/>
    <cellStyle name="Обычный 6 3 2 6 8" xfId="14321"/>
    <cellStyle name="Обычный 6 3 2 6 9" xfId="14322"/>
    <cellStyle name="Обычный 6 3 2 7" xfId="14323"/>
    <cellStyle name="Обычный 6 3 2 7 10" xfId="14324"/>
    <cellStyle name="Обычный 6 3 2 7 11" xfId="14325"/>
    <cellStyle name="Обычный 6 3 2 7 12" xfId="19252"/>
    <cellStyle name="Обычный 6 3 2 7 13" xfId="20946"/>
    <cellStyle name="Обычный 6 3 2 7 14" xfId="22558"/>
    <cellStyle name="Обычный 6 3 2 7 2" xfId="14326"/>
    <cellStyle name="Обычный 6 3 2 7 2 10" xfId="14327"/>
    <cellStyle name="Обычный 6 3 2 7 2 11" xfId="19253"/>
    <cellStyle name="Обычный 6 3 2 7 2 12" xfId="20947"/>
    <cellStyle name="Обычный 6 3 2 7 2 13" xfId="22559"/>
    <cellStyle name="Обычный 6 3 2 7 2 2" xfId="14328"/>
    <cellStyle name="Обычный 6 3 2 7 2 2 2" xfId="14329"/>
    <cellStyle name="Обычный 6 3 2 7 2 3" xfId="14330"/>
    <cellStyle name="Обычный 6 3 2 7 2 4" xfId="14331"/>
    <cellStyle name="Обычный 6 3 2 7 2 5" xfId="14332"/>
    <cellStyle name="Обычный 6 3 2 7 2 6" xfId="14333"/>
    <cellStyle name="Обычный 6 3 2 7 2 7" xfId="14334"/>
    <cellStyle name="Обычный 6 3 2 7 2 8" xfId="14335"/>
    <cellStyle name="Обычный 6 3 2 7 2 9" xfId="14336"/>
    <cellStyle name="Обычный 6 3 2 7 3" xfId="14337"/>
    <cellStyle name="Обычный 6 3 2 7 3 2" xfId="14338"/>
    <cellStyle name="Обычный 6 3 2 7 4" xfId="14339"/>
    <cellStyle name="Обычный 6 3 2 7 5" xfId="14340"/>
    <cellStyle name="Обычный 6 3 2 7 6" xfId="14341"/>
    <cellStyle name="Обычный 6 3 2 7 7" xfId="14342"/>
    <cellStyle name="Обычный 6 3 2 7 8" xfId="14343"/>
    <cellStyle name="Обычный 6 3 2 7 9" xfId="14344"/>
    <cellStyle name="Обычный 6 3 2 8" xfId="14345"/>
    <cellStyle name="Обычный 6 3 2 8 10" xfId="14346"/>
    <cellStyle name="Обычный 6 3 2 8 11" xfId="19254"/>
    <cellStyle name="Обычный 6 3 2 8 12" xfId="20948"/>
    <cellStyle name="Обычный 6 3 2 8 13" xfId="22560"/>
    <cellStyle name="Обычный 6 3 2 8 2" xfId="14347"/>
    <cellStyle name="Обычный 6 3 2 8 2 2" xfId="14348"/>
    <cellStyle name="Обычный 6 3 2 8 3" xfId="14349"/>
    <cellStyle name="Обычный 6 3 2 8 4" xfId="14350"/>
    <cellStyle name="Обычный 6 3 2 8 5" xfId="14351"/>
    <cellStyle name="Обычный 6 3 2 8 6" xfId="14352"/>
    <cellStyle name="Обычный 6 3 2 8 7" xfId="14353"/>
    <cellStyle name="Обычный 6 3 2 8 8" xfId="14354"/>
    <cellStyle name="Обычный 6 3 2 8 9" xfId="14355"/>
    <cellStyle name="Обычный 6 3 2 9" xfId="14356"/>
    <cellStyle name="Обычный 6 3 2 9 10" xfId="20949"/>
    <cellStyle name="Обычный 6 3 2 9 11" xfId="22561"/>
    <cellStyle name="Обычный 6 3 2 9 2" xfId="14357"/>
    <cellStyle name="Обычный 6 3 2 9 2 2" xfId="14358"/>
    <cellStyle name="Обычный 6 3 2 9 3" xfId="14359"/>
    <cellStyle name="Обычный 6 3 2 9 4" xfId="14360"/>
    <cellStyle name="Обычный 6 3 2 9 5" xfId="14361"/>
    <cellStyle name="Обычный 6 3 2 9 6" xfId="14362"/>
    <cellStyle name="Обычный 6 3 2 9 7" xfId="14363"/>
    <cellStyle name="Обычный 6 3 2 9 8" xfId="14364"/>
    <cellStyle name="Обычный 6 3 2 9 9" xfId="19255"/>
    <cellStyle name="Обычный 6 3 20" xfId="14365"/>
    <cellStyle name="Обычный 6 3 21" xfId="14366"/>
    <cellStyle name="Обычный 6 3 22" xfId="14367"/>
    <cellStyle name="Обычный 6 3 23" xfId="14368"/>
    <cellStyle name="Обычный 6 3 24" xfId="19217"/>
    <cellStyle name="Обычный 6 3 25" xfId="19641"/>
    <cellStyle name="Обычный 6 3 26" xfId="20911"/>
    <cellStyle name="Обычный 6 3 27" xfId="22523"/>
    <cellStyle name="Обычный 6 3 3" xfId="14369"/>
    <cellStyle name="Обычный 6 3 3 10" xfId="14370"/>
    <cellStyle name="Обычный 6 3 3 11" xfId="14371"/>
    <cellStyle name="Обычный 6 3 3 12" xfId="14372"/>
    <cellStyle name="Обычный 6 3 3 13" xfId="14373"/>
    <cellStyle name="Обычный 6 3 3 14" xfId="14374"/>
    <cellStyle name="Обычный 6 3 3 15" xfId="14375"/>
    <cellStyle name="Обычный 6 3 3 16" xfId="14376"/>
    <cellStyle name="Обычный 6 3 3 17" xfId="14377"/>
    <cellStyle name="Обычный 6 3 3 18" xfId="19256"/>
    <cellStyle name="Обычный 6 3 3 19" xfId="20950"/>
    <cellStyle name="Обычный 6 3 3 2" xfId="14378"/>
    <cellStyle name="Обычный 6 3 3 2 10" xfId="14379"/>
    <cellStyle name="Обычный 6 3 3 2 11" xfId="14380"/>
    <cellStyle name="Обычный 6 3 3 2 12" xfId="19257"/>
    <cellStyle name="Обычный 6 3 3 2 13" xfId="20951"/>
    <cellStyle name="Обычный 6 3 3 2 14" xfId="22563"/>
    <cellStyle name="Обычный 6 3 3 2 2" xfId="14381"/>
    <cellStyle name="Обычный 6 3 3 2 2 10" xfId="14382"/>
    <cellStyle name="Обычный 6 3 3 2 2 11" xfId="19258"/>
    <cellStyle name="Обычный 6 3 3 2 2 12" xfId="20952"/>
    <cellStyle name="Обычный 6 3 3 2 2 13" xfId="22564"/>
    <cellStyle name="Обычный 6 3 3 2 2 2" xfId="14383"/>
    <cellStyle name="Обычный 6 3 3 2 2 2 2" xfId="14384"/>
    <cellStyle name="Обычный 6 3 3 2 2 3" xfId="14385"/>
    <cellStyle name="Обычный 6 3 3 2 2 4" xfId="14386"/>
    <cellStyle name="Обычный 6 3 3 2 2 5" xfId="14387"/>
    <cellStyle name="Обычный 6 3 3 2 2 6" xfId="14388"/>
    <cellStyle name="Обычный 6 3 3 2 2 7" xfId="14389"/>
    <cellStyle name="Обычный 6 3 3 2 2 8" xfId="14390"/>
    <cellStyle name="Обычный 6 3 3 2 2 9" xfId="14391"/>
    <cellStyle name="Обычный 6 3 3 2 3" xfId="14392"/>
    <cellStyle name="Обычный 6 3 3 2 3 2" xfId="14393"/>
    <cellStyle name="Обычный 6 3 3 2 4" xfId="14394"/>
    <cellStyle name="Обычный 6 3 3 2 5" xfId="14395"/>
    <cellStyle name="Обычный 6 3 3 2 6" xfId="14396"/>
    <cellStyle name="Обычный 6 3 3 2 7" xfId="14397"/>
    <cellStyle name="Обычный 6 3 3 2 8" xfId="14398"/>
    <cellStyle name="Обычный 6 3 3 2 9" xfId="14399"/>
    <cellStyle name="Обычный 6 3 3 20" xfId="22562"/>
    <cellStyle name="Обычный 6 3 3 3" xfId="14400"/>
    <cellStyle name="Обычный 6 3 3 3 10" xfId="14401"/>
    <cellStyle name="Обычный 6 3 3 3 11" xfId="14402"/>
    <cellStyle name="Обычный 6 3 3 3 12" xfId="19259"/>
    <cellStyle name="Обычный 6 3 3 3 13" xfId="20953"/>
    <cellStyle name="Обычный 6 3 3 3 14" xfId="22565"/>
    <cellStyle name="Обычный 6 3 3 3 2" xfId="14403"/>
    <cellStyle name="Обычный 6 3 3 3 2 10" xfId="14404"/>
    <cellStyle name="Обычный 6 3 3 3 2 11" xfId="19260"/>
    <cellStyle name="Обычный 6 3 3 3 2 12" xfId="20954"/>
    <cellStyle name="Обычный 6 3 3 3 2 13" xfId="22566"/>
    <cellStyle name="Обычный 6 3 3 3 2 2" xfId="14405"/>
    <cellStyle name="Обычный 6 3 3 3 2 2 2" xfId="14406"/>
    <cellStyle name="Обычный 6 3 3 3 2 3" xfId="14407"/>
    <cellStyle name="Обычный 6 3 3 3 2 4" xfId="14408"/>
    <cellStyle name="Обычный 6 3 3 3 2 5" xfId="14409"/>
    <cellStyle name="Обычный 6 3 3 3 2 6" xfId="14410"/>
    <cellStyle name="Обычный 6 3 3 3 2 7" xfId="14411"/>
    <cellStyle name="Обычный 6 3 3 3 2 8" xfId="14412"/>
    <cellStyle name="Обычный 6 3 3 3 2 9" xfId="14413"/>
    <cellStyle name="Обычный 6 3 3 3 3" xfId="14414"/>
    <cellStyle name="Обычный 6 3 3 3 3 2" xfId="14415"/>
    <cellStyle name="Обычный 6 3 3 3 4" xfId="14416"/>
    <cellStyle name="Обычный 6 3 3 3 5" xfId="14417"/>
    <cellStyle name="Обычный 6 3 3 3 6" xfId="14418"/>
    <cellStyle name="Обычный 6 3 3 3 7" xfId="14419"/>
    <cellStyle name="Обычный 6 3 3 3 8" xfId="14420"/>
    <cellStyle name="Обычный 6 3 3 3 9" xfId="14421"/>
    <cellStyle name="Обычный 6 3 3 4" xfId="14422"/>
    <cellStyle name="Обычный 6 3 3 4 10" xfId="14423"/>
    <cellStyle name="Обычный 6 3 3 4 11" xfId="14424"/>
    <cellStyle name="Обычный 6 3 3 4 12" xfId="19261"/>
    <cellStyle name="Обычный 6 3 3 4 13" xfId="20955"/>
    <cellStyle name="Обычный 6 3 3 4 14" xfId="22567"/>
    <cellStyle name="Обычный 6 3 3 4 2" xfId="14425"/>
    <cellStyle name="Обычный 6 3 3 4 2 10" xfId="14426"/>
    <cellStyle name="Обычный 6 3 3 4 2 11" xfId="19262"/>
    <cellStyle name="Обычный 6 3 3 4 2 12" xfId="20956"/>
    <cellStyle name="Обычный 6 3 3 4 2 13" xfId="22568"/>
    <cellStyle name="Обычный 6 3 3 4 2 2" xfId="14427"/>
    <cellStyle name="Обычный 6 3 3 4 2 2 2" xfId="14428"/>
    <cellStyle name="Обычный 6 3 3 4 2 3" xfId="14429"/>
    <cellStyle name="Обычный 6 3 3 4 2 4" xfId="14430"/>
    <cellStyle name="Обычный 6 3 3 4 2 5" xfId="14431"/>
    <cellStyle name="Обычный 6 3 3 4 2 6" xfId="14432"/>
    <cellStyle name="Обычный 6 3 3 4 2 7" xfId="14433"/>
    <cellStyle name="Обычный 6 3 3 4 2 8" xfId="14434"/>
    <cellStyle name="Обычный 6 3 3 4 2 9" xfId="14435"/>
    <cellStyle name="Обычный 6 3 3 4 3" xfId="14436"/>
    <cellStyle name="Обычный 6 3 3 4 3 2" xfId="14437"/>
    <cellStyle name="Обычный 6 3 3 4 4" xfId="14438"/>
    <cellStyle name="Обычный 6 3 3 4 5" xfId="14439"/>
    <cellStyle name="Обычный 6 3 3 4 6" xfId="14440"/>
    <cellStyle name="Обычный 6 3 3 4 7" xfId="14441"/>
    <cellStyle name="Обычный 6 3 3 4 8" xfId="14442"/>
    <cellStyle name="Обычный 6 3 3 4 9" xfId="14443"/>
    <cellStyle name="Обычный 6 3 3 5" xfId="14444"/>
    <cellStyle name="Обычный 6 3 3 5 10" xfId="14445"/>
    <cellStyle name="Обычный 6 3 3 5 11" xfId="14446"/>
    <cellStyle name="Обычный 6 3 3 5 12" xfId="19263"/>
    <cellStyle name="Обычный 6 3 3 5 13" xfId="20957"/>
    <cellStyle name="Обычный 6 3 3 5 14" xfId="22569"/>
    <cellStyle name="Обычный 6 3 3 5 2" xfId="14447"/>
    <cellStyle name="Обычный 6 3 3 5 2 10" xfId="14448"/>
    <cellStyle name="Обычный 6 3 3 5 2 11" xfId="19264"/>
    <cellStyle name="Обычный 6 3 3 5 2 12" xfId="20958"/>
    <cellStyle name="Обычный 6 3 3 5 2 13" xfId="22570"/>
    <cellStyle name="Обычный 6 3 3 5 2 2" xfId="14449"/>
    <cellStyle name="Обычный 6 3 3 5 2 2 2" xfId="14450"/>
    <cellStyle name="Обычный 6 3 3 5 2 3" xfId="14451"/>
    <cellStyle name="Обычный 6 3 3 5 2 4" xfId="14452"/>
    <cellStyle name="Обычный 6 3 3 5 2 5" xfId="14453"/>
    <cellStyle name="Обычный 6 3 3 5 2 6" xfId="14454"/>
    <cellStyle name="Обычный 6 3 3 5 2 7" xfId="14455"/>
    <cellStyle name="Обычный 6 3 3 5 2 8" xfId="14456"/>
    <cellStyle name="Обычный 6 3 3 5 2 9" xfId="14457"/>
    <cellStyle name="Обычный 6 3 3 5 3" xfId="14458"/>
    <cellStyle name="Обычный 6 3 3 5 3 2" xfId="14459"/>
    <cellStyle name="Обычный 6 3 3 5 4" xfId="14460"/>
    <cellStyle name="Обычный 6 3 3 5 5" xfId="14461"/>
    <cellStyle name="Обычный 6 3 3 5 6" xfId="14462"/>
    <cellStyle name="Обычный 6 3 3 5 7" xfId="14463"/>
    <cellStyle name="Обычный 6 3 3 5 8" xfId="14464"/>
    <cellStyle name="Обычный 6 3 3 5 9" xfId="14465"/>
    <cellStyle name="Обычный 6 3 3 6" xfId="14466"/>
    <cellStyle name="Обычный 6 3 3 6 10" xfId="14467"/>
    <cellStyle name="Обычный 6 3 3 6 11" xfId="19265"/>
    <cellStyle name="Обычный 6 3 3 6 12" xfId="20959"/>
    <cellStyle name="Обычный 6 3 3 6 13" xfId="22571"/>
    <cellStyle name="Обычный 6 3 3 6 2" xfId="14468"/>
    <cellStyle name="Обычный 6 3 3 6 2 2" xfId="14469"/>
    <cellStyle name="Обычный 6 3 3 6 3" xfId="14470"/>
    <cellStyle name="Обычный 6 3 3 6 4" xfId="14471"/>
    <cellStyle name="Обычный 6 3 3 6 5" xfId="14472"/>
    <cellStyle name="Обычный 6 3 3 6 6" xfId="14473"/>
    <cellStyle name="Обычный 6 3 3 6 7" xfId="14474"/>
    <cellStyle name="Обычный 6 3 3 6 8" xfId="14475"/>
    <cellStyle name="Обычный 6 3 3 6 9" xfId="14476"/>
    <cellStyle name="Обычный 6 3 3 7" xfId="14477"/>
    <cellStyle name="Обычный 6 3 3 7 10" xfId="20960"/>
    <cellStyle name="Обычный 6 3 3 7 11" xfId="22572"/>
    <cellStyle name="Обычный 6 3 3 7 2" xfId="14478"/>
    <cellStyle name="Обычный 6 3 3 7 2 2" xfId="14479"/>
    <cellStyle name="Обычный 6 3 3 7 3" xfId="14480"/>
    <cellStyle name="Обычный 6 3 3 7 4" xfId="14481"/>
    <cellStyle name="Обычный 6 3 3 7 5" xfId="14482"/>
    <cellStyle name="Обычный 6 3 3 7 6" xfId="14483"/>
    <cellStyle name="Обычный 6 3 3 7 7" xfId="14484"/>
    <cellStyle name="Обычный 6 3 3 7 8" xfId="14485"/>
    <cellStyle name="Обычный 6 3 3 7 9" xfId="19266"/>
    <cellStyle name="Обычный 6 3 3 8" xfId="14486"/>
    <cellStyle name="Обычный 6 3 3 8 2" xfId="14487"/>
    <cellStyle name="Обычный 6 3 3 9" xfId="14488"/>
    <cellStyle name="Обычный 6 3 4" xfId="14489"/>
    <cellStyle name="Обычный 6 3 4 10" xfId="14490"/>
    <cellStyle name="Обычный 6 3 4 11" xfId="14491"/>
    <cellStyle name="Обычный 6 3 4 12" xfId="14492"/>
    <cellStyle name="Обычный 6 3 4 13" xfId="14493"/>
    <cellStyle name="Обычный 6 3 4 14" xfId="14494"/>
    <cellStyle name="Обычный 6 3 4 15" xfId="14495"/>
    <cellStyle name="Обычный 6 3 4 16" xfId="14496"/>
    <cellStyle name="Обычный 6 3 4 17" xfId="14497"/>
    <cellStyle name="Обычный 6 3 4 18" xfId="19267"/>
    <cellStyle name="Обычный 6 3 4 19" xfId="20961"/>
    <cellStyle name="Обычный 6 3 4 2" xfId="14498"/>
    <cellStyle name="Обычный 6 3 4 2 10" xfId="14499"/>
    <cellStyle name="Обычный 6 3 4 2 11" xfId="14500"/>
    <cellStyle name="Обычный 6 3 4 2 12" xfId="19268"/>
    <cellStyle name="Обычный 6 3 4 2 13" xfId="20962"/>
    <cellStyle name="Обычный 6 3 4 2 14" xfId="22574"/>
    <cellStyle name="Обычный 6 3 4 2 2" xfId="14501"/>
    <cellStyle name="Обычный 6 3 4 2 2 10" xfId="14502"/>
    <cellStyle name="Обычный 6 3 4 2 2 11" xfId="19269"/>
    <cellStyle name="Обычный 6 3 4 2 2 12" xfId="20963"/>
    <cellStyle name="Обычный 6 3 4 2 2 13" xfId="22575"/>
    <cellStyle name="Обычный 6 3 4 2 2 2" xfId="14503"/>
    <cellStyle name="Обычный 6 3 4 2 2 2 2" xfId="14504"/>
    <cellStyle name="Обычный 6 3 4 2 2 3" xfId="14505"/>
    <cellStyle name="Обычный 6 3 4 2 2 4" xfId="14506"/>
    <cellStyle name="Обычный 6 3 4 2 2 5" xfId="14507"/>
    <cellStyle name="Обычный 6 3 4 2 2 6" xfId="14508"/>
    <cellStyle name="Обычный 6 3 4 2 2 7" xfId="14509"/>
    <cellStyle name="Обычный 6 3 4 2 2 8" xfId="14510"/>
    <cellStyle name="Обычный 6 3 4 2 2 9" xfId="14511"/>
    <cellStyle name="Обычный 6 3 4 2 3" xfId="14512"/>
    <cellStyle name="Обычный 6 3 4 2 3 2" xfId="14513"/>
    <cellStyle name="Обычный 6 3 4 2 4" xfId="14514"/>
    <cellStyle name="Обычный 6 3 4 2 5" xfId="14515"/>
    <cellStyle name="Обычный 6 3 4 2 6" xfId="14516"/>
    <cellStyle name="Обычный 6 3 4 2 7" xfId="14517"/>
    <cellStyle name="Обычный 6 3 4 2 8" xfId="14518"/>
    <cellStyle name="Обычный 6 3 4 2 9" xfId="14519"/>
    <cellStyle name="Обычный 6 3 4 20" xfId="22573"/>
    <cellStyle name="Обычный 6 3 4 3" xfId="14520"/>
    <cellStyle name="Обычный 6 3 4 3 10" xfId="14521"/>
    <cellStyle name="Обычный 6 3 4 3 11" xfId="14522"/>
    <cellStyle name="Обычный 6 3 4 3 12" xfId="19270"/>
    <cellStyle name="Обычный 6 3 4 3 13" xfId="20964"/>
    <cellStyle name="Обычный 6 3 4 3 14" xfId="22576"/>
    <cellStyle name="Обычный 6 3 4 3 2" xfId="14523"/>
    <cellStyle name="Обычный 6 3 4 3 2 10" xfId="14524"/>
    <cellStyle name="Обычный 6 3 4 3 2 11" xfId="19271"/>
    <cellStyle name="Обычный 6 3 4 3 2 12" xfId="20965"/>
    <cellStyle name="Обычный 6 3 4 3 2 13" xfId="22577"/>
    <cellStyle name="Обычный 6 3 4 3 2 2" xfId="14525"/>
    <cellStyle name="Обычный 6 3 4 3 2 2 2" xfId="14526"/>
    <cellStyle name="Обычный 6 3 4 3 2 3" xfId="14527"/>
    <cellStyle name="Обычный 6 3 4 3 2 4" xfId="14528"/>
    <cellStyle name="Обычный 6 3 4 3 2 5" xfId="14529"/>
    <cellStyle name="Обычный 6 3 4 3 2 6" xfId="14530"/>
    <cellStyle name="Обычный 6 3 4 3 2 7" xfId="14531"/>
    <cellStyle name="Обычный 6 3 4 3 2 8" xfId="14532"/>
    <cellStyle name="Обычный 6 3 4 3 2 9" xfId="14533"/>
    <cellStyle name="Обычный 6 3 4 3 3" xfId="14534"/>
    <cellStyle name="Обычный 6 3 4 3 3 2" xfId="14535"/>
    <cellStyle name="Обычный 6 3 4 3 4" xfId="14536"/>
    <cellStyle name="Обычный 6 3 4 3 5" xfId="14537"/>
    <cellStyle name="Обычный 6 3 4 3 6" xfId="14538"/>
    <cellStyle name="Обычный 6 3 4 3 7" xfId="14539"/>
    <cellStyle name="Обычный 6 3 4 3 8" xfId="14540"/>
    <cellStyle name="Обычный 6 3 4 3 9" xfId="14541"/>
    <cellStyle name="Обычный 6 3 4 4" xfId="14542"/>
    <cellStyle name="Обычный 6 3 4 4 10" xfId="14543"/>
    <cellStyle name="Обычный 6 3 4 4 11" xfId="14544"/>
    <cellStyle name="Обычный 6 3 4 4 12" xfId="19272"/>
    <cellStyle name="Обычный 6 3 4 4 13" xfId="20966"/>
    <cellStyle name="Обычный 6 3 4 4 14" xfId="22578"/>
    <cellStyle name="Обычный 6 3 4 4 2" xfId="14545"/>
    <cellStyle name="Обычный 6 3 4 4 2 10" xfId="14546"/>
    <cellStyle name="Обычный 6 3 4 4 2 11" xfId="19273"/>
    <cellStyle name="Обычный 6 3 4 4 2 12" xfId="20967"/>
    <cellStyle name="Обычный 6 3 4 4 2 13" xfId="22579"/>
    <cellStyle name="Обычный 6 3 4 4 2 2" xfId="14547"/>
    <cellStyle name="Обычный 6 3 4 4 2 2 2" xfId="14548"/>
    <cellStyle name="Обычный 6 3 4 4 2 3" xfId="14549"/>
    <cellStyle name="Обычный 6 3 4 4 2 4" xfId="14550"/>
    <cellStyle name="Обычный 6 3 4 4 2 5" xfId="14551"/>
    <cellStyle name="Обычный 6 3 4 4 2 6" xfId="14552"/>
    <cellStyle name="Обычный 6 3 4 4 2 7" xfId="14553"/>
    <cellStyle name="Обычный 6 3 4 4 2 8" xfId="14554"/>
    <cellStyle name="Обычный 6 3 4 4 2 9" xfId="14555"/>
    <cellStyle name="Обычный 6 3 4 4 3" xfId="14556"/>
    <cellStyle name="Обычный 6 3 4 4 3 2" xfId="14557"/>
    <cellStyle name="Обычный 6 3 4 4 4" xfId="14558"/>
    <cellStyle name="Обычный 6 3 4 4 5" xfId="14559"/>
    <cellStyle name="Обычный 6 3 4 4 6" xfId="14560"/>
    <cellStyle name="Обычный 6 3 4 4 7" xfId="14561"/>
    <cellStyle name="Обычный 6 3 4 4 8" xfId="14562"/>
    <cellStyle name="Обычный 6 3 4 4 9" xfId="14563"/>
    <cellStyle name="Обычный 6 3 4 5" xfId="14564"/>
    <cellStyle name="Обычный 6 3 4 5 10" xfId="14565"/>
    <cellStyle name="Обычный 6 3 4 5 11" xfId="14566"/>
    <cellStyle name="Обычный 6 3 4 5 12" xfId="19274"/>
    <cellStyle name="Обычный 6 3 4 5 13" xfId="20968"/>
    <cellStyle name="Обычный 6 3 4 5 14" xfId="22580"/>
    <cellStyle name="Обычный 6 3 4 5 2" xfId="14567"/>
    <cellStyle name="Обычный 6 3 4 5 2 10" xfId="14568"/>
    <cellStyle name="Обычный 6 3 4 5 2 11" xfId="19275"/>
    <cellStyle name="Обычный 6 3 4 5 2 12" xfId="20969"/>
    <cellStyle name="Обычный 6 3 4 5 2 13" xfId="22581"/>
    <cellStyle name="Обычный 6 3 4 5 2 2" xfId="14569"/>
    <cellStyle name="Обычный 6 3 4 5 2 2 2" xfId="14570"/>
    <cellStyle name="Обычный 6 3 4 5 2 3" xfId="14571"/>
    <cellStyle name="Обычный 6 3 4 5 2 4" xfId="14572"/>
    <cellStyle name="Обычный 6 3 4 5 2 5" xfId="14573"/>
    <cellStyle name="Обычный 6 3 4 5 2 6" xfId="14574"/>
    <cellStyle name="Обычный 6 3 4 5 2 7" xfId="14575"/>
    <cellStyle name="Обычный 6 3 4 5 2 8" xfId="14576"/>
    <cellStyle name="Обычный 6 3 4 5 2 9" xfId="14577"/>
    <cellStyle name="Обычный 6 3 4 5 3" xfId="14578"/>
    <cellStyle name="Обычный 6 3 4 5 3 2" xfId="14579"/>
    <cellStyle name="Обычный 6 3 4 5 4" xfId="14580"/>
    <cellStyle name="Обычный 6 3 4 5 5" xfId="14581"/>
    <cellStyle name="Обычный 6 3 4 5 6" xfId="14582"/>
    <cellStyle name="Обычный 6 3 4 5 7" xfId="14583"/>
    <cellStyle name="Обычный 6 3 4 5 8" xfId="14584"/>
    <cellStyle name="Обычный 6 3 4 5 9" xfId="14585"/>
    <cellStyle name="Обычный 6 3 4 6" xfId="14586"/>
    <cellStyle name="Обычный 6 3 4 6 10" xfId="14587"/>
    <cellStyle name="Обычный 6 3 4 6 11" xfId="19276"/>
    <cellStyle name="Обычный 6 3 4 6 12" xfId="20970"/>
    <cellStyle name="Обычный 6 3 4 6 13" xfId="22582"/>
    <cellStyle name="Обычный 6 3 4 6 2" xfId="14588"/>
    <cellStyle name="Обычный 6 3 4 6 2 2" xfId="14589"/>
    <cellStyle name="Обычный 6 3 4 6 3" xfId="14590"/>
    <cellStyle name="Обычный 6 3 4 6 4" xfId="14591"/>
    <cellStyle name="Обычный 6 3 4 6 5" xfId="14592"/>
    <cellStyle name="Обычный 6 3 4 6 6" xfId="14593"/>
    <cellStyle name="Обычный 6 3 4 6 7" xfId="14594"/>
    <cellStyle name="Обычный 6 3 4 6 8" xfId="14595"/>
    <cellStyle name="Обычный 6 3 4 6 9" xfId="14596"/>
    <cellStyle name="Обычный 6 3 4 7" xfId="14597"/>
    <cellStyle name="Обычный 6 3 4 7 10" xfId="20971"/>
    <cellStyle name="Обычный 6 3 4 7 11" xfId="22583"/>
    <cellStyle name="Обычный 6 3 4 7 2" xfId="14598"/>
    <cellStyle name="Обычный 6 3 4 7 2 2" xfId="14599"/>
    <cellStyle name="Обычный 6 3 4 7 3" xfId="14600"/>
    <cellStyle name="Обычный 6 3 4 7 4" xfId="14601"/>
    <cellStyle name="Обычный 6 3 4 7 5" xfId="14602"/>
    <cellStyle name="Обычный 6 3 4 7 6" xfId="14603"/>
    <cellStyle name="Обычный 6 3 4 7 7" xfId="14604"/>
    <cellStyle name="Обычный 6 3 4 7 8" xfId="14605"/>
    <cellStyle name="Обычный 6 3 4 7 9" xfId="19277"/>
    <cellStyle name="Обычный 6 3 4 8" xfId="14606"/>
    <cellStyle name="Обычный 6 3 4 8 2" xfId="14607"/>
    <cellStyle name="Обычный 6 3 4 9" xfId="14608"/>
    <cellStyle name="Обычный 6 3 5" xfId="14609"/>
    <cellStyle name="Обычный 6 3 5 10" xfId="14610"/>
    <cellStyle name="Обычный 6 3 5 11" xfId="14611"/>
    <cellStyle name="Обычный 6 3 5 12" xfId="19278"/>
    <cellStyle name="Обычный 6 3 5 13" xfId="20972"/>
    <cellStyle name="Обычный 6 3 5 14" xfId="22584"/>
    <cellStyle name="Обычный 6 3 5 2" xfId="14612"/>
    <cellStyle name="Обычный 6 3 5 2 10" xfId="14613"/>
    <cellStyle name="Обычный 6 3 5 2 11" xfId="19279"/>
    <cellStyle name="Обычный 6 3 5 2 12" xfId="20973"/>
    <cellStyle name="Обычный 6 3 5 2 13" xfId="22585"/>
    <cellStyle name="Обычный 6 3 5 2 2" xfId="14614"/>
    <cellStyle name="Обычный 6 3 5 2 2 2" xfId="14615"/>
    <cellStyle name="Обычный 6 3 5 2 3" xfId="14616"/>
    <cellStyle name="Обычный 6 3 5 2 4" xfId="14617"/>
    <cellStyle name="Обычный 6 3 5 2 5" xfId="14618"/>
    <cellStyle name="Обычный 6 3 5 2 6" xfId="14619"/>
    <cellStyle name="Обычный 6 3 5 2 7" xfId="14620"/>
    <cellStyle name="Обычный 6 3 5 2 8" xfId="14621"/>
    <cellStyle name="Обычный 6 3 5 2 9" xfId="14622"/>
    <cellStyle name="Обычный 6 3 5 3" xfId="14623"/>
    <cellStyle name="Обычный 6 3 5 3 2" xfId="14624"/>
    <cellStyle name="Обычный 6 3 5 4" xfId="14625"/>
    <cellStyle name="Обычный 6 3 5 5" xfId="14626"/>
    <cellStyle name="Обычный 6 3 5 6" xfId="14627"/>
    <cellStyle name="Обычный 6 3 5 7" xfId="14628"/>
    <cellStyle name="Обычный 6 3 5 8" xfId="14629"/>
    <cellStyle name="Обычный 6 3 5 9" xfId="14630"/>
    <cellStyle name="Обычный 6 3 6" xfId="14631"/>
    <cellStyle name="Обычный 6 3 6 10" xfId="14632"/>
    <cellStyle name="Обычный 6 3 6 11" xfId="14633"/>
    <cellStyle name="Обычный 6 3 6 12" xfId="19280"/>
    <cellStyle name="Обычный 6 3 6 13" xfId="20974"/>
    <cellStyle name="Обычный 6 3 6 14" xfId="22586"/>
    <cellStyle name="Обычный 6 3 6 2" xfId="14634"/>
    <cellStyle name="Обычный 6 3 6 2 10" xfId="14635"/>
    <cellStyle name="Обычный 6 3 6 2 11" xfId="19281"/>
    <cellStyle name="Обычный 6 3 6 2 12" xfId="20975"/>
    <cellStyle name="Обычный 6 3 6 2 13" xfId="22587"/>
    <cellStyle name="Обычный 6 3 6 2 2" xfId="14636"/>
    <cellStyle name="Обычный 6 3 6 2 2 2" xfId="14637"/>
    <cellStyle name="Обычный 6 3 6 2 3" xfId="14638"/>
    <cellStyle name="Обычный 6 3 6 2 4" xfId="14639"/>
    <cellStyle name="Обычный 6 3 6 2 5" xfId="14640"/>
    <cellStyle name="Обычный 6 3 6 2 6" xfId="14641"/>
    <cellStyle name="Обычный 6 3 6 2 7" xfId="14642"/>
    <cellStyle name="Обычный 6 3 6 2 8" xfId="14643"/>
    <cellStyle name="Обычный 6 3 6 2 9" xfId="14644"/>
    <cellStyle name="Обычный 6 3 6 3" xfId="14645"/>
    <cellStyle name="Обычный 6 3 6 3 2" xfId="14646"/>
    <cellStyle name="Обычный 6 3 6 4" xfId="14647"/>
    <cellStyle name="Обычный 6 3 6 5" xfId="14648"/>
    <cellStyle name="Обычный 6 3 6 6" xfId="14649"/>
    <cellStyle name="Обычный 6 3 6 7" xfId="14650"/>
    <cellStyle name="Обычный 6 3 6 8" xfId="14651"/>
    <cellStyle name="Обычный 6 3 6 9" xfId="14652"/>
    <cellStyle name="Обычный 6 3 7" xfId="14653"/>
    <cellStyle name="Обычный 6 3 7 10" xfId="14654"/>
    <cellStyle name="Обычный 6 3 7 11" xfId="14655"/>
    <cellStyle name="Обычный 6 3 7 12" xfId="19282"/>
    <cellStyle name="Обычный 6 3 7 13" xfId="20976"/>
    <cellStyle name="Обычный 6 3 7 14" xfId="22588"/>
    <cellStyle name="Обычный 6 3 7 2" xfId="14656"/>
    <cellStyle name="Обычный 6 3 7 2 10" xfId="14657"/>
    <cellStyle name="Обычный 6 3 7 2 11" xfId="19283"/>
    <cellStyle name="Обычный 6 3 7 2 12" xfId="20977"/>
    <cellStyle name="Обычный 6 3 7 2 13" xfId="22589"/>
    <cellStyle name="Обычный 6 3 7 2 2" xfId="14658"/>
    <cellStyle name="Обычный 6 3 7 2 2 2" xfId="14659"/>
    <cellStyle name="Обычный 6 3 7 2 3" xfId="14660"/>
    <cellStyle name="Обычный 6 3 7 2 4" xfId="14661"/>
    <cellStyle name="Обычный 6 3 7 2 5" xfId="14662"/>
    <cellStyle name="Обычный 6 3 7 2 6" xfId="14663"/>
    <cellStyle name="Обычный 6 3 7 2 7" xfId="14664"/>
    <cellStyle name="Обычный 6 3 7 2 8" xfId="14665"/>
    <cellStyle name="Обычный 6 3 7 2 9" xfId="14666"/>
    <cellStyle name="Обычный 6 3 7 3" xfId="14667"/>
    <cellStyle name="Обычный 6 3 7 3 2" xfId="14668"/>
    <cellStyle name="Обычный 6 3 7 4" xfId="14669"/>
    <cellStyle name="Обычный 6 3 7 5" xfId="14670"/>
    <cellStyle name="Обычный 6 3 7 6" xfId="14671"/>
    <cellStyle name="Обычный 6 3 7 7" xfId="14672"/>
    <cellStyle name="Обычный 6 3 7 8" xfId="14673"/>
    <cellStyle name="Обычный 6 3 7 9" xfId="14674"/>
    <cellStyle name="Обычный 6 3 8" xfId="14675"/>
    <cellStyle name="Обычный 6 3 8 10" xfId="14676"/>
    <cellStyle name="Обычный 6 3 8 11" xfId="14677"/>
    <cellStyle name="Обычный 6 3 8 12" xfId="19284"/>
    <cellStyle name="Обычный 6 3 8 13" xfId="20978"/>
    <cellStyle name="Обычный 6 3 8 14" xfId="22590"/>
    <cellStyle name="Обычный 6 3 8 2" xfId="14678"/>
    <cellStyle name="Обычный 6 3 8 2 10" xfId="14679"/>
    <cellStyle name="Обычный 6 3 8 2 11" xfId="19285"/>
    <cellStyle name="Обычный 6 3 8 2 12" xfId="20979"/>
    <cellStyle name="Обычный 6 3 8 2 13" xfId="22591"/>
    <cellStyle name="Обычный 6 3 8 2 2" xfId="14680"/>
    <cellStyle name="Обычный 6 3 8 2 2 2" xfId="14681"/>
    <cellStyle name="Обычный 6 3 8 2 3" xfId="14682"/>
    <cellStyle name="Обычный 6 3 8 2 4" xfId="14683"/>
    <cellStyle name="Обычный 6 3 8 2 5" xfId="14684"/>
    <cellStyle name="Обычный 6 3 8 2 6" xfId="14685"/>
    <cellStyle name="Обычный 6 3 8 2 7" xfId="14686"/>
    <cellStyle name="Обычный 6 3 8 2 8" xfId="14687"/>
    <cellStyle name="Обычный 6 3 8 2 9" xfId="14688"/>
    <cellStyle name="Обычный 6 3 8 3" xfId="14689"/>
    <cellStyle name="Обычный 6 3 8 3 2" xfId="14690"/>
    <cellStyle name="Обычный 6 3 8 4" xfId="14691"/>
    <cellStyle name="Обычный 6 3 8 5" xfId="14692"/>
    <cellStyle name="Обычный 6 3 8 6" xfId="14693"/>
    <cellStyle name="Обычный 6 3 8 7" xfId="14694"/>
    <cellStyle name="Обычный 6 3 8 8" xfId="14695"/>
    <cellStyle name="Обычный 6 3 8 9" xfId="14696"/>
    <cellStyle name="Обычный 6 3 9" xfId="14697"/>
    <cellStyle name="Обычный 6 3 9 10" xfId="14698"/>
    <cellStyle name="Обычный 6 3 9 11" xfId="14699"/>
    <cellStyle name="Обычный 6 3 9 12" xfId="19286"/>
    <cellStyle name="Обычный 6 3 9 13" xfId="20980"/>
    <cellStyle name="Обычный 6 3 9 14" xfId="22592"/>
    <cellStyle name="Обычный 6 3 9 2" xfId="14700"/>
    <cellStyle name="Обычный 6 3 9 2 10" xfId="14701"/>
    <cellStyle name="Обычный 6 3 9 2 11" xfId="19287"/>
    <cellStyle name="Обычный 6 3 9 2 12" xfId="20981"/>
    <cellStyle name="Обычный 6 3 9 2 13" xfId="22593"/>
    <cellStyle name="Обычный 6 3 9 2 2" xfId="14702"/>
    <cellStyle name="Обычный 6 3 9 2 2 2" xfId="14703"/>
    <cellStyle name="Обычный 6 3 9 2 3" xfId="14704"/>
    <cellStyle name="Обычный 6 3 9 2 4" xfId="14705"/>
    <cellStyle name="Обычный 6 3 9 2 5" xfId="14706"/>
    <cellStyle name="Обычный 6 3 9 2 6" xfId="14707"/>
    <cellStyle name="Обычный 6 3 9 2 7" xfId="14708"/>
    <cellStyle name="Обычный 6 3 9 2 8" xfId="14709"/>
    <cellStyle name="Обычный 6 3 9 2 9" xfId="14710"/>
    <cellStyle name="Обычный 6 3 9 3" xfId="14711"/>
    <cellStyle name="Обычный 6 3 9 3 2" xfId="14712"/>
    <cellStyle name="Обычный 6 3 9 4" xfId="14713"/>
    <cellStyle name="Обычный 6 3 9 5" xfId="14714"/>
    <cellStyle name="Обычный 6 3 9 6" xfId="14715"/>
    <cellStyle name="Обычный 6 3 9 7" xfId="14716"/>
    <cellStyle name="Обычный 6 3 9 8" xfId="14717"/>
    <cellStyle name="Обычный 6 3 9 9" xfId="14718"/>
    <cellStyle name="Обычный 6 30" xfId="20826"/>
    <cellStyle name="Обычный 6 31" xfId="22438"/>
    <cellStyle name="Обычный 6 4" xfId="14719"/>
    <cellStyle name="Обычный 6 4 10" xfId="14720"/>
    <cellStyle name="Обычный 6 4 10 2" xfId="14721"/>
    <cellStyle name="Обычный 6 4 11" xfId="14722"/>
    <cellStyle name="Обычный 6 4 12" xfId="14723"/>
    <cellStyle name="Обычный 6 4 13" xfId="14724"/>
    <cellStyle name="Обычный 6 4 14" xfId="14725"/>
    <cellStyle name="Обычный 6 4 15" xfId="14726"/>
    <cellStyle name="Обычный 6 4 16" xfId="14727"/>
    <cellStyle name="Обычный 6 4 17" xfId="14728"/>
    <cellStyle name="Обычный 6 4 18" xfId="14729"/>
    <cellStyle name="Обычный 6 4 19" xfId="14730"/>
    <cellStyle name="Обычный 6 4 2" xfId="14731"/>
    <cellStyle name="Обычный 6 4 2 10" xfId="14732"/>
    <cellStyle name="Обычный 6 4 2 11" xfId="14733"/>
    <cellStyle name="Обычный 6 4 2 12" xfId="14734"/>
    <cellStyle name="Обычный 6 4 2 13" xfId="14735"/>
    <cellStyle name="Обычный 6 4 2 14" xfId="14736"/>
    <cellStyle name="Обычный 6 4 2 15" xfId="14737"/>
    <cellStyle name="Обычный 6 4 2 16" xfId="14738"/>
    <cellStyle name="Обычный 6 4 2 17" xfId="14739"/>
    <cellStyle name="Обычный 6 4 2 18" xfId="19289"/>
    <cellStyle name="Обычный 6 4 2 19" xfId="20983"/>
    <cellStyle name="Обычный 6 4 2 2" xfId="14740"/>
    <cellStyle name="Обычный 6 4 2 2 10" xfId="14741"/>
    <cellStyle name="Обычный 6 4 2 2 11" xfId="14742"/>
    <cellStyle name="Обычный 6 4 2 2 12" xfId="19290"/>
    <cellStyle name="Обычный 6 4 2 2 13" xfId="20984"/>
    <cellStyle name="Обычный 6 4 2 2 14" xfId="22596"/>
    <cellStyle name="Обычный 6 4 2 2 2" xfId="14743"/>
    <cellStyle name="Обычный 6 4 2 2 2 10" xfId="14744"/>
    <cellStyle name="Обычный 6 4 2 2 2 11" xfId="19291"/>
    <cellStyle name="Обычный 6 4 2 2 2 12" xfId="20985"/>
    <cellStyle name="Обычный 6 4 2 2 2 13" xfId="22597"/>
    <cellStyle name="Обычный 6 4 2 2 2 2" xfId="14745"/>
    <cellStyle name="Обычный 6 4 2 2 2 2 2" xfId="14746"/>
    <cellStyle name="Обычный 6 4 2 2 2 3" xfId="14747"/>
    <cellStyle name="Обычный 6 4 2 2 2 4" xfId="14748"/>
    <cellStyle name="Обычный 6 4 2 2 2 5" xfId="14749"/>
    <cellStyle name="Обычный 6 4 2 2 2 6" xfId="14750"/>
    <cellStyle name="Обычный 6 4 2 2 2 7" xfId="14751"/>
    <cellStyle name="Обычный 6 4 2 2 2 8" xfId="14752"/>
    <cellStyle name="Обычный 6 4 2 2 2 9" xfId="14753"/>
    <cellStyle name="Обычный 6 4 2 2 3" xfId="14754"/>
    <cellStyle name="Обычный 6 4 2 2 3 2" xfId="14755"/>
    <cellStyle name="Обычный 6 4 2 2 4" xfId="14756"/>
    <cellStyle name="Обычный 6 4 2 2 5" xfId="14757"/>
    <cellStyle name="Обычный 6 4 2 2 6" xfId="14758"/>
    <cellStyle name="Обычный 6 4 2 2 7" xfId="14759"/>
    <cellStyle name="Обычный 6 4 2 2 8" xfId="14760"/>
    <cellStyle name="Обычный 6 4 2 2 9" xfId="14761"/>
    <cellStyle name="Обычный 6 4 2 20" xfId="22595"/>
    <cellStyle name="Обычный 6 4 2 3" xfId="14762"/>
    <cellStyle name="Обычный 6 4 2 3 10" xfId="14763"/>
    <cellStyle name="Обычный 6 4 2 3 11" xfId="14764"/>
    <cellStyle name="Обычный 6 4 2 3 12" xfId="19292"/>
    <cellStyle name="Обычный 6 4 2 3 13" xfId="20986"/>
    <cellStyle name="Обычный 6 4 2 3 14" xfId="22598"/>
    <cellStyle name="Обычный 6 4 2 3 2" xfId="14765"/>
    <cellStyle name="Обычный 6 4 2 3 2 10" xfId="14766"/>
    <cellStyle name="Обычный 6 4 2 3 2 11" xfId="19293"/>
    <cellStyle name="Обычный 6 4 2 3 2 12" xfId="20987"/>
    <cellStyle name="Обычный 6 4 2 3 2 13" xfId="22599"/>
    <cellStyle name="Обычный 6 4 2 3 2 2" xfId="14767"/>
    <cellStyle name="Обычный 6 4 2 3 2 2 2" xfId="14768"/>
    <cellStyle name="Обычный 6 4 2 3 2 3" xfId="14769"/>
    <cellStyle name="Обычный 6 4 2 3 2 4" xfId="14770"/>
    <cellStyle name="Обычный 6 4 2 3 2 5" xfId="14771"/>
    <cellStyle name="Обычный 6 4 2 3 2 6" xfId="14772"/>
    <cellStyle name="Обычный 6 4 2 3 2 7" xfId="14773"/>
    <cellStyle name="Обычный 6 4 2 3 2 8" xfId="14774"/>
    <cellStyle name="Обычный 6 4 2 3 2 9" xfId="14775"/>
    <cellStyle name="Обычный 6 4 2 3 3" xfId="14776"/>
    <cellStyle name="Обычный 6 4 2 3 3 2" xfId="14777"/>
    <cellStyle name="Обычный 6 4 2 3 4" xfId="14778"/>
    <cellStyle name="Обычный 6 4 2 3 5" xfId="14779"/>
    <cellStyle name="Обычный 6 4 2 3 6" xfId="14780"/>
    <cellStyle name="Обычный 6 4 2 3 7" xfId="14781"/>
    <cellStyle name="Обычный 6 4 2 3 8" xfId="14782"/>
    <cellStyle name="Обычный 6 4 2 3 9" xfId="14783"/>
    <cellStyle name="Обычный 6 4 2 4" xfId="14784"/>
    <cellStyle name="Обычный 6 4 2 4 10" xfId="14785"/>
    <cellStyle name="Обычный 6 4 2 4 11" xfId="14786"/>
    <cellStyle name="Обычный 6 4 2 4 12" xfId="19294"/>
    <cellStyle name="Обычный 6 4 2 4 13" xfId="20988"/>
    <cellStyle name="Обычный 6 4 2 4 14" xfId="22600"/>
    <cellStyle name="Обычный 6 4 2 4 2" xfId="14787"/>
    <cellStyle name="Обычный 6 4 2 4 2 10" xfId="14788"/>
    <cellStyle name="Обычный 6 4 2 4 2 11" xfId="19295"/>
    <cellStyle name="Обычный 6 4 2 4 2 12" xfId="20989"/>
    <cellStyle name="Обычный 6 4 2 4 2 13" xfId="22601"/>
    <cellStyle name="Обычный 6 4 2 4 2 2" xfId="14789"/>
    <cellStyle name="Обычный 6 4 2 4 2 2 2" xfId="14790"/>
    <cellStyle name="Обычный 6 4 2 4 2 3" xfId="14791"/>
    <cellStyle name="Обычный 6 4 2 4 2 4" xfId="14792"/>
    <cellStyle name="Обычный 6 4 2 4 2 5" xfId="14793"/>
    <cellStyle name="Обычный 6 4 2 4 2 6" xfId="14794"/>
    <cellStyle name="Обычный 6 4 2 4 2 7" xfId="14795"/>
    <cellStyle name="Обычный 6 4 2 4 2 8" xfId="14796"/>
    <cellStyle name="Обычный 6 4 2 4 2 9" xfId="14797"/>
    <cellStyle name="Обычный 6 4 2 4 3" xfId="14798"/>
    <cellStyle name="Обычный 6 4 2 4 3 2" xfId="14799"/>
    <cellStyle name="Обычный 6 4 2 4 4" xfId="14800"/>
    <cellStyle name="Обычный 6 4 2 4 5" xfId="14801"/>
    <cellStyle name="Обычный 6 4 2 4 6" xfId="14802"/>
    <cellStyle name="Обычный 6 4 2 4 7" xfId="14803"/>
    <cellStyle name="Обычный 6 4 2 4 8" xfId="14804"/>
    <cellStyle name="Обычный 6 4 2 4 9" xfId="14805"/>
    <cellStyle name="Обычный 6 4 2 5" xfId="14806"/>
    <cellStyle name="Обычный 6 4 2 5 10" xfId="14807"/>
    <cellStyle name="Обычный 6 4 2 5 11" xfId="14808"/>
    <cellStyle name="Обычный 6 4 2 5 12" xfId="19296"/>
    <cellStyle name="Обычный 6 4 2 5 13" xfId="20990"/>
    <cellStyle name="Обычный 6 4 2 5 14" xfId="22602"/>
    <cellStyle name="Обычный 6 4 2 5 2" xfId="14809"/>
    <cellStyle name="Обычный 6 4 2 5 2 10" xfId="14810"/>
    <cellStyle name="Обычный 6 4 2 5 2 11" xfId="19297"/>
    <cellStyle name="Обычный 6 4 2 5 2 12" xfId="20991"/>
    <cellStyle name="Обычный 6 4 2 5 2 13" xfId="22603"/>
    <cellStyle name="Обычный 6 4 2 5 2 2" xfId="14811"/>
    <cellStyle name="Обычный 6 4 2 5 2 2 2" xfId="14812"/>
    <cellStyle name="Обычный 6 4 2 5 2 3" xfId="14813"/>
    <cellStyle name="Обычный 6 4 2 5 2 4" xfId="14814"/>
    <cellStyle name="Обычный 6 4 2 5 2 5" xfId="14815"/>
    <cellStyle name="Обычный 6 4 2 5 2 6" xfId="14816"/>
    <cellStyle name="Обычный 6 4 2 5 2 7" xfId="14817"/>
    <cellStyle name="Обычный 6 4 2 5 2 8" xfId="14818"/>
    <cellStyle name="Обычный 6 4 2 5 2 9" xfId="14819"/>
    <cellStyle name="Обычный 6 4 2 5 3" xfId="14820"/>
    <cellStyle name="Обычный 6 4 2 5 3 2" xfId="14821"/>
    <cellStyle name="Обычный 6 4 2 5 4" xfId="14822"/>
    <cellStyle name="Обычный 6 4 2 5 5" xfId="14823"/>
    <cellStyle name="Обычный 6 4 2 5 6" xfId="14824"/>
    <cellStyle name="Обычный 6 4 2 5 7" xfId="14825"/>
    <cellStyle name="Обычный 6 4 2 5 8" xfId="14826"/>
    <cellStyle name="Обычный 6 4 2 5 9" xfId="14827"/>
    <cellStyle name="Обычный 6 4 2 6" xfId="14828"/>
    <cellStyle name="Обычный 6 4 2 6 10" xfId="14829"/>
    <cellStyle name="Обычный 6 4 2 6 11" xfId="19298"/>
    <cellStyle name="Обычный 6 4 2 6 12" xfId="20992"/>
    <cellStyle name="Обычный 6 4 2 6 13" xfId="22604"/>
    <cellStyle name="Обычный 6 4 2 6 2" xfId="14830"/>
    <cellStyle name="Обычный 6 4 2 6 2 2" xfId="14831"/>
    <cellStyle name="Обычный 6 4 2 6 3" xfId="14832"/>
    <cellStyle name="Обычный 6 4 2 6 4" xfId="14833"/>
    <cellStyle name="Обычный 6 4 2 6 5" xfId="14834"/>
    <cellStyle name="Обычный 6 4 2 6 6" xfId="14835"/>
    <cellStyle name="Обычный 6 4 2 6 7" xfId="14836"/>
    <cellStyle name="Обычный 6 4 2 6 8" xfId="14837"/>
    <cellStyle name="Обычный 6 4 2 6 9" xfId="14838"/>
    <cellStyle name="Обычный 6 4 2 7" xfId="14839"/>
    <cellStyle name="Обычный 6 4 2 7 10" xfId="20993"/>
    <cellStyle name="Обычный 6 4 2 7 11" xfId="22605"/>
    <cellStyle name="Обычный 6 4 2 7 2" xfId="14840"/>
    <cellStyle name="Обычный 6 4 2 7 2 2" xfId="14841"/>
    <cellStyle name="Обычный 6 4 2 7 3" xfId="14842"/>
    <cellStyle name="Обычный 6 4 2 7 4" xfId="14843"/>
    <cellStyle name="Обычный 6 4 2 7 5" xfId="14844"/>
    <cellStyle name="Обычный 6 4 2 7 6" xfId="14845"/>
    <cellStyle name="Обычный 6 4 2 7 7" xfId="14846"/>
    <cellStyle name="Обычный 6 4 2 7 8" xfId="14847"/>
    <cellStyle name="Обычный 6 4 2 7 9" xfId="19299"/>
    <cellStyle name="Обычный 6 4 2 8" xfId="14848"/>
    <cellStyle name="Обычный 6 4 2 8 2" xfId="14849"/>
    <cellStyle name="Обычный 6 4 2 9" xfId="14850"/>
    <cellStyle name="Обычный 6 4 20" xfId="19288"/>
    <cellStyle name="Обычный 6 4 21" xfId="20982"/>
    <cellStyle name="Обычный 6 4 22" xfId="22594"/>
    <cellStyle name="Обычный 6 4 3" xfId="14851"/>
    <cellStyle name="Обычный 6 4 3 10" xfId="14852"/>
    <cellStyle name="Обычный 6 4 3 11" xfId="14853"/>
    <cellStyle name="Обычный 6 4 3 12" xfId="14854"/>
    <cellStyle name="Обычный 6 4 3 13" xfId="14855"/>
    <cellStyle name="Обычный 6 4 3 14" xfId="14856"/>
    <cellStyle name="Обычный 6 4 3 15" xfId="14857"/>
    <cellStyle name="Обычный 6 4 3 16" xfId="14858"/>
    <cellStyle name="Обычный 6 4 3 17" xfId="14859"/>
    <cellStyle name="Обычный 6 4 3 18" xfId="19300"/>
    <cellStyle name="Обычный 6 4 3 19" xfId="20994"/>
    <cellStyle name="Обычный 6 4 3 2" xfId="14860"/>
    <cellStyle name="Обычный 6 4 3 2 10" xfId="14861"/>
    <cellStyle name="Обычный 6 4 3 2 11" xfId="14862"/>
    <cellStyle name="Обычный 6 4 3 2 12" xfId="19301"/>
    <cellStyle name="Обычный 6 4 3 2 13" xfId="20995"/>
    <cellStyle name="Обычный 6 4 3 2 14" xfId="22607"/>
    <cellStyle name="Обычный 6 4 3 2 2" xfId="14863"/>
    <cellStyle name="Обычный 6 4 3 2 2 10" xfId="14864"/>
    <cellStyle name="Обычный 6 4 3 2 2 11" xfId="19302"/>
    <cellStyle name="Обычный 6 4 3 2 2 12" xfId="20996"/>
    <cellStyle name="Обычный 6 4 3 2 2 13" xfId="22608"/>
    <cellStyle name="Обычный 6 4 3 2 2 2" xfId="14865"/>
    <cellStyle name="Обычный 6 4 3 2 2 2 2" xfId="14866"/>
    <cellStyle name="Обычный 6 4 3 2 2 3" xfId="14867"/>
    <cellStyle name="Обычный 6 4 3 2 2 4" xfId="14868"/>
    <cellStyle name="Обычный 6 4 3 2 2 5" xfId="14869"/>
    <cellStyle name="Обычный 6 4 3 2 2 6" xfId="14870"/>
    <cellStyle name="Обычный 6 4 3 2 2 7" xfId="14871"/>
    <cellStyle name="Обычный 6 4 3 2 2 8" xfId="14872"/>
    <cellStyle name="Обычный 6 4 3 2 2 9" xfId="14873"/>
    <cellStyle name="Обычный 6 4 3 2 3" xfId="14874"/>
    <cellStyle name="Обычный 6 4 3 2 3 2" xfId="14875"/>
    <cellStyle name="Обычный 6 4 3 2 4" xfId="14876"/>
    <cellStyle name="Обычный 6 4 3 2 5" xfId="14877"/>
    <cellStyle name="Обычный 6 4 3 2 6" xfId="14878"/>
    <cellStyle name="Обычный 6 4 3 2 7" xfId="14879"/>
    <cellStyle name="Обычный 6 4 3 2 8" xfId="14880"/>
    <cellStyle name="Обычный 6 4 3 2 9" xfId="14881"/>
    <cellStyle name="Обычный 6 4 3 20" xfId="22606"/>
    <cellStyle name="Обычный 6 4 3 3" xfId="14882"/>
    <cellStyle name="Обычный 6 4 3 3 10" xfId="14883"/>
    <cellStyle name="Обычный 6 4 3 3 11" xfId="14884"/>
    <cellStyle name="Обычный 6 4 3 3 12" xfId="19303"/>
    <cellStyle name="Обычный 6 4 3 3 13" xfId="20997"/>
    <cellStyle name="Обычный 6 4 3 3 14" xfId="22609"/>
    <cellStyle name="Обычный 6 4 3 3 2" xfId="14885"/>
    <cellStyle name="Обычный 6 4 3 3 2 10" xfId="14886"/>
    <cellStyle name="Обычный 6 4 3 3 2 11" xfId="19304"/>
    <cellStyle name="Обычный 6 4 3 3 2 12" xfId="20998"/>
    <cellStyle name="Обычный 6 4 3 3 2 13" xfId="22610"/>
    <cellStyle name="Обычный 6 4 3 3 2 2" xfId="14887"/>
    <cellStyle name="Обычный 6 4 3 3 2 2 2" xfId="14888"/>
    <cellStyle name="Обычный 6 4 3 3 2 3" xfId="14889"/>
    <cellStyle name="Обычный 6 4 3 3 2 4" xfId="14890"/>
    <cellStyle name="Обычный 6 4 3 3 2 5" xfId="14891"/>
    <cellStyle name="Обычный 6 4 3 3 2 6" xfId="14892"/>
    <cellStyle name="Обычный 6 4 3 3 2 7" xfId="14893"/>
    <cellStyle name="Обычный 6 4 3 3 2 8" xfId="14894"/>
    <cellStyle name="Обычный 6 4 3 3 2 9" xfId="14895"/>
    <cellStyle name="Обычный 6 4 3 3 3" xfId="14896"/>
    <cellStyle name="Обычный 6 4 3 3 3 2" xfId="14897"/>
    <cellStyle name="Обычный 6 4 3 3 4" xfId="14898"/>
    <cellStyle name="Обычный 6 4 3 3 5" xfId="14899"/>
    <cellStyle name="Обычный 6 4 3 3 6" xfId="14900"/>
    <cellStyle name="Обычный 6 4 3 3 7" xfId="14901"/>
    <cellStyle name="Обычный 6 4 3 3 8" xfId="14902"/>
    <cellStyle name="Обычный 6 4 3 3 9" xfId="14903"/>
    <cellStyle name="Обычный 6 4 3 4" xfId="14904"/>
    <cellStyle name="Обычный 6 4 3 4 10" xfId="14905"/>
    <cellStyle name="Обычный 6 4 3 4 11" xfId="14906"/>
    <cellStyle name="Обычный 6 4 3 4 12" xfId="19305"/>
    <cellStyle name="Обычный 6 4 3 4 13" xfId="20999"/>
    <cellStyle name="Обычный 6 4 3 4 14" xfId="22611"/>
    <cellStyle name="Обычный 6 4 3 4 2" xfId="14907"/>
    <cellStyle name="Обычный 6 4 3 4 2 10" xfId="14908"/>
    <cellStyle name="Обычный 6 4 3 4 2 11" xfId="19306"/>
    <cellStyle name="Обычный 6 4 3 4 2 12" xfId="21000"/>
    <cellStyle name="Обычный 6 4 3 4 2 13" xfId="22612"/>
    <cellStyle name="Обычный 6 4 3 4 2 2" xfId="14909"/>
    <cellStyle name="Обычный 6 4 3 4 2 2 2" xfId="14910"/>
    <cellStyle name="Обычный 6 4 3 4 2 3" xfId="14911"/>
    <cellStyle name="Обычный 6 4 3 4 2 4" xfId="14912"/>
    <cellStyle name="Обычный 6 4 3 4 2 5" xfId="14913"/>
    <cellStyle name="Обычный 6 4 3 4 2 6" xfId="14914"/>
    <cellStyle name="Обычный 6 4 3 4 2 7" xfId="14915"/>
    <cellStyle name="Обычный 6 4 3 4 2 8" xfId="14916"/>
    <cellStyle name="Обычный 6 4 3 4 2 9" xfId="14917"/>
    <cellStyle name="Обычный 6 4 3 4 3" xfId="14918"/>
    <cellStyle name="Обычный 6 4 3 4 3 2" xfId="14919"/>
    <cellStyle name="Обычный 6 4 3 4 4" xfId="14920"/>
    <cellStyle name="Обычный 6 4 3 4 5" xfId="14921"/>
    <cellStyle name="Обычный 6 4 3 4 6" xfId="14922"/>
    <cellStyle name="Обычный 6 4 3 4 7" xfId="14923"/>
    <cellStyle name="Обычный 6 4 3 4 8" xfId="14924"/>
    <cellStyle name="Обычный 6 4 3 4 9" xfId="14925"/>
    <cellStyle name="Обычный 6 4 3 5" xfId="14926"/>
    <cellStyle name="Обычный 6 4 3 5 10" xfId="14927"/>
    <cellStyle name="Обычный 6 4 3 5 11" xfId="14928"/>
    <cellStyle name="Обычный 6 4 3 5 12" xfId="19307"/>
    <cellStyle name="Обычный 6 4 3 5 13" xfId="21001"/>
    <cellStyle name="Обычный 6 4 3 5 14" xfId="22613"/>
    <cellStyle name="Обычный 6 4 3 5 2" xfId="14929"/>
    <cellStyle name="Обычный 6 4 3 5 2 10" xfId="14930"/>
    <cellStyle name="Обычный 6 4 3 5 2 11" xfId="19308"/>
    <cellStyle name="Обычный 6 4 3 5 2 12" xfId="21002"/>
    <cellStyle name="Обычный 6 4 3 5 2 13" xfId="22614"/>
    <cellStyle name="Обычный 6 4 3 5 2 2" xfId="14931"/>
    <cellStyle name="Обычный 6 4 3 5 2 2 2" xfId="14932"/>
    <cellStyle name="Обычный 6 4 3 5 2 3" xfId="14933"/>
    <cellStyle name="Обычный 6 4 3 5 2 4" xfId="14934"/>
    <cellStyle name="Обычный 6 4 3 5 2 5" xfId="14935"/>
    <cellStyle name="Обычный 6 4 3 5 2 6" xfId="14936"/>
    <cellStyle name="Обычный 6 4 3 5 2 7" xfId="14937"/>
    <cellStyle name="Обычный 6 4 3 5 2 8" xfId="14938"/>
    <cellStyle name="Обычный 6 4 3 5 2 9" xfId="14939"/>
    <cellStyle name="Обычный 6 4 3 5 3" xfId="14940"/>
    <cellStyle name="Обычный 6 4 3 5 3 2" xfId="14941"/>
    <cellStyle name="Обычный 6 4 3 5 4" xfId="14942"/>
    <cellStyle name="Обычный 6 4 3 5 5" xfId="14943"/>
    <cellStyle name="Обычный 6 4 3 5 6" xfId="14944"/>
    <cellStyle name="Обычный 6 4 3 5 7" xfId="14945"/>
    <cellStyle name="Обычный 6 4 3 5 8" xfId="14946"/>
    <cellStyle name="Обычный 6 4 3 5 9" xfId="14947"/>
    <cellStyle name="Обычный 6 4 3 6" xfId="14948"/>
    <cellStyle name="Обычный 6 4 3 6 10" xfId="14949"/>
    <cellStyle name="Обычный 6 4 3 6 11" xfId="19309"/>
    <cellStyle name="Обычный 6 4 3 6 12" xfId="21003"/>
    <cellStyle name="Обычный 6 4 3 6 13" xfId="22615"/>
    <cellStyle name="Обычный 6 4 3 6 2" xfId="14950"/>
    <cellStyle name="Обычный 6 4 3 6 2 2" xfId="14951"/>
    <cellStyle name="Обычный 6 4 3 6 3" xfId="14952"/>
    <cellStyle name="Обычный 6 4 3 6 4" xfId="14953"/>
    <cellStyle name="Обычный 6 4 3 6 5" xfId="14954"/>
    <cellStyle name="Обычный 6 4 3 6 6" xfId="14955"/>
    <cellStyle name="Обычный 6 4 3 6 7" xfId="14956"/>
    <cellStyle name="Обычный 6 4 3 6 8" xfId="14957"/>
    <cellStyle name="Обычный 6 4 3 6 9" xfId="14958"/>
    <cellStyle name="Обычный 6 4 3 7" xfId="14959"/>
    <cellStyle name="Обычный 6 4 3 7 10" xfId="21004"/>
    <cellStyle name="Обычный 6 4 3 7 11" xfId="22616"/>
    <cellStyle name="Обычный 6 4 3 7 2" xfId="14960"/>
    <cellStyle name="Обычный 6 4 3 7 2 2" xfId="14961"/>
    <cellStyle name="Обычный 6 4 3 7 3" xfId="14962"/>
    <cellStyle name="Обычный 6 4 3 7 4" xfId="14963"/>
    <cellStyle name="Обычный 6 4 3 7 5" xfId="14964"/>
    <cellStyle name="Обычный 6 4 3 7 6" xfId="14965"/>
    <cellStyle name="Обычный 6 4 3 7 7" xfId="14966"/>
    <cellStyle name="Обычный 6 4 3 7 8" xfId="14967"/>
    <cellStyle name="Обычный 6 4 3 7 9" xfId="19310"/>
    <cellStyle name="Обычный 6 4 3 8" xfId="14968"/>
    <cellStyle name="Обычный 6 4 3 8 2" xfId="14969"/>
    <cellStyle name="Обычный 6 4 3 9" xfId="14970"/>
    <cellStyle name="Обычный 6 4 4" xfId="14971"/>
    <cellStyle name="Обычный 6 4 4 10" xfId="14972"/>
    <cellStyle name="Обычный 6 4 4 11" xfId="14973"/>
    <cellStyle name="Обычный 6 4 4 12" xfId="19311"/>
    <cellStyle name="Обычный 6 4 4 13" xfId="21005"/>
    <cellStyle name="Обычный 6 4 4 14" xfId="22617"/>
    <cellStyle name="Обычный 6 4 4 2" xfId="14974"/>
    <cellStyle name="Обычный 6 4 4 2 10" xfId="14975"/>
    <cellStyle name="Обычный 6 4 4 2 11" xfId="19312"/>
    <cellStyle name="Обычный 6 4 4 2 12" xfId="21006"/>
    <cellStyle name="Обычный 6 4 4 2 13" xfId="22618"/>
    <cellStyle name="Обычный 6 4 4 2 2" xfId="14976"/>
    <cellStyle name="Обычный 6 4 4 2 2 2" xfId="14977"/>
    <cellStyle name="Обычный 6 4 4 2 3" xfId="14978"/>
    <cellStyle name="Обычный 6 4 4 2 4" xfId="14979"/>
    <cellStyle name="Обычный 6 4 4 2 5" xfId="14980"/>
    <cellStyle name="Обычный 6 4 4 2 6" xfId="14981"/>
    <cellStyle name="Обычный 6 4 4 2 7" xfId="14982"/>
    <cellStyle name="Обычный 6 4 4 2 8" xfId="14983"/>
    <cellStyle name="Обычный 6 4 4 2 9" xfId="14984"/>
    <cellStyle name="Обычный 6 4 4 3" xfId="14985"/>
    <cellStyle name="Обычный 6 4 4 3 2" xfId="14986"/>
    <cellStyle name="Обычный 6 4 4 4" xfId="14987"/>
    <cellStyle name="Обычный 6 4 4 5" xfId="14988"/>
    <cellStyle name="Обычный 6 4 4 6" xfId="14989"/>
    <cellStyle name="Обычный 6 4 4 7" xfId="14990"/>
    <cellStyle name="Обычный 6 4 4 8" xfId="14991"/>
    <cellStyle name="Обычный 6 4 4 9" xfId="14992"/>
    <cellStyle name="Обычный 6 4 5" xfId="14993"/>
    <cellStyle name="Обычный 6 4 5 10" xfId="14994"/>
    <cellStyle name="Обычный 6 4 5 11" xfId="14995"/>
    <cellStyle name="Обычный 6 4 5 12" xfId="19313"/>
    <cellStyle name="Обычный 6 4 5 13" xfId="21007"/>
    <cellStyle name="Обычный 6 4 5 14" xfId="22619"/>
    <cellStyle name="Обычный 6 4 5 2" xfId="14996"/>
    <cellStyle name="Обычный 6 4 5 2 10" xfId="14997"/>
    <cellStyle name="Обычный 6 4 5 2 11" xfId="19314"/>
    <cellStyle name="Обычный 6 4 5 2 12" xfId="21008"/>
    <cellStyle name="Обычный 6 4 5 2 13" xfId="22620"/>
    <cellStyle name="Обычный 6 4 5 2 2" xfId="14998"/>
    <cellStyle name="Обычный 6 4 5 2 2 2" xfId="14999"/>
    <cellStyle name="Обычный 6 4 5 2 3" xfId="15000"/>
    <cellStyle name="Обычный 6 4 5 2 4" xfId="15001"/>
    <cellStyle name="Обычный 6 4 5 2 5" xfId="15002"/>
    <cellStyle name="Обычный 6 4 5 2 6" xfId="15003"/>
    <cellStyle name="Обычный 6 4 5 2 7" xfId="15004"/>
    <cellStyle name="Обычный 6 4 5 2 8" xfId="15005"/>
    <cellStyle name="Обычный 6 4 5 2 9" xfId="15006"/>
    <cellStyle name="Обычный 6 4 5 3" xfId="15007"/>
    <cellStyle name="Обычный 6 4 5 3 2" xfId="15008"/>
    <cellStyle name="Обычный 6 4 5 4" xfId="15009"/>
    <cellStyle name="Обычный 6 4 5 5" xfId="15010"/>
    <cellStyle name="Обычный 6 4 5 6" xfId="15011"/>
    <cellStyle name="Обычный 6 4 5 7" xfId="15012"/>
    <cellStyle name="Обычный 6 4 5 8" xfId="15013"/>
    <cellStyle name="Обычный 6 4 5 9" xfId="15014"/>
    <cellStyle name="Обычный 6 4 6" xfId="15015"/>
    <cellStyle name="Обычный 6 4 6 10" xfId="15016"/>
    <cellStyle name="Обычный 6 4 6 11" xfId="15017"/>
    <cellStyle name="Обычный 6 4 6 12" xfId="19315"/>
    <cellStyle name="Обычный 6 4 6 13" xfId="21009"/>
    <cellStyle name="Обычный 6 4 6 14" xfId="22621"/>
    <cellStyle name="Обычный 6 4 6 2" xfId="15018"/>
    <cellStyle name="Обычный 6 4 6 2 10" xfId="15019"/>
    <cellStyle name="Обычный 6 4 6 2 11" xfId="19316"/>
    <cellStyle name="Обычный 6 4 6 2 12" xfId="21010"/>
    <cellStyle name="Обычный 6 4 6 2 13" xfId="22622"/>
    <cellStyle name="Обычный 6 4 6 2 2" xfId="15020"/>
    <cellStyle name="Обычный 6 4 6 2 2 2" xfId="15021"/>
    <cellStyle name="Обычный 6 4 6 2 3" xfId="15022"/>
    <cellStyle name="Обычный 6 4 6 2 4" xfId="15023"/>
    <cellStyle name="Обычный 6 4 6 2 5" xfId="15024"/>
    <cellStyle name="Обычный 6 4 6 2 6" xfId="15025"/>
    <cellStyle name="Обычный 6 4 6 2 7" xfId="15026"/>
    <cellStyle name="Обычный 6 4 6 2 8" xfId="15027"/>
    <cellStyle name="Обычный 6 4 6 2 9" xfId="15028"/>
    <cellStyle name="Обычный 6 4 6 3" xfId="15029"/>
    <cellStyle name="Обычный 6 4 6 3 2" xfId="15030"/>
    <cellStyle name="Обычный 6 4 6 4" xfId="15031"/>
    <cellStyle name="Обычный 6 4 6 5" xfId="15032"/>
    <cellStyle name="Обычный 6 4 6 6" xfId="15033"/>
    <cellStyle name="Обычный 6 4 6 7" xfId="15034"/>
    <cellStyle name="Обычный 6 4 6 8" xfId="15035"/>
    <cellStyle name="Обычный 6 4 6 9" xfId="15036"/>
    <cellStyle name="Обычный 6 4 7" xfId="15037"/>
    <cellStyle name="Обычный 6 4 7 10" xfId="15038"/>
    <cellStyle name="Обычный 6 4 7 11" xfId="15039"/>
    <cellStyle name="Обычный 6 4 7 12" xfId="19317"/>
    <cellStyle name="Обычный 6 4 7 13" xfId="21011"/>
    <cellStyle name="Обычный 6 4 7 14" xfId="22623"/>
    <cellStyle name="Обычный 6 4 7 2" xfId="15040"/>
    <cellStyle name="Обычный 6 4 7 2 10" xfId="15041"/>
    <cellStyle name="Обычный 6 4 7 2 11" xfId="19318"/>
    <cellStyle name="Обычный 6 4 7 2 12" xfId="21012"/>
    <cellStyle name="Обычный 6 4 7 2 13" xfId="22624"/>
    <cellStyle name="Обычный 6 4 7 2 2" xfId="15042"/>
    <cellStyle name="Обычный 6 4 7 2 2 2" xfId="15043"/>
    <cellStyle name="Обычный 6 4 7 2 3" xfId="15044"/>
    <cellStyle name="Обычный 6 4 7 2 4" xfId="15045"/>
    <cellStyle name="Обычный 6 4 7 2 5" xfId="15046"/>
    <cellStyle name="Обычный 6 4 7 2 6" xfId="15047"/>
    <cellStyle name="Обычный 6 4 7 2 7" xfId="15048"/>
    <cellStyle name="Обычный 6 4 7 2 8" xfId="15049"/>
    <cellStyle name="Обычный 6 4 7 2 9" xfId="15050"/>
    <cellStyle name="Обычный 6 4 7 3" xfId="15051"/>
    <cellStyle name="Обычный 6 4 7 3 2" xfId="15052"/>
    <cellStyle name="Обычный 6 4 7 4" xfId="15053"/>
    <cellStyle name="Обычный 6 4 7 5" xfId="15054"/>
    <cellStyle name="Обычный 6 4 7 6" xfId="15055"/>
    <cellStyle name="Обычный 6 4 7 7" xfId="15056"/>
    <cellStyle name="Обычный 6 4 7 8" xfId="15057"/>
    <cellStyle name="Обычный 6 4 7 9" xfId="15058"/>
    <cellStyle name="Обычный 6 4 8" xfId="15059"/>
    <cellStyle name="Обычный 6 4 8 10" xfId="15060"/>
    <cellStyle name="Обычный 6 4 8 11" xfId="19319"/>
    <cellStyle name="Обычный 6 4 8 12" xfId="21013"/>
    <cellStyle name="Обычный 6 4 8 13" xfId="22625"/>
    <cellStyle name="Обычный 6 4 8 2" xfId="15061"/>
    <cellStyle name="Обычный 6 4 8 2 2" xfId="15062"/>
    <cellStyle name="Обычный 6 4 8 3" xfId="15063"/>
    <cellStyle name="Обычный 6 4 8 4" xfId="15064"/>
    <cellStyle name="Обычный 6 4 8 5" xfId="15065"/>
    <cellStyle name="Обычный 6 4 8 6" xfId="15066"/>
    <cellStyle name="Обычный 6 4 8 7" xfId="15067"/>
    <cellStyle name="Обычный 6 4 8 8" xfId="15068"/>
    <cellStyle name="Обычный 6 4 8 9" xfId="15069"/>
    <cellStyle name="Обычный 6 4 9" xfId="15070"/>
    <cellStyle name="Обычный 6 4 9 10" xfId="21014"/>
    <cellStyle name="Обычный 6 4 9 11" xfId="22626"/>
    <cellStyle name="Обычный 6 4 9 2" xfId="15071"/>
    <cellStyle name="Обычный 6 4 9 2 2" xfId="15072"/>
    <cellStyle name="Обычный 6 4 9 3" xfId="15073"/>
    <cellStyle name="Обычный 6 4 9 4" xfId="15074"/>
    <cellStyle name="Обычный 6 4 9 5" xfId="15075"/>
    <cellStyle name="Обычный 6 4 9 6" xfId="15076"/>
    <cellStyle name="Обычный 6 4 9 7" xfId="15077"/>
    <cellStyle name="Обычный 6 4 9 8" xfId="15078"/>
    <cellStyle name="Обычный 6 4 9 9" xfId="19320"/>
    <cellStyle name="Обычный 6 5" xfId="15079"/>
    <cellStyle name="Обычный 6 5 10" xfId="15080"/>
    <cellStyle name="Обычный 6 5 11" xfId="15081"/>
    <cellStyle name="Обычный 6 5 12" xfId="15082"/>
    <cellStyle name="Обычный 6 5 13" xfId="15083"/>
    <cellStyle name="Обычный 6 5 14" xfId="15084"/>
    <cellStyle name="Обычный 6 5 15" xfId="15085"/>
    <cellStyle name="Обычный 6 5 16" xfId="15086"/>
    <cellStyle name="Обычный 6 5 17" xfId="15087"/>
    <cellStyle name="Обычный 6 5 18" xfId="19321"/>
    <cellStyle name="Обычный 6 5 19" xfId="21015"/>
    <cellStyle name="Обычный 6 5 2" xfId="15088"/>
    <cellStyle name="Обычный 6 5 2 10" xfId="15089"/>
    <cellStyle name="Обычный 6 5 2 11" xfId="15090"/>
    <cellStyle name="Обычный 6 5 2 12" xfId="19322"/>
    <cellStyle name="Обычный 6 5 2 13" xfId="21016"/>
    <cellStyle name="Обычный 6 5 2 14" xfId="22628"/>
    <cellStyle name="Обычный 6 5 2 2" xfId="15091"/>
    <cellStyle name="Обычный 6 5 2 2 10" xfId="15092"/>
    <cellStyle name="Обычный 6 5 2 2 11" xfId="19323"/>
    <cellStyle name="Обычный 6 5 2 2 12" xfId="21017"/>
    <cellStyle name="Обычный 6 5 2 2 13" xfId="22629"/>
    <cellStyle name="Обычный 6 5 2 2 2" xfId="15093"/>
    <cellStyle name="Обычный 6 5 2 2 2 2" xfId="15094"/>
    <cellStyle name="Обычный 6 5 2 2 3" xfId="15095"/>
    <cellStyle name="Обычный 6 5 2 2 4" xfId="15096"/>
    <cellStyle name="Обычный 6 5 2 2 5" xfId="15097"/>
    <cellStyle name="Обычный 6 5 2 2 6" xfId="15098"/>
    <cellStyle name="Обычный 6 5 2 2 7" xfId="15099"/>
    <cellStyle name="Обычный 6 5 2 2 8" xfId="15100"/>
    <cellStyle name="Обычный 6 5 2 2 9" xfId="15101"/>
    <cellStyle name="Обычный 6 5 2 3" xfId="15102"/>
    <cellStyle name="Обычный 6 5 2 3 2" xfId="15103"/>
    <cellStyle name="Обычный 6 5 2 4" xfId="15104"/>
    <cellStyle name="Обычный 6 5 2 5" xfId="15105"/>
    <cellStyle name="Обычный 6 5 2 6" xfId="15106"/>
    <cellStyle name="Обычный 6 5 2 7" xfId="15107"/>
    <cellStyle name="Обычный 6 5 2 8" xfId="15108"/>
    <cellStyle name="Обычный 6 5 2 9" xfId="15109"/>
    <cellStyle name="Обычный 6 5 20" xfId="22627"/>
    <cellStyle name="Обычный 6 5 3" xfId="15110"/>
    <cellStyle name="Обычный 6 5 3 10" xfId="15111"/>
    <cellStyle name="Обычный 6 5 3 11" xfId="15112"/>
    <cellStyle name="Обычный 6 5 3 12" xfId="19324"/>
    <cellStyle name="Обычный 6 5 3 13" xfId="21018"/>
    <cellStyle name="Обычный 6 5 3 14" xfId="22630"/>
    <cellStyle name="Обычный 6 5 3 2" xfId="15113"/>
    <cellStyle name="Обычный 6 5 3 2 10" xfId="15114"/>
    <cellStyle name="Обычный 6 5 3 2 11" xfId="19325"/>
    <cellStyle name="Обычный 6 5 3 2 12" xfId="21019"/>
    <cellStyle name="Обычный 6 5 3 2 13" xfId="22631"/>
    <cellStyle name="Обычный 6 5 3 2 2" xfId="15115"/>
    <cellStyle name="Обычный 6 5 3 2 2 2" xfId="15116"/>
    <cellStyle name="Обычный 6 5 3 2 3" xfId="15117"/>
    <cellStyle name="Обычный 6 5 3 2 4" xfId="15118"/>
    <cellStyle name="Обычный 6 5 3 2 5" xfId="15119"/>
    <cellStyle name="Обычный 6 5 3 2 6" xfId="15120"/>
    <cellStyle name="Обычный 6 5 3 2 7" xfId="15121"/>
    <cellStyle name="Обычный 6 5 3 2 8" xfId="15122"/>
    <cellStyle name="Обычный 6 5 3 2 9" xfId="15123"/>
    <cellStyle name="Обычный 6 5 3 3" xfId="15124"/>
    <cellStyle name="Обычный 6 5 3 3 2" xfId="15125"/>
    <cellStyle name="Обычный 6 5 3 4" xfId="15126"/>
    <cellStyle name="Обычный 6 5 3 5" xfId="15127"/>
    <cellStyle name="Обычный 6 5 3 6" xfId="15128"/>
    <cellStyle name="Обычный 6 5 3 7" xfId="15129"/>
    <cellStyle name="Обычный 6 5 3 8" xfId="15130"/>
    <cellStyle name="Обычный 6 5 3 9" xfId="15131"/>
    <cellStyle name="Обычный 6 5 4" xfId="15132"/>
    <cellStyle name="Обычный 6 5 4 10" xfId="15133"/>
    <cellStyle name="Обычный 6 5 4 11" xfId="15134"/>
    <cellStyle name="Обычный 6 5 4 12" xfId="19326"/>
    <cellStyle name="Обычный 6 5 4 13" xfId="21020"/>
    <cellStyle name="Обычный 6 5 4 14" xfId="22632"/>
    <cellStyle name="Обычный 6 5 4 2" xfId="15135"/>
    <cellStyle name="Обычный 6 5 4 2 10" xfId="15136"/>
    <cellStyle name="Обычный 6 5 4 2 11" xfId="19327"/>
    <cellStyle name="Обычный 6 5 4 2 12" xfId="21021"/>
    <cellStyle name="Обычный 6 5 4 2 13" xfId="22633"/>
    <cellStyle name="Обычный 6 5 4 2 2" xfId="15137"/>
    <cellStyle name="Обычный 6 5 4 2 2 2" xfId="15138"/>
    <cellStyle name="Обычный 6 5 4 2 3" xfId="15139"/>
    <cellStyle name="Обычный 6 5 4 2 4" xfId="15140"/>
    <cellStyle name="Обычный 6 5 4 2 5" xfId="15141"/>
    <cellStyle name="Обычный 6 5 4 2 6" xfId="15142"/>
    <cellStyle name="Обычный 6 5 4 2 7" xfId="15143"/>
    <cellStyle name="Обычный 6 5 4 2 8" xfId="15144"/>
    <cellStyle name="Обычный 6 5 4 2 9" xfId="15145"/>
    <cellStyle name="Обычный 6 5 4 3" xfId="15146"/>
    <cellStyle name="Обычный 6 5 4 3 2" xfId="15147"/>
    <cellStyle name="Обычный 6 5 4 4" xfId="15148"/>
    <cellStyle name="Обычный 6 5 4 5" xfId="15149"/>
    <cellStyle name="Обычный 6 5 4 6" xfId="15150"/>
    <cellStyle name="Обычный 6 5 4 7" xfId="15151"/>
    <cellStyle name="Обычный 6 5 4 8" xfId="15152"/>
    <cellStyle name="Обычный 6 5 4 9" xfId="15153"/>
    <cellStyle name="Обычный 6 5 5" xfId="15154"/>
    <cellStyle name="Обычный 6 5 5 10" xfId="15155"/>
    <cellStyle name="Обычный 6 5 5 11" xfId="15156"/>
    <cellStyle name="Обычный 6 5 5 12" xfId="19328"/>
    <cellStyle name="Обычный 6 5 5 13" xfId="21022"/>
    <cellStyle name="Обычный 6 5 5 14" xfId="22634"/>
    <cellStyle name="Обычный 6 5 5 2" xfId="15157"/>
    <cellStyle name="Обычный 6 5 5 2 10" xfId="15158"/>
    <cellStyle name="Обычный 6 5 5 2 11" xfId="19329"/>
    <cellStyle name="Обычный 6 5 5 2 12" xfId="21023"/>
    <cellStyle name="Обычный 6 5 5 2 13" xfId="22635"/>
    <cellStyle name="Обычный 6 5 5 2 2" xfId="15159"/>
    <cellStyle name="Обычный 6 5 5 2 2 2" xfId="15160"/>
    <cellStyle name="Обычный 6 5 5 2 3" xfId="15161"/>
    <cellStyle name="Обычный 6 5 5 2 4" xfId="15162"/>
    <cellStyle name="Обычный 6 5 5 2 5" xfId="15163"/>
    <cellStyle name="Обычный 6 5 5 2 6" xfId="15164"/>
    <cellStyle name="Обычный 6 5 5 2 7" xfId="15165"/>
    <cellStyle name="Обычный 6 5 5 2 8" xfId="15166"/>
    <cellStyle name="Обычный 6 5 5 2 9" xfId="15167"/>
    <cellStyle name="Обычный 6 5 5 3" xfId="15168"/>
    <cellStyle name="Обычный 6 5 5 3 2" xfId="15169"/>
    <cellStyle name="Обычный 6 5 5 4" xfId="15170"/>
    <cellStyle name="Обычный 6 5 5 5" xfId="15171"/>
    <cellStyle name="Обычный 6 5 5 6" xfId="15172"/>
    <cellStyle name="Обычный 6 5 5 7" xfId="15173"/>
    <cellStyle name="Обычный 6 5 5 8" xfId="15174"/>
    <cellStyle name="Обычный 6 5 5 9" xfId="15175"/>
    <cellStyle name="Обычный 6 5 6" xfId="15176"/>
    <cellStyle name="Обычный 6 5 6 10" xfId="15177"/>
    <cellStyle name="Обычный 6 5 6 11" xfId="19330"/>
    <cellStyle name="Обычный 6 5 6 12" xfId="21024"/>
    <cellStyle name="Обычный 6 5 6 13" xfId="22636"/>
    <cellStyle name="Обычный 6 5 6 2" xfId="15178"/>
    <cellStyle name="Обычный 6 5 6 2 2" xfId="15179"/>
    <cellStyle name="Обычный 6 5 6 3" xfId="15180"/>
    <cellStyle name="Обычный 6 5 6 4" xfId="15181"/>
    <cellStyle name="Обычный 6 5 6 5" xfId="15182"/>
    <cellStyle name="Обычный 6 5 6 6" xfId="15183"/>
    <cellStyle name="Обычный 6 5 6 7" xfId="15184"/>
    <cellStyle name="Обычный 6 5 6 8" xfId="15185"/>
    <cellStyle name="Обычный 6 5 6 9" xfId="15186"/>
    <cellStyle name="Обычный 6 5 7" xfId="15187"/>
    <cellStyle name="Обычный 6 5 7 10" xfId="21025"/>
    <cellStyle name="Обычный 6 5 7 11" xfId="22637"/>
    <cellStyle name="Обычный 6 5 7 2" xfId="15188"/>
    <cellStyle name="Обычный 6 5 7 2 2" xfId="15189"/>
    <cellStyle name="Обычный 6 5 7 3" xfId="15190"/>
    <cellStyle name="Обычный 6 5 7 4" xfId="15191"/>
    <cellStyle name="Обычный 6 5 7 5" xfId="15192"/>
    <cellStyle name="Обычный 6 5 7 6" xfId="15193"/>
    <cellStyle name="Обычный 6 5 7 7" xfId="15194"/>
    <cellStyle name="Обычный 6 5 7 8" xfId="15195"/>
    <cellStyle name="Обычный 6 5 7 9" xfId="19331"/>
    <cellStyle name="Обычный 6 5 8" xfId="15196"/>
    <cellStyle name="Обычный 6 5 8 2" xfId="15197"/>
    <cellStyle name="Обычный 6 5 9" xfId="15198"/>
    <cellStyle name="Обычный 6 6" xfId="15199"/>
    <cellStyle name="Обычный 6 6 10" xfId="15200"/>
    <cellStyle name="Обычный 6 6 11" xfId="15201"/>
    <cellStyle name="Обычный 6 6 12" xfId="15202"/>
    <cellStyle name="Обычный 6 6 13" xfId="15203"/>
    <cellStyle name="Обычный 6 6 14" xfId="15204"/>
    <cellStyle name="Обычный 6 6 15" xfId="15205"/>
    <cellStyle name="Обычный 6 6 16" xfId="15206"/>
    <cellStyle name="Обычный 6 6 17" xfId="15207"/>
    <cellStyle name="Обычный 6 6 18" xfId="19332"/>
    <cellStyle name="Обычный 6 6 19" xfId="21026"/>
    <cellStyle name="Обычный 6 6 2" xfId="15208"/>
    <cellStyle name="Обычный 6 6 2 10" xfId="15209"/>
    <cellStyle name="Обычный 6 6 2 11" xfId="15210"/>
    <cellStyle name="Обычный 6 6 2 12" xfId="19333"/>
    <cellStyle name="Обычный 6 6 2 13" xfId="21027"/>
    <cellStyle name="Обычный 6 6 2 14" xfId="22639"/>
    <cellStyle name="Обычный 6 6 2 2" xfId="15211"/>
    <cellStyle name="Обычный 6 6 2 2 10" xfId="15212"/>
    <cellStyle name="Обычный 6 6 2 2 11" xfId="19334"/>
    <cellStyle name="Обычный 6 6 2 2 12" xfId="21028"/>
    <cellStyle name="Обычный 6 6 2 2 13" xfId="22640"/>
    <cellStyle name="Обычный 6 6 2 2 2" xfId="15213"/>
    <cellStyle name="Обычный 6 6 2 2 2 2" xfId="15214"/>
    <cellStyle name="Обычный 6 6 2 2 3" xfId="15215"/>
    <cellStyle name="Обычный 6 6 2 2 4" xfId="15216"/>
    <cellStyle name="Обычный 6 6 2 2 5" xfId="15217"/>
    <cellStyle name="Обычный 6 6 2 2 6" xfId="15218"/>
    <cellStyle name="Обычный 6 6 2 2 7" xfId="15219"/>
    <cellStyle name="Обычный 6 6 2 2 8" xfId="15220"/>
    <cellStyle name="Обычный 6 6 2 2 9" xfId="15221"/>
    <cellStyle name="Обычный 6 6 2 3" xfId="15222"/>
    <cellStyle name="Обычный 6 6 2 3 2" xfId="15223"/>
    <cellStyle name="Обычный 6 6 2 4" xfId="15224"/>
    <cellStyle name="Обычный 6 6 2 5" xfId="15225"/>
    <cellStyle name="Обычный 6 6 2 6" xfId="15226"/>
    <cellStyle name="Обычный 6 6 2 7" xfId="15227"/>
    <cellStyle name="Обычный 6 6 2 8" xfId="15228"/>
    <cellStyle name="Обычный 6 6 2 9" xfId="15229"/>
    <cellStyle name="Обычный 6 6 20" xfId="22638"/>
    <cellStyle name="Обычный 6 6 3" xfId="15230"/>
    <cellStyle name="Обычный 6 6 3 10" xfId="15231"/>
    <cellStyle name="Обычный 6 6 3 11" xfId="15232"/>
    <cellStyle name="Обычный 6 6 3 12" xfId="19335"/>
    <cellStyle name="Обычный 6 6 3 13" xfId="21029"/>
    <cellStyle name="Обычный 6 6 3 14" xfId="22641"/>
    <cellStyle name="Обычный 6 6 3 2" xfId="15233"/>
    <cellStyle name="Обычный 6 6 3 2 10" xfId="15234"/>
    <cellStyle name="Обычный 6 6 3 2 11" xfId="19336"/>
    <cellStyle name="Обычный 6 6 3 2 12" xfId="21030"/>
    <cellStyle name="Обычный 6 6 3 2 13" xfId="22642"/>
    <cellStyle name="Обычный 6 6 3 2 2" xfId="15235"/>
    <cellStyle name="Обычный 6 6 3 2 2 2" xfId="15236"/>
    <cellStyle name="Обычный 6 6 3 2 3" xfId="15237"/>
    <cellStyle name="Обычный 6 6 3 2 4" xfId="15238"/>
    <cellStyle name="Обычный 6 6 3 2 5" xfId="15239"/>
    <cellStyle name="Обычный 6 6 3 2 6" xfId="15240"/>
    <cellStyle name="Обычный 6 6 3 2 7" xfId="15241"/>
    <cellStyle name="Обычный 6 6 3 2 8" xfId="15242"/>
    <cellStyle name="Обычный 6 6 3 2 9" xfId="15243"/>
    <cellStyle name="Обычный 6 6 3 3" xfId="15244"/>
    <cellStyle name="Обычный 6 6 3 3 2" xfId="15245"/>
    <cellStyle name="Обычный 6 6 3 4" xfId="15246"/>
    <cellStyle name="Обычный 6 6 3 5" xfId="15247"/>
    <cellStyle name="Обычный 6 6 3 6" xfId="15248"/>
    <cellStyle name="Обычный 6 6 3 7" xfId="15249"/>
    <cellStyle name="Обычный 6 6 3 8" xfId="15250"/>
    <cellStyle name="Обычный 6 6 3 9" xfId="15251"/>
    <cellStyle name="Обычный 6 6 4" xfId="15252"/>
    <cellStyle name="Обычный 6 6 4 10" xfId="15253"/>
    <cellStyle name="Обычный 6 6 4 11" xfId="15254"/>
    <cellStyle name="Обычный 6 6 4 12" xfId="19337"/>
    <cellStyle name="Обычный 6 6 4 13" xfId="21031"/>
    <cellStyle name="Обычный 6 6 4 14" xfId="22643"/>
    <cellStyle name="Обычный 6 6 4 2" xfId="15255"/>
    <cellStyle name="Обычный 6 6 4 2 10" xfId="15256"/>
    <cellStyle name="Обычный 6 6 4 2 11" xfId="19338"/>
    <cellStyle name="Обычный 6 6 4 2 12" xfId="21032"/>
    <cellStyle name="Обычный 6 6 4 2 13" xfId="22644"/>
    <cellStyle name="Обычный 6 6 4 2 2" xfId="15257"/>
    <cellStyle name="Обычный 6 6 4 2 2 2" xfId="15258"/>
    <cellStyle name="Обычный 6 6 4 2 3" xfId="15259"/>
    <cellStyle name="Обычный 6 6 4 2 4" xfId="15260"/>
    <cellStyle name="Обычный 6 6 4 2 5" xfId="15261"/>
    <cellStyle name="Обычный 6 6 4 2 6" xfId="15262"/>
    <cellStyle name="Обычный 6 6 4 2 7" xfId="15263"/>
    <cellStyle name="Обычный 6 6 4 2 8" xfId="15264"/>
    <cellStyle name="Обычный 6 6 4 2 9" xfId="15265"/>
    <cellStyle name="Обычный 6 6 4 3" xfId="15266"/>
    <cellStyle name="Обычный 6 6 4 3 2" xfId="15267"/>
    <cellStyle name="Обычный 6 6 4 4" xfId="15268"/>
    <cellStyle name="Обычный 6 6 4 5" xfId="15269"/>
    <cellStyle name="Обычный 6 6 4 6" xfId="15270"/>
    <cellStyle name="Обычный 6 6 4 7" xfId="15271"/>
    <cellStyle name="Обычный 6 6 4 8" xfId="15272"/>
    <cellStyle name="Обычный 6 6 4 9" xfId="15273"/>
    <cellStyle name="Обычный 6 6 5" xfId="15274"/>
    <cellStyle name="Обычный 6 6 5 10" xfId="15275"/>
    <cellStyle name="Обычный 6 6 5 11" xfId="15276"/>
    <cellStyle name="Обычный 6 6 5 12" xfId="19339"/>
    <cellStyle name="Обычный 6 6 5 13" xfId="21033"/>
    <cellStyle name="Обычный 6 6 5 14" xfId="22645"/>
    <cellStyle name="Обычный 6 6 5 2" xfId="15277"/>
    <cellStyle name="Обычный 6 6 5 2 10" xfId="15278"/>
    <cellStyle name="Обычный 6 6 5 2 11" xfId="19340"/>
    <cellStyle name="Обычный 6 6 5 2 12" xfId="21034"/>
    <cellStyle name="Обычный 6 6 5 2 13" xfId="22646"/>
    <cellStyle name="Обычный 6 6 5 2 2" xfId="15279"/>
    <cellStyle name="Обычный 6 6 5 2 2 2" xfId="15280"/>
    <cellStyle name="Обычный 6 6 5 2 3" xfId="15281"/>
    <cellStyle name="Обычный 6 6 5 2 4" xfId="15282"/>
    <cellStyle name="Обычный 6 6 5 2 5" xfId="15283"/>
    <cellStyle name="Обычный 6 6 5 2 6" xfId="15284"/>
    <cellStyle name="Обычный 6 6 5 2 7" xfId="15285"/>
    <cellStyle name="Обычный 6 6 5 2 8" xfId="15286"/>
    <cellStyle name="Обычный 6 6 5 2 9" xfId="15287"/>
    <cellStyle name="Обычный 6 6 5 3" xfId="15288"/>
    <cellStyle name="Обычный 6 6 5 3 2" xfId="15289"/>
    <cellStyle name="Обычный 6 6 5 4" xfId="15290"/>
    <cellStyle name="Обычный 6 6 5 5" xfId="15291"/>
    <cellStyle name="Обычный 6 6 5 6" xfId="15292"/>
    <cellStyle name="Обычный 6 6 5 7" xfId="15293"/>
    <cellStyle name="Обычный 6 6 5 8" xfId="15294"/>
    <cellStyle name="Обычный 6 6 5 9" xfId="15295"/>
    <cellStyle name="Обычный 6 6 6" xfId="15296"/>
    <cellStyle name="Обычный 6 6 6 10" xfId="15297"/>
    <cellStyle name="Обычный 6 6 6 11" xfId="19341"/>
    <cellStyle name="Обычный 6 6 6 12" xfId="21035"/>
    <cellStyle name="Обычный 6 6 6 13" xfId="22647"/>
    <cellStyle name="Обычный 6 6 6 2" xfId="15298"/>
    <cellStyle name="Обычный 6 6 6 2 2" xfId="15299"/>
    <cellStyle name="Обычный 6 6 6 3" xfId="15300"/>
    <cellStyle name="Обычный 6 6 6 4" xfId="15301"/>
    <cellStyle name="Обычный 6 6 6 5" xfId="15302"/>
    <cellStyle name="Обычный 6 6 6 6" xfId="15303"/>
    <cellStyle name="Обычный 6 6 6 7" xfId="15304"/>
    <cellStyle name="Обычный 6 6 6 8" xfId="15305"/>
    <cellStyle name="Обычный 6 6 6 9" xfId="15306"/>
    <cellStyle name="Обычный 6 6 7" xfId="15307"/>
    <cellStyle name="Обычный 6 6 7 10" xfId="21036"/>
    <cellStyle name="Обычный 6 6 7 11" xfId="22648"/>
    <cellStyle name="Обычный 6 6 7 2" xfId="15308"/>
    <cellStyle name="Обычный 6 6 7 2 2" xfId="15309"/>
    <cellStyle name="Обычный 6 6 7 3" xfId="15310"/>
    <cellStyle name="Обычный 6 6 7 4" xfId="15311"/>
    <cellStyle name="Обычный 6 6 7 5" xfId="15312"/>
    <cellStyle name="Обычный 6 6 7 6" xfId="15313"/>
    <cellStyle name="Обычный 6 6 7 7" xfId="15314"/>
    <cellStyle name="Обычный 6 6 7 8" xfId="15315"/>
    <cellStyle name="Обычный 6 6 7 9" xfId="19342"/>
    <cellStyle name="Обычный 6 6 8" xfId="15316"/>
    <cellStyle name="Обычный 6 6 8 2" xfId="15317"/>
    <cellStyle name="Обычный 6 6 9" xfId="15318"/>
    <cellStyle name="Обычный 6 7" xfId="15319"/>
    <cellStyle name="Обычный 6 7 10" xfId="15320"/>
    <cellStyle name="Обычный 6 7 11" xfId="15321"/>
    <cellStyle name="Обычный 6 7 12" xfId="19343"/>
    <cellStyle name="Обычный 6 7 13" xfId="21037"/>
    <cellStyle name="Обычный 6 7 14" xfId="22649"/>
    <cellStyle name="Обычный 6 7 2" xfId="15322"/>
    <cellStyle name="Обычный 6 7 2 10" xfId="15323"/>
    <cellStyle name="Обычный 6 7 2 11" xfId="19344"/>
    <cellStyle name="Обычный 6 7 2 12" xfId="21038"/>
    <cellStyle name="Обычный 6 7 2 13" xfId="22650"/>
    <cellStyle name="Обычный 6 7 2 2" xfId="15324"/>
    <cellStyle name="Обычный 6 7 2 2 2" xfId="15325"/>
    <cellStyle name="Обычный 6 7 2 3" xfId="15326"/>
    <cellStyle name="Обычный 6 7 2 4" xfId="15327"/>
    <cellStyle name="Обычный 6 7 2 5" xfId="15328"/>
    <cellStyle name="Обычный 6 7 2 6" xfId="15329"/>
    <cellStyle name="Обычный 6 7 2 7" xfId="15330"/>
    <cellStyle name="Обычный 6 7 2 8" xfId="15331"/>
    <cellStyle name="Обычный 6 7 2 9" xfId="15332"/>
    <cellStyle name="Обычный 6 7 3" xfId="15333"/>
    <cellStyle name="Обычный 6 7 3 2" xfId="15334"/>
    <cellStyle name="Обычный 6 7 4" xfId="15335"/>
    <cellStyle name="Обычный 6 7 5" xfId="15336"/>
    <cellStyle name="Обычный 6 7 6" xfId="15337"/>
    <cellStyle name="Обычный 6 7 7" xfId="15338"/>
    <cellStyle name="Обычный 6 7 8" xfId="15339"/>
    <cellStyle name="Обычный 6 7 9" xfId="15340"/>
    <cellStyle name="Обычный 6 8" xfId="15341"/>
    <cellStyle name="Обычный 6 8 10" xfId="15342"/>
    <cellStyle name="Обычный 6 8 11" xfId="15343"/>
    <cellStyle name="Обычный 6 8 12" xfId="19345"/>
    <cellStyle name="Обычный 6 8 13" xfId="21039"/>
    <cellStyle name="Обычный 6 8 14" xfId="22651"/>
    <cellStyle name="Обычный 6 8 2" xfId="15344"/>
    <cellStyle name="Обычный 6 8 2 10" xfId="15345"/>
    <cellStyle name="Обычный 6 8 2 11" xfId="19346"/>
    <cellStyle name="Обычный 6 8 2 12" xfId="21040"/>
    <cellStyle name="Обычный 6 8 2 13" xfId="22652"/>
    <cellStyle name="Обычный 6 8 2 2" xfId="15346"/>
    <cellStyle name="Обычный 6 8 2 2 2" xfId="15347"/>
    <cellStyle name="Обычный 6 8 2 3" xfId="15348"/>
    <cellStyle name="Обычный 6 8 2 4" xfId="15349"/>
    <cellStyle name="Обычный 6 8 2 5" xfId="15350"/>
    <cellStyle name="Обычный 6 8 2 6" xfId="15351"/>
    <cellStyle name="Обычный 6 8 2 7" xfId="15352"/>
    <cellStyle name="Обычный 6 8 2 8" xfId="15353"/>
    <cellStyle name="Обычный 6 8 2 9" xfId="15354"/>
    <cellStyle name="Обычный 6 8 3" xfId="15355"/>
    <cellStyle name="Обычный 6 8 3 2" xfId="15356"/>
    <cellStyle name="Обычный 6 8 4" xfId="15357"/>
    <cellStyle name="Обычный 6 8 5" xfId="15358"/>
    <cellStyle name="Обычный 6 8 6" xfId="15359"/>
    <cellStyle name="Обычный 6 8 7" xfId="15360"/>
    <cellStyle name="Обычный 6 8 8" xfId="15361"/>
    <cellStyle name="Обычный 6 8 9" xfId="15362"/>
    <cellStyle name="Обычный 6 9" xfId="15363"/>
    <cellStyle name="Обычный 6 9 10" xfId="15364"/>
    <cellStyle name="Обычный 6 9 11" xfId="15365"/>
    <cellStyle name="Обычный 6 9 12" xfId="19347"/>
    <cellStyle name="Обычный 6 9 13" xfId="21041"/>
    <cellStyle name="Обычный 6 9 14" xfId="22653"/>
    <cellStyle name="Обычный 6 9 2" xfId="15366"/>
    <cellStyle name="Обычный 6 9 2 10" xfId="15367"/>
    <cellStyle name="Обычный 6 9 2 11" xfId="19348"/>
    <cellStyle name="Обычный 6 9 2 12" xfId="21042"/>
    <cellStyle name="Обычный 6 9 2 13" xfId="22654"/>
    <cellStyle name="Обычный 6 9 2 2" xfId="15368"/>
    <cellStyle name="Обычный 6 9 2 2 2" xfId="15369"/>
    <cellStyle name="Обычный 6 9 2 3" xfId="15370"/>
    <cellStyle name="Обычный 6 9 2 4" xfId="15371"/>
    <cellStyle name="Обычный 6 9 2 5" xfId="15372"/>
    <cellStyle name="Обычный 6 9 2 6" xfId="15373"/>
    <cellStyle name="Обычный 6 9 2 7" xfId="15374"/>
    <cellStyle name="Обычный 6 9 2 8" xfId="15375"/>
    <cellStyle name="Обычный 6 9 2 9" xfId="15376"/>
    <cellStyle name="Обычный 6 9 3" xfId="15377"/>
    <cellStyle name="Обычный 6 9 3 2" xfId="15378"/>
    <cellStyle name="Обычный 6 9 4" xfId="15379"/>
    <cellStyle name="Обычный 6 9 5" xfId="15380"/>
    <cellStyle name="Обычный 6 9 6" xfId="15381"/>
    <cellStyle name="Обычный 6 9 7" xfId="15382"/>
    <cellStyle name="Обычный 6 9 8" xfId="15383"/>
    <cellStyle name="Обычный 6 9 9" xfId="15384"/>
    <cellStyle name="Обычный 6_5. общ.V" xfId="15385"/>
    <cellStyle name="Обычный 7" xfId="15386"/>
    <cellStyle name="Обычный 7 10" xfId="15387"/>
    <cellStyle name="Обычный 7 10 10" xfId="15388"/>
    <cellStyle name="Обычный 7 10 11" xfId="15389"/>
    <cellStyle name="Обычный 7 10 12" xfId="19350"/>
    <cellStyle name="Обычный 7 10 13" xfId="21044"/>
    <cellStyle name="Обычный 7 10 14" xfId="22656"/>
    <cellStyle name="Обычный 7 10 2" xfId="15390"/>
    <cellStyle name="Обычный 7 10 2 10" xfId="15391"/>
    <cellStyle name="Обычный 7 10 2 11" xfId="19351"/>
    <cellStyle name="Обычный 7 10 2 12" xfId="21045"/>
    <cellStyle name="Обычный 7 10 2 13" xfId="22657"/>
    <cellStyle name="Обычный 7 10 2 2" xfId="15392"/>
    <cellStyle name="Обычный 7 10 2 2 2" xfId="15393"/>
    <cellStyle name="Обычный 7 10 2 3" xfId="15394"/>
    <cellStyle name="Обычный 7 10 2 4" xfId="15395"/>
    <cellStyle name="Обычный 7 10 2 5" xfId="15396"/>
    <cellStyle name="Обычный 7 10 2 6" xfId="15397"/>
    <cellStyle name="Обычный 7 10 2 7" xfId="15398"/>
    <cellStyle name="Обычный 7 10 2 8" xfId="15399"/>
    <cellStyle name="Обычный 7 10 2 9" xfId="15400"/>
    <cellStyle name="Обычный 7 10 3" xfId="15401"/>
    <cellStyle name="Обычный 7 10 3 2" xfId="15402"/>
    <cellStyle name="Обычный 7 10 4" xfId="15403"/>
    <cellStyle name="Обычный 7 10 5" xfId="15404"/>
    <cellStyle name="Обычный 7 10 6" xfId="15405"/>
    <cellStyle name="Обычный 7 10 7" xfId="15406"/>
    <cellStyle name="Обычный 7 10 8" xfId="15407"/>
    <cellStyle name="Обычный 7 10 9" xfId="15408"/>
    <cellStyle name="Обычный 7 11" xfId="15409"/>
    <cellStyle name="Обычный 7 11 10" xfId="15410"/>
    <cellStyle name="Обычный 7 11 11" xfId="15411"/>
    <cellStyle name="Обычный 7 11 12" xfId="19352"/>
    <cellStyle name="Обычный 7 11 13" xfId="21046"/>
    <cellStyle name="Обычный 7 11 14" xfId="22658"/>
    <cellStyle name="Обычный 7 11 2" xfId="15412"/>
    <cellStyle name="Обычный 7 11 2 10" xfId="15413"/>
    <cellStyle name="Обычный 7 11 2 11" xfId="19353"/>
    <cellStyle name="Обычный 7 11 2 12" xfId="21047"/>
    <cellStyle name="Обычный 7 11 2 13" xfId="22659"/>
    <cellStyle name="Обычный 7 11 2 2" xfId="15414"/>
    <cellStyle name="Обычный 7 11 2 2 2" xfId="15415"/>
    <cellStyle name="Обычный 7 11 2 3" xfId="15416"/>
    <cellStyle name="Обычный 7 11 2 4" xfId="15417"/>
    <cellStyle name="Обычный 7 11 2 5" xfId="15418"/>
    <cellStyle name="Обычный 7 11 2 6" xfId="15419"/>
    <cellStyle name="Обычный 7 11 2 7" xfId="15420"/>
    <cellStyle name="Обычный 7 11 2 8" xfId="15421"/>
    <cellStyle name="Обычный 7 11 2 9" xfId="15422"/>
    <cellStyle name="Обычный 7 11 3" xfId="15423"/>
    <cellStyle name="Обычный 7 11 3 2" xfId="15424"/>
    <cellStyle name="Обычный 7 11 4" xfId="15425"/>
    <cellStyle name="Обычный 7 11 5" xfId="15426"/>
    <cellStyle name="Обычный 7 11 6" xfId="15427"/>
    <cellStyle name="Обычный 7 11 7" xfId="15428"/>
    <cellStyle name="Обычный 7 11 8" xfId="15429"/>
    <cellStyle name="Обычный 7 11 9" xfId="15430"/>
    <cellStyle name="Обычный 7 12" xfId="15431"/>
    <cellStyle name="Обычный 7 12 10" xfId="15432"/>
    <cellStyle name="Обычный 7 12 11" xfId="15433"/>
    <cellStyle name="Обычный 7 12 12" xfId="19354"/>
    <cellStyle name="Обычный 7 12 13" xfId="21048"/>
    <cellStyle name="Обычный 7 12 14" xfId="22660"/>
    <cellStyle name="Обычный 7 12 2" xfId="15434"/>
    <cellStyle name="Обычный 7 12 2 10" xfId="15435"/>
    <cellStyle name="Обычный 7 12 2 11" xfId="19355"/>
    <cellStyle name="Обычный 7 12 2 12" xfId="21049"/>
    <cellStyle name="Обычный 7 12 2 13" xfId="22661"/>
    <cellStyle name="Обычный 7 12 2 2" xfId="15436"/>
    <cellStyle name="Обычный 7 12 2 2 2" xfId="15437"/>
    <cellStyle name="Обычный 7 12 2 3" xfId="15438"/>
    <cellStyle name="Обычный 7 12 2 4" xfId="15439"/>
    <cellStyle name="Обычный 7 12 2 5" xfId="15440"/>
    <cellStyle name="Обычный 7 12 2 6" xfId="15441"/>
    <cellStyle name="Обычный 7 12 2 7" xfId="15442"/>
    <cellStyle name="Обычный 7 12 2 8" xfId="15443"/>
    <cellStyle name="Обычный 7 12 2 9" xfId="15444"/>
    <cellStyle name="Обычный 7 12 3" xfId="15445"/>
    <cellStyle name="Обычный 7 12 3 2" xfId="15446"/>
    <cellStyle name="Обычный 7 12 4" xfId="15447"/>
    <cellStyle name="Обычный 7 12 5" xfId="15448"/>
    <cellStyle name="Обычный 7 12 6" xfId="15449"/>
    <cellStyle name="Обычный 7 12 7" xfId="15450"/>
    <cellStyle name="Обычный 7 12 8" xfId="15451"/>
    <cellStyle name="Обычный 7 12 9" xfId="15452"/>
    <cellStyle name="Обычный 7 13" xfId="15453"/>
    <cellStyle name="Обычный 7 13 10" xfId="15454"/>
    <cellStyle name="Обычный 7 13 11" xfId="15455"/>
    <cellStyle name="Обычный 7 13 12" xfId="19356"/>
    <cellStyle name="Обычный 7 13 13" xfId="21050"/>
    <cellStyle name="Обычный 7 13 14" xfId="22662"/>
    <cellStyle name="Обычный 7 13 2" xfId="15456"/>
    <cellStyle name="Обычный 7 13 2 10" xfId="15457"/>
    <cellStyle name="Обычный 7 13 2 11" xfId="19357"/>
    <cellStyle name="Обычный 7 13 2 12" xfId="21051"/>
    <cellStyle name="Обычный 7 13 2 13" xfId="22663"/>
    <cellStyle name="Обычный 7 13 2 2" xfId="15458"/>
    <cellStyle name="Обычный 7 13 2 2 2" xfId="15459"/>
    <cellStyle name="Обычный 7 13 2 3" xfId="15460"/>
    <cellStyle name="Обычный 7 13 2 4" xfId="15461"/>
    <cellStyle name="Обычный 7 13 2 5" xfId="15462"/>
    <cellStyle name="Обычный 7 13 2 6" xfId="15463"/>
    <cellStyle name="Обычный 7 13 2 7" xfId="15464"/>
    <cellStyle name="Обычный 7 13 2 8" xfId="15465"/>
    <cellStyle name="Обычный 7 13 2 9" xfId="15466"/>
    <cellStyle name="Обычный 7 13 3" xfId="15467"/>
    <cellStyle name="Обычный 7 13 3 2" xfId="15468"/>
    <cellStyle name="Обычный 7 13 4" xfId="15469"/>
    <cellStyle name="Обычный 7 13 5" xfId="15470"/>
    <cellStyle name="Обычный 7 13 6" xfId="15471"/>
    <cellStyle name="Обычный 7 13 7" xfId="15472"/>
    <cellStyle name="Обычный 7 13 8" xfId="15473"/>
    <cellStyle name="Обычный 7 13 9" xfId="15474"/>
    <cellStyle name="Обычный 7 14" xfId="15475"/>
    <cellStyle name="Обычный 7 14 10" xfId="15476"/>
    <cellStyle name="Обычный 7 14 11" xfId="15477"/>
    <cellStyle name="Обычный 7 14 12" xfId="19358"/>
    <cellStyle name="Обычный 7 14 13" xfId="21052"/>
    <cellStyle name="Обычный 7 14 14" xfId="22664"/>
    <cellStyle name="Обычный 7 14 2" xfId="15478"/>
    <cellStyle name="Обычный 7 14 2 10" xfId="15479"/>
    <cellStyle name="Обычный 7 14 2 11" xfId="19359"/>
    <cellStyle name="Обычный 7 14 2 12" xfId="21053"/>
    <cellStyle name="Обычный 7 14 2 13" xfId="22665"/>
    <cellStyle name="Обычный 7 14 2 2" xfId="15480"/>
    <cellStyle name="Обычный 7 14 2 2 2" xfId="15481"/>
    <cellStyle name="Обычный 7 14 2 3" xfId="15482"/>
    <cellStyle name="Обычный 7 14 2 4" xfId="15483"/>
    <cellStyle name="Обычный 7 14 2 5" xfId="15484"/>
    <cellStyle name="Обычный 7 14 2 6" xfId="15485"/>
    <cellStyle name="Обычный 7 14 2 7" xfId="15486"/>
    <cellStyle name="Обычный 7 14 2 8" xfId="15487"/>
    <cellStyle name="Обычный 7 14 2 9" xfId="15488"/>
    <cellStyle name="Обычный 7 14 3" xfId="15489"/>
    <cellStyle name="Обычный 7 14 3 2" xfId="15490"/>
    <cellStyle name="Обычный 7 14 4" xfId="15491"/>
    <cellStyle name="Обычный 7 14 5" xfId="15492"/>
    <cellStyle name="Обычный 7 14 6" xfId="15493"/>
    <cellStyle name="Обычный 7 14 7" xfId="15494"/>
    <cellStyle name="Обычный 7 14 8" xfId="15495"/>
    <cellStyle name="Обычный 7 14 9" xfId="15496"/>
    <cellStyle name="Обычный 7 15" xfId="15497"/>
    <cellStyle name="Обычный 7 15 10" xfId="15498"/>
    <cellStyle name="Обычный 7 15 11" xfId="19360"/>
    <cellStyle name="Обычный 7 15 12" xfId="21054"/>
    <cellStyle name="Обычный 7 15 13" xfId="22666"/>
    <cellStyle name="Обычный 7 15 2" xfId="15499"/>
    <cellStyle name="Обычный 7 15 2 2" xfId="15500"/>
    <cellStyle name="Обычный 7 15 3" xfId="15501"/>
    <cellStyle name="Обычный 7 15 4" xfId="15502"/>
    <cellStyle name="Обычный 7 15 5" xfId="15503"/>
    <cellStyle name="Обычный 7 15 6" xfId="15504"/>
    <cellStyle name="Обычный 7 15 7" xfId="15505"/>
    <cellStyle name="Обычный 7 15 8" xfId="15506"/>
    <cellStyle name="Обычный 7 15 9" xfId="15507"/>
    <cellStyle name="Обычный 7 16" xfId="15508"/>
    <cellStyle name="Обычный 7 16 10" xfId="21055"/>
    <cellStyle name="Обычный 7 16 11" xfId="22667"/>
    <cellStyle name="Обычный 7 16 2" xfId="15509"/>
    <cellStyle name="Обычный 7 16 2 2" xfId="15510"/>
    <cellStyle name="Обычный 7 16 3" xfId="15511"/>
    <cellStyle name="Обычный 7 16 4" xfId="15512"/>
    <cellStyle name="Обычный 7 16 5" xfId="15513"/>
    <cellStyle name="Обычный 7 16 6" xfId="15514"/>
    <cellStyle name="Обычный 7 16 7" xfId="15515"/>
    <cellStyle name="Обычный 7 16 8" xfId="15516"/>
    <cellStyle name="Обычный 7 16 9" xfId="19361"/>
    <cellStyle name="Обычный 7 17" xfId="15517"/>
    <cellStyle name="Обычный 7 17 10" xfId="21056"/>
    <cellStyle name="Обычный 7 17 11" xfId="22668"/>
    <cellStyle name="Обычный 7 17 2" xfId="15518"/>
    <cellStyle name="Обычный 7 17 2 2" xfId="15519"/>
    <cellStyle name="Обычный 7 17 3" xfId="15520"/>
    <cellStyle name="Обычный 7 17 4" xfId="15521"/>
    <cellStyle name="Обычный 7 17 5" xfId="15522"/>
    <cellStyle name="Обычный 7 17 6" xfId="15523"/>
    <cellStyle name="Обычный 7 17 7" xfId="15524"/>
    <cellStyle name="Обычный 7 17 8" xfId="15525"/>
    <cellStyle name="Обычный 7 17 9" xfId="19362"/>
    <cellStyle name="Обычный 7 18" xfId="15526"/>
    <cellStyle name="Обычный 7 18 2" xfId="15527"/>
    <cellStyle name="Обычный 7 19" xfId="15528"/>
    <cellStyle name="Обычный 7 2" xfId="15529"/>
    <cellStyle name="Обычный 7 2 10" xfId="15530"/>
    <cellStyle name="Обычный 7 2 10 10" xfId="15531"/>
    <cellStyle name="Обычный 7 2 10 11" xfId="15532"/>
    <cellStyle name="Обычный 7 2 10 12" xfId="19364"/>
    <cellStyle name="Обычный 7 2 10 13" xfId="21058"/>
    <cellStyle name="Обычный 7 2 10 14" xfId="22670"/>
    <cellStyle name="Обычный 7 2 10 2" xfId="15533"/>
    <cellStyle name="Обычный 7 2 10 2 10" xfId="15534"/>
    <cellStyle name="Обычный 7 2 10 2 11" xfId="19365"/>
    <cellStyle name="Обычный 7 2 10 2 12" xfId="21059"/>
    <cellStyle name="Обычный 7 2 10 2 13" xfId="22671"/>
    <cellStyle name="Обычный 7 2 10 2 2" xfId="15535"/>
    <cellStyle name="Обычный 7 2 10 2 2 2" xfId="15536"/>
    <cellStyle name="Обычный 7 2 10 2 3" xfId="15537"/>
    <cellStyle name="Обычный 7 2 10 2 4" xfId="15538"/>
    <cellStyle name="Обычный 7 2 10 2 5" xfId="15539"/>
    <cellStyle name="Обычный 7 2 10 2 6" xfId="15540"/>
    <cellStyle name="Обычный 7 2 10 2 7" xfId="15541"/>
    <cellStyle name="Обычный 7 2 10 2 8" xfId="15542"/>
    <cellStyle name="Обычный 7 2 10 2 9" xfId="15543"/>
    <cellStyle name="Обычный 7 2 10 3" xfId="15544"/>
    <cellStyle name="Обычный 7 2 10 3 2" xfId="15545"/>
    <cellStyle name="Обычный 7 2 10 4" xfId="15546"/>
    <cellStyle name="Обычный 7 2 10 5" xfId="15547"/>
    <cellStyle name="Обычный 7 2 10 6" xfId="15548"/>
    <cellStyle name="Обычный 7 2 10 7" xfId="15549"/>
    <cellStyle name="Обычный 7 2 10 8" xfId="15550"/>
    <cellStyle name="Обычный 7 2 10 9" xfId="15551"/>
    <cellStyle name="Обычный 7 2 11" xfId="15552"/>
    <cellStyle name="Обычный 7 2 11 10" xfId="15553"/>
    <cellStyle name="Обычный 7 2 11 11" xfId="19366"/>
    <cellStyle name="Обычный 7 2 11 12" xfId="21060"/>
    <cellStyle name="Обычный 7 2 11 13" xfId="22672"/>
    <cellStyle name="Обычный 7 2 11 2" xfId="15554"/>
    <cellStyle name="Обычный 7 2 11 2 2" xfId="15555"/>
    <cellStyle name="Обычный 7 2 11 3" xfId="15556"/>
    <cellStyle name="Обычный 7 2 11 4" xfId="15557"/>
    <cellStyle name="Обычный 7 2 11 5" xfId="15558"/>
    <cellStyle name="Обычный 7 2 11 6" xfId="15559"/>
    <cellStyle name="Обычный 7 2 11 7" xfId="15560"/>
    <cellStyle name="Обычный 7 2 11 8" xfId="15561"/>
    <cellStyle name="Обычный 7 2 11 9" xfId="15562"/>
    <cellStyle name="Обычный 7 2 12" xfId="15563"/>
    <cellStyle name="Обычный 7 2 12 10" xfId="21061"/>
    <cellStyle name="Обычный 7 2 12 11" xfId="22673"/>
    <cellStyle name="Обычный 7 2 12 2" xfId="15564"/>
    <cellStyle name="Обычный 7 2 12 2 2" xfId="15565"/>
    <cellStyle name="Обычный 7 2 12 3" xfId="15566"/>
    <cellStyle name="Обычный 7 2 12 4" xfId="15567"/>
    <cellStyle name="Обычный 7 2 12 5" xfId="15568"/>
    <cellStyle name="Обычный 7 2 12 6" xfId="15569"/>
    <cellStyle name="Обычный 7 2 12 7" xfId="15570"/>
    <cellStyle name="Обычный 7 2 12 8" xfId="15571"/>
    <cellStyle name="Обычный 7 2 12 9" xfId="19367"/>
    <cellStyle name="Обычный 7 2 13" xfId="15572"/>
    <cellStyle name="Обычный 7 2 13 10" xfId="21062"/>
    <cellStyle name="Обычный 7 2 13 11" xfId="22674"/>
    <cellStyle name="Обычный 7 2 13 2" xfId="15573"/>
    <cellStyle name="Обычный 7 2 13 2 2" xfId="15574"/>
    <cellStyle name="Обычный 7 2 13 3" xfId="15575"/>
    <cellStyle name="Обычный 7 2 13 4" xfId="15576"/>
    <cellStyle name="Обычный 7 2 13 5" xfId="15577"/>
    <cellStyle name="Обычный 7 2 13 6" xfId="15578"/>
    <cellStyle name="Обычный 7 2 13 7" xfId="15579"/>
    <cellStyle name="Обычный 7 2 13 8" xfId="15580"/>
    <cellStyle name="Обычный 7 2 13 9" xfId="19368"/>
    <cellStyle name="Обычный 7 2 14" xfId="15581"/>
    <cellStyle name="Обычный 7 2 14 2" xfId="15582"/>
    <cellStyle name="Обычный 7 2 15" xfId="15583"/>
    <cellStyle name="Обычный 7 2 16" xfId="15584"/>
    <cellStyle name="Обычный 7 2 17" xfId="15585"/>
    <cellStyle name="Обычный 7 2 18" xfId="15586"/>
    <cellStyle name="Обычный 7 2 19" xfId="15587"/>
    <cellStyle name="Обычный 7 2 2" xfId="15588"/>
    <cellStyle name="Обычный 7 2 2 10" xfId="15589"/>
    <cellStyle name="Обычный 7 2 2 10 2" xfId="15590"/>
    <cellStyle name="Обычный 7 2 2 11" xfId="15591"/>
    <cellStyle name="Обычный 7 2 2 12" xfId="15592"/>
    <cellStyle name="Обычный 7 2 2 13" xfId="15593"/>
    <cellStyle name="Обычный 7 2 2 14" xfId="15594"/>
    <cellStyle name="Обычный 7 2 2 15" xfId="15595"/>
    <cellStyle name="Обычный 7 2 2 16" xfId="15596"/>
    <cellStyle name="Обычный 7 2 2 17" xfId="15597"/>
    <cellStyle name="Обычный 7 2 2 18" xfId="15598"/>
    <cellStyle name="Обычный 7 2 2 19" xfId="15599"/>
    <cellStyle name="Обычный 7 2 2 2" xfId="15600"/>
    <cellStyle name="Обычный 7 2 2 2 10" xfId="15601"/>
    <cellStyle name="Обычный 7 2 2 2 11" xfId="15602"/>
    <cellStyle name="Обычный 7 2 2 2 12" xfId="15603"/>
    <cellStyle name="Обычный 7 2 2 2 13" xfId="15604"/>
    <cellStyle name="Обычный 7 2 2 2 14" xfId="15605"/>
    <cellStyle name="Обычный 7 2 2 2 15" xfId="15606"/>
    <cellStyle name="Обычный 7 2 2 2 16" xfId="15607"/>
    <cellStyle name="Обычный 7 2 2 2 17" xfId="15608"/>
    <cellStyle name="Обычный 7 2 2 2 18" xfId="19370"/>
    <cellStyle name="Обычный 7 2 2 2 19" xfId="21064"/>
    <cellStyle name="Обычный 7 2 2 2 2" xfId="15609"/>
    <cellStyle name="Обычный 7 2 2 2 2 10" xfId="15610"/>
    <cellStyle name="Обычный 7 2 2 2 2 11" xfId="15611"/>
    <cellStyle name="Обычный 7 2 2 2 2 12" xfId="19371"/>
    <cellStyle name="Обычный 7 2 2 2 2 13" xfId="21065"/>
    <cellStyle name="Обычный 7 2 2 2 2 14" xfId="22677"/>
    <cellStyle name="Обычный 7 2 2 2 2 2" xfId="15612"/>
    <cellStyle name="Обычный 7 2 2 2 2 2 10" xfId="15613"/>
    <cellStyle name="Обычный 7 2 2 2 2 2 11" xfId="19372"/>
    <cellStyle name="Обычный 7 2 2 2 2 2 12" xfId="21066"/>
    <cellStyle name="Обычный 7 2 2 2 2 2 13" xfId="22678"/>
    <cellStyle name="Обычный 7 2 2 2 2 2 2" xfId="15614"/>
    <cellStyle name="Обычный 7 2 2 2 2 2 2 2" xfId="15615"/>
    <cellStyle name="Обычный 7 2 2 2 2 2 3" xfId="15616"/>
    <cellStyle name="Обычный 7 2 2 2 2 2 4" xfId="15617"/>
    <cellStyle name="Обычный 7 2 2 2 2 2 5" xfId="15618"/>
    <cellStyle name="Обычный 7 2 2 2 2 2 6" xfId="15619"/>
    <cellStyle name="Обычный 7 2 2 2 2 2 7" xfId="15620"/>
    <cellStyle name="Обычный 7 2 2 2 2 2 8" xfId="15621"/>
    <cellStyle name="Обычный 7 2 2 2 2 2 9" xfId="15622"/>
    <cellStyle name="Обычный 7 2 2 2 2 3" xfId="15623"/>
    <cellStyle name="Обычный 7 2 2 2 2 3 2" xfId="15624"/>
    <cellStyle name="Обычный 7 2 2 2 2 4" xfId="15625"/>
    <cellStyle name="Обычный 7 2 2 2 2 5" xfId="15626"/>
    <cellStyle name="Обычный 7 2 2 2 2 6" xfId="15627"/>
    <cellStyle name="Обычный 7 2 2 2 2 7" xfId="15628"/>
    <cellStyle name="Обычный 7 2 2 2 2 8" xfId="15629"/>
    <cellStyle name="Обычный 7 2 2 2 2 9" xfId="15630"/>
    <cellStyle name="Обычный 7 2 2 2 20" xfId="22676"/>
    <cellStyle name="Обычный 7 2 2 2 3" xfId="15631"/>
    <cellStyle name="Обычный 7 2 2 2 3 10" xfId="15632"/>
    <cellStyle name="Обычный 7 2 2 2 3 11" xfId="15633"/>
    <cellStyle name="Обычный 7 2 2 2 3 12" xfId="19373"/>
    <cellStyle name="Обычный 7 2 2 2 3 13" xfId="21067"/>
    <cellStyle name="Обычный 7 2 2 2 3 14" xfId="22679"/>
    <cellStyle name="Обычный 7 2 2 2 3 2" xfId="15634"/>
    <cellStyle name="Обычный 7 2 2 2 3 2 10" xfId="15635"/>
    <cellStyle name="Обычный 7 2 2 2 3 2 11" xfId="19374"/>
    <cellStyle name="Обычный 7 2 2 2 3 2 12" xfId="21068"/>
    <cellStyle name="Обычный 7 2 2 2 3 2 13" xfId="22680"/>
    <cellStyle name="Обычный 7 2 2 2 3 2 2" xfId="15636"/>
    <cellStyle name="Обычный 7 2 2 2 3 2 2 2" xfId="15637"/>
    <cellStyle name="Обычный 7 2 2 2 3 2 3" xfId="15638"/>
    <cellStyle name="Обычный 7 2 2 2 3 2 4" xfId="15639"/>
    <cellStyle name="Обычный 7 2 2 2 3 2 5" xfId="15640"/>
    <cellStyle name="Обычный 7 2 2 2 3 2 6" xfId="15641"/>
    <cellStyle name="Обычный 7 2 2 2 3 2 7" xfId="15642"/>
    <cellStyle name="Обычный 7 2 2 2 3 2 8" xfId="15643"/>
    <cellStyle name="Обычный 7 2 2 2 3 2 9" xfId="15644"/>
    <cellStyle name="Обычный 7 2 2 2 3 3" xfId="15645"/>
    <cellStyle name="Обычный 7 2 2 2 3 3 2" xfId="15646"/>
    <cellStyle name="Обычный 7 2 2 2 3 4" xfId="15647"/>
    <cellStyle name="Обычный 7 2 2 2 3 5" xfId="15648"/>
    <cellStyle name="Обычный 7 2 2 2 3 6" xfId="15649"/>
    <cellStyle name="Обычный 7 2 2 2 3 7" xfId="15650"/>
    <cellStyle name="Обычный 7 2 2 2 3 8" xfId="15651"/>
    <cellStyle name="Обычный 7 2 2 2 3 9" xfId="15652"/>
    <cellStyle name="Обычный 7 2 2 2 4" xfId="15653"/>
    <cellStyle name="Обычный 7 2 2 2 4 10" xfId="15654"/>
    <cellStyle name="Обычный 7 2 2 2 4 11" xfId="15655"/>
    <cellStyle name="Обычный 7 2 2 2 4 12" xfId="19375"/>
    <cellStyle name="Обычный 7 2 2 2 4 13" xfId="21069"/>
    <cellStyle name="Обычный 7 2 2 2 4 14" xfId="22681"/>
    <cellStyle name="Обычный 7 2 2 2 4 2" xfId="15656"/>
    <cellStyle name="Обычный 7 2 2 2 4 2 10" xfId="15657"/>
    <cellStyle name="Обычный 7 2 2 2 4 2 11" xfId="19376"/>
    <cellStyle name="Обычный 7 2 2 2 4 2 12" xfId="21070"/>
    <cellStyle name="Обычный 7 2 2 2 4 2 13" xfId="22682"/>
    <cellStyle name="Обычный 7 2 2 2 4 2 2" xfId="15658"/>
    <cellStyle name="Обычный 7 2 2 2 4 2 2 2" xfId="15659"/>
    <cellStyle name="Обычный 7 2 2 2 4 2 3" xfId="15660"/>
    <cellStyle name="Обычный 7 2 2 2 4 2 4" xfId="15661"/>
    <cellStyle name="Обычный 7 2 2 2 4 2 5" xfId="15662"/>
    <cellStyle name="Обычный 7 2 2 2 4 2 6" xfId="15663"/>
    <cellStyle name="Обычный 7 2 2 2 4 2 7" xfId="15664"/>
    <cellStyle name="Обычный 7 2 2 2 4 2 8" xfId="15665"/>
    <cellStyle name="Обычный 7 2 2 2 4 2 9" xfId="15666"/>
    <cellStyle name="Обычный 7 2 2 2 4 3" xfId="15667"/>
    <cellStyle name="Обычный 7 2 2 2 4 3 2" xfId="15668"/>
    <cellStyle name="Обычный 7 2 2 2 4 4" xfId="15669"/>
    <cellStyle name="Обычный 7 2 2 2 4 5" xfId="15670"/>
    <cellStyle name="Обычный 7 2 2 2 4 6" xfId="15671"/>
    <cellStyle name="Обычный 7 2 2 2 4 7" xfId="15672"/>
    <cellStyle name="Обычный 7 2 2 2 4 8" xfId="15673"/>
    <cellStyle name="Обычный 7 2 2 2 4 9" xfId="15674"/>
    <cellStyle name="Обычный 7 2 2 2 5" xfId="15675"/>
    <cellStyle name="Обычный 7 2 2 2 5 10" xfId="15676"/>
    <cellStyle name="Обычный 7 2 2 2 5 11" xfId="15677"/>
    <cellStyle name="Обычный 7 2 2 2 5 12" xfId="19377"/>
    <cellStyle name="Обычный 7 2 2 2 5 13" xfId="21071"/>
    <cellStyle name="Обычный 7 2 2 2 5 14" xfId="22683"/>
    <cellStyle name="Обычный 7 2 2 2 5 2" xfId="15678"/>
    <cellStyle name="Обычный 7 2 2 2 5 2 10" xfId="15679"/>
    <cellStyle name="Обычный 7 2 2 2 5 2 11" xfId="19378"/>
    <cellStyle name="Обычный 7 2 2 2 5 2 12" xfId="21072"/>
    <cellStyle name="Обычный 7 2 2 2 5 2 13" xfId="22684"/>
    <cellStyle name="Обычный 7 2 2 2 5 2 2" xfId="15680"/>
    <cellStyle name="Обычный 7 2 2 2 5 2 2 2" xfId="15681"/>
    <cellStyle name="Обычный 7 2 2 2 5 2 3" xfId="15682"/>
    <cellStyle name="Обычный 7 2 2 2 5 2 4" xfId="15683"/>
    <cellStyle name="Обычный 7 2 2 2 5 2 5" xfId="15684"/>
    <cellStyle name="Обычный 7 2 2 2 5 2 6" xfId="15685"/>
    <cellStyle name="Обычный 7 2 2 2 5 2 7" xfId="15686"/>
    <cellStyle name="Обычный 7 2 2 2 5 2 8" xfId="15687"/>
    <cellStyle name="Обычный 7 2 2 2 5 2 9" xfId="15688"/>
    <cellStyle name="Обычный 7 2 2 2 5 3" xfId="15689"/>
    <cellStyle name="Обычный 7 2 2 2 5 3 2" xfId="15690"/>
    <cellStyle name="Обычный 7 2 2 2 5 4" xfId="15691"/>
    <cellStyle name="Обычный 7 2 2 2 5 5" xfId="15692"/>
    <cellStyle name="Обычный 7 2 2 2 5 6" xfId="15693"/>
    <cellStyle name="Обычный 7 2 2 2 5 7" xfId="15694"/>
    <cellStyle name="Обычный 7 2 2 2 5 8" xfId="15695"/>
    <cellStyle name="Обычный 7 2 2 2 5 9" xfId="15696"/>
    <cellStyle name="Обычный 7 2 2 2 6" xfId="15697"/>
    <cellStyle name="Обычный 7 2 2 2 6 10" xfId="15698"/>
    <cellStyle name="Обычный 7 2 2 2 6 11" xfId="19379"/>
    <cellStyle name="Обычный 7 2 2 2 6 12" xfId="21073"/>
    <cellStyle name="Обычный 7 2 2 2 6 13" xfId="22685"/>
    <cellStyle name="Обычный 7 2 2 2 6 2" xfId="15699"/>
    <cellStyle name="Обычный 7 2 2 2 6 2 2" xfId="15700"/>
    <cellStyle name="Обычный 7 2 2 2 6 3" xfId="15701"/>
    <cellStyle name="Обычный 7 2 2 2 6 4" xfId="15702"/>
    <cellStyle name="Обычный 7 2 2 2 6 5" xfId="15703"/>
    <cellStyle name="Обычный 7 2 2 2 6 6" xfId="15704"/>
    <cellStyle name="Обычный 7 2 2 2 6 7" xfId="15705"/>
    <cellStyle name="Обычный 7 2 2 2 6 8" xfId="15706"/>
    <cellStyle name="Обычный 7 2 2 2 6 9" xfId="15707"/>
    <cellStyle name="Обычный 7 2 2 2 7" xfId="15708"/>
    <cellStyle name="Обычный 7 2 2 2 7 10" xfId="21074"/>
    <cellStyle name="Обычный 7 2 2 2 7 11" xfId="22686"/>
    <cellStyle name="Обычный 7 2 2 2 7 2" xfId="15709"/>
    <cellStyle name="Обычный 7 2 2 2 7 2 2" xfId="15710"/>
    <cellStyle name="Обычный 7 2 2 2 7 3" xfId="15711"/>
    <cellStyle name="Обычный 7 2 2 2 7 4" xfId="15712"/>
    <cellStyle name="Обычный 7 2 2 2 7 5" xfId="15713"/>
    <cellStyle name="Обычный 7 2 2 2 7 6" xfId="15714"/>
    <cellStyle name="Обычный 7 2 2 2 7 7" xfId="15715"/>
    <cellStyle name="Обычный 7 2 2 2 7 8" xfId="15716"/>
    <cellStyle name="Обычный 7 2 2 2 7 9" xfId="19380"/>
    <cellStyle name="Обычный 7 2 2 2 8" xfId="15717"/>
    <cellStyle name="Обычный 7 2 2 2 8 2" xfId="15718"/>
    <cellStyle name="Обычный 7 2 2 2 9" xfId="15719"/>
    <cellStyle name="Обычный 7 2 2 20" xfId="19369"/>
    <cellStyle name="Обычный 7 2 2 21" xfId="21063"/>
    <cellStyle name="Обычный 7 2 2 22" xfId="22675"/>
    <cellStyle name="Обычный 7 2 2 3" xfId="15720"/>
    <cellStyle name="Обычный 7 2 2 3 10" xfId="15721"/>
    <cellStyle name="Обычный 7 2 2 3 11" xfId="15722"/>
    <cellStyle name="Обычный 7 2 2 3 12" xfId="15723"/>
    <cellStyle name="Обычный 7 2 2 3 13" xfId="15724"/>
    <cellStyle name="Обычный 7 2 2 3 14" xfId="15725"/>
    <cellStyle name="Обычный 7 2 2 3 15" xfId="15726"/>
    <cellStyle name="Обычный 7 2 2 3 16" xfId="15727"/>
    <cellStyle name="Обычный 7 2 2 3 17" xfId="15728"/>
    <cellStyle name="Обычный 7 2 2 3 18" xfId="19381"/>
    <cellStyle name="Обычный 7 2 2 3 19" xfId="21075"/>
    <cellStyle name="Обычный 7 2 2 3 2" xfId="15729"/>
    <cellStyle name="Обычный 7 2 2 3 2 10" xfId="15730"/>
    <cellStyle name="Обычный 7 2 2 3 2 11" xfId="15731"/>
    <cellStyle name="Обычный 7 2 2 3 2 12" xfId="19382"/>
    <cellStyle name="Обычный 7 2 2 3 2 13" xfId="21076"/>
    <cellStyle name="Обычный 7 2 2 3 2 14" xfId="22688"/>
    <cellStyle name="Обычный 7 2 2 3 2 2" xfId="15732"/>
    <cellStyle name="Обычный 7 2 2 3 2 2 10" xfId="15733"/>
    <cellStyle name="Обычный 7 2 2 3 2 2 11" xfId="19383"/>
    <cellStyle name="Обычный 7 2 2 3 2 2 12" xfId="21077"/>
    <cellStyle name="Обычный 7 2 2 3 2 2 13" xfId="22689"/>
    <cellStyle name="Обычный 7 2 2 3 2 2 2" xfId="15734"/>
    <cellStyle name="Обычный 7 2 2 3 2 2 2 2" xfId="15735"/>
    <cellStyle name="Обычный 7 2 2 3 2 2 3" xfId="15736"/>
    <cellStyle name="Обычный 7 2 2 3 2 2 4" xfId="15737"/>
    <cellStyle name="Обычный 7 2 2 3 2 2 5" xfId="15738"/>
    <cellStyle name="Обычный 7 2 2 3 2 2 6" xfId="15739"/>
    <cellStyle name="Обычный 7 2 2 3 2 2 7" xfId="15740"/>
    <cellStyle name="Обычный 7 2 2 3 2 2 8" xfId="15741"/>
    <cellStyle name="Обычный 7 2 2 3 2 2 9" xfId="15742"/>
    <cellStyle name="Обычный 7 2 2 3 2 3" xfId="15743"/>
    <cellStyle name="Обычный 7 2 2 3 2 3 2" xfId="15744"/>
    <cellStyle name="Обычный 7 2 2 3 2 4" xfId="15745"/>
    <cellStyle name="Обычный 7 2 2 3 2 5" xfId="15746"/>
    <cellStyle name="Обычный 7 2 2 3 2 6" xfId="15747"/>
    <cellStyle name="Обычный 7 2 2 3 2 7" xfId="15748"/>
    <cellStyle name="Обычный 7 2 2 3 2 8" xfId="15749"/>
    <cellStyle name="Обычный 7 2 2 3 2 9" xfId="15750"/>
    <cellStyle name="Обычный 7 2 2 3 20" xfId="22687"/>
    <cellStyle name="Обычный 7 2 2 3 3" xfId="15751"/>
    <cellStyle name="Обычный 7 2 2 3 3 10" xfId="15752"/>
    <cellStyle name="Обычный 7 2 2 3 3 11" xfId="15753"/>
    <cellStyle name="Обычный 7 2 2 3 3 12" xfId="19384"/>
    <cellStyle name="Обычный 7 2 2 3 3 13" xfId="21078"/>
    <cellStyle name="Обычный 7 2 2 3 3 14" xfId="22690"/>
    <cellStyle name="Обычный 7 2 2 3 3 2" xfId="15754"/>
    <cellStyle name="Обычный 7 2 2 3 3 2 10" xfId="15755"/>
    <cellStyle name="Обычный 7 2 2 3 3 2 11" xfId="19385"/>
    <cellStyle name="Обычный 7 2 2 3 3 2 12" xfId="21079"/>
    <cellStyle name="Обычный 7 2 2 3 3 2 13" xfId="22691"/>
    <cellStyle name="Обычный 7 2 2 3 3 2 2" xfId="15756"/>
    <cellStyle name="Обычный 7 2 2 3 3 2 2 2" xfId="15757"/>
    <cellStyle name="Обычный 7 2 2 3 3 2 3" xfId="15758"/>
    <cellStyle name="Обычный 7 2 2 3 3 2 4" xfId="15759"/>
    <cellStyle name="Обычный 7 2 2 3 3 2 5" xfId="15760"/>
    <cellStyle name="Обычный 7 2 2 3 3 2 6" xfId="15761"/>
    <cellStyle name="Обычный 7 2 2 3 3 2 7" xfId="15762"/>
    <cellStyle name="Обычный 7 2 2 3 3 2 8" xfId="15763"/>
    <cellStyle name="Обычный 7 2 2 3 3 2 9" xfId="15764"/>
    <cellStyle name="Обычный 7 2 2 3 3 3" xfId="15765"/>
    <cellStyle name="Обычный 7 2 2 3 3 3 2" xfId="15766"/>
    <cellStyle name="Обычный 7 2 2 3 3 4" xfId="15767"/>
    <cellStyle name="Обычный 7 2 2 3 3 5" xfId="15768"/>
    <cellStyle name="Обычный 7 2 2 3 3 6" xfId="15769"/>
    <cellStyle name="Обычный 7 2 2 3 3 7" xfId="15770"/>
    <cellStyle name="Обычный 7 2 2 3 3 8" xfId="15771"/>
    <cellStyle name="Обычный 7 2 2 3 3 9" xfId="15772"/>
    <cellStyle name="Обычный 7 2 2 3 4" xfId="15773"/>
    <cellStyle name="Обычный 7 2 2 3 4 10" xfId="15774"/>
    <cellStyle name="Обычный 7 2 2 3 4 11" xfId="15775"/>
    <cellStyle name="Обычный 7 2 2 3 4 12" xfId="19386"/>
    <cellStyle name="Обычный 7 2 2 3 4 13" xfId="21080"/>
    <cellStyle name="Обычный 7 2 2 3 4 14" xfId="22692"/>
    <cellStyle name="Обычный 7 2 2 3 4 2" xfId="15776"/>
    <cellStyle name="Обычный 7 2 2 3 4 2 10" xfId="15777"/>
    <cellStyle name="Обычный 7 2 2 3 4 2 11" xfId="19387"/>
    <cellStyle name="Обычный 7 2 2 3 4 2 12" xfId="21081"/>
    <cellStyle name="Обычный 7 2 2 3 4 2 13" xfId="22693"/>
    <cellStyle name="Обычный 7 2 2 3 4 2 2" xfId="15778"/>
    <cellStyle name="Обычный 7 2 2 3 4 2 2 2" xfId="15779"/>
    <cellStyle name="Обычный 7 2 2 3 4 2 3" xfId="15780"/>
    <cellStyle name="Обычный 7 2 2 3 4 2 4" xfId="15781"/>
    <cellStyle name="Обычный 7 2 2 3 4 2 5" xfId="15782"/>
    <cellStyle name="Обычный 7 2 2 3 4 2 6" xfId="15783"/>
    <cellStyle name="Обычный 7 2 2 3 4 2 7" xfId="15784"/>
    <cellStyle name="Обычный 7 2 2 3 4 2 8" xfId="15785"/>
    <cellStyle name="Обычный 7 2 2 3 4 2 9" xfId="15786"/>
    <cellStyle name="Обычный 7 2 2 3 4 3" xfId="15787"/>
    <cellStyle name="Обычный 7 2 2 3 4 3 2" xfId="15788"/>
    <cellStyle name="Обычный 7 2 2 3 4 4" xfId="15789"/>
    <cellStyle name="Обычный 7 2 2 3 4 5" xfId="15790"/>
    <cellStyle name="Обычный 7 2 2 3 4 6" xfId="15791"/>
    <cellStyle name="Обычный 7 2 2 3 4 7" xfId="15792"/>
    <cellStyle name="Обычный 7 2 2 3 4 8" xfId="15793"/>
    <cellStyle name="Обычный 7 2 2 3 4 9" xfId="15794"/>
    <cellStyle name="Обычный 7 2 2 3 5" xfId="15795"/>
    <cellStyle name="Обычный 7 2 2 3 5 10" xfId="15796"/>
    <cellStyle name="Обычный 7 2 2 3 5 11" xfId="15797"/>
    <cellStyle name="Обычный 7 2 2 3 5 12" xfId="19388"/>
    <cellStyle name="Обычный 7 2 2 3 5 13" xfId="21082"/>
    <cellStyle name="Обычный 7 2 2 3 5 14" xfId="22694"/>
    <cellStyle name="Обычный 7 2 2 3 5 2" xfId="15798"/>
    <cellStyle name="Обычный 7 2 2 3 5 2 10" xfId="15799"/>
    <cellStyle name="Обычный 7 2 2 3 5 2 11" xfId="19389"/>
    <cellStyle name="Обычный 7 2 2 3 5 2 12" xfId="21083"/>
    <cellStyle name="Обычный 7 2 2 3 5 2 13" xfId="22695"/>
    <cellStyle name="Обычный 7 2 2 3 5 2 2" xfId="15800"/>
    <cellStyle name="Обычный 7 2 2 3 5 2 2 2" xfId="15801"/>
    <cellStyle name="Обычный 7 2 2 3 5 2 3" xfId="15802"/>
    <cellStyle name="Обычный 7 2 2 3 5 2 4" xfId="15803"/>
    <cellStyle name="Обычный 7 2 2 3 5 2 5" xfId="15804"/>
    <cellStyle name="Обычный 7 2 2 3 5 2 6" xfId="15805"/>
    <cellStyle name="Обычный 7 2 2 3 5 2 7" xfId="15806"/>
    <cellStyle name="Обычный 7 2 2 3 5 2 8" xfId="15807"/>
    <cellStyle name="Обычный 7 2 2 3 5 2 9" xfId="15808"/>
    <cellStyle name="Обычный 7 2 2 3 5 3" xfId="15809"/>
    <cellStyle name="Обычный 7 2 2 3 5 3 2" xfId="15810"/>
    <cellStyle name="Обычный 7 2 2 3 5 4" xfId="15811"/>
    <cellStyle name="Обычный 7 2 2 3 5 5" xfId="15812"/>
    <cellStyle name="Обычный 7 2 2 3 5 6" xfId="15813"/>
    <cellStyle name="Обычный 7 2 2 3 5 7" xfId="15814"/>
    <cellStyle name="Обычный 7 2 2 3 5 8" xfId="15815"/>
    <cellStyle name="Обычный 7 2 2 3 5 9" xfId="15816"/>
    <cellStyle name="Обычный 7 2 2 3 6" xfId="15817"/>
    <cellStyle name="Обычный 7 2 2 3 6 10" xfId="15818"/>
    <cellStyle name="Обычный 7 2 2 3 6 11" xfId="19390"/>
    <cellStyle name="Обычный 7 2 2 3 6 12" xfId="21084"/>
    <cellStyle name="Обычный 7 2 2 3 6 13" xfId="22696"/>
    <cellStyle name="Обычный 7 2 2 3 6 2" xfId="15819"/>
    <cellStyle name="Обычный 7 2 2 3 6 2 2" xfId="15820"/>
    <cellStyle name="Обычный 7 2 2 3 6 3" xfId="15821"/>
    <cellStyle name="Обычный 7 2 2 3 6 4" xfId="15822"/>
    <cellStyle name="Обычный 7 2 2 3 6 5" xfId="15823"/>
    <cellStyle name="Обычный 7 2 2 3 6 6" xfId="15824"/>
    <cellStyle name="Обычный 7 2 2 3 6 7" xfId="15825"/>
    <cellStyle name="Обычный 7 2 2 3 6 8" xfId="15826"/>
    <cellStyle name="Обычный 7 2 2 3 6 9" xfId="15827"/>
    <cellStyle name="Обычный 7 2 2 3 7" xfId="15828"/>
    <cellStyle name="Обычный 7 2 2 3 7 10" xfId="21085"/>
    <cellStyle name="Обычный 7 2 2 3 7 11" xfId="22697"/>
    <cellStyle name="Обычный 7 2 2 3 7 2" xfId="15829"/>
    <cellStyle name="Обычный 7 2 2 3 7 2 2" xfId="15830"/>
    <cellStyle name="Обычный 7 2 2 3 7 3" xfId="15831"/>
    <cellStyle name="Обычный 7 2 2 3 7 4" xfId="15832"/>
    <cellStyle name="Обычный 7 2 2 3 7 5" xfId="15833"/>
    <cellStyle name="Обычный 7 2 2 3 7 6" xfId="15834"/>
    <cellStyle name="Обычный 7 2 2 3 7 7" xfId="15835"/>
    <cellStyle name="Обычный 7 2 2 3 7 8" xfId="15836"/>
    <cellStyle name="Обычный 7 2 2 3 7 9" xfId="19391"/>
    <cellStyle name="Обычный 7 2 2 3 8" xfId="15837"/>
    <cellStyle name="Обычный 7 2 2 3 8 2" xfId="15838"/>
    <cellStyle name="Обычный 7 2 2 3 9" xfId="15839"/>
    <cellStyle name="Обычный 7 2 2 4" xfId="15840"/>
    <cellStyle name="Обычный 7 2 2 4 10" xfId="15841"/>
    <cellStyle name="Обычный 7 2 2 4 11" xfId="15842"/>
    <cellStyle name="Обычный 7 2 2 4 12" xfId="19392"/>
    <cellStyle name="Обычный 7 2 2 4 13" xfId="21086"/>
    <cellStyle name="Обычный 7 2 2 4 14" xfId="22698"/>
    <cellStyle name="Обычный 7 2 2 4 2" xfId="15843"/>
    <cellStyle name="Обычный 7 2 2 4 2 10" xfId="15844"/>
    <cellStyle name="Обычный 7 2 2 4 2 11" xfId="19393"/>
    <cellStyle name="Обычный 7 2 2 4 2 12" xfId="21087"/>
    <cellStyle name="Обычный 7 2 2 4 2 13" xfId="22699"/>
    <cellStyle name="Обычный 7 2 2 4 2 2" xfId="15845"/>
    <cellStyle name="Обычный 7 2 2 4 2 2 2" xfId="15846"/>
    <cellStyle name="Обычный 7 2 2 4 2 3" xfId="15847"/>
    <cellStyle name="Обычный 7 2 2 4 2 4" xfId="15848"/>
    <cellStyle name="Обычный 7 2 2 4 2 5" xfId="15849"/>
    <cellStyle name="Обычный 7 2 2 4 2 6" xfId="15850"/>
    <cellStyle name="Обычный 7 2 2 4 2 7" xfId="15851"/>
    <cellStyle name="Обычный 7 2 2 4 2 8" xfId="15852"/>
    <cellStyle name="Обычный 7 2 2 4 2 9" xfId="15853"/>
    <cellStyle name="Обычный 7 2 2 4 3" xfId="15854"/>
    <cellStyle name="Обычный 7 2 2 4 3 2" xfId="15855"/>
    <cellStyle name="Обычный 7 2 2 4 4" xfId="15856"/>
    <cellStyle name="Обычный 7 2 2 4 5" xfId="15857"/>
    <cellStyle name="Обычный 7 2 2 4 6" xfId="15858"/>
    <cellStyle name="Обычный 7 2 2 4 7" xfId="15859"/>
    <cellStyle name="Обычный 7 2 2 4 8" xfId="15860"/>
    <cellStyle name="Обычный 7 2 2 4 9" xfId="15861"/>
    <cellStyle name="Обычный 7 2 2 5" xfId="15862"/>
    <cellStyle name="Обычный 7 2 2 5 10" xfId="15863"/>
    <cellStyle name="Обычный 7 2 2 5 11" xfId="15864"/>
    <cellStyle name="Обычный 7 2 2 5 12" xfId="19394"/>
    <cellStyle name="Обычный 7 2 2 5 13" xfId="21088"/>
    <cellStyle name="Обычный 7 2 2 5 14" xfId="22700"/>
    <cellStyle name="Обычный 7 2 2 5 2" xfId="15865"/>
    <cellStyle name="Обычный 7 2 2 5 2 10" xfId="15866"/>
    <cellStyle name="Обычный 7 2 2 5 2 11" xfId="19395"/>
    <cellStyle name="Обычный 7 2 2 5 2 12" xfId="21089"/>
    <cellStyle name="Обычный 7 2 2 5 2 13" xfId="22701"/>
    <cellStyle name="Обычный 7 2 2 5 2 2" xfId="15867"/>
    <cellStyle name="Обычный 7 2 2 5 2 2 2" xfId="15868"/>
    <cellStyle name="Обычный 7 2 2 5 2 3" xfId="15869"/>
    <cellStyle name="Обычный 7 2 2 5 2 4" xfId="15870"/>
    <cellStyle name="Обычный 7 2 2 5 2 5" xfId="15871"/>
    <cellStyle name="Обычный 7 2 2 5 2 6" xfId="15872"/>
    <cellStyle name="Обычный 7 2 2 5 2 7" xfId="15873"/>
    <cellStyle name="Обычный 7 2 2 5 2 8" xfId="15874"/>
    <cellStyle name="Обычный 7 2 2 5 2 9" xfId="15875"/>
    <cellStyle name="Обычный 7 2 2 5 3" xfId="15876"/>
    <cellStyle name="Обычный 7 2 2 5 3 2" xfId="15877"/>
    <cellStyle name="Обычный 7 2 2 5 4" xfId="15878"/>
    <cellStyle name="Обычный 7 2 2 5 5" xfId="15879"/>
    <cellStyle name="Обычный 7 2 2 5 6" xfId="15880"/>
    <cellStyle name="Обычный 7 2 2 5 7" xfId="15881"/>
    <cellStyle name="Обычный 7 2 2 5 8" xfId="15882"/>
    <cellStyle name="Обычный 7 2 2 5 9" xfId="15883"/>
    <cellStyle name="Обычный 7 2 2 6" xfId="15884"/>
    <cellStyle name="Обычный 7 2 2 6 10" xfId="15885"/>
    <cellStyle name="Обычный 7 2 2 6 11" xfId="15886"/>
    <cellStyle name="Обычный 7 2 2 6 12" xfId="19396"/>
    <cellStyle name="Обычный 7 2 2 6 13" xfId="21090"/>
    <cellStyle name="Обычный 7 2 2 6 14" xfId="22702"/>
    <cellStyle name="Обычный 7 2 2 6 2" xfId="15887"/>
    <cellStyle name="Обычный 7 2 2 6 2 10" xfId="15888"/>
    <cellStyle name="Обычный 7 2 2 6 2 11" xfId="19397"/>
    <cellStyle name="Обычный 7 2 2 6 2 12" xfId="21091"/>
    <cellStyle name="Обычный 7 2 2 6 2 13" xfId="22703"/>
    <cellStyle name="Обычный 7 2 2 6 2 2" xfId="15889"/>
    <cellStyle name="Обычный 7 2 2 6 2 2 2" xfId="15890"/>
    <cellStyle name="Обычный 7 2 2 6 2 3" xfId="15891"/>
    <cellStyle name="Обычный 7 2 2 6 2 4" xfId="15892"/>
    <cellStyle name="Обычный 7 2 2 6 2 5" xfId="15893"/>
    <cellStyle name="Обычный 7 2 2 6 2 6" xfId="15894"/>
    <cellStyle name="Обычный 7 2 2 6 2 7" xfId="15895"/>
    <cellStyle name="Обычный 7 2 2 6 2 8" xfId="15896"/>
    <cellStyle name="Обычный 7 2 2 6 2 9" xfId="15897"/>
    <cellStyle name="Обычный 7 2 2 6 3" xfId="15898"/>
    <cellStyle name="Обычный 7 2 2 6 3 2" xfId="15899"/>
    <cellStyle name="Обычный 7 2 2 6 4" xfId="15900"/>
    <cellStyle name="Обычный 7 2 2 6 5" xfId="15901"/>
    <cellStyle name="Обычный 7 2 2 6 6" xfId="15902"/>
    <cellStyle name="Обычный 7 2 2 6 7" xfId="15903"/>
    <cellStyle name="Обычный 7 2 2 6 8" xfId="15904"/>
    <cellStyle name="Обычный 7 2 2 6 9" xfId="15905"/>
    <cellStyle name="Обычный 7 2 2 7" xfId="15906"/>
    <cellStyle name="Обычный 7 2 2 7 10" xfId="15907"/>
    <cellStyle name="Обычный 7 2 2 7 11" xfId="15908"/>
    <cellStyle name="Обычный 7 2 2 7 12" xfId="19398"/>
    <cellStyle name="Обычный 7 2 2 7 13" xfId="21092"/>
    <cellStyle name="Обычный 7 2 2 7 14" xfId="22704"/>
    <cellStyle name="Обычный 7 2 2 7 2" xfId="15909"/>
    <cellStyle name="Обычный 7 2 2 7 2 10" xfId="15910"/>
    <cellStyle name="Обычный 7 2 2 7 2 11" xfId="19399"/>
    <cellStyle name="Обычный 7 2 2 7 2 12" xfId="21093"/>
    <cellStyle name="Обычный 7 2 2 7 2 13" xfId="22705"/>
    <cellStyle name="Обычный 7 2 2 7 2 2" xfId="15911"/>
    <cellStyle name="Обычный 7 2 2 7 2 2 2" xfId="15912"/>
    <cellStyle name="Обычный 7 2 2 7 2 3" xfId="15913"/>
    <cellStyle name="Обычный 7 2 2 7 2 4" xfId="15914"/>
    <cellStyle name="Обычный 7 2 2 7 2 5" xfId="15915"/>
    <cellStyle name="Обычный 7 2 2 7 2 6" xfId="15916"/>
    <cellStyle name="Обычный 7 2 2 7 2 7" xfId="15917"/>
    <cellStyle name="Обычный 7 2 2 7 2 8" xfId="15918"/>
    <cellStyle name="Обычный 7 2 2 7 2 9" xfId="15919"/>
    <cellStyle name="Обычный 7 2 2 7 3" xfId="15920"/>
    <cellStyle name="Обычный 7 2 2 7 3 2" xfId="15921"/>
    <cellStyle name="Обычный 7 2 2 7 4" xfId="15922"/>
    <cellStyle name="Обычный 7 2 2 7 5" xfId="15923"/>
    <cellStyle name="Обычный 7 2 2 7 6" xfId="15924"/>
    <cellStyle name="Обычный 7 2 2 7 7" xfId="15925"/>
    <cellStyle name="Обычный 7 2 2 7 8" xfId="15926"/>
    <cellStyle name="Обычный 7 2 2 7 9" xfId="15927"/>
    <cellStyle name="Обычный 7 2 2 8" xfId="15928"/>
    <cellStyle name="Обычный 7 2 2 8 10" xfId="15929"/>
    <cellStyle name="Обычный 7 2 2 8 11" xfId="19400"/>
    <cellStyle name="Обычный 7 2 2 8 12" xfId="21094"/>
    <cellStyle name="Обычный 7 2 2 8 13" xfId="22706"/>
    <cellStyle name="Обычный 7 2 2 8 2" xfId="15930"/>
    <cellStyle name="Обычный 7 2 2 8 2 2" xfId="15931"/>
    <cellStyle name="Обычный 7 2 2 8 3" xfId="15932"/>
    <cellStyle name="Обычный 7 2 2 8 4" xfId="15933"/>
    <cellStyle name="Обычный 7 2 2 8 5" xfId="15934"/>
    <cellStyle name="Обычный 7 2 2 8 6" xfId="15935"/>
    <cellStyle name="Обычный 7 2 2 8 7" xfId="15936"/>
    <cellStyle name="Обычный 7 2 2 8 8" xfId="15937"/>
    <cellStyle name="Обычный 7 2 2 8 9" xfId="15938"/>
    <cellStyle name="Обычный 7 2 2 9" xfId="15939"/>
    <cellStyle name="Обычный 7 2 2 9 10" xfId="21095"/>
    <cellStyle name="Обычный 7 2 2 9 11" xfId="22707"/>
    <cellStyle name="Обычный 7 2 2 9 2" xfId="15940"/>
    <cellStyle name="Обычный 7 2 2 9 2 2" xfId="15941"/>
    <cellStyle name="Обычный 7 2 2 9 3" xfId="15942"/>
    <cellStyle name="Обычный 7 2 2 9 4" xfId="15943"/>
    <cellStyle name="Обычный 7 2 2 9 5" xfId="15944"/>
    <cellStyle name="Обычный 7 2 2 9 6" xfId="15945"/>
    <cellStyle name="Обычный 7 2 2 9 7" xfId="15946"/>
    <cellStyle name="Обычный 7 2 2 9 8" xfId="15947"/>
    <cellStyle name="Обычный 7 2 2 9 9" xfId="19401"/>
    <cellStyle name="Обычный 7 2 20" xfId="15948"/>
    <cellStyle name="Обычный 7 2 21" xfId="15949"/>
    <cellStyle name="Обычный 7 2 22" xfId="15950"/>
    <cellStyle name="Обычный 7 2 23" xfId="15951"/>
    <cellStyle name="Обычный 7 2 24" xfId="19363"/>
    <cellStyle name="Обычный 7 2 25" xfId="19643"/>
    <cellStyle name="Обычный 7 2 26" xfId="21057"/>
    <cellStyle name="Обычный 7 2 27" xfId="22669"/>
    <cellStyle name="Обычный 7 2 3" xfId="15952"/>
    <cellStyle name="Обычный 7 2 3 10" xfId="15953"/>
    <cellStyle name="Обычный 7 2 3 11" xfId="15954"/>
    <cellStyle name="Обычный 7 2 3 12" xfId="15955"/>
    <cellStyle name="Обычный 7 2 3 13" xfId="15956"/>
    <cellStyle name="Обычный 7 2 3 14" xfId="15957"/>
    <cellStyle name="Обычный 7 2 3 15" xfId="15958"/>
    <cellStyle name="Обычный 7 2 3 16" xfId="15959"/>
    <cellStyle name="Обычный 7 2 3 17" xfId="15960"/>
    <cellStyle name="Обычный 7 2 3 18" xfId="19402"/>
    <cellStyle name="Обычный 7 2 3 19" xfId="21096"/>
    <cellStyle name="Обычный 7 2 3 2" xfId="15961"/>
    <cellStyle name="Обычный 7 2 3 2 10" xfId="15962"/>
    <cellStyle name="Обычный 7 2 3 2 11" xfId="15963"/>
    <cellStyle name="Обычный 7 2 3 2 12" xfId="19403"/>
    <cellStyle name="Обычный 7 2 3 2 13" xfId="21097"/>
    <cellStyle name="Обычный 7 2 3 2 14" xfId="22709"/>
    <cellStyle name="Обычный 7 2 3 2 2" xfId="15964"/>
    <cellStyle name="Обычный 7 2 3 2 2 10" xfId="15965"/>
    <cellStyle name="Обычный 7 2 3 2 2 11" xfId="19404"/>
    <cellStyle name="Обычный 7 2 3 2 2 12" xfId="21098"/>
    <cellStyle name="Обычный 7 2 3 2 2 13" xfId="22710"/>
    <cellStyle name="Обычный 7 2 3 2 2 2" xfId="15966"/>
    <cellStyle name="Обычный 7 2 3 2 2 2 2" xfId="15967"/>
    <cellStyle name="Обычный 7 2 3 2 2 3" xfId="15968"/>
    <cellStyle name="Обычный 7 2 3 2 2 4" xfId="15969"/>
    <cellStyle name="Обычный 7 2 3 2 2 5" xfId="15970"/>
    <cellStyle name="Обычный 7 2 3 2 2 6" xfId="15971"/>
    <cellStyle name="Обычный 7 2 3 2 2 7" xfId="15972"/>
    <cellStyle name="Обычный 7 2 3 2 2 8" xfId="15973"/>
    <cellStyle name="Обычный 7 2 3 2 2 9" xfId="15974"/>
    <cellStyle name="Обычный 7 2 3 2 3" xfId="15975"/>
    <cellStyle name="Обычный 7 2 3 2 3 2" xfId="15976"/>
    <cellStyle name="Обычный 7 2 3 2 4" xfId="15977"/>
    <cellStyle name="Обычный 7 2 3 2 5" xfId="15978"/>
    <cellStyle name="Обычный 7 2 3 2 6" xfId="15979"/>
    <cellStyle name="Обычный 7 2 3 2 7" xfId="15980"/>
    <cellStyle name="Обычный 7 2 3 2 8" xfId="15981"/>
    <cellStyle name="Обычный 7 2 3 2 9" xfId="15982"/>
    <cellStyle name="Обычный 7 2 3 20" xfId="22708"/>
    <cellStyle name="Обычный 7 2 3 3" xfId="15983"/>
    <cellStyle name="Обычный 7 2 3 3 10" xfId="15984"/>
    <cellStyle name="Обычный 7 2 3 3 11" xfId="15985"/>
    <cellStyle name="Обычный 7 2 3 3 12" xfId="19405"/>
    <cellStyle name="Обычный 7 2 3 3 13" xfId="21099"/>
    <cellStyle name="Обычный 7 2 3 3 14" xfId="22711"/>
    <cellStyle name="Обычный 7 2 3 3 2" xfId="15986"/>
    <cellStyle name="Обычный 7 2 3 3 2 10" xfId="15987"/>
    <cellStyle name="Обычный 7 2 3 3 2 11" xfId="19406"/>
    <cellStyle name="Обычный 7 2 3 3 2 12" xfId="21100"/>
    <cellStyle name="Обычный 7 2 3 3 2 13" xfId="22712"/>
    <cellStyle name="Обычный 7 2 3 3 2 2" xfId="15988"/>
    <cellStyle name="Обычный 7 2 3 3 2 2 2" xfId="15989"/>
    <cellStyle name="Обычный 7 2 3 3 2 3" xfId="15990"/>
    <cellStyle name="Обычный 7 2 3 3 2 4" xfId="15991"/>
    <cellStyle name="Обычный 7 2 3 3 2 5" xfId="15992"/>
    <cellStyle name="Обычный 7 2 3 3 2 6" xfId="15993"/>
    <cellStyle name="Обычный 7 2 3 3 2 7" xfId="15994"/>
    <cellStyle name="Обычный 7 2 3 3 2 8" xfId="15995"/>
    <cellStyle name="Обычный 7 2 3 3 2 9" xfId="15996"/>
    <cellStyle name="Обычный 7 2 3 3 3" xfId="15997"/>
    <cellStyle name="Обычный 7 2 3 3 3 2" xfId="15998"/>
    <cellStyle name="Обычный 7 2 3 3 4" xfId="15999"/>
    <cellStyle name="Обычный 7 2 3 3 5" xfId="16000"/>
    <cellStyle name="Обычный 7 2 3 3 6" xfId="16001"/>
    <cellStyle name="Обычный 7 2 3 3 7" xfId="16002"/>
    <cellStyle name="Обычный 7 2 3 3 8" xfId="16003"/>
    <cellStyle name="Обычный 7 2 3 3 9" xfId="16004"/>
    <cellStyle name="Обычный 7 2 3 4" xfId="16005"/>
    <cellStyle name="Обычный 7 2 3 4 10" xfId="16006"/>
    <cellStyle name="Обычный 7 2 3 4 11" xfId="16007"/>
    <cellStyle name="Обычный 7 2 3 4 12" xfId="19407"/>
    <cellStyle name="Обычный 7 2 3 4 13" xfId="21101"/>
    <cellStyle name="Обычный 7 2 3 4 14" xfId="22713"/>
    <cellStyle name="Обычный 7 2 3 4 2" xfId="16008"/>
    <cellStyle name="Обычный 7 2 3 4 2 10" xfId="16009"/>
    <cellStyle name="Обычный 7 2 3 4 2 11" xfId="19408"/>
    <cellStyle name="Обычный 7 2 3 4 2 12" xfId="21102"/>
    <cellStyle name="Обычный 7 2 3 4 2 13" xfId="22714"/>
    <cellStyle name="Обычный 7 2 3 4 2 2" xfId="16010"/>
    <cellStyle name="Обычный 7 2 3 4 2 2 2" xfId="16011"/>
    <cellStyle name="Обычный 7 2 3 4 2 3" xfId="16012"/>
    <cellStyle name="Обычный 7 2 3 4 2 4" xfId="16013"/>
    <cellStyle name="Обычный 7 2 3 4 2 5" xfId="16014"/>
    <cellStyle name="Обычный 7 2 3 4 2 6" xfId="16015"/>
    <cellStyle name="Обычный 7 2 3 4 2 7" xfId="16016"/>
    <cellStyle name="Обычный 7 2 3 4 2 8" xfId="16017"/>
    <cellStyle name="Обычный 7 2 3 4 2 9" xfId="16018"/>
    <cellStyle name="Обычный 7 2 3 4 3" xfId="16019"/>
    <cellStyle name="Обычный 7 2 3 4 3 2" xfId="16020"/>
    <cellStyle name="Обычный 7 2 3 4 4" xfId="16021"/>
    <cellStyle name="Обычный 7 2 3 4 5" xfId="16022"/>
    <cellStyle name="Обычный 7 2 3 4 6" xfId="16023"/>
    <cellStyle name="Обычный 7 2 3 4 7" xfId="16024"/>
    <cellStyle name="Обычный 7 2 3 4 8" xfId="16025"/>
    <cellStyle name="Обычный 7 2 3 4 9" xfId="16026"/>
    <cellStyle name="Обычный 7 2 3 5" xfId="16027"/>
    <cellStyle name="Обычный 7 2 3 5 10" xfId="16028"/>
    <cellStyle name="Обычный 7 2 3 5 11" xfId="16029"/>
    <cellStyle name="Обычный 7 2 3 5 12" xfId="19409"/>
    <cellStyle name="Обычный 7 2 3 5 13" xfId="21103"/>
    <cellStyle name="Обычный 7 2 3 5 14" xfId="22715"/>
    <cellStyle name="Обычный 7 2 3 5 2" xfId="16030"/>
    <cellStyle name="Обычный 7 2 3 5 2 10" xfId="16031"/>
    <cellStyle name="Обычный 7 2 3 5 2 11" xfId="19410"/>
    <cellStyle name="Обычный 7 2 3 5 2 12" xfId="21104"/>
    <cellStyle name="Обычный 7 2 3 5 2 13" xfId="22716"/>
    <cellStyle name="Обычный 7 2 3 5 2 2" xfId="16032"/>
    <cellStyle name="Обычный 7 2 3 5 2 2 2" xfId="16033"/>
    <cellStyle name="Обычный 7 2 3 5 2 3" xfId="16034"/>
    <cellStyle name="Обычный 7 2 3 5 2 4" xfId="16035"/>
    <cellStyle name="Обычный 7 2 3 5 2 5" xfId="16036"/>
    <cellStyle name="Обычный 7 2 3 5 2 6" xfId="16037"/>
    <cellStyle name="Обычный 7 2 3 5 2 7" xfId="16038"/>
    <cellStyle name="Обычный 7 2 3 5 2 8" xfId="16039"/>
    <cellStyle name="Обычный 7 2 3 5 2 9" xfId="16040"/>
    <cellStyle name="Обычный 7 2 3 5 3" xfId="16041"/>
    <cellStyle name="Обычный 7 2 3 5 3 2" xfId="16042"/>
    <cellStyle name="Обычный 7 2 3 5 4" xfId="16043"/>
    <cellStyle name="Обычный 7 2 3 5 5" xfId="16044"/>
    <cellStyle name="Обычный 7 2 3 5 6" xfId="16045"/>
    <cellStyle name="Обычный 7 2 3 5 7" xfId="16046"/>
    <cellStyle name="Обычный 7 2 3 5 8" xfId="16047"/>
    <cellStyle name="Обычный 7 2 3 5 9" xfId="16048"/>
    <cellStyle name="Обычный 7 2 3 6" xfId="16049"/>
    <cellStyle name="Обычный 7 2 3 6 10" xfId="16050"/>
    <cellStyle name="Обычный 7 2 3 6 11" xfId="19411"/>
    <cellStyle name="Обычный 7 2 3 6 12" xfId="21105"/>
    <cellStyle name="Обычный 7 2 3 6 13" xfId="22717"/>
    <cellStyle name="Обычный 7 2 3 6 2" xfId="16051"/>
    <cellStyle name="Обычный 7 2 3 6 2 2" xfId="16052"/>
    <cellStyle name="Обычный 7 2 3 6 3" xfId="16053"/>
    <cellStyle name="Обычный 7 2 3 6 4" xfId="16054"/>
    <cellStyle name="Обычный 7 2 3 6 5" xfId="16055"/>
    <cellStyle name="Обычный 7 2 3 6 6" xfId="16056"/>
    <cellStyle name="Обычный 7 2 3 6 7" xfId="16057"/>
    <cellStyle name="Обычный 7 2 3 6 8" xfId="16058"/>
    <cellStyle name="Обычный 7 2 3 6 9" xfId="16059"/>
    <cellStyle name="Обычный 7 2 3 7" xfId="16060"/>
    <cellStyle name="Обычный 7 2 3 7 10" xfId="21106"/>
    <cellStyle name="Обычный 7 2 3 7 11" xfId="22718"/>
    <cellStyle name="Обычный 7 2 3 7 2" xfId="16061"/>
    <cellStyle name="Обычный 7 2 3 7 2 2" xfId="16062"/>
    <cellStyle name="Обычный 7 2 3 7 3" xfId="16063"/>
    <cellStyle name="Обычный 7 2 3 7 4" xfId="16064"/>
    <cellStyle name="Обычный 7 2 3 7 5" xfId="16065"/>
    <cellStyle name="Обычный 7 2 3 7 6" xfId="16066"/>
    <cellStyle name="Обычный 7 2 3 7 7" xfId="16067"/>
    <cellStyle name="Обычный 7 2 3 7 8" xfId="16068"/>
    <cellStyle name="Обычный 7 2 3 7 9" xfId="19412"/>
    <cellStyle name="Обычный 7 2 3 8" xfId="16069"/>
    <cellStyle name="Обычный 7 2 3 8 2" xfId="16070"/>
    <cellStyle name="Обычный 7 2 3 9" xfId="16071"/>
    <cellStyle name="Обычный 7 2 4" xfId="16072"/>
    <cellStyle name="Обычный 7 2 4 10" xfId="16073"/>
    <cellStyle name="Обычный 7 2 4 11" xfId="16074"/>
    <cellStyle name="Обычный 7 2 4 12" xfId="16075"/>
    <cellStyle name="Обычный 7 2 4 13" xfId="16076"/>
    <cellStyle name="Обычный 7 2 4 14" xfId="16077"/>
    <cellStyle name="Обычный 7 2 4 15" xfId="16078"/>
    <cellStyle name="Обычный 7 2 4 16" xfId="16079"/>
    <cellStyle name="Обычный 7 2 4 17" xfId="16080"/>
    <cellStyle name="Обычный 7 2 4 18" xfId="19413"/>
    <cellStyle name="Обычный 7 2 4 19" xfId="21107"/>
    <cellStyle name="Обычный 7 2 4 2" xfId="16081"/>
    <cellStyle name="Обычный 7 2 4 2 10" xfId="16082"/>
    <cellStyle name="Обычный 7 2 4 2 11" xfId="16083"/>
    <cellStyle name="Обычный 7 2 4 2 12" xfId="19414"/>
    <cellStyle name="Обычный 7 2 4 2 13" xfId="21108"/>
    <cellStyle name="Обычный 7 2 4 2 14" xfId="22720"/>
    <cellStyle name="Обычный 7 2 4 2 2" xfId="16084"/>
    <cellStyle name="Обычный 7 2 4 2 2 10" xfId="16085"/>
    <cellStyle name="Обычный 7 2 4 2 2 11" xfId="19415"/>
    <cellStyle name="Обычный 7 2 4 2 2 12" xfId="21109"/>
    <cellStyle name="Обычный 7 2 4 2 2 13" xfId="22721"/>
    <cellStyle name="Обычный 7 2 4 2 2 2" xfId="16086"/>
    <cellStyle name="Обычный 7 2 4 2 2 2 2" xfId="16087"/>
    <cellStyle name="Обычный 7 2 4 2 2 3" xfId="16088"/>
    <cellStyle name="Обычный 7 2 4 2 2 4" xfId="16089"/>
    <cellStyle name="Обычный 7 2 4 2 2 5" xfId="16090"/>
    <cellStyle name="Обычный 7 2 4 2 2 6" xfId="16091"/>
    <cellStyle name="Обычный 7 2 4 2 2 7" xfId="16092"/>
    <cellStyle name="Обычный 7 2 4 2 2 8" xfId="16093"/>
    <cellStyle name="Обычный 7 2 4 2 2 9" xfId="16094"/>
    <cellStyle name="Обычный 7 2 4 2 3" xfId="16095"/>
    <cellStyle name="Обычный 7 2 4 2 3 2" xfId="16096"/>
    <cellStyle name="Обычный 7 2 4 2 4" xfId="16097"/>
    <cellStyle name="Обычный 7 2 4 2 5" xfId="16098"/>
    <cellStyle name="Обычный 7 2 4 2 6" xfId="16099"/>
    <cellStyle name="Обычный 7 2 4 2 7" xfId="16100"/>
    <cellStyle name="Обычный 7 2 4 2 8" xfId="16101"/>
    <cellStyle name="Обычный 7 2 4 2 9" xfId="16102"/>
    <cellStyle name="Обычный 7 2 4 20" xfId="22719"/>
    <cellStyle name="Обычный 7 2 4 3" xfId="16103"/>
    <cellStyle name="Обычный 7 2 4 3 10" xfId="16104"/>
    <cellStyle name="Обычный 7 2 4 3 11" xfId="16105"/>
    <cellStyle name="Обычный 7 2 4 3 12" xfId="19416"/>
    <cellStyle name="Обычный 7 2 4 3 13" xfId="21110"/>
    <cellStyle name="Обычный 7 2 4 3 14" xfId="22722"/>
    <cellStyle name="Обычный 7 2 4 3 2" xfId="16106"/>
    <cellStyle name="Обычный 7 2 4 3 2 10" xfId="16107"/>
    <cellStyle name="Обычный 7 2 4 3 2 11" xfId="19417"/>
    <cellStyle name="Обычный 7 2 4 3 2 12" xfId="21111"/>
    <cellStyle name="Обычный 7 2 4 3 2 13" xfId="22723"/>
    <cellStyle name="Обычный 7 2 4 3 2 2" xfId="16108"/>
    <cellStyle name="Обычный 7 2 4 3 2 2 2" xfId="16109"/>
    <cellStyle name="Обычный 7 2 4 3 2 3" xfId="16110"/>
    <cellStyle name="Обычный 7 2 4 3 2 4" xfId="16111"/>
    <cellStyle name="Обычный 7 2 4 3 2 5" xfId="16112"/>
    <cellStyle name="Обычный 7 2 4 3 2 6" xfId="16113"/>
    <cellStyle name="Обычный 7 2 4 3 2 7" xfId="16114"/>
    <cellStyle name="Обычный 7 2 4 3 2 8" xfId="16115"/>
    <cellStyle name="Обычный 7 2 4 3 2 9" xfId="16116"/>
    <cellStyle name="Обычный 7 2 4 3 3" xfId="16117"/>
    <cellStyle name="Обычный 7 2 4 3 3 2" xfId="16118"/>
    <cellStyle name="Обычный 7 2 4 3 4" xfId="16119"/>
    <cellStyle name="Обычный 7 2 4 3 5" xfId="16120"/>
    <cellStyle name="Обычный 7 2 4 3 6" xfId="16121"/>
    <cellStyle name="Обычный 7 2 4 3 7" xfId="16122"/>
    <cellStyle name="Обычный 7 2 4 3 8" xfId="16123"/>
    <cellStyle name="Обычный 7 2 4 3 9" xfId="16124"/>
    <cellStyle name="Обычный 7 2 4 4" xfId="16125"/>
    <cellStyle name="Обычный 7 2 4 4 10" xfId="16126"/>
    <cellStyle name="Обычный 7 2 4 4 11" xfId="16127"/>
    <cellStyle name="Обычный 7 2 4 4 12" xfId="19418"/>
    <cellStyle name="Обычный 7 2 4 4 13" xfId="21112"/>
    <cellStyle name="Обычный 7 2 4 4 14" xfId="22724"/>
    <cellStyle name="Обычный 7 2 4 4 2" xfId="16128"/>
    <cellStyle name="Обычный 7 2 4 4 2 10" xfId="16129"/>
    <cellStyle name="Обычный 7 2 4 4 2 11" xfId="19419"/>
    <cellStyle name="Обычный 7 2 4 4 2 12" xfId="21113"/>
    <cellStyle name="Обычный 7 2 4 4 2 13" xfId="22725"/>
    <cellStyle name="Обычный 7 2 4 4 2 2" xfId="16130"/>
    <cellStyle name="Обычный 7 2 4 4 2 2 2" xfId="16131"/>
    <cellStyle name="Обычный 7 2 4 4 2 3" xfId="16132"/>
    <cellStyle name="Обычный 7 2 4 4 2 4" xfId="16133"/>
    <cellStyle name="Обычный 7 2 4 4 2 5" xfId="16134"/>
    <cellStyle name="Обычный 7 2 4 4 2 6" xfId="16135"/>
    <cellStyle name="Обычный 7 2 4 4 2 7" xfId="16136"/>
    <cellStyle name="Обычный 7 2 4 4 2 8" xfId="16137"/>
    <cellStyle name="Обычный 7 2 4 4 2 9" xfId="16138"/>
    <cellStyle name="Обычный 7 2 4 4 3" xfId="16139"/>
    <cellStyle name="Обычный 7 2 4 4 3 2" xfId="16140"/>
    <cellStyle name="Обычный 7 2 4 4 4" xfId="16141"/>
    <cellStyle name="Обычный 7 2 4 4 5" xfId="16142"/>
    <cellStyle name="Обычный 7 2 4 4 6" xfId="16143"/>
    <cellStyle name="Обычный 7 2 4 4 7" xfId="16144"/>
    <cellStyle name="Обычный 7 2 4 4 8" xfId="16145"/>
    <cellStyle name="Обычный 7 2 4 4 9" xfId="16146"/>
    <cellStyle name="Обычный 7 2 4 5" xfId="16147"/>
    <cellStyle name="Обычный 7 2 4 5 10" xfId="16148"/>
    <cellStyle name="Обычный 7 2 4 5 11" xfId="16149"/>
    <cellStyle name="Обычный 7 2 4 5 12" xfId="19420"/>
    <cellStyle name="Обычный 7 2 4 5 13" xfId="21114"/>
    <cellStyle name="Обычный 7 2 4 5 14" xfId="22726"/>
    <cellStyle name="Обычный 7 2 4 5 2" xfId="16150"/>
    <cellStyle name="Обычный 7 2 4 5 2 10" xfId="16151"/>
    <cellStyle name="Обычный 7 2 4 5 2 11" xfId="19421"/>
    <cellStyle name="Обычный 7 2 4 5 2 12" xfId="21115"/>
    <cellStyle name="Обычный 7 2 4 5 2 13" xfId="22727"/>
    <cellStyle name="Обычный 7 2 4 5 2 2" xfId="16152"/>
    <cellStyle name="Обычный 7 2 4 5 2 2 2" xfId="16153"/>
    <cellStyle name="Обычный 7 2 4 5 2 3" xfId="16154"/>
    <cellStyle name="Обычный 7 2 4 5 2 4" xfId="16155"/>
    <cellStyle name="Обычный 7 2 4 5 2 5" xfId="16156"/>
    <cellStyle name="Обычный 7 2 4 5 2 6" xfId="16157"/>
    <cellStyle name="Обычный 7 2 4 5 2 7" xfId="16158"/>
    <cellStyle name="Обычный 7 2 4 5 2 8" xfId="16159"/>
    <cellStyle name="Обычный 7 2 4 5 2 9" xfId="16160"/>
    <cellStyle name="Обычный 7 2 4 5 3" xfId="16161"/>
    <cellStyle name="Обычный 7 2 4 5 3 2" xfId="16162"/>
    <cellStyle name="Обычный 7 2 4 5 4" xfId="16163"/>
    <cellStyle name="Обычный 7 2 4 5 5" xfId="16164"/>
    <cellStyle name="Обычный 7 2 4 5 6" xfId="16165"/>
    <cellStyle name="Обычный 7 2 4 5 7" xfId="16166"/>
    <cellStyle name="Обычный 7 2 4 5 8" xfId="16167"/>
    <cellStyle name="Обычный 7 2 4 5 9" xfId="16168"/>
    <cellStyle name="Обычный 7 2 4 6" xfId="16169"/>
    <cellStyle name="Обычный 7 2 4 6 10" xfId="16170"/>
    <cellStyle name="Обычный 7 2 4 6 11" xfId="19422"/>
    <cellStyle name="Обычный 7 2 4 6 12" xfId="21116"/>
    <cellStyle name="Обычный 7 2 4 6 13" xfId="22728"/>
    <cellStyle name="Обычный 7 2 4 6 2" xfId="16171"/>
    <cellStyle name="Обычный 7 2 4 6 2 2" xfId="16172"/>
    <cellStyle name="Обычный 7 2 4 6 3" xfId="16173"/>
    <cellStyle name="Обычный 7 2 4 6 4" xfId="16174"/>
    <cellStyle name="Обычный 7 2 4 6 5" xfId="16175"/>
    <cellStyle name="Обычный 7 2 4 6 6" xfId="16176"/>
    <cellStyle name="Обычный 7 2 4 6 7" xfId="16177"/>
    <cellStyle name="Обычный 7 2 4 6 8" xfId="16178"/>
    <cellStyle name="Обычный 7 2 4 6 9" xfId="16179"/>
    <cellStyle name="Обычный 7 2 4 7" xfId="16180"/>
    <cellStyle name="Обычный 7 2 4 7 10" xfId="21117"/>
    <cellStyle name="Обычный 7 2 4 7 11" xfId="22729"/>
    <cellStyle name="Обычный 7 2 4 7 2" xfId="16181"/>
    <cellStyle name="Обычный 7 2 4 7 2 2" xfId="16182"/>
    <cellStyle name="Обычный 7 2 4 7 3" xfId="16183"/>
    <cellStyle name="Обычный 7 2 4 7 4" xfId="16184"/>
    <cellStyle name="Обычный 7 2 4 7 5" xfId="16185"/>
    <cellStyle name="Обычный 7 2 4 7 6" xfId="16186"/>
    <cellStyle name="Обычный 7 2 4 7 7" xfId="16187"/>
    <cellStyle name="Обычный 7 2 4 7 8" xfId="16188"/>
    <cellStyle name="Обычный 7 2 4 7 9" xfId="19423"/>
    <cellStyle name="Обычный 7 2 4 8" xfId="16189"/>
    <cellStyle name="Обычный 7 2 4 8 2" xfId="16190"/>
    <cellStyle name="Обычный 7 2 4 9" xfId="16191"/>
    <cellStyle name="Обычный 7 2 5" xfId="16192"/>
    <cellStyle name="Обычный 7 2 5 10" xfId="16193"/>
    <cellStyle name="Обычный 7 2 5 11" xfId="16194"/>
    <cellStyle name="Обычный 7 2 5 12" xfId="19424"/>
    <cellStyle name="Обычный 7 2 5 13" xfId="21118"/>
    <cellStyle name="Обычный 7 2 5 14" xfId="22730"/>
    <cellStyle name="Обычный 7 2 5 2" xfId="16195"/>
    <cellStyle name="Обычный 7 2 5 2 10" xfId="16196"/>
    <cellStyle name="Обычный 7 2 5 2 11" xfId="19425"/>
    <cellStyle name="Обычный 7 2 5 2 12" xfId="21119"/>
    <cellStyle name="Обычный 7 2 5 2 13" xfId="22731"/>
    <cellStyle name="Обычный 7 2 5 2 2" xfId="16197"/>
    <cellStyle name="Обычный 7 2 5 2 2 2" xfId="16198"/>
    <cellStyle name="Обычный 7 2 5 2 3" xfId="16199"/>
    <cellStyle name="Обычный 7 2 5 2 4" xfId="16200"/>
    <cellStyle name="Обычный 7 2 5 2 5" xfId="16201"/>
    <cellStyle name="Обычный 7 2 5 2 6" xfId="16202"/>
    <cellStyle name="Обычный 7 2 5 2 7" xfId="16203"/>
    <cellStyle name="Обычный 7 2 5 2 8" xfId="16204"/>
    <cellStyle name="Обычный 7 2 5 2 9" xfId="16205"/>
    <cellStyle name="Обычный 7 2 5 3" xfId="16206"/>
    <cellStyle name="Обычный 7 2 5 3 2" xfId="16207"/>
    <cellStyle name="Обычный 7 2 5 4" xfId="16208"/>
    <cellStyle name="Обычный 7 2 5 5" xfId="16209"/>
    <cellStyle name="Обычный 7 2 5 6" xfId="16210"/>
    <cellStyle name="Обычный 7 2 5 7" xfId="16211"/>
    <cellStyle name="Обычный 7 2 5 8" xfId="16212"/>
    <cellStyle name="Обычный 7 2 5 9" xfId="16213"/>
    <cellStyle name="Обычный 7 2 6" xfId="16214"/>
    <cellStyle name="Обычный 7 2 6 10" xfId="16215"/>
    <cellStyle name="Обычный 7 2 6 11" xfId="16216"/>
    <cellStyle name="Обычный 7 2 6 12" xfId="19426"/>
    <cellStyle name="Обычный 7 2 6 13" xfId="21120"/>
    <cellStyle name="Обычный 7 2 6 14" xfId="22732"/>
    <cellStyle name="Обычный 7 2 6 2" xfId="16217"/>
    <cellStyle name="Обычный 7 2 6 2 10" xfId="16218"/>
    <cellStyle name="Обычный 7 2 6 2 11" xfId="19427"/>
    <cellStyle name="Обычный 7 2 6 2 12" xfId="21121"/>
    <cellStyle name="Обычный 7 2 6 2 13" xfId="22733"/>
    <cellStyle name="Обычный 7 2 6 2 2" xfId="16219"/>
    <cellStyle name="Обычный 7 2 6 2 2 2" xfId="16220"/>
    <cellStyle name="Обычный 7 2 6 2 3" xfId="16221"/>
    <cellStyle name="Обычный 7 2 6 2 4" xfId="16222"/>
    <cellStyle name="Обычный 7 2 6 2 5" xfId="16223"/>
    <cellStyle name="Обычный 7 2 6 2 6" xfId="16224"/>
    <cellStyle name="Обычный 7 2 6 2 7" xfId="16225"/>
    <cellStyle name="Обычный 7 2 6 2 8" xfId="16226"/>
    <cellStyle name="Обычный 7 2 6 2 9" xfId="16227"/>
    <cellStyle name="Обычный 7 2 6 3" xfId="16228"/>
    <cellStyle name="Обычный 7 2 6 3 2" xfId="16229"/>
    <cellStyle name="Обычный 7 2 6 4" xfId="16230"/>
    <cellStyle name="Обычный 7 2 6 5" xfId="16231"/>
    <cellStyle name="Обычный 7 2 6 6" xfId="16232"/>
    <cellStyle name="Обычный 7 2 6 7" xfId="16233"/>
    <cellStyle name="Обычный 7 2 6 8" xfId="16234"/>
    <cellStyle name="Обычный 7 2 6 9" xfId="16235"/>
    <cellStyle name="Обычный 7 2 7" xfId="16236"/>
    <cellStyle name="Обычный 7 2 7 10" xfId="16237"/>
    <cellStyle name="Обычный 7 2 7 11" xfId="16238"/>
    <cellStyle name="Обычный 7 2 7 12" xfId="19428"/>
    <cellStyle name="Обычный 7 2 7 13" xfId="21122"/>
    <cellStyle name="Обычный 7 2 7 14" xfId="22734"/>
    <cellStyle name="Обычный 7 2 7 2" xfId="16239"/>
    <cellStyle name="Обычный 7 2 7 2 10" xfId="16240"/>
    <cellStyle name="Обычный 7 2 7 2 11" xfId="19429"/>
    <cellStyle name="Обычный 7 2 7 2 12" xfId="21123"/>
    <cellStyle name="Обычный 7 2 7 2 13" xfId="22735"/>
    <cellStyle name="Обычный 7 2 7 2 2" xfId="16241"/>
    <cellStyle name="Обычный 7 2 7 2 2 2" xfId="16242"/>
    <cellStyle name="Обычный 7 2 7 2 3" xfId="16243"/>
    <cellStyle name="Обычный 7 2 7 2 4" xfId="16244"/>
    <cellStyle name="Обычный 7 2 7 2 5" xfId="16245"/>
    <cellStyle name="Обычный 7 2 7 2 6" xfId="16246"/>
    <cellStyle name="Обычный 7 2 7 2 7" xfId="16247"/>
    <cellStyle name="Обычный 7 2 7 2 8" xfId="16248"/>
    <cellStyle name="Обычный 7 2 7 2 9" xfId="16249"/>
    <cellStyle name="Обычный 7 2 7 3" xfId="16250"/>
    <cellStyle name="Обычный 7 2 7 3 2" xfId="16251"/>
    <cellStyle name="Обычный 7 2 7 4" xfId="16252"/>
    <cellStyle name="Обычный 7 2 7 5" xfId="16253"/>
    <cellStyle name="Обычный 7 2 7 6" xfId="16254"/>
    <cellStyle name="Обычный 7 2 7 7" xfId="16255"/>
    <cellStyle name="Обычный 7 2 7 8" xfId="16256"/>
    <cellStyle name="Обычный 7 2 7 9" xfId="16257"/>
    <cellStyle name="Обычный 7 2 8" xfId="16258"/>
    <cellStyle name="Обычный 7 2 8 10" xfId="16259"/>
    <cellStyle name="Обычный 7 2 8 11" xfId="16260"/>
    <cellStyle name="Обычный 7 2 8 12" xfId="19430"/>
    <cellStyle name="Обычный 7 2 8 13" xfId="21124"/>
    <cellStyle name="Обычный 7 2 8 14" xfId="22736"/>
    <cellStyle name="Обычный 7 2 8 2" xfId="16261"/>
    <cellStyle name="Обычный 7 2 8 2 10" xfId="16262"/>
    <cellStyle name="Обычный 7 2 8 2 11" xfId="19431"/>
    <cellStyle name="Обычный 7 2 8 2 12" xfId="21125"/>
    <cellStyle name="Обычный 7 2 8 2 13" xfId="22737"/>
    <cellStyle name="Обычный 7 2 8 2 2" xfId="16263"/>
    <cellStyle name="Обычный 7 2 8 2 2 2" xfId="16264"/>
    <cellStyle name="Обычный 7 2 8 2 3" xfId="16265"/>
    <cellStyle name="Обычный 7 2 8 2 4" xfId="16266"/>
    <cellStyle name="Обычный 7 2 8 2 5" xfId="16267"/>
    <cellStyle name="Обычный 7 2 8 2 6" xfId="16268"/>
    <cellStyle name="Обычный 7 2 8 2 7" xfId="16269"/>
    <cellStyle name="Обычный 7 2 8 2 8" xfId="16270"/>
    <cellStyle name="Обычный 7 2 8 2 9" xfId="16271"/>
    <cellStyle name="Обычный 7 2 8 3" xfId="16272"/>
    <cellStyle name="Обычный 7 2 8 3 2" xfId="16273"/>
    <cellStyle name="Обычный 7 2 8 4" xfId="16274"/>
    <cellStyle name="Обычный 7 2 8 5" xfId="16275"/>
    <cellStyle name="Обычный 7 2 8 6" xfId="16276"/>
    <cellStyle name="Обычный 7 2 8 7" xfId="16277"/>
    <cellStyle name="Обычный 7 2 8 8" xfId="16278"/>
    <cellStyle name="Обычный 7 2 8 9" xfId="16279"/>
    <cellStyle name="Обычный 7 2 9" xfId="16280"/>
    <cellStyle name="Обычный 7 2 9 10" xfId="16281"/>
    <cellStyle name="Обычный 7 2 9 11" xfId="16282"/>
    <cellStyle name="Обычный 7 2 9 12" xfId="19432"/>
    <cellStyle name="Обычный 7 2 9 13" xfId="21126"/>
    <cellStyle name="Обычный 7 2 9 14" xfId="22738"/>
    <cellStyle name="Обычный 7 2 9 2" xfId="16283"/>
    <cellStyle name="Обычный 7 2 9 2 10" xfId="16284"/>
    <cellStyle name="Обычный 7 2 9 2 11" xfId="19433"/>
    <cellStyle name="Обычный 7 2 9 2 12" xfId="21127"/>
    <cellStyle name="Обычный 7 2 9 2 13" xfId="22739"/>
    <cellStyle name="Обычный 7 2 9 2 2" xfId="16285"/>
    <cellStyle name="Обычный 7 2 9 2 2 2" xfId="16286"/>
    <cellStyle name="Обычный 7 2 9 2 3" xfId="16287"/>
    <cellStyle name="Обычный 7 2 9 2 4" xfId="16288"/>
    <cellStyle name="Обычный 7 2 9 2 5" xfId="16289"/>
    <cellStyle name="Обычный 7 2 9 2 6" xfId="16290"/>
    <cellStyle name="Обычный 7 2 9 2 7" xfId="16291"/>
    <cellStyle name="Обычный 7 2 9 2 8" xfId="16292"/>
    <cellStyle name="Обычный 7 2 9 2 9" xfId="16293"/>
    <cellStyle name="Обычный 7 2 9 3" xfId="16294"/>
    <cellStyle name="Обычный 7 2 9 3 2" xfId="16295"/>
    <cellStyle name="Обычный 7 2 9 4" xfId="16296"/>
    <cellStyle name="Обычный 7 2 9 5" xfId="16297"/>
    <cellStyle name="Обычный 7 2 9 6" xfId="16298"/>
    <cellStyle name="Обычный 7 2 9 7" xfId="16299"/>
    <cellStyle name="Обычный 7 2 9 8" xfId="16300"/>
    <cellStyle name="Обычный 7 2 9 9" xfId="16301"/>
    <cellStyle name="Обычный 7 20" xfId="16302"/>
    <cellStyle name="Обычный 7 21" xfId="16303"/>
    <cellStyle name="Обычный 7 22" xfId="16304"/>
    <cellStyle name="Обычный 7 23" xfId="16305"/>
    <cellStyle name="Обычный 7 24" xfId="16306"/>
    <cellStyle name="Обычный 7 25" xfId="16307"/>
    <cellStyle name="Обычный 7 26" xfId="16308"/>
    <cellStyle name="Обычный 7 27" xfId="16309"/>
    <cellStyle name="Обычный 7 28" xfId="19349"/>
    <cellStyle name="Обычный 7 29" xfId="19642"/>
    <cellStyle name="Обычный 7 3" xfId="16310"/>
    <cellStyle name="Обычный 7 3 10" xfId="16311"/>
    <cellStyle name="Обычный 7 3 10 10" xfId="16312"/>
    <cellStyle name="Обычный 7 3 10 11" xfId="16313"/>
    <cellStyle name="Обычный 7 3 10 12" xfId="19435"/>
    <cellStyle name="Обычный 7 3 10 13" xfId="21129"/>
    <cellStyle name="Обычный 7 3 10 14" xfId="22741"/>
    <cellStyle name="Обычный 7 3 10 2" xfId="16314"/>
    <cellStyle name="Обычный 7 3 10 2 10" xfId="16315"/>
    <cellStyle name="Обычный 7 3 10 2 11" xfId="19436"/>
    <cellStyle name="Обычный 7 3 10 2 12" xfId="21130"/>
    <cellStyle name="Обычный 7 3 10 2 13" xfId="22742"/>
    <cellStyle name="Обычный 7 3 10 2 2" xfId="16316"/>
    <cellStyle name="Обычный 7 3 10 2 2 2" xfId="16317"/>
    <cellStyle name="Обычный 7 3 10 2 3" xfId="16318"/>
    <cellStyle name="Обычный 7 3 10 2 4" xfId="16319"/>
    <cellStyle name="Обычный 7 3 10 2 5" xfId="16320"/>
    <cellStyle name="Обычный 7 3 10 2 6" xfId="16321"/>
    <cellStyle name="Обычный 7 3 10 2 7" xfId="16322"/>
    <cellStyle name="Обычный 7 3 10 2 8" xfId="16323"/>
    <cellStyle name="Обычный 7 3 10 2 9" xfId="16324"/>
    <cellStyle name="Обычный 7 3 10 3" xfId="16325"/>
    <cellStyle name="Обычный 7 3 10 3 2" xfId="16326"/>
    <cellStyle name="Обычный 7 3 10 4" xfId="16327"/>
    <cellStyle name="Обычный 7 3 10 5" xfId="16328"/>
    <cellStyle name="Обычный 7 3 10 6" xfId="16329"/>
    <cellStyle name="Обычный 7 3 10 7" xfId="16330"/>
    <cellStyle name="Обычный 7 3 10 8" xfId="16331"/>
    <cellStyle name="Обычный 7 3 10 9" xfId="16332"/>
    <cellStyle name="Обычный 7 3 11" xfId="16333"/>
    <cellStyle name="Обычный 7 3 11 10" xfId="16334"/>
    <cellStyle name="Обычный 7 3 11 11" xfId="19437"/>
    <cellStyle name="Обычный 7 3 11 12" xfId="21131"/>
    <cellStyle name="Обычный 7 3 11 13" xfId="22743"/>
    <cellStyle name="Обычный 7 3 11 2" xfId="16335"/>
    <cellStyle name="Обычный 7 3 11 2 2" xfId="16336"/>
    <cellStyle name="Обычный 7 3 11 3" xfId="16337"/>
    <cellStyle name="Обычный 7 3 11 4" xfId="16338"/>
    <cellStyle name="Обычный 7 3 11 5" xfId="16339"/>
    <cellStyle name="Обычный 7 3 11 6" xfId="16340"/>
    <cellStyle name="Обычный 7 3 11 7" xfId="16341"/>
    <cellStyle name="Обычный 7 3 11 8" xfId="16342"/>
    <cellStyle name="Обычный 7 3 11 9" xfId="16343"/>
    <cellStyle name="Обычный 7 3 12" xfId="16344"/>
    <cellStyle name="Обычный 7 3 12 10" xfId="21132"/>
    <cellStyle name="Обычный 7 3 12 11" xfId="22744"/>
    <cellStyle name="Обычный 7 3 12 2" xfId="16345"/>
    <cellStyle name="Обычный 7 3 12 2 2" xfId="16346"/>
    <cellStyle name="Обычный 7 3 12 3" xfId="16347"/>
    <cellStyle name="Обычный 7 3 12 4" xfId="16348"/>
    <cellStyle name="Обычный 7 3 12 5" xfId="16349"/>
    <cellStyle name="Обычный 7 3 12 6" xfId="16350"/>
    <cellStyle name="Обычный 7 3 12 7" xfId="16351"/>
    <cellStyle name="Обычный 7 3 12 8" xfId="16352"/>
    <cellStyle name="Обычный 7 3 12 9" xfId="19438"/>
    <cellStyle name="Обычный 7 3 13" xfId="16353"/>
    <cellStyle name="Обычный 7 3 13 10" xfId="21133"/>
    <cellStyle name="Обычный 7 3 13 11" xfId="22745"/>
    <cellStyle name="Обычный 7 3 13 2" xfId="16354"/>
    <cellStyle name="Обычный 7 3 13 2 2" xfId="16355"/>
    <cellStyle name="Обычный 7 3 13 3" xfId="16356"/>
    <cellStyle name="Обычный 7 3 13 4" xfId="16357"/>
    <cellStyle name="Обычный 7 3 13 5" xfId="16358"/>
    <cellStyle name="Обычный 7 3 13 6" xfId="16359"/>
    <cellStyle name="Обычный 7 3 13 7" xfId="16360"/>
    <cellStyle name="Обычный 7 3 13 8" xfId="16361"/>
    <cellStyle name="Обычный 7 3 13 9" xfId="19439"/>
    <cellStyle name="Обычный 7 3 14" xfId="16362"/>
    <cellStyle name="Обычный 7 3 14 2" xfId="16363"/>
    <cellStyle name="Обычный 7 3 15" xfId="16364"/>
    <cellStyle name="Обычный 7 3 16" xfId="16365"/>
    <cellStyle name="Обычный 7 3 17" xfId="16366"/>
    <cellStyle name="Обычный 7 3 18" xfId="16367"/>
    <cellStyle name="Обычный 7 3 19" xfId="16368"/>
    <cellStyle name="Обычный 7 3 2" xfId="16369"/>
    <cellStyle name="Обычный 7 3 2 10" xfId="16370"/>
    <cellStyle name="Обычный 7 3 2 10 2" xfId="16371"/>
    <cellStyle name="Обычный 7 3 2 11" xfId="16372"/>
    <cellStyle name="Обычный 7 3 2 12" xfId="16373"/>
    <cellStyle name="Обычный 7 3 2 13" xfId="16374"/>
    <cellStyle name="Обычный 7 3 2 14" xfId="16375"/>
    <cellStyle name="Обычный 7 3 2 15" xfId="16376"/>
    <cellStyle name="Обычный 7 3 2 16" xfId="16377"/>
    <cellStyle name="Обычный 7 3 2 17" xfId="16378"/>
    <cellStyle name="Обычный 7 3 2 18" xfId="16379"/>
    <cellStyle name="Обычный 7 3 2 19" xfId="16380"/>
    <cellStyle name="Обычный 7 3 2 2" xfId="16381"/>
    <cellStyle name="Обычный 7 3 2 2 10" xfId="16382"/>
    <cellStyle name="Обычный 7 3 2 2 11" xfId="16383"/>
    <cellStyle name="Обычный 7 3 2 2 12" xfId="16384"/>
    <cellStyle name="Обычный 7 3 2 2 13" xfId="16385"/>
    <cellStyle name="Обычный 7 3 2 2 14" xfId="16386"/>
    <cellStyle name="Обычный 7 3 2 2 15" xfId="16387"/>
    <cellStyle name="Обычный 7 3 2 2 16" xfId="16388"/>
    <cellStyle name="Обычный 7 3 2 2 17" xfId="16389"/>
    <cellStyle name="Обычный 7 3 2 2 18" xfId="19441"/>
    <cellStyle name="Обычный 7 3 2 2 19" xfId="21135"/>
    <cellStyle name="Обычный 7 3 2 2 2" xfId="16390"/>
    <cellStyle name="Обычный 7 3 2 2 2 10" xfId="16391"/>
    <cellStyle name="Обычный 7 3 2 2 2 11" xfId="16392"/>
    <cellStyle name="Обычный 7 3 2 2 2 12" xfId="19442"/>
    <cellStyle name="Обычный 7 3 2 2 2 13" xfId="21136"/>
    <cellStyle name="Обычный 7 3 2 2 2 14" xfId="22748"/>
    <cellStyle name="Обычный 7 3 2 2 2 2" xfId="16393"/>
    <cellStyle name="Обычный 7 3 2 2 2 2 10" xfId="16394"/>
    <cellStyle name="Обычный 7 3 2 2 2 2 11" xfId="19443"/>
    <cellStyle name="Обычный 7 3 2 2 2 2 12" xfId="21137"/>
    <cellStyle name="Обычный 7 3 2 2 2 2 13" xfId="22749"/>
    <cellStyle name="Обычный 7 3 2 2 2 2 2" xfId="16395"/>
    <cellStyle name="Обычный 7 3 2 2 2 2 2 2" xfId="16396"/>
    <cellStyle name="Обычный 7 3 2 2 2 2 3" xfId="16397"/>
    <cellStyle name="Обычный 7 3 2 2 2 2 4" xfId="16398"/>
    <cellStyle name="Обычный 7 3 2 2 2 2 5" xfId="16399"/>
    <cellStyle name="Обычный 7 3 2 2 2 2 6" xfId="16400"/>
    <cellStyle name="Обычный 7 3 2 2 2 2 7" xfId="16401"/>
    <cellStyle name="Обычный 7 3 2 2 2 2 8" xfId="16402"/>
    <cellStyle name="Обычный 7 3 2 2 2 2 9" xfId="16403"/>
    <cellStyle name="Обычный 7 3 2 2 2 3" xfId="16404"/>
    <cellStyle name="Обычный 7 3 2 2 2 3 2" xfId="16405"/>
    <cellStyle name="Обычный 7 3 2 2 2 4" xfId="16406"/>
    <cellStyle name="Обычный 7 3 2 2 2 5" xfId="16407"/>
    <cellStyle name="Обычный 7 3 2 2 2 6" xfId="16408"/>
    <cellStyle name="Обычный 7 3 2 2 2 7" xfId="16409"/>
    <cellStyle name="Обычный 7 3 2 2 2 8" xfId="16410"/>
    <cellStyle name="Обычный 7 3 2 2 2 9" xfId="16411"/>
    <cellStyle name="Обычный 7 3 2 2 20" xfId="22747"/>
    <cellStyle name="Обычный 7 3 2 2 3" xfId="16412"/>
    <cellStyle name="Обычный 7 3 2 2 3 10" xfId="16413"/>
    <cellStyle name="Обычный 7 3 2 2 3 11" xfId="16414"/>
    <cellStyle name="Обычный 7 3 2 2 3 12" xfId="19444"/>
    <cellStyle name="Обычный 7 3 2 2 3 13" xfId="21138"/>
    <cellStyle name="Обычный 7 3 2 2 3 14" xfId="22750"/>
    <cellStyle name="Обычный 7 3 2 2 3 2" xfId="16415"/>
    <cellStyle name="Обычный 7 3 2 2 3 2 10" xfId="16416"/>
    <cellStyle name="Обычный 7 3 2 2 3 2 11" xfId="19445"/>
    <cellStyle name="Обычный 7 3 2 2 3 2 12" xfId="21139"/>
    <cellStyle name="Обычный 7 3 2 2 3 2 13" xfId="22751"/>
    <cellStyle name="Обычный 7 3 2 2 3 2 2" xfId="16417"/>
    <cellStyle name="Обычный 7 3 2 2 3 2 2 2" xfId="16418"/>
    <cellStyle name="Обычный 7 3 2 2 3 2 3" xfId="16419"/>
    <cellStyle name="Обычный 7 3 2 2 3 2 4" xfId="16420"/>
    <cellStyle name="Обычный 7 3 2 2 3 2 5" xfId="16421"/>
    <cellStyle name="Обычный 7 3 2 2 3 2 6" xfId="16422"/>
    <cellStyle name="Обычный 7 3 2 2 3 2 7" xfId="16423"/>
    <cellStyle name="Обычный 7 3 2 2 3 2 8" xfId="16424"/>
    <cellStyle name="Обычный 7 3 2 2 3 2 9" xfId="16425"/>
    <cellStyle name="Обычный 7 3 2 2 3 3" xfId="16426"/>
    <cellStyle name="Обычный 7 3 2 2 3 3 2" xfId="16427"/>
    <cellStyle name="Обычный 7 3 2 2 3 4" xfId="16428"/>
    <cellStyle name="Обычный 7 3 2 2 3 5" xfId="16429"/>
    <cellStyle name="Обычный 7 3 2 2 3 6" xfId="16430"/>
    <cellStyle name="Обычный 7 3 2 2 3 7" xfId="16431"/>
    <cellStyle name="Обычный 7 3 2 2 3 8" xfId="16432"/>
    <cellStyle name="Обычный 7 3 2 2 3 9" xfId="16433"/>
    <cellStyle name="Обычный 7 3 2 2 4" xfId="16434"/>
    <cellStyle name="Обычный 7 3 2 2 4 10" xfId="16435"/>
    <cellStyle name="Обычный 7 3 2 2 4 11" xfId="16436"/>
    <cellStyle name="Обычный 7 3 2 2 4 12" xfId="19446"/>
    <cellStyle name="Обычный 7 3 2 2 4 13" xfId="21140"/>
    <cellStyle name="Обычный 7 3 2 2 4 14" xfId="22752"/>
    <cellStyle name="Обычный 7 3 2 2 4 2" xfId="16437"/>
    <cellStyle name="Обычный 7 3 2 2 4 2 10" xfId="16438"/>
    <cellStyle name="Обычный 7 3 2 2 4 2 11" xfId="19447"/>
    <cellStyle name="Обычный 7 3 2 2 4 2 12" xfId="21141"/>
    <cellStyle name="Обычный 7 3 2 2 4 2 13" xfId="22753"/>
    <cellStyle name="Обычный 7 3 2 2 4 2 2" xfId="16439"/>
    <cellStyle name="Обычный 7 3 2 2 4 2 2 2" xfId="16440"/>
    <cellStyle name="Обычный 7 3 2 2 4 2 3" xfId="16441"/>
    <cellStyle name="Обычный 7 3 2 2 4 2 4" xfId="16442"/>
    <cellStyle name="Обычный 7 3 2 2 4 2 5" xfId="16443"/>
    <cellStyle name="Обычный 7 3 2 2 4 2 6" xfId="16444"/>
    <cellStyle name="Обычный 7 3 2 2 4 2 7" xfId="16445"/>
    <cellStyle name="Обычный 7 3 2 2 4 2 8" xfId="16446"/>
    <cellStyle name="Обычный 7 3 2 2 4 2 9" xfId="16447"/>
    <cellStyle name="Обычный 7 3 2 2 4 3" xfId="16448"/>
    <cellStyle name="Обычный 7 3 2 2 4 3 2" xfId="16449"/>
    <cellStyle name="Обычный 7 3 2 2 4 4" xfId="16450"/>
    <cellStyle name="Обычный 7 3 2 2 4 5" xfId="16451"/>
    <cellStyle name="Обычный 7 3 2 2 4 6" xfId="16452"/>
    <cellStyle name="Обычный 7 3 2 2 4 7" xfId="16453"/>
    <cellStyle name="Обычный 7 3 2 2 4 8" xfId="16454"/>
    <cellStyle name="Обычный 7 3 2 2 4 9" xfId="16455"/>
    <cellStyle name="Обычный 7 3 2 2 5" xfId="16456"/>
    <cellStyle name="Обычный 7 3 2 2 5 10" xfId="16457"/>
    <cellStyle name="Обычный 7 3 2 2 5 11" xfId="16458"/>
    <cellStyle name="Обычный 7 3 2 2 5 12" xfId="19448"/>
    <cellStyle name="Обычный 7 3 2 2 5 13" xfId="21142"/>
    <cellStyle name="Обычный 7 3 2 2 5 14" xfId="22754"/>
    <cellStyle name="Обычный 7 3 2 2 5 2" xfId="16459"/>
    <cellStyle name="Обычный 7 3 2 2 5 2 10" xfId="16460"/>
    <cellStyle name="Обычный 7 3 2 2 5 2 11" xfId="19449"/>
    <cellStyle name="Обычный 7 3 2 2 5 2 12" xfId="21143"/>
    <cellStyle name="Обычный 7 3 2 2 5 2 13" xfId="22755"/>
    <cellStyle name="Обычный 7 3 2 2 5 2 2" xfId="16461"/>
    <cellStyle name="Обычный 7 3 2 2 5 2 2 2" xfId="16462"/>
    <cellStyle name="Обычный 7 3 2 2 5 2 3" xfId="16463"/>
    <cellStyle name="Обычный 7 3 2 2 5 2 4" xfId="16464"/>
    <cellStyle name="Обычный 7 3 2 2 5 2 5" xfId="16465"/>
    <cellStyle name="Обычный 7 3 2 2 5 2 6" xfId="16466"/>
    <cellStyle name="Обычный 7 3 2 2 5 2 7" xfId="16467"/>
    <cellStyle name="Обычный 7 3 2 2 5 2 8" xfId="16468"/>
    <cellStyle name="Обычный 7 3 2 2 5 2 9" xfId="16469"/>
    <cellStyle name="Обычный 7 3 2 2 5 3" xfId="16470"/>
    <cellStyle name="Обычный 7 3 2 2 5 3 2" xfId="16471"/>
    <cellStyle name="Обычный 7 3 2 2 5 4" xfId="16472"/>
    <cellStyle name="Обычный 7 3 2 2 5 5" xfId="16473"/>
    <cellStyle name="Обычный 7 3 2 2 5 6" xfId="16474"/>
    <cellStyle name="Обычный 7 3 2 2 5 7" xfId="16475"/>
    <cellStyle name="Обычный 7 3 2 2 5 8" xfId="16476"/>
    <cellStyle name="Обычный 7 3 2 2 5 9" xfId="16477"/>
    <cellStyle name="Обычный 7 3 2 2 6" xfId="16478"/>
    <cellStyle name="Обычный 7 3 2 2 6 10" xfId="16479"/>
    <cellStyle name="Обычный 7 3 2 2 6 11" xfId="19450"/>
    <cellStyle name="Обычный 7 3 2 2 6 12" xfId="21144"/>
    <cellStyle name="Обычный 7 3 2 2 6 13" xfId="22756"/>
    <cellStyle name="Обычный 7 3 2 2 6 2" xfId="16480"/>
    <cellStyle name="Обычный 7 3 2 2 6 2 2" xfId="16481"/>
    <cellStyle name="Обычный 7 3 2 2 6 3" xfId="16482"/>
    <cellStyle name="Обычный 7 3 2 2 6 4" xfId="16483"/>
    <cellStyle name="Обычный 7 3 2 2 6 5" xfId="16484"/>
    <cellStyle name="Обычный 7 3 2 2 6 6" xfId="16485"/>
    <cellStyle name="Обычный 7 3 2 2 6 7" xfId="16486"/>
    <cellStyle name="Обычный 7 3 2 2 6 8" xfId="16487"/>
    <cellStyle name="Обычный 7 3 2 2 6 9" xfId="16488"/>
    <cellStyle name="Обычный 7 3 2 2 7" xfId="16489"/>
    <cellStyle name="Обычный 7 3 2 2 7 10" xfId="21145"/>
    <cellStyle name="Обычный 7 3 2 2 7 11" xfId="22757"/>
    <cellStyle name="Обычный 7 3 2 2 7 2" xfId="16490"/>
    <cellStyle name="Обычный 7 3 2 2 7 2 2" xfId="16491"/>
    <cellStyle name="Обычный 7 3 2 2 7 3" xfId="16492"/>
    <cellStyle name="Обычный 7 3 2 2 7 4" xfId="16493"/>
    <cellStyle name="Обычный 7 3 2 2 7 5" xfId="16494"/>
    <cellStyle name="Обычный 7 3 2 2 7 6" xfId="16495"/>
    <cellStyle name="Обычный 7 3 2 2 7 7" xfId="16496"/>
    <cellStyle name="Обычный 7 3 2 2 7 8" xfId="16497"/>
    <cellStyle name="Обычный 7 3 2 2 7 9" xfId="19451"/>
    <cellStyle name="Обычный 7 3 2 2 8" xfId="16498"/>
    <cellStyle name="Обычный 7 3 2 2 8 2" xfId="16499"/>
    <cellStyle name="Обычный 7 3 2 2 9" xfId="16500"/>
    <cellStyle name="Обычный 7 3 2 20" xfId="19440"/>
    <cellStyle name="Обычный 7 3 2 21" xfId="21134"/>
    <cellStyle name="Обычный 7 3 2 22" xfId="22746"/>
    <cellStyle name="Обычный 7 3 2 3" xfId="16501"/>
    <cellStyle name="Обычный 7 3 2 3 10" xfId="16502"/>
    <cellStyle name="Обычный 7 3 2 3 11" xfId="16503"/>
    <cellStyle name="Обычный 7 3 2 3 12" xfId="16504"/>
    <cellStyle name="Обычный 7 3 2 3 13" xfId="16505"/>
    <cellStyle name="Обычный 7 3 2 3 14" xfId="16506"/>
    <cellStyle name="Обычный 7 3 2 3 15" xfId="16507"/>
    <cellStyle name="Обычный 7 3 2 3 16" xfId="16508"/>
    <cellStyle name="Обычный 7 3 2 3 17" xfId="16509"/>
    <cellStyle name="Обычный 7 3 2 3 18" xfId="19452"/>
    <cellStyle name="Обычный 7 3 2 3 19" xfId="21146"/>
    <cellStyle name="Обычный 7 3 2 3 2" xfId="16510"/>
    <cellStyle name="Обычный 7 3 2 3 2 10" xfId="16511"/>
    <cellStyle name="Обычный 7 3 2 3 2 11" xfId="16512"/>
    <cellStyle name="Обычный 7 3 2 3 2 12" xfId="19453"/>
    <cellStyle name="Обычный 7 3 2 3 2 13" xfId="21147"/>
    <cellStyle name="Обычный 7 3 2 3 2 14" xfId="22759"/>
    <cellStyle name="Обычный 7 3 2 3 2 2" xfId="16513"/>
    <cellStyle name="Обычный 7 3 2 3 2 2 10" xfId="16514"/>
    <cellStyle name="Обычный 7 3 2 3 2 2 11" xfId="19454"/>
    <cellStyle name="Обычный 7 3 2 3 2 2 12" xfId="21148"/>
    <cellStyle name="Обычный 7 3 2 3 2 2 13" xfId="22760"/>
    <cellStyle name="Обычный 7 3 2 3 2 2 2" xfId="16515"/>
    <cellStyle name="Обычный 7 3 2 3 2 2 2 2" xfId="16516"/>
    <cellStyle name="Обычный 7 3 2 3 2 2 3" xfId="16517"/>
    <cellStyle name="Обычный 7 3 2 3 2 2 4" xfId="16518"/>
    <cellStyle name="Обычный 7 3 2 3 2 2 5" xfId="16519"/>
    <cellStyle name="Обычный 7 3 2 3 2 2 6" xfId="16520"/>
    <cellStyle name="Обычный 7 3 2 3 2 2 7" xfId="16521"/>
    <cellStyle name="Обычный 7 3 2 3 2 2 8" xfId="16522"/>
    <cellStyle name="Обычный 7 3 2 3 2 2 9" xfId="16523"/>
    <cellStyle name="Обычный 7 3 2 3 2 3" xfId="16524"/>
    <cellStyle name="Обычный 7 3 2 3 2 3 2" xfId="16525"/>
    <cellStyle name="Обычный 7 3 2 3 2 4" xfId="16526"/>
    <cellStyle name="Обычный 7 3 2 3 2 5" xfId="16527"/>
    <cellStyle name="Обычный 7 3 2 3 2 6" xfId="16528"/>
    <cellStyle name="Обычный 7 3 2 3 2 7" xfId="16529"/>
    <cellStyle name="Обычный 7 3 2 3 2 8" xfId="16530"/>
    <cellStyle name="Обычный 7 3 2 3 2 9" xfId="16531"/>
    <cellStyle name="Обычный 7 3 2 3 20" xfId="22758"/>
    <cellStyle name="Обычный 7 3 2 3 3" xfId="16532"/>
    <cellStyle name="Обычный 7 3 2 3 3 10" xfId="16533"/>
    <cellStyle name="Обычный 7 3 2 3 3 11" xfId="16534"/>
    <cellStyle name="Обычный 7 3 2 3 3 12" xfId="19455"/>
    <cellStyle name="Обычный 7 3 2 3 3 13" xfId="21149"/>
    <cellStyle name="Обычный 7 3 2 3 3 14" xfId="22761"/>
    <cellStyle name="Обычный 7 3 2 3 3 2" xfId="16535"/>
    <cellStyle name="Обычный 7 3 2 3 3 2 10" xfId="16536"/>
    <cellStyle name="Обычный 7 3 2 3 3 2 11" xfId="19456"/>
    <cellStyle name="Обычный 7 3 2 3 3 2 12" xfId="21150"/>
    <cellStyle name="Обычный 7 3 2 3 3 2 13" xfId="22762"/>
    <cellStyle name="Обычный 7 3 2 3 3 2 2" xfId="16537"/>
    <cellStyle name="Обычный 7 3 2 3 3 2 2 2" xfId="16538"/>
    <cellStyle name="Обычный 7 3 2 3 3 2 3" xfId="16539"/>
    <cellStyle name="Обычный 7 3 2 3 3 2 4" xfId="16540"/>
    <cellStyle name="Обычный 7 3 2 3 3 2 5" xfId="16541"/>
    <cellStyle name="Обычный 7 3 2 3 3 2 6" xfId="16542"/>
    <cellStyle name="Обычный 7 3 2 3 3 2 7" xfId="16543"/>
    <cellStyle name="Обычный 7 3 2 3 3 2 8" xfId="16544"/>
    <cellStyle name="Обычный 7 3 2 3 3 2 9" xfId="16545"/>
    <cellStyle name="Обычный 7 3 2 3 3 3" xfId="16546"/>
    <cellStyle name="Обычный 7 3 2 3 3 3 2" xfId="16547"/>
    <cellStyle name="Обычный 7 3 2 3 3 4" xfId="16548"/>
    <cellStyle name="Обычный 7 3 2 3 3 5" xfId="16549"/>
    <cellStyle name="Обычный 7 3 2 3 3 6" xfId="16550"/>
    <cellStyle name="Обычный 7 3 2 3 3 7" xfId="16551"/>
    <cellStyle name="Обычный 7 3 2 3 3 8" xfId="16552"/>
    <cellStyle name="Обычный 7 3 2 3 3 9" xfId="16553"/>
    <cellStyle name="Обычный 7 3 2 3 4" xfId="16554"/>
    <cellStyle name="Обычный 7 3 2 3 4 10" xfId="16555"/>
    <cellStyle name="Обычный 7 3 2 3 4 11" xfId="16556"/>
    <cellStyle name="Обычный 7 3 2 3 4 12" xfId="19457"/>
    <cellStyle name="Обычный 7 3 2 3 4 13" xfId="21151"/>
    <cellStyle name="Обычный 7 3 2 3 4 14" xfId="22763"/>
    <cellStyle name="Обычный 7 3 2 3 4 2" xfId="16557"/>
    <cellStyle name="Обычный 7 3 2 3 4 2 10" xfId="16558"/>
    <cellStyle name="Обычный 7 3 2 3 4 2 11" xfId="19458"/>
    <cellStyle name="Обычный 7 3 2 3 4 2 12" xfId="21152"/>
    <cellStyle name="Обычный 7 3 2 3 4 2 13" xfId="22764"/>
    <cellStyle name="Обычный 7 3 2 3 4 2 2" xfId="16559"/>
    <cellStyle name="Обычный 7 3 2 3 4 2 2 2" xfId="16560"/>
    <cellStyle name="Обычный 7 3 2 3 4 2 3" xfId="16561"/>
    <cellStyle name="Обычный 7 3 2 3 4 2 4" xfId="16562"/>
    <cellStyle name="Обычный 7 3 2 3 4 2 5" xfId="16563"/>
    <cellStyle name="Обычный 7 3 2 3 4 2 6" xfId="16564"/>
    <cellStyle name="Обычный 7 3 2 3 4 2 7" xfId="16565"/>
    <cellStyle name="Обычный 7 3 2 3 4 2 8" xfId="16566"/>
    <cellStyle name="Обычный 7 3 2 3 4 2 9" xfId="16567"/>
    <cellStyle name="Обычный 7 3 2 3 4 3" xfId="16568"/>
    <cellStyle name="Обычный 7 3 2 3 4 3 2" xfId="16569"/>
    <cellStyle name="Обычный 7 3 2 3 4 4" xfId="16570"/>
    <cellStyle name="Обычный 7 3 2 3 4 5" xfId="16571"/>
    <cellStyle name="Обычный 7 3 2 3 4 6" xfId="16572"/>
    <cellStyle name="Обычный 7 3 2 3 4 7" xfId="16573"/>
    <cellStyle name="Обычный 7 3 2 3 4 8" xfId="16574"/>
    <cellStyle name="Обычный 7 3 2 3 4 9" xfId="16575"/>
    <cellStyle name="Обычный 7 3 2 3 5" xfId="16576"/>
    <cellStyle name="Обычный 7 3 2 3 5 10" xfId="16577"/>
    <cellStyle name="Обычный 7 3 2 3 5 11" xfId="16578"/>
    <cellStyle name="Обычный 7 3 2 3 5 12" xfId="19459"/>
    <cellStyle name="Обычный 7 3 2 3 5 13" xfId="21153"/>
    <cellStyle name="Обычный 7 3 2 3 5 14" xfId="22765"/>
    <cellStyle name="Обычный 7 3 2 3 5 2" xfId="16579"/>
    <cellStyle name="Обычный 7 3 2 3 5 2 10" xfId="16580"/>
    <cellStyle name="Обычный 7 3 2 3 5 2 11" xfId="19460"/>
    <cellStyle name="Обычный 7 3 2 3 5 2 12" xfId="21154"/>
    <cellStyle name="Обычный 7 3 2 3 5 2 13" xfId="22766"/>
    <cellStyle name="Обычный 7 3 2 3 5 2 2" xfId="16581"/>
    <cellStyle name="Обычный 7 3 2 3 5 2 2 2" xfId="16582"/>
    <cellStyle name="Обычный 7 3 2 3 5 2 3" xfId="16583"/>
    <cellStyle name="Обычный 7 3 2 3 5 2 4" xfId="16584"/>
    <cellStyle name="Обычный 7 3 2 3 5 2 5" xfId="16585"/>
    <cellStyle name="Обычный 7 3 2 3 5 2 6" xfId="16586"/>
    <cellStyle name="Обычный 7 3 2 3 5 2 7" xfId="16587"/>
    <cellStyle name="Обычный 7 3 2 3 5 2 8" xfId="16588"/>
    <cellStyle name="Обычный 7 3 2 3 5 2 9" xfId="16589"/>
    <cellStyle name="Обычный 7 3 2 3 5 3" xfId="16590"/>
    <cellStyle name="Обычный 7 3 2 3 5 3 2" xfId="16591"/>
    <cellStyle name="Обычный 7 3 2 3 5 4" xfId="16592"/>
    <cellStyle name="Обычный 7 3 2 3 5 5" xfId="16593"/>
    <cellStyle name="Обычный 7 3 2 3 5 6" xfId="16594"/>
    <cellStyle name="Обычный 7 3 2 3 5 7" xfId="16595"/>
    <cellStyle name="Обычный 7 3 2 3 5 8" xfId="16596"/>
    <cellStyle name="Обычный 7 3 2 3 5 9" xfId="16597"/>
    <cellStyle name="Обычный 7 3 2 3 6" xfId="16598"/>
    <cellStyle name="Обычный 7 3 2 3 6 10" xfId="16599"/>
    <cellStyle name="Обычный 7 3 2 3 6 11" xfId="19461"/>
    <cellStyle name="Обычный 7 3 2 3 6 12" xfId="21155"/>
    <cellStyle name="Обычный 7 3 2 3 6 13" xfId="22767"/>
    <cellStyle name="Обычный 7 3 2 3 6 2" xfId="16600"/>
    <cellStyle name="Обычный 7 3 2 3 6 2 2" xfId="16601"/>
    <cellStyle name="Обычный 7 3 2 3 6 3" xfId="16602"/>
    <cellStyle name="Обычный 7 3 2 3 6 4" xfId="16603"/>
    <cellStyle name="Обычный 7 3 2 3 6 5" xfId="16604"/>
    <cellStyle name="Обычный 7 3 2 3 6 6" xfId="16605"/>
    <cellStyle name="Обычный 7 3 2 3 6 7" xfId="16606"/>
    <cellStyle name="Обычный 7 3 2 3 6 8" xfId="16607"/>
    <cellStyle name="Обычный 7 3 2 3 6 9" xfId="16608"/>
    <cellStyle name="Обычный 7 3 2 3 7" xfId="16609"/>
    <cellStyle name="Обычный 7 3 2 3 7 10" xfId="21156"/>
    <cellStyle name="Обычный 7 3 2 3 7 11" xfId="22768"/>
    <cellStyle name="Обычный 7 3 2 3 7 2" xfId="16610"/>
    <cellStyle name="Обычный 7 3 2 3 7 2 2" xfId="16611"/>
    <cellStyle name="Обычный 7 3 2 3 7 3" xfId="16612"/>
    <cellStyle name="Обычный 7 3 2 3 7 4" xfId="16613"/>
    <cellStyle name="Обычный 7 3 2 3 7 5" xfId="16614"/>
    <cellStyle name="Обычный 7 3 2 3 7 6" xfId="16615"/>
    <cellStyle name="Обычный 7 3 2 3 7 7" xfId="16616"/>
    <cellStyle name="Обычный 7 3 2 3 7 8" xfId="16617"/>
    <cellStyle name="Обычный 7 3 2 3 7 9" xfId="19462"/>
    <cellStyle name="Обычный 7 3 2 3 8" xfId="16618"/>
    <cellStyle name="Обычный 7 3 2 3 8 2" xfId="16619"/>
    <cellStyle name="Обычный 7 3 2 3 9" xfId="16620"/>
    <cellStyle name="Обычный 7 3 2 4" xfId="16621"/>
    <cellStyle name="Обычный 7 3 2 4 10" xfId="16622"/>
    <cellStyle name="Обычный 7 3 2 4 11" xfId="16623"/>
    <cellStyle name="Обычный 7 3 2 4 12" xfId="19463"/>
    <cellStyle name="Обычный 7 3 2 4 13" xfId="21157"/>
    <cellStyle name="Обычный 7 3 2 4 14" xfId="22769"/>
    <cellStyle name="Обычный 7 3 2 4 2" xfId="16624"/>
    <cellStyle name="Обычный 7 3 2 4 2 10" xfId="16625"/>
    <cellStyle name="Обычный 7 3 2 4 2 11" xfId="19464"/>
    <cellStyle name="Обычный 7 3 2 4 2 12" xfId="21158"/>
    <cellStyle name="Обычный 7 3 2 4 2 13" xfId="22770"/>
    <cellStyle name="Обычный 7 3 2 4 2 2" xfId="16626"/>
    <cellStyle name="Обычный 7 3 2 4 2 2 2" xfId="16627"/>
    <cellStyle name="Обычный 7 3 2 4 2 3" xfId="16628"/>
    <cellStyle name="Обычный 7 3 2 4 2 4" xfId="16629"/>
    <cellStyle name="Обычный 7 3 2 4 2 5" xfId="16630"/>
    <cellStyle name="Обычный 7 3 2 4 2 6" xfId="16631"/>
    <cellStyle name="Обычный 7 3 2 4 2 7" xfId="16632"/>
    <cellStyle name="Обычный 7 3 2 4 2 8" xfId="16633"/>
    <cellStyle name="Обычный 7 3 2 4 2 9" xfId="16634"/>
    <cellStyle name="Обычный 7 3 2 4 3" xfId="16635"/>
    <cellStyle name="Обычный 7 3 2 4 3 2" xfId="16636"/>
    <cellStyle name="Обычный 7 3 2 4 4" xfId="16637"/>
    <cellStyle name="Обычный 7 3 2 4 5" xfId="16638"/>
    <cellStyle name="Обычный 7 3 2 4 6" xfId="16639"/>
    <cellStyle name="Обычный 7 3 2 4 7" xfId="16640"/>
    <cellStyle name="Обычный 7 3 2 4 8" xfId="16641"/>
    <cellStyle name="Обычный 7 3 2 4 9" xfId="16642"/>
    <cellStyle name="Обычный 7 3 2 5" xfId="16643"/>
    <cellStyle name="Обычный 7 3 2 5 10" xfId="16644"/>
    <cellStyle name="Обычный 7 3 2 5 11" xfId="16645"/>
    <cellStyle name="Обычный 7 3 2 5 12" xfId="19465"/>
    <cellStyle name="Обычный 7 3 2 5 13" xfId="21159"/>
    <cellStyle name="Обычный 7 3 2 5 14" xfId="22771"/>
    <cellStyle name="Обычный 7 3 2 5 2" xfId="16646"/>
    <cellStyle name="Обычный 7 3 2 5 2 10" xfId="16647"/>
    <cellStyle name="Обычный 7 3 2 5 2 11" xfId="19466"/>
    <cellStyle name="Обычный 7 3 2 5 2 12" xfId="21160"/>
    <cellStyle name="Обычный 7 3 2 5 2 13" xfId="22772"/>
    <cellStyle name="Обычный 7 3 2 5 2 2" xfId="16648"/>
    <cellStyle name="Обычный 7 3 2 5 2 2 2" xfId="16649"/>
    <cellStyle name="Обычный 7 3 2 5 2 3" xfId="16650"/>
    <cellStyle name="Обычный 7 3 2 5 2 4" xfId="16651"/>
    <cellStyle name="Обычный 7 3 2 5 2 5" xfId="16652"/>
    <cellStyle name="Обычный 7 3 2 5 2 6" xfId="16653"/>
    <cellStyle name="Обычный 7 3 2 5 2 7" xfId="16654"/>
    <cellStyle name="Обычный 7 3 2 5 2 8" xfId="16655"/>
    <cellStyle name="Обычный 7 3 2 5 2 9" xfId="16656"/>
    <cellStyle name="Обычный 7 3 2 5 3" xfId="16657"/>
    <cellStyle name="Обычный 7 3 2 5 3 2" xfId="16658"/>
    <cellStyle name="Обычный 7 3 2 5 4" xfId="16659"/>
    <cellStyle name="Обычный 7 3 2 5 5" xfId="16660"/>
    <cellStyle name="Обычный 7 3 2 5 6" xfId="16661"/>
    <cellStyle name="Обычный 7 3 2 5 7" xfId="16662"/>
    <cellStyle name="Обычный 7 3 2 5 8" xfId="16663"/>
    <cellStyle name="Обычный 7 3 2 5 9" xfId="16664"/>
    <cellStyle name="Обычный 7 3 2 6" xfId="16665"/>
    <cellStyle name="Обычный 7 3 2 6 10" xfId="16666"/>
    <cellStyle name="Обычный 7 3 2 6 11" xfId="16667"/>
    <cellStyle name="Обычный 7 3 2 6 12" xfId="19467"/>
    <cellStyle name="Обычный 7 3 2 6 13" xfId="21161"/>
    <cellStyle name="Обычный 7 3 2 6 14" xfId="22773"/>
    <cellStyle name="Обычный 7 3 2 6 2" xfId="16668"/>
    <cellStyle name="Обычный 7 3 2 6 2 10" xfId="16669"/>
    <cellStyle name="Обычный 7 3 2 6 2 11" xfId="19468"/>
    <cellStyle name="Обычный 7 3 2 6 2 12" xfId="21162"/>
    <cellStyle name="Обычный 7 3 2 6 2 13" xfId="22774"/>
    <cellStyle name="Обычный 7 3 2 6 2 2" xfId="16670"/>
    <cellStyle name="Обычный 7 3 2 6 2 2 2" xfId="16671"/>
    <cellStyle name="Обычный 7 3 2 6 2 3" xfId="16672"/>
    <cellStyle name="Обычный 7 3 2 6 2 4" xfId="16673"/>
    <cellStyle name="Обычный 7 3 2 6 2 5" xfId="16674"/>
    <cellStyle name="Обычный 7 3 2 6 2 6" xfId="16675"/>
    <cellStyle name="Обычный 7 3 2 6 2 7" xfId="16676"/>
    <cellStyle name="Обычный 7 3 2 6 2 8" xfId="16677"/>
    <cellStyle name="Обычный 7 3 2 6 2 9" xfId="16678"/>
    <cellStyle name="Обычный 7 3 2 6 3" xfId="16679"/>
    <cellStyle name="Обычный 7 3 2 6 3 2" xfId="16680"/>
    <cellStyle name="Обычный 7 3 2 6 4" xfId="16681"/>
    <cellStyle name="Обычный 7 3 2 6 5" xfId="16682"/>
    <cellStyle name="Обычный 7 3 2 6 6" xfId="16683"/>
    <cellStyle name="Обычный 7 3 2 6 7" xfId="16684"/>
    <cellStyle name="Обычный 7 3 2 6 8" xfId="16685"/>
    <cellStyle name="Обычный 7 3 2 6 9" xfId="16686"/>
    <cellStyle name="Обычный 7 3 2 7" xfId="16687"/>
    <cellStyle name="Обычный 7 3 2 7 10" xfId="16688"/>
    <cellStyle name="Обычный 7 3 2 7 11" xfId="16689"/>
    <cellStyle name="Обычный 7 3 2 7 12" xfId="19469"/>
    <cellStyle name="Обычный 7 3 2 7 13" xfId="21163"/>
    <cellStyle name="Обычный 7 3 2 7 14" xfId="22775"/>
    <cellStyle name="Обычный 7 3 2 7 2" xfId="16690"/>
    <cellStyle name="Обычный 7 3 2 7 2 10" xfId="16691"/>
    <cellStyle name="Обычный 7 3 2 7 2 11" xfId="19470"/>
    <cellStyle name="Обычный 7 3 2 7 2 12" xfId="21164"/>
    <cellStyle name="Обычный 7 3 2 7 2 13" xfId="22776"/>
    <cellStyle name="Обычный 7 3 2 7 2 2" xfId="16692"/>
    <cellStyle name="Обычный 7 3 2 7 2 2 2" xfId="16693"/>
    <cellStyle name="Обычный 7 3 2 7 2 3" xfId="16694"/>
    <cellStyle name="Обычный 7 3 2 7 2 4" xfId="16695"/>
    <cellStyle name="Обычный 7 3 2 7 2 5" xfId="16696"/>
    <cellStyle name="Обычный 7 3 2 7 2 6" xfId="16697"/>
    <cellStyle name="Обычный 7 3 2 7 2 7" xfId="16698"/>
    <cellStyle name="Обычный 7 3 2 7 2 8" xfId="16699"/>
    <cellStyle name="Обычный 7 3 2 7 2 9" xfId="16700"/>
    <cellStyle name="Обычный 7 3 2 7 3" xfId="16701"/>
    <cellStyle name="Обычный 7 3 2 7 3 2" xfId="16702"/>
    <cellStyle name="Обычный 7 3 2 7 4" xfId="16703"/>
    <cellStyle name="Обычный 7 3 2 7 5" xfId="16704"/>
    <cellStyle name="Обычный 7 3 2 7 6" xfId="16705"/>
    <cellStyle name="Обычный 7 3 2 7 7" xfId="16706"/>
    <cellStyle name="Обычный 7 3 2 7 8" xfId="16707"/>
    <cellStyle name="Обычный 7 3 2 7 9" xfId="16708"/>
    <cellStyle name="Обычный 7 3 2 8" xfId="16709"/>
    <cellStyle name="Обычный 7 3 2 8 10" xfId="16710"/>
    <cellStyle name="Обычный 7 3 2 8 11" xfId="19471"/>
    <cellStyle name="Обычный 7 3 2 8 12" xfId="21165"/>
    <cellStyle name="Обычный 7 3 2 8 13" xfId="22777"/>
    <cellStyle name="Обычный 7 3 2 8 2" xfId="16711"/>
    <cellStyle name="Обычный 7 3 2 8 2 2" xfId="16712"/>
    <cellStyle name="Обычный 7 3 2 8 3" xfId="16713"/>
    <cellStyle name="Обычный 7 3 2 8 4" xfId="16714"/>
    <cellStyle name="Обычный 7 3 2 8 5" xfId="16715"/>
    <cellStyle name="Обычный 7 3 2 8 6" xfId="16716"/>
    <cellStyle name="Обычный 7 3 2 8 7" xfId="16717"/>
    <cellStyle name="Обычный 7 3 2 8 8" xfId="16718"/>
    <cellStyle name="Обычный 7 3 2 8 9" xfId="16719"/>
    <cellStyle name="Обычный 7 3 2 9" xfId="16720"/>
    <cellStyle name="Обычный 7 3 2 9 10" xfId="21166"/>
    <cellStyle name="Обычный 7 3 2 9 11" xfId="22778"/>
    <cellStyle name="Обычный 7 3 2 9 2" xfId="16721"/>
    <cellStyle name="Обычный 7 3 2 9 2 2" xfId="16722"/>
    <cellStyle name="Обычный 7 3 2 9 3" xfId="16723"/>
    <cellStyle name="Обычный 7 3 2 9 4" xfId="16724"/>
    <cellStyle name="Обычный 7 3 2 9 5" xfId="16725"/>
    <cellStyle name="Обычный 7 3 2 9 6" xfId="16726"/>
    <cellStyle name="Обычный 7 3 2 9 7" xfId="16727"/>
    <cellStyle name="Обычный 7 3 2 9 8" xfId="16728"/>
    <cellStyle name="Обычный 7 3 2 9 9" xfId="19472"/>
    <cellStyle name="Обычный 7 3 20" xfId="16729"/>
    <cellStyle name="Обычный 7 3 21" xfId="16730"/>
    <cellStyle name="Обычный 7 3 22" xfId="16731"/>
    <cellStyle name="Обычный 7 3 23" xfId="16732"/>
    <cellStyle name="Обычный 7 3 24" xfId="19434"/>
    <cellStyle name="Обычный 7 3 25" xfId="19644"/>
    <cellStyle name="Обычный 7 3 26" xfId="21128"/>
    <cellStyle name="Обычный 7 3 27" xfId="22740"/>
    <cellStyle name="Обычный 7 3 3" xfId="16733"/>
    <cellStyle name="Обычный 7 3 3 10" xfId="16734"/>
    <cellStyle name="Обычный 7 3 3 11" xfId="16735"/>
    <cellStyle name="Обычный 7 3 3 12" xfId="16736"/>
    <cellStyle name="Обычный 7 3 3 13" xfId="16737"/>
    <cellStyle name="Обычный 7 3 3 14" xfId="16738"/>
    <cellStyle name="Обычный 7 3 3 15" xfId="16739"/>
    <cellStyle name="Обычный 7 3 3 16" xfId="16740"/>
    <cellStyle name="Обычный 7 3 3 17" xfId="16741"/>
    <cellStyle name="Обычный 7 3 3 18" xfId="19473"/>
    <cellStyle name="Обычный 7 3 3 19" xfId="21167"/>
    <cellStyle name="Обычный 7 3 3 2" xfId="16742"/>
    <cellStyle name="Обычный 7 3 3 2 10" xfId="16743"/>
    <cellStyle name="Обычный 7 3 3 2 11" xfId="16744"/>
    <cellStyle name="Обычный 7 3 3 2 12" xfId="19474"/>
    <cellStyle name="Обычный 7 3 3 2 13" xfId="21168"/>
    <cellStyle name="Обычный 7 3 3 2 14" xfId="22780"/>
    <cellStyle name="Обычный 7 3 3 2 2" xfId="16745"/>
    <cellStyle name="Обычный 7 3 3 2 2 10" xfId="16746"/>
    <cellStyle name="Обычный 7 3 3 2 2 11" xfId="19475"/>
    <cellStyle name="Обычный 7 3 3 2 2 12" xfId="21169"/>
    <cellStyle name="Обычный 7 3 3 2 2 13" xfId="22781"/>
    <cellStyle name="Обычный 7 3 3 2 2 2" xfId="16747"/>
    <cellStyle name="Обычный 7 3 3 2 2 2 2" xfId="16748"/>
    <cellStyle name="Обычный 7 3 3 2 2 3" xfId="16749"/>
    <cellStyle name="Обычный 7 3 3 2 2 4" xfId="16750"/>
    <cellStyle name="Обычный 7 3 3 2 2 5" xfId="16751"/>
    <cellStyle name="Обычный 7 3 3 2 2 6" xfId="16752"/>
    <cellStyle name="Обычный 7 3 3 2 2 7" xfId="16753"/>
    <cellStyle name="Обычный 7 3 3 2 2 8" xfId="16754"/>
    <cellStyle name="Обычный 7 3 3 2 2 9" xfId="16755"/>
    <cellStyle name="Обычный 7 3 3 2 3" xfId="16756"/>
    <cellStyle name="Обычный 7 3 3 2 3 2" xfId="16757"/>
    <cellStyle name="Обычный 7 3 3 2 4" xfId="16758"/>
    <cellStyle name="Обычный 7 3 3 2 5" xfId="16759"/>
    <cellStyle name="Обычный 7 3 3 2 6" xfId="16760"/>
    <cellStyle name="Обычный 7 3 3 2 7" xfId="16761"/>
    <cellStyle name="Обычный 7 3 3 2 8" xfId="16762"/>
    <cellStyle name="Обычный 7 3 3 2 9" xfId="16763"/>
    <cellStyle name="Обычный 7 3 3 20" xfId="22779"/>
    <cellStyle name="Обычный 7 3 3 3" xfId="16764"/>
    <cellStyle name="Обычный 7 3 3 3 10" xfId="16765"/>
    <cellStyle name="Обычный 7 3 3 3 11" xfId="16766"/>
    <cellStyle name="Обычный 7 3 3 3 12" xfId="19476"/>
    <cellStyle name="Обычный 7 3 3 3 13" xfId="21170"/>
    <cellStyle name="Обычный 7 3 3 3 14" xfId="22782"/>
    <cellStyle name="Обычный 7 3 3 3 2" xfId="16767"/>
    <cellStyle name="Обычный 7 3 3 3 2 10" xfId="16768"/>
    <cellStyle name="Обычный 7 3 3 3 2 11" xfId="19477"/>
    <cellStyle name="Обычный 7 3 3 3 2 12" xfId="21171"/>
    <cellStyle name="Обычный 7 3 3 3 2 13" xfId="22783"/>
    <cellStyle name="Обычный 7 3 3 3 2 2" xfId="16769"/>
    <cellStyle name="Обычный 7 3 3 3 2 2 2" xfId="16770"/>
    <cellStyle name="Обычный 7 3 3 3 2 3" xfId="16771"/>
    <cellStyle name="Обычный 7 3 3 3 2 4" xfId="16772"/>
    <cellStyle name="Обычный 7 3 3 3 2 5" xfId="16773"/>
    <cellStyle name="Обычный 7 3 3 3 2 6" xfId="16774"/>
    <cellStyle name="Обычный 7 3 3 3 2 7" xfId="16775"/>
    <cellStyle name="Обычный 7 3 3 3 2 8" xfId="16776"/>
    <cellStyle name="Обычный 7 3 3 3 2 9" xfId="16777"/>
    <cellStyle name="Обычный 7 3 3 3 3" xfId="16778"/>
    <cellStyle name="Обычный 7 3 3 3 3 2" xfId="16779"/>
    <cellStyle name="Обычный 7 3 3 3 4" xfId="16780"/>
    <cellStyle name="Обычный 7 3 3 3 5" xfId="16781"/>
    <cellStyle name="Обычный 7 3 3 3 6" xfId="16782"/>
    <cellStyle name="Обычный 7 3 3 3 7" xfId="16783"/>
    <cellStyle name="Обычный 7 3 3 3 8" xfId="16784"/>
    <cellStyle name="Обычный 7 3 3 3 9" xfId="16785"/>
    <cellStyle name="Обычный 7 3 3 4" xfId="16786"/>
    <cellStyle name="Обычный 7 3 3 4 10" xfId="16787"/>
    <cellStyle name="Обычный 7 3 3 4 11" xfId="16788"/>
    <cellStyle name="Обычный 7 3 3 4 12" xfId="19478"/>
    <cellStyle name="Обычный 7 3 3 4 13" xfId="21172"/>
    <cellStyle name="Обычный 7 3 3 4 14" xfId="22784"/>
    <cellStyle name="Обычный 7 3 3 4 2" xfId="16789"/>
    <cellStyle name="Обычный 7 3 3 4 2 10" xfId="16790"/>
    <cellStyle name="Обычный 7 3 3 4 2 11" xfId="19479"/>
    <cellStyle name="Обычный 7 3 3 4 2 12" xfId="21173"/>
    <cellStyle name="Обычный 7 3 3 4 2 13" xfId="22785"/>
    <cellStyle name="Обычный 7 3 3 4 2 2" xfId="16791"/>
    <cellStyle name="Обычный 7 3 3 4 2 2 2" xfId="16792"/>
    <cellStyle name="Обычный 7 3 3 4 2 3" xfId="16793"/>
    <cellStyle name="Обычный 7 3 3 4 2 4" xfId="16794"/>
    <cellStyle name="Обычный 7 3 3 4 2 5" xfId="16795"/>
    <cellStyle name="Обычный 7 3 3 4 2 6" xfId="16796"/>
    <cellStyle name="Обычный 7 3 3 4 2 7" xfId="16797"/>
    <cellStyle name="Обычный 7 3 3 4 2 8" xfId="16798"/>
    <cellStyle name="Обычный 7 3 3 4 2 9" xfId="16799"/>
    <cellStyle name="Обычный 7 3 3 4 3" xfId="16800"/>
    <cellStyle name="Обычный 7 3 3 4 3 2" xfId="16801"/>
    <cellStyle name="Обычный 7 3 3 4 4" xfId="16802"/>
    <cellStyle name="Обычный 7 3 3 4 5" xfId="16803"/>
    <cellStyle name="Обычный 7 3 3 4 6" xfId="16804"/>
    <cellStyle name="Обычный 7 3 3 4 7" xfId="16805"/>
    <cellStyle name="Обычный 7 3 3 4 8" xfId="16806"/>
    <cellStyle name="Обычный 7 3 3 4 9" xfId="16807"/>
    <cellStyle name="Обычный 7 3 3 5" xfId="16808"/>
    <cellStyle name="Обычный 7 3 3 5 10" xfId="16809"/>
    <cellStyle name="Обычный 7 3 3 5 11" xfId="16810"/>
    <cellStyle name="Обычный 7 3 3 5 12" xfId="19480"/>
    <cellStyle name="Обычный 7 3 3 5 13" xfId="21174"/>
    <cellStyle name="Обычный 7 3 3 5 14" xfId="22786"/>
    <cellStyle name="Обычный 7 3 3 5 2" xfId="16811"/>
    <cellStyle name="Обычный 7 3 3 5 2 10" xfId="16812"/>
    <cellStyle name="Обычный 7 3 3 5 2 11" xfId="19481"/>
    <cellStyle name="Обычный 7 3 3 5 2 12" xfId="21175"/>
    <cellStyle name="Обычный 7 3 3 5 2 13" xfId="22787"/>
    <cellStyle name="Обычный 7 3 3 5 2 2" xfId="16813"/>
    <cellStyle name="Обычный 7 3 3 5 2 2 2" xfId="16814"/>
    <cellStyle name="Обычный 7 3 3 5 2 3" xfId="16815"/>
    <cellStyle name="Обычный 7 3 3 5 2 4" xfId="16816"/>
    <cellStyle name="Обычный 7 3 3 5 2 5" xfId="16817"/>
    <cellStyle name="Обычный 7 3 3 5 2 6" xfId="16818"/>
    <cellStyle name="Обычный 7 3 3 5 2 7" xfId="16819"/>
    <cellStyle name="Обычный 7 3 3 5 2 8" xfId="16820"/>
    <cellStyle name="Обычный 7 3 3 5 2 9" xfId="16821"/>
    <cellStyle name="Обычный 7 3 3 5 3" xfId="16822"/>
    <cellStyle name="Обычный 7 3 3 5 3 2" xfId="16823"/>
    <cellStyle name="Обычный 7 3 3 5 4" xfId="16824"/>
    <cellStyle name="Обычный 7 3 3 5 5" xfId="16825"/>
    <cellStyle name="Обычный 7 3 3 5 6" xfId="16826"/>
    <cellStyle name="Обычный 7 3 3 5 7" xfId="16827"/>
    <cellStyle name="Обычный 7 3 3 5 8" xfId="16828"/>
    <cellStyle name="Обычный 7 3 3 5 9" xfId="16829"/>
    <cellStyle name="Обычный 7 3 3 6" xfId="16830"/>
    <cellStyle name="Обычный 7 3 3 6 10" xfId="16831"/>
    <cellStyle name="Обычный 7 3 3 6 11" xfId="19482"/>
    <cellStyle name="Обычный 7 3 3 6 12" xfId="21176"/>
    <cellStyle name="Обычный 7 3 3 6 13" xfId="22788"/>
    <cellStyle name="Обычный 7 3 3 6 2" xfId="16832"/>
    <cellStyle name="Обычный 7 3 3 6 2 2" xfId="16833"/>
    <cellStyle name="Обычный 7 3 3 6 3" xfId="16834"/>
    <cellStyle name="Обычный 7 3 3 6 4" xfId="16835"/>
    <cellStyle name="Обычный 7 3 3 6 5" xfId="16836"/>
    <cellStyle name="Обычный 7 3 3 6 6" xfId="16837"/>
    <cellStyle name="Обычный 7 3 3 6 7" xfId="16838"/>
    <cellStyle name="Обычный 7 3 3 6 8" xfId="16839"/>
    <cellStyle name="Обычный 7 3 3 6 9" xfId="16840"/>
    <cellStyle name="Обычный 7 3 3 7" xfId="16841"/>
    <cellStyle name="Обычный 7 3 3 7 10" xfId="21177"/>
    <cellStyle name="Обычный 7 3 3 7 11" xfId="22789"/>
    <cellStyle name="Обычный 7 3 3 7 2" xfId="16842"/>
    <cellStyle name="Обычный 7 3 3 7 2 2" xfId="16843"/>
    <cellStyle name="Обычный 7 3 3 7 3" xfId="16844"/>
    <cellStyle name="Обычный 7 3 3 7 4" xfId="16845"/>
    <cellStyle name="Обычный 7 3 3 7 5" xfId="16846"/>
    <cellStyle name="Обычный 7 3 3 7 6" xfId="16847"/>
    <cellStyle name="Обычный 7 3 3 7 7" xfId="16848"/>
    <cellStyle name="Обычный 7 3 3 7 8" xfId="16849"/>
    <cellStyle name="Обычный 7 3 3 7 9" xfId="19483"/>
    <cellStyle name="Обычный 7 3 3 8" xfId="16850"/>
    <cellStyle name="Обычный 7 3 3 8 2" xfId="16851"/>
    <cellStyle name="Обычный 7 3 3 9" xfId="16852"/>
    <cellStyle name="Обычный 7 3 4" xfId="16853"/>
    <cellStyle name="Обычный 7 3 4 10" xfId="16854"/>
    <cellStyle name="Обычный 7 3 4 11" xfId="16855"/>
    <cellStyle name="Обычный 7 3 4 12" xfId="16856"/>
    <cellStyle name="Обычный 7 3 4 13" xfId="16857"/>
    <cellStyle name="Обычный 7 3 4 14" xfId="16858"/>
    <cellStyle name="Обычный 7 3 4 15" xfId="16859"/>
    <cellStyle name="Обычный 7 3 4 16" xfId="16860"/>
    <cellStyle name="Обычный 7 3 4 17" xfId="16861"/>
    <cellStyle name="Обычный 7 3 4 18" xfId="19484"/>
    <cellStyle name="Обычный 7 3 4 19" xfId="21178"/>
    <cellStyle name="Обычный 7 3 4 2" xfId="16862"/>
    <cellStyle name="Обычный 7 3 4 2 10" xfId="16863"/>
    <cellStyle name="Обычный 7 3 4 2 11" xfId="16864"/>
    <cellStyle name="Обычный 7 3 4 2 12" xfId="19485"/>
    <cellStyle name="Обычный 7 3 4 2 13" xfId="21179"/>
    <cellStyle name="Обычный 7 3 4 2 14" xfId="22791"/>
    <cellStyle name="Обычный 7 3 4 2 2" xfId="16865"/>
    <cellStyle name="Обычный 7 3 4 2 2 10" xfId="16866"/>
    <cellStyle name="Обычный 7 3 4 2 2 11" xfId="19486"/>
    <cellStyle name="Обычный 7 3 4 2 2 12" xfId="21180"/>
    <cellStyle name="Обычный 7 3 4 2 2 13" xfId="22792"/>
    <cellStyle name="Обычный 7 3 4 2 2 2" xfId="16867"/>
    <cellStyle name="Обычный 7 3 4 2 2 2 2" xfId="16868"/>
    <cellStyle name="Обычный 7 3 4 2 2 3" xfId="16869"/>
    <cellStyle name="Обычный 7 3 4 2 2 4" xfId="16870"/>
    <cellStyle name="Обычный 7 3 4 2 2 5" xfId="16871"/>
    <cellStyle name="Обычный 7 3 4 2 2 6" xfId="16872"/>
    <cellStyle name="Обычный 7 3 4 2 2 7" xfId="16873"/>
    <cellStyle name="Обычный 7 3 4 2 2 8" xfId="16874"/>
    <cellStyle name="Обычный 7 3 4 2 2 9" xfId="16875"/>
    <cellStyle name="Обычный 7 3 4 2 3" xfId="16876"/>
    <cellStyle name="Обычный 7 3 4 2 3 2" xfId="16877"/>
    <cellStyle name="Обычный 7 3 4 2 4" xfId="16878"/>
    <cellStyle name="Обычный 7 3 4 2 5" xfId="16879"/>
    <cellStyle name="Обычный 7 3 4 2 6" xfId="16880"/>
    <cellStyle name="Обычный 7 3 4 2 7" xfId="16881"/>
    <cellStyle name="Обычный 7 3 4 2 8" xfId="16882"/>
    <cellStyle name="Обычный 7 3 4 2 9" xfId="16883"/>
    <cellStyle name="Обычный 7 3 4 20" xfId="22790"/>
    <cellStyle name="Обычный 7 3 4 3" xfId="16884"/>
    <cellStyle name="Обычный 7 3 4 3 10" xfId="16885"/>
    <cellStyle name="Обычный 7 3 4 3 11" xfId="16886"/>
    <cellStyle name="Обычный 7 3 4 3 12" xfId="19487"/>
    <cellStyle name="Обычный 7 3 4 3 13" xfId="21181"/>
    <cellStyle name="Обычный 7 3 4 3 14" xfId="22793"/>
    <cellStyle name="Обычный 7 3 4 3 2" xfId="16887"/>
    <cellStyle name="Обычный 7 3 4 3 2 10" xfId="16888"/>
    <cellStyle name="Обычный 7 3 4 3 2 11" xfId="19488"/>
    <cellStyle name="Обычный 7 3 4 3 2 12" xfId="21182"/>
    <cellStyle name="Обычный 7 3 4 3 2 13" xfId="22794"/>
    <cellStyle name="Обычный 7 3 4 3 2 2" xfId="16889"/>
    <cellStyle name="Обычный 7 3 4 3 2 2 2" xfId="16890"/>
    <cellStyle name="Обычный 7 3 4 3 2 3" xfId="16891"/>
    <cellStyle name="Обычный 7 3 4 3 2 4" xfId="16892"/>
    <cellStyle name="Обычный 7 3 4 3 2 5" xfId="16893"/>
    <cellStyle name="Обычный 7 3 4 3 2 6" xfId="16894"/>
    <cellStyle name="Обычный 7 3 4 3 2 7" xfId="16895"/>
    <cellStyle name="Обычный 7 3 4 3 2 8" xfId="16896"/>
    <cellStyle name="Обычный 7 3 4 3 2 9" xfId="16897"/>
    <cellStyle name="Обычный 7 3 4 3 3" xfId="16898"/>
    <cellStyle name="Обычный 7 3 4 3 3 2" xfId="16899"/>
    <cellStyle name="Обычный 7 3 4 3 4" xfId="16900"/>
    <cellStyle name="Обычный 7 3 4 3 5" xfId="16901"/>
    <cellStyle name="Обычный 7 3 4 3 6" xfId="16902"/>
    <cellStyle name="Обычный 7 3 4 3 7" xfId="16903"/>
    <cellStyle name="Обычный 7 3 4 3 8" xfId="16904"/>
    <cellStyle name="Обычный 7 3 4 3 9" xfId="16905"/>
    <cellStyle name="Обычный 7 3 4 4" xfId="16906"/>
    <cellStyle name="Обычный 7 3 4 4 10" xfId="16907"/>
    <cellStyle name="Обычный 7 3 4 4 11" xfId="16908"/>
    <cellStyle name="Обычный 7 3 4 4 12" xfId="19489"/>
    <cellStyle name="Обычный 7 3 4 4 13" xfId="21183"/>
    <cellStyle name="Обычный 7 3 4 4 14" xfId="22795"/>
    <cellStyle name="Обычный 7 3 4 4 2" xfId="16909"/>
    <cellStyle name="Обычный 7 3 4 4 2 10" xfId="16910"/>
    <cellStyle name="Обычный 7 3 4 4 2 11" xfId="19490"/>
    <cellStyle name="Обычный 7 3 4 4 2 12" xfId="21184"/>
    <cellStyle name="Обычный 7 3 4 4 2 13" xfId="22796"/>
    <cellStyle name="Обычный 7 3 4 4 2 2" xfId="16911"/>
    <cellStyle name="Обычный 7 3 4 4 2 2 2" xfId="16912"/>
    <cellStyle name="Обычный 7 3 4 4 2 3" xfId="16913"/>
    <cellStyle name="Обычный 7 3 4 4 2 4" xfId="16914"/>
    <cellStyle name="Обычный 7 3 4 4 2 5" xfId="16915"/>
    <cellStyle name="Обычный 7 3 4 4 2 6" xfId="16916"/>
    <cellStyle name="Обычный 7 3 4 4 2 7" xfId="16917"/>
    <cellStyle name="Обычный 7 3 4 4 2 8" xfId="16918"/>
    <cellStyle name="Обычный 7 3 4 4 2 9" xfId="16919"/>
    <cellStyle name="Обычный 7 3 4 4 3" xfId="16920"/>
    <cellStyle name="Обычный 7 3 4 4 3 2" xfId="16921"/>
    <cellStyle name="Обычный 7 3 4 4 4" xfId="16922"/>
    <cellStyle name="Обычный 7 3 4 4 5" xfId="16923"/>
    <cellStyle name="Обычный 7 3 4 4 6" xfId="16924"/>
    <cellStyle name="Обычный 7 3 4 4 7" xfId="16925"/>
    <cellStyle name="Обычный 7 3 4 4 8" xfId="16926"/>
    <cellStyle name="Обычный 7 3 4 4 9" xfId="16927"/>
    <cellStyle name="Обычный 7 3 4 5" xfId="16928"/>
    <cellStyle name="Обычный 7 3 4 5 10" xfId="16929"/>
    <cellStyle name="Обычный 7 3 4 5 11" xfId="16930"/>
    <cellStyle name="Обычный 7 3 4 5 12" xfId="19491"/>
    <cellStyle name="Обычный 7 3 4 5 13" xfId="21185"/>
    <cellStyle name="Обычный 7 3 4 5 14" xfId="22797"/>
    <cellStyle name="Обычный 7 3 4 5 2" xfId="16931"/>
    <cellStyle name="Обычный 7 3 4 5 2 10" xfId="16932"/>
    <cellStyle name="Обычный 7 3 4 5 2 11" xfId="19492"/>
    <cellStyle name="Обычный 7 3 4 5 2 12" xfId="21186"/>
    <cellStyle name="Обычный 7 3 4 5 2 13" xfId="22798"/>
    <cellStyle name="Обычный 7 3 4 5 2 2" xfId="16933"/>
    <cellStyle name="Обычный 7 3 4 5 2 2 2" xfId="16934"/>
    <cellStyle name="Обычный 7 3 4 5 2 3" xfId="16935"/>
    <cellStyle name="Обычный 7 3 4 5 2 4" xfId="16936"/>
    <cellStyle name="Обычный 7 3 4 5 2 5" xfId="16937"/>
    <cellStyle name="Обычный 7 3 4 5 2 6" xfId="16938"/>
    <cellStyle name="Обычный 7 3 4 5 2 7" xfId="16939"/>
    <cellStyle name="Обычный 7 3 4 5 2 8" xfId="16940"/>
    <cellStyle name="Обычный 7 3 4 5 2 9" xfId="16941"/>
    <cellStyle name="Обычный 7 3 4 5 3" xfId="16942"/>
    <cellStyle name="Обычный 7 3 4 5 3 2" xfId="16943"/>
    <cellStyle name="Обычный 7 3 4 5 4" xfId="16944"/>
    <cellStyle name="Обычный 7 3 4 5 5" xfId="16945"/>
    <cellStyle name="Обычный 7 3 4 5 6" xfId="16946"/>
    <cellStyle name="Обычный 7 3 4 5 7" xfId="16947"/>
    <cellStyle name="Обычный 7 3 4 5 8" xfId="16948"/>
    <cellStyle name="Обычный 7 3 4 5 9" xfId="16949"/>
    <cellStyle name="Обычный 7 3 4 6" xfId="16950"/>
    <cellStyle name="Обычный 7 3 4 6 10" xfId="16951"/>
    <cellStyle name="Обычный 7 3 4 6 11" xfId="19493"/>
    <cellStyle name="Обычный 7 3 4 6 12" xfId="21187"/>
    <cellStyle name="Обычный 7 3 4 6 13" xfId="22799"/>
    <cellStyle name="Обычный 7 3 4 6 2" xfId="16952"/>
    <cellStyle name="Обычный 7 3 4 6 2 2" xfId="16953"/>
    <cellStyle name="Обычный 7 3 4 6 3" xfId="16954"/>
    <cellStyle name="Обычный 7 3 4 6 4" xfId="16955"/>
    <cellStyle name="Обычный 7 3 4 6 5" xfId="16956"/>
    <cellStyle name="Обычный 7 3 4 6 6" xfId="16957"/>
    <cellStyle name="Обычный 7 3 4 6 7" xfId="16958"/>
    <cellStyle name="Обычный 7 3 4 6 8" xfId="16959"/>
    <cellStyle name="Обычный 7 3 4 6 9" xfId="16960"/>
    <cellStyle name="Обычный 7 3 4 7" xfId="16961"/>
    <cellStyle name="Обычный 7 3 4 7 10" xfId="21188"/>
    <cellStyle name="Обычный 7 3 4 7 11" xfId="22800"/>
    <cellStyle name="Обычный 7 3 4 7 2" xfId="16962"/>
    <cellStyle name="Обычный 7 3 4 7 2 2" xfId="16963"/>
    <cellStyle name="Обычный 7 3 4 7 3" xfId="16964"/>
    <cellStyle name="Обычный 7 3 4 7 4" xfId="16965"/>
    <cellStyle name="Обычный 7 3 4 7 5" xfId="16966"/>
    <cellStyle name="Обычный 7 3 4 7 6" xfId="16967"/>
    <cellStyle name="Обычный 7 3 4 7 7" xfId="16968"/>
    <cellStyle name="Обычный 7 3 4 7 8" xfId="16969"/>
    <cellStyle name="Обычный 7 3 4 7 9" xfId="19494"/>
    <cellStyle name="Обычный 7 3 4 8" xfId="16970"/>
    <cellStyle name="Обычный 7 3 4 8 2" xfId="16971"/>
    <cellStyle name="Обычный 7 3 4 9" xfId="16972"/>
    <cellStyle name="Обычный 7 3 5" xfId="16973"/>
    <cellStyle name="Обычный 7 3 5 10" xfId="16974"/>
    <cellStyle name="Обычный 7 3 5 11" xfId="16975"/>
    <cellStyle name="Обычный 7 3 5 12" xfId="19495"/>
    <cellStyle name="Обычный 7 3 5 13" xfId="21189"/>
    <cellStyle name="Обычный 7 3 5 14" xfId="22801"/>
    <cellStyle name="Обычный 7 3 5 2" xfId="16976"/>
    <cellStyle name="Обычный 7 3 5 2 10" xfId="16977"/>
    <cellStyle name="Обычный 7 3 5 2 11" xfId="19496"/>
    <cellStyle name="Обычный 7 3 5 2 12" xfId="21190"/>
    <cellStyle name="Обычный 7 3 5 2 13" xfId="22802"/>
    <cellStyle name="Обычный 7 3 5 2 2" xfId="16978"/>
    <cellStyle name="Обычный 7 3 5 2 2 2" xfId="16979"/>
    <cellStyle name="Обычный 7 3 5 2 3" xfId="16980"/>
    <cellStyle name="Обычный 7 3 5 2 4" xfId="16981"/>
    <cellStyle name="Обычный 7 3 5 2 5" xfId="16982"/>
    <cellStyle name="Обычный 7 3 5 2 6" xfId="16983"/>
    <cellStyle name="Обычный 7 3 5 2 7" xfId="16984"/>
    <cellStyle name="Обычный 7 3 5 2 8" xfId="16985"/>
    <cellStyle name="Обычный 7 3 5 2 9" xfId="16986"/>
    <cellStyle name="Обычный 7 3 5 3" xfId="16987"/>
    <cellStyle name="Обычный 7 3 5 3 2" xfId="16988"/>
    <cellStyle name="Обычный 7 3 5 4" xfId="16989"/>
    <cellStyle name="Обычный 7 3 5 5" xfId="16990"/>
    <cellStyle name="Обычный 7 3 5 6" xfId="16991"/>
    <cellStyle name="Обычный 7 3 5 7" xfId="16992"/>
    <cellStyle name="Обычный 7 3 5 8" xfId="16993"/>
    <cellStyle name="Обычный 7 3 5 9" xfId="16994"/>
    <cellStyle name="Обычный 7 3 6" xfId="16995"/>
    <cellStyle name="Обычный 7 3 6 10" xfId="16996"/>
    <cellStyle name="Обычный 7 3 6 11" xfId="16997"/>
    <cellStyle name="Обычный 7 3 6 12" xfId="19497"/>
    <cellStyle name="Обычный 7 3 6 13" xfId="21191"/>
    <cellStyle name="Обычный 7 3 6 14" xfId="22803"/>
    <cellStyle name="Обычный 7 3 6 2" xfId="16998"/>
    <cellStyle name="Обычный 7 3 6 2 10" xfId="16999"/>
    <cellStyle name="Обычный 7 3 6 2 11" xfId="19498"/>
    <cellStyle name="Обычный 7 3 6 2 12" xfId="21192"/>
    <cellStyle name="Обычный 7 3 6 2 13" xfId="22804"/>
    <cellStyle name="Обычный 7 3 6 2 2" xfId="17000"/>
    <cellStyle name="Обычный 7 3 6 2 2 2" xfId="17001"/>
    <cellStyle name="Обычный 7 3 6 2 3" xfId="17002"/>
    <cellStyle name="Обычный 7 3 6 2 4" xfId="17003"/>
    <cellStyle name="Обычный 7 3 6 2 5" xfId="17004"/>
    <cellStyle name="Обычный 7 3 6 2 6" xfId="17005"/>
    <cellStyle name="Обычный 7 3 6 2 7" xfId="17006"/>
    <cellStyle name="Обычный 7 3 6 2 8" xfId="17007"/>
    <cellStyle name="Обычный 7 3 6 2 9" xfId="17008"/>
    <cellStyle name="Обычный 7 3 6 3" xfId="17009"/>
    <cellStyle name="Обычный 7 3 6 3 2" xfId="17010"/>
    <cellStyle name="Обычный 7 3 6 4" xfId="17011"/>
    <cellStyle name="Обычный 7 3 6 5" xfId="17012"/>
    <cellStyle name="Обычный 7 3 6 6" xfId="17013"/>
    <cellStyle name="Обычный 7 3 6 7" xfId="17014"/>
    <cellStyle name="Обычный 7 3 6 8" xfId="17015"/>
    <cellStyle name="Обычный 7 3 6 9" xfId="17016"/>
    <cellStyle name="Обычный 7 3 7" xfId="17017"/>
    <cellStyle name="Обычный 7 3 7 10" xfId="17018"/>
    <cellStyle name="Обычный 7 3 7 11" xfId="17019"/>
    <cellStyle name="Обычный 7 3 7 12" xfId="19499"/>
    <cellStyle name="Обычный 7 3 7 13" xfId="21193"/>
    <cellStyle name="Обычный 7 3 7 14" xfId="22805"/>
    <cellStyle name="Обычный 7 3 7 2" xfId="17020"/>
    <cellStyle name="Обычный 7 3 7 2 10" xfId="17021"/>
    <cellStyle name="Обычный 7 3 7 2 11" xfId="19500"/>
    <cellStyle name="Обычный 7 3 7 2 12" xfId="21194"/>
    <cellStyle name="Обычный 7 3 7 2 13" xfId="22806"/>
    <cellStyle name="Обычный 7 3 7 2 2" xfId="17022"/>
    <cellStyle name="Обычный 7 3 7 2 2 2" xfId="17023"/>
    <cellStyle name="Обычный 7 3 7 2 3" xfId="17024"/>
    <cellStyle name="Обычный 7 3 7 2 4" xfId="17025"/>
    <cellStyle name="Обычный 7 3 7 2 5" xfId="17026"/>
    <cellStyle name="Обычный 7 3 7 2 6" xfId="17027"/>
    <cellStyle name="Обычный 7 3 7 2 7" xfId="17028"/>
    <cellStyle name="Обычный 7 3 7 2 8" xfId="17029"/>
    <cellStyle name="Обычный 7 3 7 2 9" xfId="17030"/>
    <cellStyle name="Обычный 7 3 7 3" xfId="17031"/>
    <cellStyle name="Обычный 7 3 7 3 2" xfId="17032"/>
    <cellStyle name="Обычный 7 3 7 4" xfId="17033"/>
    <cellStyle name="Обычный 7 3 7 5" xfId="17034"/>
    <cellStyle name="Обычный 7 3 7 6" xfId="17035"/>
    <cellStyle name="Обычный 7 3 7 7" xfId="17036"/>
    <cellStyle name="Обычный 7 3 7 8" xfId="17037"/>
    <cellStyle name="Обычный 7 3 7 9" xfId="17038"/>
    <cellStyle name="Обычный 7 3 8" xfId="17039"/>
    <cellStyle name="Обычный 7 3 8 10" xfId="17040"/>
    <cellStyle name="Обычный 7 3 8 11" xfId="17041"/>
    <cellStyle name="Обычный 7 3 8 12" xfId="19501"/>
    <cellStyle name="Обычный 7 3 8 13" xfId="21195"/>
    <cellStyle name="Обычный 7 3 8 14" xfId="22807"/>
    <cellStyle name="Обычный 7 3 8 2" xfId="17042"/>
    <cellStyle name="Обычный 7 3 8 2 10" xfId="17043"/>
    <cellStyle name="Обычный 7 3 8 2 11" xfId="19502"/>
    <cellStyle name="Обычный 7 3 8 2 12" xfId="21196"/>
    <cellStyle name="Обычный 7 3 8 2 13" xfId="22808"/>
    <cellStyle name="Обычный 7 3 8 2 2" xfId="17044"/>
    <cellStyle name="Обычный 7 3 8 2 2 2" xfId="17045"/>
    <cellStyle name="Обычный 7 3 8 2 3" xfId="17046"/>
    <cellStyle name="Обычный 7 3 8 2 4" xfId="17047"/>
    <cellStyle name="Обычный 7 3 8 2 5" xfId="17048"/>
    <cellStyle name="Обычный 7 3 8 2 6" xfId="17049"/>
    <cellStyle name="Обычный 7 3 8 2 7" xfId="17050"/>
    <cellStyle name="Обычный 7 3 8 2 8" xfId="17051"/>
    <cellStyle name="Обычный 7 3 8 2 9" xfId="17052"/>
    <cellStyle name="Обычный 7 3 8 3" xfId="17053"/>
    <cellStyle name="Обычный 7 3 8 3 2" xfId="17054"/>
    <cellStyle name="Обычный 7 3 8 4" xfId="17055"/>
    <cellStyle name="Обычный 7 3 8 5" xfId="17056"/>
    <cellStyle name="Обычный 7 3 8 6" xfId="17057"/>
    <cellStyle name="Обычный 7 3 8 7" xfId="17058"/>
    <cellStyle name="Обычный 7 3 8 8" xfId="17059"/>
    <cellStyle name="Обычный 7 3 8 9" xfId="17060"/>
    <cellStyle name="Обычный 7 3 9" xfId="17061"/>
    <cellStyle name="Обычный 7 3 9 10" xfId="17062"/>
    <cellStyle name="Обычный 7 3 9 11" xfId="17063"/>
    <cellStyle name="Обычный 7 3 9 12" xfId="19503"/>
    <cellStyle name="Обычный 7 3 9 13" xfId="21197"/>
    <cellStyle name="Обычный 7 3 9 14" xfId="22809"/>
    <cellStyle name="Обычный 7 3 9 2" xfId="17064"/>
    <cellStyle name="Обычный 7 3 9 2 10" xfId="17065"/>
    <cellStyle name="Обычный 7 3 9 2 11" xfId="19504"/>
    <cellStyle name="Обычный 7 3 9 2 12" xfId="21198"/>
    <cellStyle name="Обычный 7 3 9 2 13" xfId="22810"/>
    <cellStyle name="Обычный 7 3 9 2 2" xfId="17066"/>
    <cellStyle name="Обычный 7 3 9 2 2 2" xfId="17067"/>
    <cellStyle name="Обычный 7 3 9 2 3" xfId="17068"/>
    <cellStyle name="Обычный 7 3 9 2 4" xfId="17069"/>
    <cellStyle name="Обычный 7 3 9 2 5" xfId="17070"/>
    <cellStyle name="Обычный 7 3 9 2 6" xfId="17071"/>
    <cellStyle name="Обычный 7 3 9 2 7" xfId="17072"/>
    <cellStyle name="Обычный 7 3 9 2 8" xfId="17073"/>
    <cellStyle name="Обычный 7 3 9 2 9" xfId="17074"/>
    <cellStyle name="Обычный 7 3 9 3" xfId="17075"/>
    <cellStyle name="Обычный 7 3 9 3 2" xfId="17076"/>
    <cellStyle name="Обычный 7 3 9 4" xfId="17077"/>
    <cellStyle name="Обычный 7 3 9 5" xfId="17078"/>
    <cellStyle name="Обычный 7 3 9 6" xfId="17079"/>
    <cellStyle name="Обычный 7 3 9 7" xfId="17080"/>
    <cellStyle name="Обычный 7 3 9 8" xfId="17081"/>
    <cellStyle name="Обычный 7 3 9 9" xfId="17082"/>
    <cellStyle name="Обычный 7 30" xfId="21043"/>
    <cellStyle name="Обычный 7 31" xfId="22655"/>
    <cellStyle name="Обычный 7 4" xfId="17083"/>
    <cellStyle name="Обычный 7 4 10" xfId="17084"/>
    <cellStyle name="Обычный 7 4 10 2" xfId="17085"/>
    <cellStyle name="Обычный 7 4 11" xfId="17086"/>
    <cellStyle name="Обычный 7 4 12" xfId="17087"/>
    <cellStyle name="Обычный 7 4 13" xfId="17088"/>
    <cellStyle name="Обычный 7 4 14" xfId="17089"/>
    <cellStyle name="Обычный 7 4 15" xfId="17090"/>
    <cellStyle name="Обычный 7 4 16" xfId="17091"/>
    <cellStyle name="Обычный 7 4 17" xfId="17092"/>
    <cellStyle name="Обычный 7 4 18" xfId="17093"/>
    <cellStyle name="Обычный 7 4 19" xfId="17094"/>
    <cellStyle name="Обычный 7 4 2" xfId="17095"/>
    <cellStyle name="Обычный 7 4 2 10" xfId="17096"/>
    <cellStyle name="Обычный 7 4 2 11" xfId="17097"/>
    <cellStyle name="Обычный 7 4 2 12" xfId="17098"/>
    <cellStyle name="Обычный 7 4 2 13" xfId="17099"/>
    <cellStyle name="Обычный 7 4 2 14" xfId="17100"/>
    <cellStyle name="Обычный 7 4 2 15" xfId="17101"/>
    <cellStyle name="Обычный 7 4 2 16" xfId="17102"/>
    <cellStyle name="Обычный 7 4 2 17" xfId="17103"/>
    <cellStyle name="Обычный 7 4 2 18" xfId="19506"/>
    <cellStyle name="Обычный 7 4 2 19" xfId="21200"/>
    <cellStyle name="Обычный 7 4 2 2" xfId="17104"/>
    <cellStyle name="Обычный 7 4 2 2 10" xfId="17105"/>
    <cellStyle name="Обычный 7 4 2 2 11" xfId="17106"/>
    <cellStyle name="Обычный 7 4 2 2 12" xfId="19507"/>
    <cellStyle name="Обычный 7 4 2 2 13" xfId="21201"/>
    <cellStyle name="Обычный 7 4 2 2 14" xfId="22813"/>
    <cellStyle name="Обычный 7 4 2 2 2" xfId="17107"/>
    <cellStyle name="Обычный 7 4 2 2 2 10" xfId="17108"/>
    <cellStyle name="Обычный 7 4 2 2 2 11" xfId="19508"/>
    <cellStyle name="Обычный 7 4 2 2 2 12" xfId="21202"/>
    <cellStyle name="Обычный 7 4 2 2 2 13" xfId="22814"/>
    <cellStyle name="Обычный 7 4 2 2 2 2" xfId="17109"/>
    <cellStyle name="Обычный 7 4 2 2 2 2 2" xfId="17110"/>
    <cellStyle name="Обычный 7 4 2 2 2 3" xfId="17111"/>
    <cellStyle name="Обычный 7 4 2 2 2 4" xfId="17112"/>
    <cellStyle name="Обычный 7 4 2 2 2 5" xfId="17113"/>
    <cellStyle name="Обычный 7 4 2 2 2 6" xfId="17114"/>
    <cellStyle name="Обычный 7 4 2 2 2 7" xfId="17115"/>
    <cellStyle name="Обычный 7 4 2 2 2 8" xfId="17116"/>
    <cellStyle name="Обычный 7 4 2 2 2 9" xfId="17117"/>
    <cellStyle name="Обычный 7 4 2 2 3" xfId="17118"/>
    <cellStyle name="Обычный 7 4 2 2 3 2" xfId="17119"/>
    <cellStyle name="Обычный 7 4 2 2 4" xfId="17120"/>
    <cellStyle name="Обычный 7 4 2 2 5" xfId="17121"/>
    <cellStyle name="Обычный 7 4 2 2 6" xfId="17122"/>
    <cellStyle name="Обычный 7 4 2 2 7" xfId="17123"/>
    <cellStyle name="Обычный 7 4 2 2 8" xfId="17124"/>
    <cellStyle name="Обычный 7 4 2 2 9" xfId="17125"/>
    <cellStyle name="Обычный 7 4 2 20" xfId="22812"/>
    <cellStyle name="Обычный 7 4 2 3" xfId="17126"/>
    <cellStyle name="Обычный 7 4 2 3 10" xfId="17127"/>
    <cellStyle name="Обычный 7 4 2 3 11" xfId="17128"/>
    <cellStyle name="Обычный 7 4 2 3 12" xfId="19509"/>
    <cellStyle name="Обычный 7 4 2 3 13" xfId="21203"/>
    <cellStyle name="Обычный 7 4 2 3 14" xfId="22815"/>
    <cellStyle name="Обычный 7 4 2 3 2" xfId="17129"/>
    <cellStyle name="Обычный 7 4 2 3 2 10" xfId="17130"/>
    <cellStyle name="Обычный 7 4 2 3 2 11" xfId="19510"/>
    <cellStyle name="Обычный 7 4 2 3 2 12" xfId="21204"/>
    <cellStyle name="Обычный 7 4 2 3 2 13" xfId="22816"/>
    <cellStyle name="Обычный 7 4 2 3 2 2" xfId="17131"/>
    <cellStyle name="Обычный 7 4 2 3 2 2 2" xfId="17132"/>
    <cellStyle name="Обычный 7 4 2 3 2 3" xfId="17133"/>
    <cellStyle name="Обычный 7 4 2 3 2 4" xfId="17134"/>
    <cellStyle name="Обычный 7 4 2 3 2 5" xfId="17135"/>
    <cellStyle name="Обычный 7 4 2 3 2 6" xfId="17136"/>
    <cellStyle name="Обычный 7 4 2 3 2 7" xfId="17137"/>
    <cellStyle name="Обычный 7 4 2 3 2 8" xfId="17138"/>
    <cellStyle name="Обычный 7 4 2 3 2 9" xfId="17139"/>
    <cellStyle name="Обычный 7 4 2 3 3" xfId="17140"/>
    <cellStyle name="Обычный 7 4 2 3 3 2" xfId="17141"/>
    <cellStyle name="Обычный 7 4 2 3 4" xfId="17142"/>
    <cellStyle name="Обычный 7 4 2 3 5" xfId="17143"/>
    <cellStyle name="Обычный 7 4 2 3 6" xfId="17144"/>
    <cellStyle name="Обычный 7 4 2 3 7" xfId="17145"/>
    <cellStyle name="Обычный 7 4 2 3 8" xfId="17146"/>
    <cellStyle name="Обычный 7 4 2 3 9" xfId="17147"/>
    <cellStyle name="Обычный 7 4 2 4" xfId="17148"/>
    <cellStyle name="Обычный 7 4 2 4 10" xfId="17149"/>
    <cellStyle name="Обычный 7 4 2 4 11" xfId="17150"/>
    <cellStyle name="Обычный 7 4 2 4 12" xfId="19511"/>
    <cellStyle name="Обычный 7 4 2 4 13" xfId="21205"/>
    <cellStyle name="Обычный 7 4 2 4 14" xfId="22817"/>
    <cellStyle name="Обычный 7 4 2 4 2" xfId="17151"/>
    <cellStyle name="Обычный 7 4 2 4 2 10" xfId="17152"/>
    <cellStyle name="Обычный 7 4 2 4 2 11" xfId="19512"/>
    <cellStyle name="Обычный 7 4 2 4 2 12" xfId="21206"/>
    <cellStyle name="Обычный 7 4 2 4 2 13" xfId="22818"/>
    <cellStyle name="Обычный 7 4 2 4 2 2" xfId="17153"/>
    <cellStyle name="Обычный 7 4 2 4 2 2 2" xfId="17154"/>
    <cellStyle name="Обычный 7 4 2 4 2 3" xfId="17155"/>
    <cellStyle name="Обычный 7 4 2 4 2 4" xfId="17156"/>
    <cellStyle name="Обычный 7 4 2 4 2 5" xfId="17157"/>
    <cellStyle name="Обычный 7 4 2 4 2 6" xfId="17158"/>
    <cellStyle name="Обычный 7 4 2 4 2 7" xfId="17159"/>
    <cellStyle name="Обычный 7 4 2 4 2 8" xfId="17160"/>
    <cellStyle name="Обычный 7 4 2 4 2 9" xfId="17161"/>
    <cellStyle name="Обычный 7 4 2 4 3" xfId="17162"/>
    <cellStyle name="Обычный 7 4 2 4 3 2" xfId="17163"/>
    <cellStyle name="Обычный 7 4 2 4 4" xfId="17164"/>
    <cellStyle name="Обычный 7 4 2 4 5" xfId="17165"/>
    <cellStyle name="Обычный 7 4 2 4 6" xfId="17166"/>
    <cellStyle name="Обычный 7 4 2 4 7" xfId="17167"/>
    <cellStyle name="Обычный 7 4 2 4 8" xfId="17168"/>
    <cellStyle name="Обычный 7 4 2 4 9" xfId="17169"/>
    <cellStyle name="Обычный 7 4 2 5" xfId="17170"/>
    <cellStyle name="Обычный 7 4 2 5 10" xfId="17171"/>
    <cellStyle name="Обычный 7 4 2 5 11" xfId="17172"/>
    <cellStyle name="Обычный 7 4 2 5 12" xfId="19513"/>
    <cellStyle name="Обычный 7 4 2 5 13" xfId="21207"/>
    <cellStyle name="Обычный 7 4 2 5 14" xfId="22819"/>
    <cellStyle name="Обычный 7 4 2 5 2" xfId="17173"/>
    <cellStyle name="Обычный 7 4 2 5 2 10" xfId="17174"/>
    <cellStyle name="Обычный 7 4 2 5 2 11" xfId="19514"/>
    <cellStyle name="Обычный 7 4 2 5 2 12" xfId="21208"/>
    <cellStyle name="Обычный 7 4 2 5 2 13" xfId="22820"/>
    <cellStyle name="Обычный 7 4 2 5 2 2" xfId="17175"/>
    <cellStyle name="Обычный 7 4 2 5 2 2 2" xfId="17176"/>
    <cellStyle name="Обычный 7 4 2 5 2 3" xfId="17177"/>
    <cellStyle name="Обычный 7 4 2 5 2 4" xfId="17178"/>
    <cellStyle name="Обычный 7 4 2 5 2 5" xfId="17179"/>
    <cellStyle name="Обычный 7 4 2 5 2 6" xfId="17180"/>
    <cellStyle name="Обычный 7 4 2 5 2 7" xfId="17181"/>
    <cellStyle name="Обычный 7 4 2 5 2 8" xfId="17182"/>
    <cellStyle name="Обычный 7 4 2 5 2 9" xfId="17183"/>
    <cellStyle name="Обычный 7 4 2 5 3" xfId="17184"/>
    <cellStyle name="Обычный 7 4 2 5 3 2" xfId="17185"/>
    <cellStyle name="Обычный 7 4 2 5 4" xfId="17186"/>
    <cellStyle name="Обычный 7 4 2 5 5" xfId="17187"/>
    <cellStyle name="Обычный 7 4 2 5 6" xfId="17188"/>
    <cellStyle name="Обычный 7 4 2 5 7" xfId="17189"/>
    <cellStyle name="Обычный 7 4 2 5 8" xfId="17190"/>
    <cellStyle name="Обычный 7 4 2 5 9" xfId="17191"/>
    <cellStyle name="Обычный 7 4 2 6" xfId="17192"/>
    <cellStyle name="Обычный 7 4 2 6 10" xfId="17193"/>
    <cellStyle name="Обычный 7 4 2 6 11" xfId="19515"/>
    <cellStyle name="Обычный 7 4 2 6 12" xfId="21209"/>
    <cellStyle name="Обычный 7 4 2 6 13" xfId="22821"/>
    <cellStyle name="Обычный 7 4 2 6 2" xfId="17194"/>
    <cellStyle name="Обычный 7 4 2 6 2 2" xfId="17195"/>
    <cellStyle name="Обычный 7 4 2 6 3" xfId="17196"/>
    <cellStyle name="Обычный 7 4 2 6 4" xfId="17197"/>
    <cellStyle name="Обычный 7 4 2 6 5" xfId="17198"/>
    <cellStyle name="Обычный 7 4 2 6 6" xfId="17199"/>
    <cellStyle name="Обычный 7 4 2 6 7" xfId="17200"/>
    <cellStyle name="Обычный 7 4 2 6 8" xfId="17201"/>
    <cellStyle name="Обычный 7 4 2 6 9" xfId="17202"/>
    <cellStyle name="Обычный 7 4 2 7" xfId="17203"/>
    <cellStyle name="Обычный 7 4 2 7 10" xfId="21210"/>
    <cellStyle name="Обычный 7 4 2 7 11" xfId="22822"/>
    <cellStyle name="Обычный 7 4 2 7 2" xfId="17204"/>
    <cellStyle name="Обычный 7 4 2 7 2 2" xfId="17205"/>
    <cellStyle name="Обычный 7 4 2 7 3" xfId="17206"/>
    <cellStyle name="Обычный 7 4 2 7 4" xfId="17207"/>
    <cellStyle name="Обычный 7 4 2 7 5" xfId="17208"/>
    <cellStyle name="Обычный 7 4 2 7 6" xfId="17209"/>
    <cellStyle name="Обычный 7 4 2 7 7" xfId="17210"/>
    <cellStyle name="Обычный 7 4 2 7 8" xfId="17211"/>
    <cellStyle name="Обычный 7 4 2 7 9" xfId="19516"/>
    <cellStyle name="Обычный 7 4 2 8" xfId="17212"/>
    <cellStyle name="Обычный 7 4 2 8 2" xfId="17213"/>
    <cellStyle name="Обычный 7 4 2 9" xfId="17214"/>
    <cellStyle name="Обычный 7 4 20" xfId="19505"/>
    <cellStyle name="Обычный 7 4 21" xfId="21199"/>
    <cellStyle name="Обычный 7 4 22" xfId="22811"/>
    <cellStyle name="Обычный 7 4 3" xfId="17215"/>
    <cellStyle name="Обычный 7 4 3 10" xfId="17216"/>
    <cellStyle name="Обычный 7 4 3 11" xfId="17217"/>
    <cellStyle name="Обычный 7 4 3 12" xfId="17218"/>
    <cellStyle name="Обычный 7 4 3 13" xfId="17219"/>
    <cellStyle name="Обычный 7 4 3 14" xfId="17220"/>
    <cellStyle name="Обычный 7 4 3 15" xfId="17221"/>
    <cellStyle name="Обычный 7 4 3 16" xfId="17222"/>
    <cellStyle name="Обычный 7 4 3 17" xfId="17223"/>
    <cellStyle name="Обычный 7 4 3 18" xfId="19517"/>
    <cellStyle name="Обычный 7 4 3 19" xfId="21211"/>
    <cellStyle name="Обычный 7 4 3 2" xfId="17224"/>
    <cellStyle name="Обычный 7 4 3 2 10" xfId="17225"/>
    <cellStyle name="Обычный 7 4 3 2 11" xfId="17226"/>
    <cellStyle name="Обычный 7 4 3 2 12" xfId="19518"/>
    <cellStyle name="Обычный 7 4 3 2 13" xfId="21212"/>
    <cellStyle name="Обычный 7 4 3 2 14" xfId="22824"/>
    <cellStyle name="Обычный 7 4 3 2 2" xfId="17227"/>
    <cellStyle name="Обычный 7 4 3 2 2 10" xfId="17228"/>
    <cellStyle name="Обычный 7 4 3 2 2 11" xfId="19519"/>
    <cellStyle name="Обычный 7 4 3 2 2 12" xfId="21213"/>
    <cellStyle name="Обычный 7 4 3 2 2 13" xfId="22825"/>
    <cellStyle name="Обычный 7 4 3 2 2 2" xfId="17229"/>
    <cellStyle name="Обычный 7 4 3 2 2 2 2" xfId="17230"/>
    <cellStyle name="Обычный 7 4 3 2 2 3" xfId="17231"/>
    <cellStyle name="Обычный 7 4 3 2 2 4" xfId="17232"/>
    <cellStyle name="Обычный 7 4 3 2 2 5" xfId="17233"/>
    <cellStyle name="Обычный 7 4 3 2 2 6" xfId="17234"/>
    <cellStyle name="Обычный 7 4 3 2 2 7" xfId="17235"/>
    <cellStyle name="Обычный 7 4 3 2 2 8" xfId="17236"/>
    <cellStyle name="Обычный 7 4 3 2 2 9" xfId="17237"/>
    <cellStyle name="Обычный 7 4 3 2 3" xfId="17238"/>
    <cellStyle name="Обычный 7 4 3 2 3 2" xfId="17239"/>
    <cellStyle name="Обычный 7 4 3 2 4" xfId="17240"/>
    <cellStyle name="Обычный 7 4 3 2 5" xfId="17241"/>
    <cellStyle name="Обычный 7 4 3 2 6" xfId="17242"/>
    <cellStyle name="Обычный 7 4 3 2 7" xfId="17243"/>
    <cellStyle name="Обычный 7 4 3 2 8" xfId="17244"/>
    <cellStyle name="Обычный 7 4 3 2 9" xfId="17245"/>
    <cellStyle name="Обычный 7 4 3 20" xfId="22823"/>
    <cellStyle name="Обычный 7 4 3 3" xfId="17246"/>
    <cellStyle name="Обычный 7 4 3 3 10" xfId="17247"/>
    <cellStyle name="Обычный 7 4 3 3 11" xfId="17248"/>
    <cellStyle name="Обычный 7 4 3 3 12" xfId="19520"/>
    <cellStyle name="Обычный 7 4 3 3 13" xfId="21214"/>
    <cellStyle name="Обычный 7 4 3 3 14" xfId="22826"/>
    <cellStyle name="Обычный 7 4 3 3 2" xfId="17249"/>
    <cellStyle name="Обычный 7 4 3 3 2 10" xfId="17250"/>
    <cellStyle name="Обычный 7 4 3 3 2 11" xfId="19521"/>
    <cellStyle name="Обычный 7 4 3 3 2 12" xfId="21215"/>
    <cellStyle name="Обычный 7 4 3 3 2 13" xfId="22827"/>
    <cellStyle name="Обычный 7 4 3 3 2 2" xfId="17251"/>
    <cellStyle name="Обычный 7 4 3 3 2 2 2" xfId="17252"/>
    <cellStyle name="Обычный 7 4 3 3 2 3" xfId="17253"/>
    <cellStyle name="Обычный 7 4 3 3 2 4" xfId="17254"/>
    <cellStyle name="Обычный 7 4 3 3 2 5" xfId="17255"/>
    <cellStyle name="Обычный 7 4 3 3 2 6" xfId="17256"/>
    <cellStyle name="Обычный 7 4 3 3 2 7" xfId="17257"/>
    <cellStyle name="Обычный 7 4 3 3 2 8" xfId="17258"/>
    <cellStyle name="Обычный 7 4 3 3 2 9" xfId="17259"/>
    <cellStyle name="Обычный 7 4 3 3 3" xfId="17260"/>
    <cellStyle name="Обычный 7 4 3 3 3 2" xfId="17261"/>
    <cellStyle name="Обычный 7 4 3 3 4" xfId="17262"/>
    <cellStyle name="Обычный 7 4 3 3 5" xfId="17263"/>
    <cellStyle name="Обычный 7 4 3 3 6" xfId="17264"/>
    <cellStyle name="Обычный 7 4 3 3 7" xfId="17265"/>
    <cellStyle name="Обычный 7 4 3 3 8" xfId="17266"/>
    <cellStyle name="Обычный 7 4 3 3 9" xfId="17267"/>
    <cellStyle name="Обычный 7 4 3 4" xfId="17268"/>
    <cellStyle name="Обычный 7 4 3 4 10" xfId="17269"/>
    <cellStyle name="Обычный 7 4 3 4 11" xfId="17270"/>
    <cellStyle name="Обычный 7 4 3 4 12" xfId="19522"/>
    <cellStyle name="Обычный 7 4 3 4 13" xfId="21216"/>
    <cellStyle name="Обычный 7 4 3 4 14" xfId="22828"/>
    <cellStyle name="Обычный 7 4 3 4 2" xfId="17271"/>
    <cellStyle name="Обычный 7 4 3 4 2 10" xfId="17272"/>
    <cellStyle name="Обычный 7 4 3 4 2 11" xfId="19523"/>
    <cellStyle name="Обычный 7 4 3 4 2 12" xfId="21217"/>
    <cellStyle name="Обычный 7 4 3 4 2 13" xfId="22829"/>
    <cellStyle name="Обычный 7 4 3 4 2 2" xfId="17273"/>
    <cellStyle name="Обычный 7 4 3 4 2 2 2" xfId="17274"/>
    <cellStyle name="Обычный 7 4 3 4 2 3" xfId="17275"/>
    <cellStyle name="Обычный 7 4 3 4 2 4" xfId="17276"/>
    <cellStyle name="Обычный 7 4 3 4 2 5" xfId="17277"/>
    <cellStyle name="Обычный 7 4 3 4 2 6" xfId="17278"/>
    <cellStyle name="Обычный 7 4 3 4 2 7" xfId="17279"/>
    <cellStyle name="Обычный 7 4 3 4 2 8" xfId="17280"/>
    <cellStyle name="Обычный 7 4 3 4 2 9" xfId="17281"/>
    <cellStyle name="Обычный 7 4 3 4 3" xfId="17282"/>
    <cellStyle name="Обычный 7 4 3 4 3 2" xfId="17283"/>
    <cellStyle name="Обычный 7 4 3 4 4" xfId="17284"/>
    <cellStyle name="Обычный 7 4 3 4 5" xfId="17285"/>
    <cellStyle name="Обычный 7 4 3 4 6" xfId="17286"/>
    <cellStyle name="Обычный 7 4 3 4 7" xfId="17287"/>
    <cellStyle name="Обычный 7 4 3 4 8" xfId="17288"/>
    <cellStyle name="Обычный 7 4 3 4 9" xfId="17289"/>
    <cellStyle name="Обычный 7 4 3 5" xfId="17290"/>
    <cellStyle name="Обычный 7 4 3 5 10" xfId="17291"/>
    <cellStyle name="Обычный 7 4 3 5 11" xfId="17292"/>
    <cellStyle name="Обычный 7 4 3 5 12" xfId="19524"/>
    <cellStyle name="Обычный 7 4 3 5 13" xfId="21218"/>
    <cellStyle name="Обычный 7 4 3 5 14" xfId="22830"/>
    <cellStyle name="Обычный 7 4 3 5 2" xfId="17293"/>
    <cellStyle name="Обычный 7 4 3 5 2 10" xfId="17294"/>
    <cellStyle name="Обычный 7 4 3 5 2 11" xfId="19525"/>
    <cellStyle name="Обычный 7 4 3 5 2 12" xfId="21219"/>
    <cellStyle name="Обычный 7 4 3 5 2 13" xfId="22831"/>
    <cellStyle name="Обычный 7 4 3 5 2 2" xfId="17295"/>
    <cellStyle name="Обычный 7 4 3 5 2 2 2" xfId="17296"/>
    <cellStyle name="Обычный 7 4 3 5 2 3" xfId="17297"/>
    <cellStyle name="Обычный 7 4 3 5 2 4" xfId="17298"/>
    <cellStyle name="Обычный 7 4 3 5 2 5" xfId="17299"/>
    <cellStyle name="Обычный 7 4 3 5 2 6" xfId="17300"/>
    <cellStyle name="Обычный 7 4 3 5 2 7" xfId="17301"/>
    <cellStyle name="Обычный 7 4 3 5 2 8" xfId="17302"/>
    <cellStyle name="Обычный 7 4 3 5 2 9" xfId="17303"/>
    <cellStyle name="Обычный 7 4 3 5 3" xfId="17304"/>
    <cellStyle name="Обычный 7 4 3 5 3 2" xfId="17305"/>
    <cellStyle name="Обычный 7 4 3 5 4" xfId="17306"/>
    <cellStyle name="Обычный 7 4 3 5 5" xfId="17307"/>
    <cellStyle name="Обычный 7 4 3 5 6" xfId="17308"/>
    <cellStyle name="Обычный 7 4 3 5 7" xfId="17309"/>
    <cellStyle name="Обычный 7 4 3 5 8" xfId="17310"/>
    <cellStyle name="Обычный 7 4 3 5 9" xfId="17311"/>
    <cellStyle name="Обычный 7 4 3 6" xfId="17312"/>
    <cellStyle name="Обычный 7 4 3 6 10" xfId="17313"/>
    <cellStyle name="Обычный 7 4 3 6 11" xfId="19526"/>
    <cellStyle name="Обычный 7 4 3 6 12" xfId="21220"/>
    <cellStyle name="Обычный 7 4 3 6 13" xfId="22832"/>
    <cellStyle name="Обычный 7 4 3 6 2" xfId="17314"/>
    <cellStyle name="Обычный 7 4 3 6 2 2" xfId="17315"/>
    <cellStyle name="Обычный 7 4 3 6 3" xfId="17316"/>
    <cellStyle name="Обычный 7 4 3 6 4" xfId="17317"/>
    <cellStyle name="Обычный 7 4 3 6 5" xfId="17318"/>
    <cellStyle name="Обычный 7 4 3 6 6" xfId="17319"/>
    <cellStyle name="Обычный 7 4 3 6 7" xfId="17320"/>
    <cellStyle name="Обычный 7 4 3 6 8" xfId="17321"/>
    <cellStyle name="Обычный 7 4 3 6 9" xfId="17322"/>
    <cellStyle name="Обычный 7 4 3 7" xfId="17323"/>
    <cellStyle name="Обычный 7 4 3 7 10" xfId="21221"/>
    <cellStyle name="Обычный 7 4 3 7 11" xfId="22833"/>
    <cellStyle name="Обычный 7 4 3 7 2" xfId="17324"/>
    <cellStyle name="Обычный 7 4 3 7 2 2" xfId="17325"/>
    <cellStyle name="Обычный 7 4 3 7 3" xfId="17326"/>
    <cellStyle name="Обычный 7 4 3 7 4" xfId="17327"/>
    <cellStyle name="Обычный 7 4 3 7 5" xfId="17328"/>
    <cellStyle name="Обычный 7 4 3 7 6" xfId="17329"/>
    <cellStyle name="Обычный 7 4 3 7 7" xfId="17330"/>
    <cellStyle name="Обычный 7 4 3 7 8" xfId="17331"/>
    <cellStyle name="Обычный 7 4 3 7 9" xfId="19527"/>
    <cellStyle name="Обычный 7 4 3 8" xfId="17332"/>
    <cellStyle name="Обычный 7 4 3 8 2" xfId="17333"/>
    <cellStyle name="Обычный 7 4 3 9" xfId="17334"/>
    <cellStyle name="Обычный 7 4 4" xfId="17335"/>
    <cellStyle name="Обычный 7 4 4 10" xfId="17336"/>
    <cellStyle name="Обычный 7 4 4 11" xfId="17337"/>
    <cellStyle name="Обычный 7 4 4 12" xfId="19528"/>
    <cellStyle name="Обычный 7 4 4 13" xfId="21222"/>
    <cellStyle name="Обычный 7 4 4 14" xfId="22834"/>
    <cellStyle name="Обычный 7 4 4 2" xfId="17338"/>
    <cellStyle name="Обычный 7 4 4 2 10" xfId="17339"/>
    <cellStyle name="Обычный 7 4 4 2 11" xfId="19529"/>
    <cellStyle name="Обычный 7 4 4 2 12" xfId="21223"/>
    <cellStyle name="Обычный 7 4 4 2 13" xfId="22835"/>
    <cellStyle name="Обычный 7 4 4 2 2" xfId="17340"/>
    <cellStyle name="Обычный 7 4 4 2 2 2" xfId="17341"/>
    <cellStyle name="Обычный 7 4 4 2 3" xfId="17342"/>
    <cellStyle name="Обычный 7 4 4 2 4" xfId="17343"/>
    <cellStyle name="Обычный 7 4 4 2 5" xfId="17344"/>
    <cellStyle name="Обычный 7 4 4 2 6" xfId="17345"/>
    <cellStyle name="Обычный 7 4 4 2 7" xfId="17346"/>
    <cellStyle name="Обычный 7 4 4 2 8" xfId="17347"/>
    <cellStyle name="Обычный 7 4 4 2 9" xfId="17348"/>
    <cellStyle name="Обычный 7 4 4 3" xfId="17349"/>
    <cellStyle name="Обычный 7 4 4 3 2" xfId="17350"/>
    <cellStyle name="Обычный 7 4 4 4" xfId="17351"/>
    <cellStyle name="Обычный 7 4 4 5" xfId="17352"/>
    <cellStyle name="Обычный 7 4 4 6" xfId="17353"/>
    <cellStyle name="Обычный 7 4 4 7" xfId="17354"/>
    <cellStyle name="Обычный 7 4 4 8" xfId="17355"/>
    <cellStyle name="Обычный 7 4 4 9" xfId="17356"/>
    <cellStyle name="Обычный 7 4 5" xfId="17357"/>
    <cellStyle name="Обычный 7 4 5 10" xfId="17358"/>
    <cellStyle name="Обычный 7 4 5 11" xfId="17359"/>
    <cellStyle name="Обычный 7 4 5 12" xfId="19530"/>
    <cellStyle name="Обычный 7 4 5 13" xfId="21224"/>
    <cellStyle name="Обычный 7 4 5 14" xfId="22836"/>
    <cellStyle name="Обычный 7 4 5 2" xfId="17360"/>
    <cellStyle name="Обычный 7 4 5 2 10" xfId="17361"/>
    <cellStyle name="Обычный 7 4 5 2 11" xfId="19531"/>
    <cellStyle name="Обычный 7 4 5 2 12" xfId="21225"/>
    <cellStyle name="Обычный 7 4 5 2 13" xfId="22837"/>
    <cellStyle name="Обычный 7 4 5 2 2" xfId="17362"/>
    <cellStyle name="Обычный 7 4 5 2 2 2" xfId="17363"/>
    <cellStyle name="Обычный 7 4 5 2 3" xfId="17364"/>
    <cellStyle name="Обычный 7 4 5 2 4" xfId="17365"/>
    <cellStyle name="Обычный 7 4 5 2 5" xfId="17366"/>
    <cellStyle name="Обычный 7 4 5 2 6" xfId="17367"/>
    <cellStyle name="Обычный 7 4 5 2 7" xfId="17368"/>
    <cellStyle name="Обычный 7 4 5 2 8" xfId="17369"/>
    <cellStyle name="Обычный 7 4 5 2 9" xfId="17370"/>
    <cellStyle name="Обычный 7 4 5 3" xfId="17371"/>
    <cellStyle name="Обычный 7 4 5 3 2" xfId="17372"/>
    <cellStyle name="Обычный 7 4 5 4" xfId="17373"/>
    <cellStyle name="Обычный 7 4 5 5" xfId="17374"/>
    <cellStyle name="Обычный 7 4 5 6" xfId="17375"/>
    <cellStyle name="Обычный 7 4 5 7" xfId="17376"/>
    <cellStyle name="Обычный 7 4 5 8" xfId="17377"/>
    <cellStyle name="Обычный 7 4 5 9" xfId="17378"/>
    <cellStyle name="Обычный 7 4 6" xfId="17379"/>
    <cellStyle name="Обычный 7 4 6 10" xfId="17380"/>
    <cellStyle name="Обычный 7 4 6 11" xfId="17381"/>
    <cellStyle name="Обычный 7 4 6 12" xfId="19532"/>
    <cellStyle name="Обычный 7 4 6 13" xfId="21226"/>
    <cellStyle name="Обычный 7 4 6 14" xfId="22838"/>
    <cellStyle name="Обычный 7 4 6 2" xfId="17382"/>
    <cellStyle name="Обычный 7 4 6 2 10" xfId="17383"/>
    <cellStyle name="Обычный 7 4 6 2 11" xfId="19533"/>
    <cellStyle name="Обычный 7 4 6 2 12" xfId="21227"/>
    <cellStyle name="Обычный 7 4 6 2 13" xfId="22839"/>
    <cellStyle name="Обычный 7 4 6 2 2" xfId="17384"/>
    <cellStyle name="Обычный 7 4 6 2 2 2" xfId="17385"/>
    <cellStyle name="Обычный 7 4 6 2 3" xfId="17386"/>
    <cellStyle name="Обычный 7 4 6 2 4" xfId="17387"/>
    <cellStyle name="Обычный 7 4 6 2 5" xfId="17388"/>
    <cellStyle name="Обычный 7 4 6 2 6" xfId="17389"/>
    <cellStyle name="Обычный 7 4 6 2 7" xfId="17390"/>
    <cellStyle name="Обычный 7 4 6 2 8" xfId="17391"/>
    <cellStyle name="Обычный 7 4 6 2 9" xfId="17392"/>
    <cellStyle name="Обычный 7 4 6 3" xfId="17393"/>
    <cellStyle name="Обычный 7 4 6 3 2" xfId="17394"/>
    <cellStyle name="Обычный 7 4 6 4" xfId="17395"/>
    <cellStyle name="Обычный 7 4 6 5" xfId="17396"/>
    <cellStyle name="Обычный 7 4 6 6" xfId="17397"/>
    <cellStyle name="Обычный 7 4 6 7" xfId="17398"/>
    <cellStyle name="Обычный 7 4 6 8" xfId="17399"/>
    <cellStyle name="Обычный 7 4 6 9" xfId="17400"/>
    <cellStyle name="Обычный 7 4 7" xfId="17401"/>
    <cellStyle name="Обычный 7 4 7 10" xfId="17402"/>
    <cellStyle name="Обычный 7 4 7 11" xfId="17403"/>
    <cellStyle name="Обычный 7 4 7 12" xfId="19534"/>
    <cellStyle name="Обычный 7 4 7 13" xfId="21228"/>
    <cellStyle name="Обычный 7 4 7 14" xfId="22840"/>
    <cellStyle name="Обычный 7 4 7 2" xfId="17404"/>
    <cellStyle name="Обычный 7 4 7 2 10" xfId="17405"/>
    <cellStyle name="Обычный 7 4 7 2 11" xfId="19535"/>
    <cellStyle name="Обычный 7 4 7 2 12" xfId="21229"/>
    <cellStyle name="Обычный 7 4 7 2 13" xfId="22841"/>
    <cellStyle name="Обычный 7 4 7 2 2" xfId="17406"/>
    <cellStyle name="Обычный 7 4 7 2 2 2" xfId="17407"/>
    <cellStyle name="Обычный 7 4 7 2 3" xfId="17408"/>
    <cellStyle name="Обычный 7 4 7 2 4" xfId="17409"/>
    <cellStyle name="Обычный 7 4 7 2 5" xfId="17410"/>
    <cellStyle name="Обычный 7 4 7 2 6" xfId="17411"/>
    <cellStyle name="Обычный 7 4 7 2 7" xfId="17412"/>
    <cellStyle name="Обычный 7 4 7 2 8" xfId="17413"/>
    <cellStyle name="Обычный 7 4 7 2 9" xfId="17414"/>
    <cellStyle name="Обычный 7 4 7 3" xfId="17415"/>
    <cellStyle name="Обычный 7 4 7 3 2" xfId="17416"/>
    <cellStyle name="Обычный 7 4 7 4" xfId="17417"/>
    <cellStyle name="Обычный 7 4 7 5" xfId="17418"/>
    <cellStyle name="Обычный 7 4 7 6" xfId="17419"/>
    <cellStyle name="Обычный 7 4 7 7" xfId="17420"/>
    <cellStyle name="Обычный 7 4 7 8" xfId="17421"/>
    <cellStyle name="Обычный 7 4 7 9" xfId="17422"/>
    <cellStyle name="Обычный 7 4 8" xfId="17423"/>
    <cellStyle name="Обычный 7 4 8 10" xfId="17424"/>
    <cellStyle name="Обычный 7 4 8 11" xfId="19536"/>
    <cellStyle name="Обычный 7 4 8 12" xfId="21230"/>
    <cellStyle name="Обычный 7 4 8 13" xfId="22842"/>
    <cellStyle name="Обычный 7 4 8 2" xfId="17425"/>
    <cellStyle name="Обычный 7 4 8 2 2" xfId="17426"/>
    <cellStyle name="Обычный 7 4 8 3" xfId="17427"/>
    <cellStyle name="Обычный 7 4 8 4" xfId="17428"/>
    <cellStyle name="Обычный 7 4 8 5" xfId="17429"/>
    <cellStyle name="Обычный 7 4 8 6" xfId="17430"/>
    <cellStyle name="Обычный 7 4 8 7" xfId="17431"/>
    <cellStyle name="Обычный 7 4 8 8" xfId="17432"/>
    <cellStyle name="Обычный 7 4 8 9" xfId="17433"/>
    <cellStyle name="Обычный 7 4 9" xfId="17434"/>
    <cellStyle name="Обычный 7 4 9 10" xfId="21231"/>
    <cellStyle name="Обычный 7 4 9 11" xfId="22843"/>
    <cellStyle name="Обычный 7 4 9 2" xfId="17435"/>
    <cellStyle name="Обычный 7 4 9 2 2" xfId="17436"/>
    <cellStyle name="Обычный 7 4 9 3" xfId="17437"/>
    <cellStyle name="Обычный 7 4 9 4" xfId="17438"/>
    <cellStyle name="Обычный 7 4 9 5" xfId="17439"/>
    <cellStyle name="Обычный 7 4 9 6" xfId="17440"/>
    <cellStyle name="Обычный 7 4 9 7" xfId="17441"/>
    <cellStyle name="Обычный 7 4 9 8" xfId="17442"/>
    <cellStyle name="Обычный 7 4 9 9" xfId="19537"/>
    <cellStyle name="Обычный 7 5" xfId="17443"/>
    <cellStyle name="Обычный 7 5 10" xfId="17444"/>
    <cellStyle name="Обычный 7 5 11" xfId="17445"/>
    <cellStyle name="Обычный 7 5 12" xfId="17446"/>
    <cellStyle name="Обычный 7 5 13" xfId="17447"/>
    <cellStyle name="Обычный 7 5 14" xfId="17448"/>
    <cellStyle name="Обычный 7 5 15" xfId="17449"/>
    <cellStyle name="Обычный 7 5 16" xfId="17450"/>
    <cellStyle name="Обычный 7 5 17" xfId="17451"/>
    <cellStyle name="Обычный 7 5 18" xfId="19538"/>
    <cellStyle name="Обычный 7 5 19" xfId="21232"/>
    <cellStyle name="Обычный 7 5 2" xfId="17452"/>
    <cellStyle name="Обычный 7 5 2 10" xfId="17453"/>
    <cellStyle name="Обычный 7 5 2 11" xfId="17454"/>
    <cellStyle name="Обычный 7 5 2 12" xfId="19539"/>
    <cellStyle name="Обычный 7 5 2 13" xfId="21233"/>
    <cellStyle name="Обычный 7 5 2 14" xfId="22845"/>
    <cellStyle name="Обычный 7 5 2 2" xfId="17455"/>
    <cellStyle name="Обычный 7 5 2 2 10" xfId="17456"/>
    <cellStyle name="Обычный 7 5 2 2 11" xfId="19540"/>
    <cellStyle name="Обычный 7 5 2 2 12" xfId="21234"/>
    <cellStyle name="Обычный 7 5 2 2 13" xfId="22846"/>
    <cellStyle name="Обычный 7 5 2 2 2" xfId="17457"/>
    <cellStyle name="Обычный 7 5 2 2 2 2" xfId="17458"/>
    <cellStyle name="Обычный 7 5 2 2 3" xfId="17459"/>
    <cellStyle name="Обычный 7 5 2 2 4" xfId="17460"/>
    <cellStyle name="Обычный 7 5 2 2 5" xfId="17461"/>
    <cellStyle name="Обычный 7 5 2 2 6" xfId="17462"/>
    <cellStyle name="Обычный 7 5 2 2 7" xfId="17463"/>
    <cellStyle name="Обычный 7 5 2 2 8" xfId="17464"/>
    <cellStyle name="Обычный 7 5 2 2 9" xfId="17465"/>
    <cellStyle name="Обычный 7 5 2 3" xfId="17466"/>
    <cellStyle name="Обычный 7 5 2 3 2" xfId="17467"/>
    <cellStyle name="Обычный 7 5 2 4" xfId="17468"/>
    <cellStyle name="Обычный 7 5 2 5" xfId="17469"/>
    <cellStyle name="Обычный 7 5 2 6" xfId="17470"/>
    <cellStyle name="Обычный 7 5 2 7" xfId="17471"/>
    <cellStyle name="Обычный 7 5 2 8" xfId="17472"/>
    <cellStyle name="Обычный 7 5 2 9" xfId="17473"/>
    <cellStyle name="Обычный 7 5 20" xfId="22844"/>
    <cellStyle name="Обычный 7 5 3" xfId="17474"/>
    <cellStyle name="Обычный 7 5 3 10" xfId="17475"/>
    <cellStyle name="Обычный 7 5 3 11" xfId="17476"/>
    <cellStyle name="Обычный 7 5 3 12" xfId="19541"/>
    <cellStyle name="Обычный 7 5 3 13" xfId="21235"/>
    <cellStyle name="Обычный 7 5 3 14" xfId="22847"/>
    <cellStyle name="Обычный 7 5 3 2" xfId="17477"/>
    <cellStyle name="Обычный 7 5 3 2 10" xfId="17478"/>
    <cellStyle name="Обычный 7 5 3 2 11" xfId="19542"/>
    <cellStyle name="Обычный 7 5 3 2 12" xfId="21236"/>
    <cellStyle name="Обычный 7 5 3 2 13" xfId="22848"/>
    <cellStyle name="Обычный 7 5 3 2 2" xfId="17479"/>
    <cellStyle name="Обычный 7 5 3 2 2 2" xfId="17480"/>
    <cellStyle name="Обычный 7 5 3 2 3" xfId="17481"/>
    <cellStyle name="Обычный 7 5 3 2 4" xfId="17482"/>
    <cellStyle name="Обычный 7 5 3 2 5" xfId="17483"/>
    <cellStyle name="Обычный 7 5 3 2 6" xfId="17484"/>
    <cellStyle name="Обычный 7 5 3 2 7" xfId="17485"/>
    <cellStyle name="Обычный 7 5 3 2 8" xfId="17486"/>
    <cellStyle name="Обычный 7 5 3 2 9" xfId="17487"/>
    <cellStyle name="Обычный 7 5 3 3" xfId="17488"/>
    <cellStyle name="Обычный 7 5 3 3 2" xfId="17489"/>
    <cellStyle name="Обычный 7 5 3 4" xfId="17490"/>
    <cellStyle name="Обычный 7 5 3 5" xfId="17491"/>
    <cellStyle name="Обычный 7 5 3 6" xfId="17492"/>
    <cellStyle name="Обычный 7 5 3 7" xfId="17493"/>
    <cellStyle name="Обычный 7 5 3 8" xfId="17494"/>
    <cellStyle name="Обычный 7 5 3 9" xfId="17495"/>
    <cellStyle name="Обычный 7 5 4" xfId="17496"/>
    <cellStyle name="Обычный 7 5 4 10" xfId="17497"/>
    <cellStyle name="Обычный 7 5 4 11" xfId="17498"/>
    <cellStyle name="Обычный 7 5 4 12" xfId="19543"/>
    <cellStyle name="Обычный 7 5 4 13" xfId="21237"/>
    <cellStyle name="Обычный 7 5 4 14" xfId="22849"/>
    <cellStyle name="Обычный 7 5 4 2" xfId="17499"/>
    <cellStyle name="Обычный 7 5 4 2 10" xfId="17500"/>
    <cellStyle name="Обычный 7 5 4 2 11" xfId="19544"/>
    <cellStyle name="Обычный 7 5 4 2 12" xfId="21238"/>
    <cellStyle name="Обычный 7 5 4 2 13" xfId="22850"/>
    <cellStyle name="Обычный 7 5 4 2 2" xfId="17501"/>
    <cellStyle name="Обычный 7 5 4 2 2 2" xfId="17502"/>
    <cellStyle name="Обычный 7 5 4 2 3" xfId="17503"/>
    <cellStyle name="Обычный 7 5 4 2 4" xfId="17504"/>
    <cellStyle name="Обычный 7 5 4 2 5" xfId="17505"/>
    <cellStyle name="Обычный 7 5 4 2 6" xfId="17506"/>
    <cellStyle name="Обычный 7 5 4 2 7" xfId="17507"/>
    <cellStyle name="Обычный 7 5 4 2 8" xfId="17508"/>
    <cellStyle name="Обычный 7 5 4 2 9" xfId="17509"/>
    <cellStyle name="Обычный 7 5 4 3" xfId="17510"/>
    <cellStyle name="Обычный 7 5 4 3 2" xfId="17511"/>
    <cellStyle name="Обычный 7 5 4 4" xfId="17512"/>
    <cellStyle name="Обычный 7 5 4 5" xfId="17513"/>
    <cellStyle name="Обычный 7 5 4 6" xfId="17514"/>
    <cellStyle name="Обычный 7 5 4 7" xfId="17515"/>
    <cellStyle name="Обычный 7 5 4 8" xfId="17516"/>
    <cellStyle name="Обычный 7 5 4 9" xfId="17517"/>
    <cellStyle name="Обычный 7 5 5" xfId="17518"/>
    <cellStyle name="Обычный 7 5 5 10" xfId="17519"/>
    <cellStyle name="Обычный 7 5 5 11" xfId="17520"/>
    <cellStyle name="Обычный 7 5 5 12" xfId="19545"/>
    <cellStyle name="Обычный 7 5 5 13" xfId="21239"/>
    <cellStyle name="Обычный 7 5 5 14" xfId="22851"/>
    <cellStyle name="Обычный 7 5 5 2" xfId="17521"/>
    <cellStyle name="Обычный 7 5 5 2 10" xfId="17522"/>
    <cellStyle name="Обычный 7 5 5 2 11" xfId="19546"/>
    <cellStyle name="Обычный 7 5 5 2 12" xfId="21240"/>
    <cellStyle name="Обычный 7 5 5 2 13" xfId="22852"/>
    <cellStyle name="Обычный 7 5 5 2 2" xfId="17523"/>
    <cellStyle name="Обычный 7 5 5 2 2 2" xfId="17524"/>
    <cellStyle name="Обычный 7 5 5 2 3" xfId="17525"/>
    <cellStyle name="Обычный 7 5 5 2 4" xfId="17526"/>
    <cellStyle name="Обычный 7 5 5 2 5" xfId="17527"/>
    <cellStyle name="Обычный 7 5 5 2 6" xfId="17528"/>
    <cellStyle name="Обычный 7 5 5 2 7" xfId="17529"/>
    <cellStyle name="Обычный 7 5 5 2 8" xfId="17530"/>
    <cellStyle name="Обычный 7 5 5 2 9" xfId="17531"/>
    <cellStyle name="Обычный 7 5 5 3" xfId="17532"/>
    <cellStyle name="Обычный 7 5 5 3 2" xfId="17533"/>
    <cellStyle name="Обычный 7 5 5 4" xfId="17534"/>
    <cellStyle name="Обычный 7 5 5 5" xfId="17535"/>
    <cellStyle name="Обычный 7 5 5 6" xfId="17536"/>
    <cellStyle name="Обычный 7 5 5 7" xfId="17537"/>
    <cellStyle name="Обычный 7 5 5 8" xfId="17538"/>
    <cellStyle name="Обычный 7 5 5 9" xfId="17539"/>
    <cellStyle name="Обычный 7 5 6" xfId="17540"/>
    <cellStyle name="Обычный 7 5 6 10" xfId="17541"/>
    <cellStyle name="Обычный 7 5 6 11" xfId="19547"/>
    <cellStyle name="Обычный 7 5 6 12" xfId="21241"/>
    <cellStyle name="Обычный 7 5 6 13" xfId="22853"/>
    <cellStyle name="Обычный 7 5 6 2" xfId="17542"/>
    <cellStyle name="Обычный 7 5 6 2 2" xfId="17543"/>
    <cellStyle name="Обычный 7 5 6 3" xfId="17544"/>
    <cellStyle name="Обычный 7 5 6 4" xfId="17545"/>
    <cellStyle name="Обычный 7 5 6 5" xfId="17546"/>
    <cellStyle name="Обычный 7 5 6 6" xfId="17547"/>
    <cellStyle name="Обычный 7 5 6 7" xfId="17548"/>
    <cellStyle name="Обычный 7 5 6 8" xfId="17549"/>
    <cellStyle name="Обычный 7 5 6 9" xfId="17550"/>
    <cellStyle name="Обычный 7 5 7" xfId="17551"/>
    <cellStyle name="Обычный 7 5 7 10" xfId="21242"/>
    <cellStyle name="Обычный 7 5 7 11" xfId="22854"/>
    <cellStyle name="Обычный 7 5 7 2" xfId="17552"/>
    <cellStyle name="Обычный 7 5 7 2 2" xfId="17553"/>
    <cellStyle name="Обычный 7 5 7 3" xfId="17554"/>
    <cellStyle name="Обычный 7 5 7 4" xfId="17555"/>
    <cellStyle name="Обычный 7 5 7 5" xfId="17556"/>
    <cellStyle name="Обычный 7 5 7 6" xfId="17557"/>
    <cellStyle name="Обычный 7 5 7 7" xfId="17558"/>
    <cellStyle name="Обычный 7 5 7 8" xfId="17559"/>
    <cellStyle name="Обычный 7 5 7 9" xfId="19548"/>
    <cellStyle name="Обычный 7 5 8" xfId="17560"/>
    <cellStyle name="Обычный 7 5 8 2" xfId="17561"/>
    <cellStyle name="Обычный 7 5 9" xfId="17562"/>
    <cellStyle name="Обычный 7 6" xfId="17563"/>
    <cellStyle name="Обычный 7 6 10" xfId="17564"/>
    <cellStyle name="Обычный 7 6 11" xfId="17565"/>
    <cellStyle name="Обычный 7 6 12" xfId="17566"/>
    <cellStyle name="Обычный 7 6 13" xfId="17567"/>
    <cellStyle name="Обычный 7 6 14" xfId="17568"/>
    <cellStyle name="Обычный 7 6 15" xfId="17569"/>
    <cellStyle name="Обычный 7 6 16" xfId="17570"/>
    <cellStyle name="Обычный 7 6 17" xfId="17571"/>
    <cellStyle name="Обычный 7 6 18" xfId="19549"/>
    <cellStyle name="Обычный 7 6 19" xfId="21243"/>
    <cellStyle name="Обычный 7 6 2" xfId="17572"/>
    <cellStyle name="Обычный 7 6 2 10" xfId="17573"/>
    <cellStyle name="Обычный 7 6 2 11" xfId="17574"/>
    <cellStyle name="Обычный 7 6 2 12" xfId="19550"/>
    <cellStyle name="Обычный 7 6 2 13" xfId="21244"/>
    <cellStyle name="Обычный 7 6 2 14" xfId="22856"/>
    <cellStyle name="Обычный 7 6 2 2" xfId="17575"/>
    <cellStyle name="Обычный 7 6 2 2 10" xfId="17576"/>
    <cellStyle name="Обычный 7 6 2 2 11" xfId="19551"/>
    <cellStyle name="Обычный 7 6 2 2 12" xfId="21245"/>
    <cellStyle name="Обычный 7 6 2 2 13" xfId="22857"/>
    <cellStyle name="Обычный 7 6 2 2 2" xfId="17577"/>
    <cellStyle name="Обычный 7 6 2 2 2 2" xfId="17578"/>
    <cellStyle name="Обычный 7 6 2 2 3" xfId="17579"/>
    <cellStyle name="Обычный 7 6 2 2 4" xfId="17580"/>
    <cellStyle name="Обычный 7 6 2 2 5" xfId="17581"/>
    <cellStyle name="Обычный 7 6 2 2 6" xfId="17582"/>
    <cellStyle name="Обычный 7 6 2 2 7" xfId="17583"/>
    <cellStyle name="Обычный 7 6 2 2 8" xfId="17584"/>
    <cellStyle name="Обычный 7 6 2 2 9" xfId="17585"/>
    <cellStyle name="Обычный 7 6 2 3" xfId="17586"/>
    <cellStyle name="Обычный 7 6 2 3 2" xfId="17587"/>
    <cellStyle name="Обычный 7 6 2 4" xfId="17588"/>
    <cellStyle name="Обычный 7 6 2 5" xfId="17589"/>
    <cellStyle name="Обычный 7 6 2 6" xfId="17590"/>
    <cellStyle name="Обычный 7 6 2 7" xfId="17591"/>
    <cellStyle name="Обычный 7 6 2 8" xfId="17592"/>
    <cellStyle name="Обычный 7 6 2 9" xfId="17593"/>
    <cellStyle name="Обычный 7 6 20" xfId="22855"/>
    <cellStyle name="Обычный 7 6 3" xfId="17594"/>
    <cellStyle name="Обычный 7 6 3 10" xfId="17595"/>
    <cellStyle name="Обычный 7 6 3 11" xfId="17596"/>
    <cellStyle name="Обычный 7 6 3 12" xfId="19552"/>
    <cellStyle name="Обычный 7 6 3 13" xfId="21246"/>
    <cellStyle name="Обычный 7 6 3 14" xfId="22858"/>
    <cellStyle name="Обычный 7 6 3 2" xfId="17597"/>
    <cellStyle name="Обычный 7 6 3 2 10" xfId="17598"/>
    <cellStyle name="Обычный 7 6 3 2 11" xfId="19553"/>
    <cellStyle name="Обычный 7 6 3 2 12" xfId="21247"/>
    <cellStyle name="Обычный 7 6 3 2 13" xfId="22859"/>
    <cellStyle name="Обычный 7 6 3 2 2" xfId="17599"/>
    <cellStyle name="Обычный 7 6 3 2 2 2" xfId="17600"/>
    <cellStyle name="Обычный 7 6 3 2 3" xfId="17601"/>
    <cellStyle name="Обычный 7 6 3 2 4" xfId="17602"/>
    <cellStyle name="Обычный 7 6 3 2 5" xfId="17603"/>
    <cellStyle name="Обычный 7 6 3 2 6" xfId="17604"/>
    <cellStyle name="Обычный 7 6 3 2 7" xfId="17605"/>
    <cellStyle name="Обычный 7 6 3 2 8" xfId="17606"/>
    <cellStyle name="Обычный 7 6 3 2 9" xfId="17607"/>
    <cellStyle name="Обычный 7 6 3 3" xfId="17608"/>
    <cellStyle name="Обычный 7 6 3 3 2" xfId="17609"/>
    <cellStyle name="Обычный 7 6 3 4" xfId="17610"/>
    <cellStyle name="Обычный 7 6 3 5" xfId="17611"/>
    <cellStyle name="Обычный 7 6 3 6" xfId="17612"/>
    <cellStyle name="Обычный 7 6 3 7" xfId="17613"/>
    <cellStyle name="Обычный 7 6 3 8" xfId="17614"/>
    <cellStyle name="Обычный 7 6 3 9" xfId="17615"/>
    <cellStyle name="Обычный 7 6 4" xfId="17616"/>
    <cellStyle name="Обычный 7 6 4 10" xfId="17617"/>
    <cellStyle name="Обычный 7 6 4 11" xfId="17618"/>
    <cellStyle name="Обычный 7 6 4 12" xfId="19554"/>
    <cellStyle name="Обычный 7 6 4 13" xfId="21248"/>
    <cellStyle name="Обычный 7 6 4 14" xfId="22860"/>
    <cellStyle name="Обычный 7 6 4 2" xfId="17619"/>
    <cellStyle name="Обычный 7 6 4 2 10" xfId="17620"/>
    <cellStyle name="Обычный 7 6 4 2 11" xfId="19555"/>
    <cellStyle name="Обычный 7 6 4 2 12" xfId="21249"/>
    <cellStyle name="Обычный 7 6 4 2 13" xfId="22861"/>
    <cellStyle name="Обычный 7 6 4 2 2" xfId="17621"/>
    <cellStyle name="Обычный 7 6 4 2 2 2" xfId="17622"/>
    <cellStyle name="Обычный 7 6 4 2 3" xfId="17623"/>
    <cellStyle name="Обычный 7 6 4 2 4" xfId="17624"/>
    <cellStyle name="Обычный 7 6 4 2 5" xfId="17625"/>
    <cellStyle name="Обычный 7 6 4 2 6" xfId="17626"/>
    <cellStyle name="Обычный 7 6 4 2 7" xfId="17627"/>
    <cellStyle name="Обычный 7 6 4 2 8" xfId="17628"/>
    <cellStyle name="Обычный 7 6 4 2 9" xfId="17629"/>
    <cellStyle name="Обычный 7 6 4 3" xfId="17630"/>
    <cellStyle name="Обычный 7 6 4 3 2" xfId="17631"/>
    <cellStyle name="Обычный 7 6 4 4" xfId="17632"/>
    <cellStyle name="Обычный 7 6 4 5" xfId="17633"/>
    <cellStyle name="Обычный 7 6 4 6" xfId="17634"/>
    <cellStyle name="Обычный 7 6 4 7" xfId="17635"/>
    <cellStyle name="Обычный 7 6 4 8" xfId="17636"/>
    <cellStyle name="Обычный 7 6 4 9" xfId="17637"/>
    <cellStyle name="Обычный 7 6 5" xfId="17638"/>
    <cellStyle name="Обычный 7 6 5 10" xfId="17639"/>
    <cellStyle name="Обычный 7 6 5 11" xfId="17640"/>
    <cellStyle name="Обычный 7 6 5 12" xfId="19556"/>
    <cellStyle name="Обычный 7 6 5 13" xfId="21250"/>
    <cellStyle name="Обычный 7 6 5 14" xfId="22862"/>
    <cellStyle name="Обычный 7 6 5 2" xfId="17641"/>
    <cellStyle name="Обычный 7 6 5 2 10" xfId="17642"/>
    <cellStyle name="Обычный 7 6 5 2 11" xfId="19557"/>
    <cellStyle name="Обычный 7 6 5 2 12" xfId="21251"/>
    <cellStyle name="Обычный 7 6 5 2 13" xfId="22863"/>
    <cellStyle name="Обычный 7 6 5 2 2" xfId="17643"/>
    <cellStyle name="Обычный 7 6 5 2 2 2" xfId="17644"/>
    <cellStyle name="Обычный 7 6 5 2 3" xfId="17645"/>
    <cellStyle name="Обычный 7 6 5 2 4" xfId="17646"/>
    <cellStyle name="Обычный 7 6 5 2 5" xfId="17647"/>
    <cellStyle name="Обычный 7 6 5 2 6" xfId="17648"/>
    <cellStyle name="Обычный 7 6 5 2 7" xfId="17649"/>
    <cellStyle name="Обычный 7 6 5 2 8" xfId="17650"/>
    <cellStyle name="Обычный 7 6 5 2 9" xfId="17651"/>
    <cellStyle name="Обычный 7 6 5 3" xfId="17652"/>
    <cellStyle name="Обычный 7 6 5 3 2" xfId="17653"/>
    <cellStyle name="Обычный 7 6 5 4" xfId="17654"/>
    <cellStyle name="Обычный 7 6 5 5" xfId="17655"/>
    <cellStyle name="Обычный 7 6 5 6" xfId="17656"/>
    <cellStyle name="Обычный 7 6 5 7" xfId="17657"/>
    <cellStyle name="Обычный 7 6 5 8" xfId="17658"/>
    <cellStyle name="Обычный 7 6 5 9" xfId="17659"/>
    <cellStyle name="Обычный 7 6 6" xfId="17660"/>
    <cellStyle name="Обычный 7 6 6 10" xfId="17661"/>
    <cellStyle name="Обычный 7 6 6 11" xfId="19558"/>
    <cellStyle name="Обычный 7 6 6 12" xfId="21252"/>
    <cellStyle name="Обычный 7 6 6 13" xfId="22864"/>
    <cellStyle name="Обычный 7 6 6 2" xfId="17662"/>
    <cellStyle name="Обычный 7 6 6 2 2" xfId="17663"/>
    <cellStyle name="Обычный 7 6 6 3" xfId="17664"/>
    <cellStyle name="Обычный 7 6 6 4" xfId="17665"/>
    <cellStyle name="Обычный 7 6 6 5" xfId="17666"/>
    <cellStyle name="Обычный 7 6 6 6" xfId="17667"/>
    <cellStyle name="Обычный 7 6 6 7" xfId="17668"/>
    <cellStyle name="Обычный 7 6 6 8" xfId="17669"/>
    <cellStyle name="Обычный 7 6 6 9" xfId="17670"/>
    <cellStyle name="Обычный 7 6 7" xfId="17671"/>
    <cellStyle name="Обычный 7 6 7 10" xfId="21253"/>
    <cellStyle name="Обычный 7 6 7 11" xfId="22865"/>
    <cellStyle name="Обычный 7 6 7 2" xfId="17672"/>
    <cellStyle name="Обычный 7 6 7 2 2" xfId="17673"/>
    <cellStyle name="Обычный 7 6 7 3" xfId="17674"/>
    <cellStyle name="Обычный 7 6 7 4" xfId="17675"/>
    <cellStyle name="Обычный 7 6 7 5" xfId="17676"/>
    <cellStyle name="Обычный 7 6 7 6" xfId="17677"/>
    <cellStyle name="Обычный 7 6 7 7" xfId="17678"/>
    <cellStyle name="Обычный 7 6 7 8" xfId="17679"/>
    <cellStyle name="Обычный 7 6 7 9" xfId="19559"/>
    <cellStyle name="Обычный 7 6 8" xfId="17680"/>
    <cellStyle name="Обычный 7 6 8 2" xfId="17681"/>
    <cellStyle name="Обычный 7 6 9" xfId="17682"/>
    <cellStyle name="Обычный 7 7" xfId="17683"/>
    <cellStyle name="Обычный 7 7 10" xfId="17684"/>
    <cellStyle name="Обычный 7 7 11" xfId="17685"/>
    <cellStyle name="Обычный 7 7 12" xfId="19560"/>
    <cellStyle name="Обычный 7 7 13" xfId="21254"/>
    <cellStyle name="Обычный 7 7 14" xfId="22866"/>
    <cellStyle name="Обычный 7 7 2" xfId="17686"/>
    <cellStyle name="Обычный 7 7 2 10" xfId="17687"/>
    <cellStyle name="Обычный 7 7 2 11" xfId="19561"/>
    <cellStyle name="Обычный 7 7 2 12" xfId="21255"/>
    <cellStyle name="Обычный 7 7 2 13" xfId="22867"/>
    <cellStyle name="Обычный 7 7 2 2" xfId="17688"/>
    <cellStyle name="Обычный 7 7 2 2 2" xfId="17689"/>
    <cellStyle name="Обычный 7 7 2 3" xfId="17690"/>
    <cellStyle name="Обычный 7 7 2 4" xfId="17691"/>
    <cellStyle name="Обычный 7 7 2 5" xfId="17692"/>
    <cellStyle name="Обычный 7 7 2 6" xfId="17693"/>
    <cellStyle name="Обычный 7 7 2 7" xfId="17694"/>
    <cellStyle name="Обычный 7 7 2 8" xfId="17695"/>
    <cellStyle name="Обычный 7 7 2 9" xfId="17696"/>
    <cellStyle name="Обычный 7 7 3" xfId="17697"/>
    <cellStyle name="Обычный 7 7 3 2" xfId="17698"/>
    <cellStyle name="Обычный 7 7 4" xfId="17699"/>
    <cellStyle name="Обычный 7 7 5" xfId="17700"/>
    <cellStyle name="Обычный 7 7 6" xfId="17701"/>
    <cellStyle name="Обычный 7 7 7" xfId="17702"/>
    <cellStyle name="Обычный 7 7 8" xfId="17703"/>
    <cellStyle name="Обычный 7 7 9" xfId="17704"/>
    <cellStyle name="Обычный 7 8" xfId="17705"/>
    <cellStyle name="Обычный 7 8 10" xfId="17706"/>
    <cellStyle name="Обычный 7 8 11" xfId="17707"/>
    <cellStyle name="Обычный 7 8 12" xfId="19562"/>
    <cellStyle name="Обычный 7 8 13" xfId="21256"/>
    <cellStyle name="Обычный 7 8 14" xfId="22868"/>
    <cellStyle name="Обычный 7 8 2" xfId="17708"/>
    <cellStyle name="Обычный 7 8 2 10" xfId="17709"/>
    <cellStyle name="Обычный 7 8 2 11" xfId="19563"/>
    <cellStyle name="Обычный 7 8 2 12" xfId="21257"/>
    <cellStyle name="Обычный 7 8 2 13" xfId="22869"/>
    <cellStyle name="Обычный 7 8 2 2" xfId="17710"/>
    <cellStyle name="Обычный 7 8 2 2 2" xfId="17711"/>
    <cellStyle name="Обычный 7 8 2 3" xfId="17712"/>
    <cellStyle name="Обычный 7 8 2 4" xfId="17713"/>
    <cellStyle name="Обычный 7 8 2 5" xfId="17714"/>
    <cellStyle name="Обычный 7 8 2 6" xfId="17715"/>
    <cellStyle name="Обычный 7 8 2 7" xfId="17716"/>
    <cellStyle name="Обычный 7 8 2 8" xfId="17717"/>
    <cellStyle name="Обычный 7 8 2 9" xfId="17718"/>
    <cellStyle name="Обычный 7 8 3" xfId="17719"/>
    <cellStyle name="Обычный 7 8 3 2" xfId="17720"/>
    <cellStyle name="Обычный 7 8 4" xfId="17721"/>
    <cellStyle name="Обычный 7 8 5" xfId="17722"/>
    <cellStyle name="Обычный 7 8 6" xfId="17723"/>
    <cellStyle name="Обычный 7 8 7" xfId="17724"/>
    <cellStyle name="Обычный 7 8 8" xfId="17725"/>
    <cellStyle name="Обычный 7 8 9" xfId="17726"/>
    <cellStyle name="Обычный 7 9" xfId="17727"/>
    <cellStyle name="Обычный 7 9 10" xfId="17728"/>
    <cellStyle name="Обычный 7 9 11" xfId="17729"/>
    <cellStyle name="Обычный 7 9 12" xfId="19564"/>
    <cellStyle name="Обычный 7 9 13" xfId="21258"/>
    <cellStyle name="Обычный 7 9 14" xfId="22870"/>
    <cellStyle name="Обычный 7 9 2" xfId="17730"/>
    <cellStyle name="Обычный 7 9 2 10" xfId="17731"/>
    <cellStyle name="Обычный 7 9 2 11" xfId="19565"/>
    <cellStyle name="Обычный 7 9 2 12" xfId="21259"/>
    <cellStyle name="Обычный 7 9 2 13" xfId="22871"/>
    <cellStyle name="Обычный 7 9 2 2" xfId="17732"/>
    <cellStyle name="Обычный 7 9 2 2 2" xfId="17733"/>
    <cellStyle name="Обычный 7 9 2 3" xfId="17734"/>
    <cellStyle name="Обычный 7 9 2 4" xfId="17735"/>
    <cellStyle name="Обычный 7 9 2 5" xfId="17736"/>
    <cellStyle name="Обычный 7 9 2 6" xfId="17737"/>
    <cellStyle name="Обычный 7 9 2 7" xfId="17738"/>
    <cellStyle name="Обычный 7 9 2 8" xfId="17739"/>
    <cellStyle name="Обычный 7 9 2 9" xfId="17740"/>
    <cellStyle name="Обычный 7 9 3" xfId="17741"/>
    <cellStyle name="Обычный 7 9 3 2" xfId="17742"/>
    <cellStyle name="Обычный 7 9 4" xfId="17743"/>
    <cellStyle name="Обычный 7 9 5" xfId="17744"/>
    <cellStyle name="Обычный 7 9 6" xfId="17745"/>
    <cellStyle name="Обычный 7 9 7" xfId="17746"/>
    <cellStyle name="Обычный 7 9 8" xfId="17747"/>
    <cellStyle name="Обычный 7 9 9" xfId="17748"/>
    <cellStyle name="Обычный 7_5. общ.V" xfId="17749"/>
    <cellStyle name="Обычный 8" xfId="17750"/>
    <cellStyle name="Обычный 8 2" xfId="17751"/>
    <cellStyle name="Обычный 8 2 2" xfId="19567"/>
    <cellStyle name="Обычный 8 3" xfId="19566"/>
    <cellStyle name="Обычный 8 3 2" xfId="22884"/>
    <cellStyle name="Обычный 8_5. общ.V" xfId="17752"/>
    <cellStyle name="Обычный 8_Xl0001228" xfId="22887"/>
    <cellStyle name="Обычный 9" xfId="17753"/>
    <cellStyle name="Обычный 9 2" xfId="19568"/>
    <cellStyle name="Обычный_Лист1" xfId="22875"/>
    <cellStyle name="Обычный_Лист1_1" xfId="22882"/>
    <cellStyle name="Обычный_Лист3" xfId="22886"/>
    <cellStyle name="Обычный_форма" xfId="22885"/>
    <cellStyle name="Обычный_Шаблон 2015" xfId="22874"/>
    <cellStyle name="Плохой 2" xfId="17754"/>
    <cellStyle name="Плохой 2 2" xfId="17755"/>
    <cellStyle name="Плохой 2 2 2" xfId="19570"/>
    <cellStyle name="Плохой 2 3" xfId="19569"/>
    <cellStyle name="Плохой 3" xfId="17756"/>
    <cellStyle name="Плохой 3 2" xfId="19571"/>
    <cellStyle name="Пояснение" xfId="22890" builtinId="53"/>
    <cellStyle name="Пояснение 2" xfId="17757"/>
    <cellStyle name="Пояснение 2 2" xfId="17758"/>
    <cellStyle name="Пояснение 2 2 2" xfId="19573"/>
    <cellStyle name="Пояснение 2 3" xfId="19572"/>
    <cellStyle name="Пояснение 3" xfId="17759"/>
    <cellStyle name="Пояснение 3 2" xfId="19574"/>
    <cellStyle name="Примечание 2" xfId="17760"/>
    <cellStyle name="Примечание 2 2" xfId="17761"/>
    <cellStyle name="Примечание 2 2 10" xfId="17762"/>
    <cellStyle name="Примечание 2 2 11" xfId="17763"/>
    <cellStyle name="Примечание 2 2 12" xfId="17764"/>
    <cellStyle name="Примечание 2 2 13" xfId="17765"/>
    <cellStyle name="Примечание 2 2 14" xfId="17766"/>
    <cellStyle name="Примечание 2 2 15" xfId="17767"/>
    <cellStyle name="Примечание 2 2 16" xfId="17768"/>
    <cellStyle name="Примечание 2 2 17" xfId="17769"/>
    <cellStyle name="Примечание 2 2 18" xfId="19576"/>
    <cellStyle name="Примечание 2 2 19" xfId="21260"/>
    <cellStyle name="Примечание 2 2 2" xfId="17770"/>
    <cellStyle name="Примечание 2 2 2 2" xfId="19577"/>
    <cellStyle name="Примечание 2 2 3" xfId="17771"/>
    <cellStyle name="Примечание 2 2 3 10" xfId="17772"/>
    <cellStyle name="Примечание 2 2 3 11" xfId="17773"/>
    <cellStyle name="Примечание 2 2 3 12" xfId="17774"/>
    <cellStyle name="Примечание 2 2 3 13" xfId="17775"/>
    <cellStyle name="Примечание 2 2 3 14" xfId="17776"/>
    <cellStyle name="Примечание 2 2 3 15" xfId="17777"/>
    <cellStyle name="Примечание 2 2 3 16" xfId="17778"/>
    <cellStyle name="Примечание 2 2 3 17" xfId="19578"/>
    <cellStyle name="Примечание 2 2 3 18" xfId="21261"/>
    <cellStyle name="Примечание 2 2 3 2" xfId="17779"/>
    <cellStyle name="Примечание 2 2 3 2 2" xfId="17780"/>
    <cellStyle name="Примечание 2 2 3 2 3" xfId="17781"/>
    <cellStyle name="Примечание 2 2 3 2 4" xfId="17782"/>
    <cellStyle name="Примечание 2 2 3 3" xfId="17783"/>
    <cellStyle name="Примечание 2 2 3 3 2" xfId="17784"/>
    <cellStyle name="Примечание 2 2 3 3 3" xfId="17785"/>
    <cellStyle name="Примечание 2 2 3 3 4" xfId="17786"/>
    <cellStyle name="Примечание 2 2 3 4" xfId="17787"/>
    <cellStyle name="Примечание 2 2 3 5" xfId="17788"/>
    <cellStyle name="Примечание 2 2 3 6" xfId="17789"/>
    <cellStyle name="Примечание 2 2 3 7" xfId="17790"/>
    <cellStyle name="Примечание 2 2 3 8" xfId="17791"/>
    <cellStyle name="Примечание 2 2 3 9" xfId="17792"/>
    <cellStyle name="Примечание 2 2 4" xfId="17793"/>
    <cellStyle name="Примечание 2 2 4 2" xfId="17794"/>
    <cellStyle name="Примечание 2 2 4 3" xfId="17795"/>
    <cellStyle name="Примечание 2 2 4 4" xfId="17796"/>
    <cellStyle name="Примечание 2 2 5" xfId="17797"/>
    <cellStyle name="Примечание 2 2 5 2" xfId="17798"/>
    <cellStyle name="Примечание 2 2 5 3" xfId="17799"/>
    <cellStyle name="Примечание 2 2 5 4" xfId="17800"/>
    <cellStyle name="Примечание 2 2 6" xfId="17801"/>
    <cellStyle name="Примечание 2 2 7" xfId="17802"/>
    <cellStyle name="Примечание 2 2 8" xfId="17803"/>
    <cellStyle name="Примечание 2 2 9" xfId="17804"/>
    <cellStyle name="Примечание 2 3" xfId="19575"/>
    <cellStyle name="Примечание 3" xfId="17805"/>
    <cellStyle name="Примечание 3 2" xfId="17806"/>
    <cellStyle name="Примечание 3 2 2" xfId="19580"/>
    <cellStyle name="Примечание 3 3" xfId="19579"/>
    <cellStyle name="Процентный 2" xfId="17807"/>
    <cellStyle name="Процентный 2 2" xfId="17808"/>
    <cellStyle name="Процентный 2 2 2" xfId="19583"/>
    <cellStyle name="Процентный 2 3" xfId="19582"/>
    <cellStyle name="Процентный 3" xfId="19581"/>
    <cellStyle name="Связанная ячейка 2" xfId="17809"/>
    <cellStyle name="Связанная ячейка 2 2" xfId="17810"/>
    <cellStyle name="Связанная ячейка 2 2 2" xfId="19585"/>
    <cellStyle name="Связанная ячейка 2 3" xfId="19584"/>
    <cellStyle name="Связанная ячейка 3" xfId="17811"/>
    <cellStyle name="Связанная ячейка 3 2" xfId="19586"/>
    <cellStyle name="Текст предупреждения 2" xfId="17812"/>
    <cellStyle name="Текст предупреждения 2 2" xfId="17813"/>
    <cellStyle name="Текст предупреждения 2 2 2" xfId="19588"/>
    <cellStyle name="Текст предупреждения 2 3" xfId="19587"/>
    <cellStyle name="Текст предупреждения 3" xfId="17814"/>
    <cellStyle name="Текст предупреждения 3 2" xfId="19589"/>
    <cellStyle name="Финансовый 2" xfId="17815"/>
    <cellStyle name="Финансовый 2 2" xfId="17816"/>
    <cellStyle name="Финансовый 2 2 2" xfId="19592"/>
    <cellStyle name="Финансовый 2 3" xfId="19591"/>
    <cellStyle name="Финансовый 3" xfId="17817"/>
    <cellStyle name="Финансовый 3 2" xfId="19593"/>
    <cellStyle name="Финансовый 3 2 2" xfId="17818"/>
    <cellStyle name="Финансовый 3 2 2 2" xfId="19594"/>
    <cellStyle name="Финансовый 3 3" xfId="17819"/>
    <cellStyle name="Финансовый 3 3 2" xfId="17820"/>
    <cellStyle name="Финансовый 3 3 2 2" xfId="17821"/>
    <cellStyle name="Финансовый 3 3 2 3" xfId="19596"/>
    <cellStyle name="Финансовый 3 3 2 4" xfId="21262"/>
    <cellStyle name="Финансовый 3 3 3" xfId="17822"/>
    <cellStyle name="Финансовый 3 3 4" xfId="19595"/>
    <cellStyle name="Финансовый 3 3 5" xfId="19645"/>
    <cellStyle name="Финансовый 3 4" xfId="22876"/>
    <cellStyle name="Финансовый 4" xfId="17823"/>
    <cellStyle name="Финансовый 4 2" xfId="17824"/>
    <cellStyle name="Финансовый 4 2 2" xfId="19598"/>
    <cellStyle name="Финансовый 4 3" xfId="19597"/>
    <cellStyle name="Финансовый 5" xfId="19590"/>
    <cellStyle name="Финансовый 6" xfId="22877"/>
    <cellStyle name="Финансовый 7" xfId="22880"/>
    <cellStyle name="Хороший 2" xfId="17825"/>
    <cellStyle name="Хороший 2 2" xfId="17826"/>
    <cellStyle name="Хороший 2 2 2" xfId="19600"/>
    <cellStyle name="Хороший 2 3" xfId="19599"/>
    <cellStyle name="Хороший 3" xfId="17827"/>
    <cellStyle name="Хороший 3 2" xfId="19601"/>
  </cellStyles>
  <dxfs count="2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20"/>
      </font>
      <fill>
        <patternFill patternType="solid">
          <fgColor indexed="19"/>
          <bgColor indexed="45"/>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20"/>
      </font>
      <fill>
        <patternFill patternType="solid">
          <fgColor indexed="19"/>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b val="0"/>
        <condense val="0"/>
        <extend val="0"/>
        <color indexed="20"/>
      </font>
      <fill>
        <patternFill patternType="solid">
          <fgColor indexed="19"/>
          <bgColor indexed="45"/>
        </patternFill>
      </fill>
    </dxf>
    <dxf>
      <font>
        <color rgb="FF9C0006"/>
      </font>
      <fill>
        <patternFill>
          <bgColor rgb="FFFFC7CE"/>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800080"/>
      </font>
      <fill>
        <patternFill patternType="solid">
          <fgColor rgb="FFFF99CC"/>
          <bgColor rgb="FFFF99CC"/>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800080"/>
      </font>
      <fill>
        <patternFill patternType="solid">
          <fgColor rgb="FFFF99CC"/>
          <bgColor rgb="FFFF99CC"/>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rgb="FF800080"/>
      </font>
      <fill>
        <patternFill patternType="solid">
          <fgColor rgb="FFFF99CC"/>
          <bgColor rgb="FFFF99CC"/>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800080"/>
      </font>
      <fill>
        <patternFill patternType="solid">
          <fgColor rgb="FFFF99CC"/>
          <bgColor rgb="FFFF99CC"/>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800080"/>
      </font>
      <fill>
        <patternFill patternType="solid">
          <fgColor rgb="FFFF99CC"/>
          <bgColor rgb="FFFF99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800080"/>
      </font>
      <fill>
        <patternFill patternType="solid">
          <fgColor rgb="FFFF99CC"/>
          <bgColor rgb="FFFF99CC"/>
        </patternFill>
      </fill>
    </dxf>
    <dxf>
      <font>
        <color indexed="20"/>
      </font>
      <fill>
        <patternFill>
          <bgColor indexed="45"/>
        </patternFill>
      </fill>
    </dxf>
    <dxf>
      <font>
        <b val="0"/>
        <condense val="0"/>
        <extend val="0"/>
        <sz val="11"/>
        <color indexed="16"/>
      </font>
      <fill>
        <patternFill patternType="solid">
          <fgColor indexed="31"/>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800080"/>
      </font>
      <fill>
        <patternFill patternType="solid">
          <fgColor rgb="FFFF99CC"/>
          <bgColor rgb="FFFF99CC"/>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val="0"/>
        <condense val="0"/>
        <extend val="0"/>
        <color indexed="16"/>
      </font>
      <fill>
        <patternFill patternType="solid">
          <fgColor indexed="22"/>
          <bgColor indexed="47"/>
        </patternFill>
      </fill>
    </dxf>
    <dxf>
      <font>
        <color indexed="20"/>
      </font>
      <fill>
        <patternFill>
          <bgColor indexed="45"/>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b val="0"/>
        <condense val="0"/>
        <extend val="0"/>
        <color indexed="16"/>
      </font>
      <fill>
        <patternFill patternType="solid">
          <fgColor indexed="22"/>
          <bgColor indexed="47"/>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800080"/>
      </font>
      <fill>
        <patternFill patternType="solid">
          <fgColor rgb="FFFF99CC"/>
          <bgColor rgb="FFFF99CC"/>
        </patternFill>
      </fill>
    </dxf>
    <dxf>
      <font>
        <b val="0"/>
        <condense val="0"/>
        <extend val="0"/>
        <color indexed="16"/>
      </font>
      <fill>
        <patternFill patternType="solid">
          <fgColor indexed="22"/>
          <bgColor indexed="47"/>
        </patternFill>
      </fill>
    </dxf>
    <dxf>
      <font>
        <color rgb="FF9C0006"/>
      </font>
      <fill>
        <patternFill>
          <bgColor rgb="FFFFC7CE"/>
        </patternFill>
      </fill>
    </dxf>
    <dxf>
      <font>
        <color indexed="20"/>
      </font>
      <fill>
        <patternFill>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AC090"/>
      <rgbColor rgb="00B7DEE8"/>
      <rgbColor rgb="00800000"/>
      <rgbColor rgb="00FCD5B5"/>
      <rgbColor rgb="00FDEADA"/>
      <rgbColor rgb="00D99694"/>
      <rgbColor rgb="007F007F"/>
      <rgbColor rgb="00086A42"/>
      <rgbColor rgb="00C0C0C0"/>
      <rgbColor rgb="0080807D"/>
      <rgbColor rgb="00AEA0E3"/>
      <rgbColor rgb="00F79646"/>
      <rgbColor rgb="00FFFFCC"/>
      <rgbColor rgb="00D9F9FB"/>
      <rgbColor rgb="00F2DCDB"/>
      <rgbColor rgb="00FF8080"/>
      <rgbColor rgb="00D7E4BD"/>
      <rgbColor rgb="00C3CDF6"/>
      <rgbColor rgb="00F2F2F2"/>
      <rgbColor rgb="00FFC7CE"/>
      <rgbColor rgb="00FFEB9C"/>
      <rgbColor rgb="00C3D69B"/>
      <rgbColor rgb="00C00000"/>
      <rgbColor rgb="009C0006"/>
      <rgbColor rgb="00CCC1DA"/>
      <rgbColor rgb="00EBF1DE"/>
      <rgbColor rgb="0000B2F2"/>
      <rgbColor rgb="00C6EFCE"/>
      <rgbColor rgb="00CCFFCC"/>
      <rgbColor rgb="00FFFF99"/>
      <rgbColor rgb="0096CDF8"/>
      <rgbColor rgb="00FF99CC"/>
      <rgbColor rgb="00CC99FF"/>
      <rgbColor rgb="00FFCC99"/>
      <rgbColor rgb="004F81BD"/>
      <rgbColor rgb="003BC1CA"/>
      <rgbColor rgb="0093CF43"/>
      <rgbColor rgb="00FFC100"/>
      <rgbColor rgb="00FF9900"/>
      <rgbColor rgb="00FE7300"/>
      <rgbColor rgb="007F7290"/>
      <rgbColor rgb="00A0A0A0"/>
      <rgbColor rgb="00E6E0EC"/>
      <rgbColor rgb="0096B5D8"/>
      <rgbColor rgb="00DCE6F2"/>
      <rgbColor rgb="003F3F3F"/>
      <rgbColor rgb="00B94C1A"/>
      <rgbColor rgb="00E6B9B8"/>
      <rgbColor rgb="00343398"/>
      <rgbColor rgb="00243336"/>
    </indexedColors>
    <mruColors>
      <color rgb="FFCCECFF"/>
      <color rgb="FFCCFFCC"/>
      <color rgb="FFFFFFCC"/>
      <color rgb="FFFFCCFF"/>
      <color rgb="FF33CCFF"/>
      <color rgb="FFFFFFFF"/>
      <color rgb="FFFFCCCC"/>
      <color rgb="FFCCCCFF"/>
      <color rgb="FF00FF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BR386"/>
  <sheetViews>
    <sheetView tabSelected="1" view="pageBreakPreview" topLeftCell="A362" zoomScale="50" zoomScaleNormal="50" zoomScaleSheetLayoutView="50" workbookViewId="0">
      <selection activeCell="A376" sqref="A376:XFD415"/>
    </sheetView>
  </sheetViews>
  <sheetFormatPr defaultColWidth="8.85546875" defaultRowHeight="18.75"/>
  <cols>
    <col min="1" max="1" width="8.7109375" style="7" customWidth="1"/>
    <col min="2" max="2" width="52.28515625" style="7" customWidth="1"/>
    <col min="3" max="3" width="9.85546875" style="34" customWidth="1"/>
    <col min="4" max="4" width="8.85546875" style="34" customWidth="1"/>
    <col min="5" max="5" width="19.28515625" style="7" customWidth="1"/>
    <col min="6" max="6" width="9" style="11" customWidth="1"/>
    <col min="7" max="7" width="10" style="11" customWidth="1"/>
    <col min="8" max="8" width="18" style="213" customWidth="1"/>
    <col min="9" max="9" width="18" style="10" customWidth="1"/>
    <col min="10" max="10" width="19.140625" style="10" customWidth="1"/>
    <col min="11" max="11" width="14.5703125" style="11" customWidth="1"/>
    <col min="12" max="12" width="16.7109375" style="11" customWidth="1"/>
    <col min="13" max="13" width="30.85546875" style="45" customWidth="1"/>
    <col min="14" max="14" width="28.140625" style="12" customWidth="1"/>
    <col min="15" max="15" width="16.7109375" style="12" customWidth="1"/>
    <col min="16" max="16" width="19.7109375" style="12" customWidth="1"/>
    <col min="17" max="17" width="16.85546875" style="12" customWidth="1"/>
    <col min="18" max="18" width="25" style="12" customWidth="1"/>
    <col min="19" max="19" width="17.140625" style="12" customWidth="1"/>
    <col min="20" max="20" width="16.7109375" style="12" customWidth="1"/>
    <col min="21" max="21" width="13.5703125" style="9" customWidth="1"/>
    <col min="22" max="22" width="24.85546875" style="41" customWidth="1"/>
    <col min="23" max="23" width="26.7109375" style="6" customWidth="1"/>
    <col min="24" max="24" width="18.140625" style="6" customWidth="1"/>
    <col min="25" max="25" width="21.85546875" style="1" customWidth="1"/>
    <col min="26" max="26" width="23.7109375" style="1" customWidth="1"/>
    <col min="27" max="27" width="22.7109375" style="40" customWidth="1"/>
    <col min="28" max="28" width="15.5703125" style="1" customWidth="1"/>
    <col min="29" max="29" width="12.140625" style="1" customWidth="1"/>
    <col min="30" max="30" width="19.7109375" style="1" customWidth="1"/>
    <col min="31" max="13410" width="8.85546875" style="1"/>
    <col min="13411" max="13411" width="4.28515625" style="1" customWidth="1"/>
    <col min="13412" max="13590" width="8.85546875" style="1" hidden="1" customWidth="1"/>
    <col min="13591" max="16384" width="8.85546875" style="1"/>
  </cols>
  <sheetData>
    <row r="1" spans="1:27">
      <c r="A1" s="8"/>
      <c r="H1" s="12"/>
      <c r="M1" s="8"/>
      <c r="Q1" s="1079" t="s">
        <v>3774</v>
      </c>
      <c r="R1" s="1079"/>
      <c r="S1" s="6"/>
    </row>
    <row r="2" spans="1:27">
      <c r="A2" s="8"/>
      <c r="H2" s="12"/>
      <c r="M2" s="8"/>
      <c r="Q2" s="1053" t="s">
        <v>3775</v>
      </c>
      <c r="R2" s="1053"/>
      <c r="S2" s="1053"/>
    </row>
    <row r="3" spans="1:27">
      <c r="A3" s="8"/>
      <c r="H3" s="12"/>
      <c r="M3" s="8"/>
      <c r="Q3" s="1053"/>
      <c r="R3" s="1053"/>
      <c r="S3" s="1053"/>
    </row>
    <row r="4" spans="1:27">
      <c r="A4" s="8"/>
      <c r="H4" s="12"/>
      <c r="M4" s="8"/>
      <c r="Q4" s="1053"/>
      <c r="R4" s="1053"/>
      <c r="S4" s="1053"/>
    </row>
    <row r="5" spans="1:27" ht="17.25" customHeight="1">
      <c r="A5" s="8"/>
      <c r="H5" s="12"/>
      <c r="M5" s="8"/>
      <c r="Q5" s="1080" t="s">
        <v>4386</v>
      </c>
      <c r="R5" s="1080"/>
      <c r="S5" s="1080"/>
    </row>
    <row r="6" spans="1:27" ht="17.25" customHeight="1">
      <c r="A6" s="8"/>
      <c r="H6" s="12"/>
      <c r="M6" s="8"/>
      <c r="Q6" s="1080" t="s">
        <v>4387</v>
      </c>
      <c r="R6" s="1080"/>
      <c r="S6" s="1080"/>
    </row>
    <row r="7" spans="1:27">
      <c r="A7" s="8"/>
      <c r="H7" s="12"/>
      <c r="M7" s="8"/>
    </row>
    <row r="8" spans="1:27">
      <c r="A8" s="8"/>
      <c r="H8" s="12"/>
      <c r="M8" s="8"/>
    </row>
    <row r="9" spans="1:27" s="170" customFormat="1" ht="31.5" customHeight="1">
      <c r="A9" s="7"/>
      <c r="B9" s="7"/>
      <c r="C9" s="34"/>
      <c r="D9" s="34"/>
      <c r="E9" s="7"/>
      <c r="F9" s="11"/>
      <c r="G9" s="11"/>
      <c r="H9" s="12"/>
      <c r="I9" s="10"/>
      <c r="J9" s="10"/>
      <c r="K9" s="11"/>
      <c r="L9" s="11"/>
      <c r="M9" s="8"/>
      <c r="N9" s="12"/>
      <c r="O9" s="12"/>
      <c r="P9" s="12"/>
      <c r="Q9" s="12"/>
      <c r="R9" s="12"/>
      <c r="S9" s="12"/>
      <c r="T9" s="12"/>
      <c r="U9" s="9"/>
      <c r="W9" s="6"/>
      <c r="X9" s="6"/>
      <c r="Y9" s="1"/>
      <c r="AA9" s="169"/>
    </row>
    <row r="10" spans="1:27" s="170" customFormat="1">
      <c r="A10" s="1058" t="s">
        <v>415</v>
      </c>
      <c r="B10" s="1058"/>
      <c r="C10" s="1058"/>
      <c r="D10" s="1058"/>
      <c r="E10" s="1058"/>
      <c r="F10" s="1058"/>
      <c r="G10" s="1058"/>
      <c r="H10" s="1059"/>
      <c r="I10" s="1059"/>
      <c r="J10" s="1059"/>
      <c r="K10" s="1058"/>
      <c r="L10" s="1058"/>
      <c r="M10" s="1058"/>
      <c r="N10" s="1060"/>
      <c r="O10" s="1060"/>
      <c r="P10" s="1060"/>
      <c r="Q10" s="1060"/>
      <c r="R10" s="1060"/>
      <c r="S10" s="1060"/>
      <c r="T10" s="1060"/>
      <c r="U10" s="1058"/>
      <c r="W10" s="6"/>
      <c r="X10" s="6"/>
      <c r="Y10" s="1"/>
      <c r="AA10" s="171"/>
    </row>
    <row r="11" spans="1:27" s="170" customFormat="1">
      <c r="A11" s="7"/>
      <c r="B11" s="7"/>
      <c r="C11" s="34"/>
      <c r="D11" s="34"/>
      <c r="E11" s="7"/>
      <c r="F11" s="11"/>
      <c r="G11" s="11"/>
      <c r="H11" s="12"/>
      <c r="I11" s="1061" t="s">
        <v>0</v>
      </c>
      <c r="J11" s="1061"/>
      <c r="K11" s="1062"/>
      <c r="L11" s="1062"/>
      <c r="M11" s="1059"/>
      <c r="N11" s="1063"/>
      <c r="O11" s="1063"/>
      <c r="P11" s="1063"/>
      <c r="Q11" s="1063"/>
      <c r="R11" s="1063"/>
      <c r="S11" s="1063"/>
      <c r="T11" s="1063"/>
      <c r="U11" s="1064"/>
      <c r="V11" s="14"/>
      <c r="W11" s="14"/>
      <c r="X11" s="14"/>
      <c r="Y11" s="14"/>
      <c r="Z11" s="14"/>
      <c r="AA11" s="171"/>
    </row>
    <row r="12" spans="1:27" s="170" customFormat="1">
      <c r="A12" s="1058" t="s">
        <v>417</v>
      </c>
      <c r="B12" s="1058"/>
      <c r="C12" s="1058"/>
      <c r="D12" s="1058"/>
      <c r="E12" s="1058"/>
      <c r="F12" s="1058"/>
      <c r="G12" s="1058"/>
      <c r="H12" s="1059"/>
      <c r="I12" s="1059"/>
      <c r="J12" s="1059"/>
      <c r="K12" s="1058"/>
      <c r="L12" s="1058"/>
      <c r="M12" s="1058"/>
      <c r="N12" s="1060"/>
      <c r="O12" s="1060"/>
      <c r="P12" s="1060"/>
      <c r="Q12" s="1060"/>
      <c r="R12" s="1060"/>
      <c r="S12" s="1060"/>
      <c r="T12" s="1060"/>
      <c r="U12" s="1058"/>
      <c r="V12" s="14"/>
      <c r="W12" s="14"/>
      <c r="X12" s="14"/>
      <c r="Y12" s="14"/>
      <c r="Z12" s="14"/>
      <c r="AA12" s="171"/>
    </row>
    <row r="13" spans="1:27" s="170" customFormat="1" ht="33.75" customHeight="1">
      <c r="A13" s="7"/>
      <c r="B13" s="7"/>
      <c r="C13" s="34"/>
      <c r="D13" s="34"/>
      <c r="E13" s="7"/>
      <c r="F13" s="11"/>
      <c r="G13" s="11"/>
      <c r="H13" s="12"/>
      <c r="I13" s="10"/>
      <c r="J13" s="10"/>
      <c r="K13" s="11"/>
      <c r="L13" s="11"/>
      <c r="M13" s="8"/>
      <c r="N13" s="12"/>
      <c r="O13" s="12"/>
      <c r="P13" s="12"/>
      <c r="Q13" s="12"/>
      <c r="R13" s="12"/>
      <c r="S13" s="12"/>
      <c r="T13" s="12"/>
      <c r="U13" s="9"/>
      <c r="V13" s="14"/>
      <c r="W13" s="14"/>
      <c r="X13" s="14"/>
      <c r="Y13" s="14"/>
      <c r="AA13" s="169"/>
    </row>
    <row r="14" spans="1:27" s="170" customFormat="1" ht="42" customHeight="1">
      <c r="A14" s="1065" t="s">
        <v>1</v>
      </c>
      <c r="B14" s="1065" t="s">
        <v>2</v>
      </c>
      <c r="C14" s="1066" t="s">
        <v>3</v>
      </c>
      <c r="D14" s="1066"/>
      <c r="E14" s="1067" t="s">
        <v>4</v>
      </c>
      <c r="F14" s="1067" t="s">
        <v>5</v>
      </c>
      <c r="G14" s="1067" t="s">
        <v>6</v>
      </c>
      <c r="H14" s="1068" t="s">
        <v>7</v>
      </c>
      <c r="I14" s="1072" t="s">
        <v>8</v>
      </c>
      <c r="J14" s="1072"/>
      <c r="K14" s="1067" t="s">
        <v>9</v>
      </c>
      <c r="L14" s="1067" t="s">
        <v>4315</v>
      </c>
      <c r="M14" s="1067" t="s">
        <v>10</v>
      </c>
      <c r="N14" s="1073" t="s">
        <v>11</v>
      </c>
      <c r="O14" s="1073"/>
      <c r="P14" s="1073"/>
      <c r="Q14" s="1073"/>
      <c r="R14" s="1073"/>
      <c r="S14" s="1068" t="s">
        <v>12</v>
      </c>
      <c r="T14" s="1068" t="s">
        <v>13</v>
      </c>
      <c r="U14" s="1069" t="s">
        <v>14</v>
      </c>
      <c r="V14" s="14"/>
      <c r="W14" s="14"/>
      <c r="X14" s="14"/>
      <c r="Y14" s="14"/>
      <c r="AA14" s="168"/>
    </row>
    <row r="15" spans="1:27" s="170" customFormat="1">
      <c r="A15" s="1065"/>
      <c r="B15" s="1065"/>
      <c r="C15" s="1070" t="s">
        <v>15</v>
      </c>
      <c r="D15" s="1070" t="s">
        <v>16</v>
      </c>
      <c r="E15" s="1067"/>
      <c r="F15" s="1067"/>
      <c r="G15" s="1067"/>
      <c r="H15" s="1068"/>
      <c r="I15" s="1071" t="s">
        <v>17</v>
      </c>
      <c r="J15" s="1071" t="s">
        <v>18</v>
      </c>
      <c r="K15" s="1067"/>
      <c r="L15" s="1067"/>
      <c r="M15" s="1067"/>
      <c r="N15" s="1068" t="s">
        <v>17</v>
      </c>
      <c r="O15" s="1073" t="s">
        <v>19</v>
      </c>
      <c r="P15" s="1073"/>
      <c r="Q15" s="1073"/>
      <c r="R15" s="1073"/>
      <c r="S15" s="1068"/>
      <c r="T15" s="1068"/>
      <c r="U15" s="1069"/>
      <c r="V15" s="14"/>
      <c r="W15" s="14"/>
      <c r="X15" s="14"/>
      <c r="Y15" s="14"/>
      <c r="AA15" s="1044"/>
    </row>
    <row r="16" spans="1:27" s="170" customFormat="1" ht="117.75" customHeight="1">
      <c r="A16" s="1065"/>
      <c r="B16" s="1065"/>
      <c r="C16" s="1070"/>
      <c r="D16" s="1070"/>
      <c r="E16" s="1067"/>
      <c r="F16" s="1067"/>
      <c r="G16" s="1067"/>
      <c r="H16" s="1068"/>
      <c r="I16" s="1071"/>
      <c r="J16" s="1071"/>
      <c r="K16" s="1067"/>
      <c r="L16" s="1067"/>
      <c r="M16" s="1067"/>
      <c r="N16" s="1068"/>
      <c r="O16" s="176" t="s">
        <v>20</v>
      </c>
      <c r="P16" s="176" t="s">
        <v>21</v>
      </c>
      <c r="Q16" s="176" t="s">
        <v>22</v>
      </c>
      <c r="R16" s="176" t="s">
        <v>23</v>
      </c>
      <c r="S16" s="1068"/>
      <c r="T16" s="1068"/>
      <c r="U16" s="1069"/>
      <c r="V16" s="14"/>
      <c r="W16" s="14"/>
      <c r="X16" s="14"/>
      <c r="Y16" s="14"/>
      <c r="AA16" s="1044"/>
    </row>
    <row r="17" spans="1:30" s="170" customFormat="1" ht="37.5">
      <c r="A17" s="1065"/>
      <c r="B17" s="1065"/>
      <c r="C17" s="1070"/>
      <c r="D17" s="1070"/>
      <c r="E17" s="1067"/>
      <c r="F17" s="1067"/>
      <c r="G17" s="1067"/>
      <c r="H17" s="210" t="s">
        <v>24</v>
      </c>
      <c r="I17" s="177" t="s">
        <v>24</v>
      </c>
      <c r="J17" s="177" t="s">
        <v>24</v>
      </c>
      <c r="K17" s="178" t="s">
        <v>25</v>
      </c>
      <c r="L17" s="208" t="s">
        <v>4363</v>
      </c>
      <c r="M17" s="1067"/>
      <c r="N17" s="179" t="s">
        <v>26</v>
      </c>
      <c r="O17" s="179" t="s">
        <v>26</v>
      </c>
      <c r="P17" s="179" t="s">
        <v>26</v>
      </c>
      <c r="Q17" s="179" t="s">
        <v>26</v>
      </c>
      <c r="R17" s="179" t="s">
        <v>26</v>
      </c>
      <c r="S17" s="179" t="s">
        <v>4364</v>
      </c>
      <c r="T17" s="179" t="s">
        <v>27</v>
      </c>
      <c r="U17" s="1069"/>
      <c r="W17" s="6"/>
      <c r="X17" s="6"/>
      <c r="Y17" s="1"/>
      <c r="AA17" s="22"/>
    </row>
    <row r="18" spans="1:30" s="8" customFormat="1" ht="36" customHeight="1">
      <c r="A18" s="180">
        <v>1</v>
      </c>
      <c r="B18" s="180">
        <v>2</v>
      </c>
      <c r="C18" s="207">
        <v>3</v>
      </c>
      <c r="D18" s="180">
        <v>4</v>
      </c>
      <c r="E18" s="180">
        <v>5</v>
      </c>
      <c r="F18" s="180">
        <v>6</v>
      </c>
      <c r="G18" s="180">
        <v>7</v>
      </c>
      <c r="H18" s="180">
        <v>8</v>
      </c>
      <c r="I18" s="180">
        <v>9</v>
      </c>
      <c r="J18" s="180">
        <v>10</v>
      </c>
      <c r="K18" s="180">
        <v>11</v>
      </c>
      <c r="L18" s="180">
        <v>12</v>
      </c>
      <c r="M18" s="180">
        <v>13</v>
      </c>
      <c r="N18" s="180">
        <v>14</v>
      </c>
      <c r="O18" s="180">
        <v>15</v>
      </c>
      <c r="P18" s="180">
        <v>16</v>
      </c>
      <c r="Q18" s="180">
        <v>17</v>
      </c>
      <c r="R18" s="180">
        <v>18</v>
      </c>
      <c r="S18" s="180">
        <v>19</v>
      </c>
      <c r="T18" s="180">
        <v>20</v>
      </c>
      <c r="U18" s="180">
        <v>21</v>
      </c>
      <c r="W18" s="14"/>
      <c r="X18" s="14"/>
      <c r="AA18" s="22"/>
    </row>
    <row r="19" spans="1:30" s="31" customFormat="1" ht="39.75" customHeight="1">
      <c r="A19" s="1048" t="s">
        <v>145</v>
      </c>
      <c r="B19" s="1048"/>
      <c r="C19" s="1048"/>
      <c r="D19" s="1048"/>
      <c r="E19" s="1048"/>
      <c r="F19" s="1048"/>
      <c r="G19" s="1048"/>
      <c r="H19" s="1048"/>
      <c r="I19" s="1048"/>
      <c r="J19" s="1048"/>
      <c r="K19" s="1048"/>
      <c r="L19" s="1048"/>
      <c r="M19" s="1048"/>
      <c r="N19" s="1048"/>
      <c r="O19" s="1048"/>
      <c r="P19" s="1048"/>
      <c r="Q19" s="1048"/>
      <c r="R19" s="1048"/>
      <c r="S19" s="1049"/>
      <c r="T19" s="1048"/>
      <c r="U19" s="1048"/>
      <c r="W19" s="267"/>
      <c r="Y19" s="28"/>
      <c r="AA19" s="42"/>
      <c r="AD19" s="5"/>
    </row>
    <row r="20" spans="1:30" s="31" customFormat="1" ht="37.5">
      <c r="A20" s="276">
        <v>1</v>
      </c>
      <c r="B20" s="296" t="s">
        <v>1214</v>
      </c>
      <c r="C20" s="278">
        <v>1972</v>
      </c>
      <c r="D20" s="278"/>
      <c r="E20" s="277" t="s">
        <v>218</v>
      </c>
      <c r="F20" s="284">
        <v>5</v>
      </c>
      <c r="G20" s="284">
        <v>8</v>
      </c>
      <c r="H20" s="155">
        <v>8413</v>
      </c>
      <c r="I20" s="281">
        <v>6055</v>
      </c>
      <c r="J20" s="281">
        <v>5807</v>
      </c>
      <c r="K20" s="280">
        <v>295</v>
      </c>
      <c r="L20" s="285" t="s">
        <v>28</v>
      </c>
      <c r="M20" s="175" t="s">
        <v>33</v>
      </c>
      <c r="N20" s="155">
        <f>'2.виды ремонта'!C9</f>
        <v>3252166.6599999997</v>
      </c>
      <c r="O20" s="155">
        <v>0</v>
      </c>
      <c r="P20" s="155">
        <v>0</v>
      </c>
      <c r="Q20" s="155">
        <v>0</v>
      </c>
      <c r="R20" s="155">
        <f>N20</f>
        <v>3252166.6599999997</v>
      </c>
      <c r="S20" s="155">
        <f t="shared" ref="S20:S79" si="0">N20/I20</f>
        <v>537.10432039636657</v>
      </c>
      <c r="T20" s="155">
        <v>5115.04</v>
      </c>
      <c r="U20" s="282" t="s">
        <v>221</v>
      </c>
      <c r="W20" s="286"/>
      <c r="Y20" s="28"/>
      <c r="Z20" s="287"/>
      <c r="AA20" s="291"/>
      <c r="AB20" s="288"/>
      <c r="AC20" s="288"/>
      <c r="AD20" s="5"/>
    </row>
    <row r="21" spans="1:30" s="31" customFormat="1" ht="35.25" customHeight="1">
      <c r="A21" s="276">
        <f>A20+1</f>
        <v>2</v>
      </c>
      <c r="B21" s="297" t="s">
        <v>1216</v>
      </c>
      <c r="C21" s="278">
        <v>1994</v>
      </c>
      <c r="D21" s="277"/>
      <c r="E21" s="278" t="s">
        <v>218</v>
      </c>
      <c r="F21" s="284">
        <v>9</v>
      </c>
      <c r="G21" s="284">
        <v>3</v>
      </c>
      <c r="H21" s="155">
        <v>6261</v>
      </c>
      <c r="I21" s="281">
        <v>5285</v>
      </c>
      <c r="J21" s="281">
        <v>5285</v>
      </c>
      <c r="K21" s="280">
        <v>297</v>
      </c>
      <c r="L21" s="285" t="s">
        <v>28</v>
      </c>
      <c r="M21" s="275" t="s">
        <v>227</v>
      </c>
      <c r="N21" s="155">
        <f>'2.виды ремонта'!C10</f>
        <v>12194352.33</v>
      </c>
      <c r="O21" s="155">
        <v>0</v>
      </c>
      <c r="P21" s="155">
        <v>0</v>
      </c>
      <c r="Q21" s="155">
        <v>0</v>
      </c>
      <c r="R21" s="155">
        <f t="shared" ref="R21:R80" si="1">N21</f>
        <v>12194352.33</v>
      </c>
      <c r="S21" s="155">
        <f t="shared" si="0"/>
        <v>2307.3514342478716</v>
      </c>
      <c r="T21" s="155">
        <v>5115.04</v>
      </c>
      <c r="U21" s="282" t="s">
        <v>221</v>
      </c>
      <c r="W21" s="267"/>
      <c r="Y21" s="28"/>
      <c r="Z21" s="287"/>
      <c r="AA21" s="291"/>
      <c r="AB21" s="288"/>
      <c r="AC21" s="288"/>
      <c r="AD21" s="5"/>
    </row>
    <row r="22" spans="1:30" s="28" customFormat="1" ht="37.5">
      <c r="A22" s="276">
        <f t="shared" ref="A22:A84" si="2">A21+1</f>
        <v>3</v>
      </c>
      <c r="B22" s="297" t="s">
        <v>1217</v>
      </c>
      <c r="C22" s="278">
        <v>1973</v>
      </c>
      <c r="D22" s="277"/>
      <c r="E22" s="278" t="s">
        <v>222</v>
      </c>
      <c r="F22" s="284">
        <v>5</v>
      </c>
      <c r="G22" s="284">
        <v>4</v>
      </c>
      <c r="H22" s="155">
        <v>3407</v>
      </c>
      <c r="I22" s="281">
        <v>2232</v>
      </c>
      <c r="J22" s="281">
        <v>2170.6999999999998</v>
      </c>
      <c r="K22" s="280">
        <v>175</v>
      </c>
      <c r="L22" s="285" t="s">
        <v>28</v>
      </c>
      <c r="M22" s="275" t="s">
        <v>33</v>
      </c>
      <c r="N22" s="155">
        <f>'2.виды ремонта'!C11</f>
        <v>1841574.01</v>
      </c>
      <c r="O22" s="155">
        <v>0</v>
      </c>
      <c r="P22" s="155">
        <v>0</v>
      </c>
      <c r="Q22" s="155">
        <v>0</v>
      </c>
      <c r="R22" s="155">
        <f t="shared" si="1"/>
        <v>1841574.01</v>
      </c>
      <c r="S22" s="155">
        <f t="shared" si="0"/>
        <v>825.0779614695341</v>
      </c>
      <c r="T22" s="155">
        <v>5115.04</v>
      </c>
      <c r="U22" s="282" t="s">
        <v>221</v>
      </c>
      <c r="W22" s="286"/>
      <c r="Z22" s="287"/>
      <c r="AA22" s="291"/>
      <c r="AB22" s="288"/>
      <c r="AC22" s="288"/>
      <c r="AD22" s="5"/>
    </row>
    <row r="23" spans="1:30" s="31" customFormat="1" ht="37.5">
      <c r="A23" s="276">
        <f t="shared" si="2"/>
        <v>4</v>
      </c>
      <c r="B23" s="297" t="s">
        <v>1218</v>
      </c>
      <c r="C23" s="278">
        <v>1976</v>
      </c>
      <c r="D23" s="277"/>
      <c r="E23" s="278" t="s">
        <v>222</v>
      </c>
      <c r="F23" s="284">
        <v>5</v>
      </c>
      <c r="G23" s="284">
        <v>4</v>
      </c>
      <c r="H23" s="155">
        <v>3334</v>
      </c>
      <c r="I23" s="281">
        <v>2267.5</v>
      </c>
      <c r="J23" s="281">
        <v>2117</v>
      </c>
      <c r="K23" s="280">
        <v>188</v>
      </c>
      <c r="L23" s="285" t="s">
        <v>28</v>
      </c>
      <c r="M23" s="275" t="s">
        <v>33</v>
      </c>
      <c r="N23" s="155">
        <f>'2.виды ремонта'!C12</f>
        <v>1848592.63</v>
      </c>
      <c r="O23" s="155">
        <v>0</v>
      </c>
      <c r="P23" s="155">
        <v>0</v>
      </c>
      <c r="Q23" s="155">
        <v>0</v>
      </c>
      <c r="R23" s="155">
        <f t="shared" si="1"/>
        <v>1848592.63</v>
      </c>
      <c r="S23" s="155">
        <f t="shared" si="0"/>
        <v>815.25584564498342</v>
      </c>
      <c r="T23" s="155">
        <v>5115.04</v>
      </c>
      <c r="U23" s="282" t="s">
        <v>221</v>
      </c>
      <c r="W23" s="286"/>
      <c r="Y23" s="28"/>
      <c r="Z23" s="287"/>
      <c r="AA23" s="291"/>
      <c r="AB23" s="288"/>
      <c r="AC23" s="288"/>
      <c r="AD23" s="5"/>
    </row>
    <row r="24" spans="1:30" s="31" customFormat="1" ht="37.5">
      <c r="A24" s="276">
        <f t="shared" si="2"/>
        <v>5</v>
      </c>
      <c r="B24" s="297" t="s">
        <v>1219</v>
      </c>
      <c r="C24" s="283">
        <v>1976</v>
      </c>
      <c r="D24" s="277"/>
      <c r="E24" s="278" t="s">
        <v>222</v>
      </c>
      <c r="F24" s="284">
        <v>5</v>
      </c>
      <c r="G24" s="284">
        <v>4</v>
      </c>
      <c r="H24" s="174">
        <v>3401</v>
      </c>
      <c r="I24" s="281">
        <v>2298.8000000000002</v>
      </c>
      <c r="J24" s="281">
        <v>2268.1</v>
      </c>
      <c r="K24" s="280">
        <v>218</v>
      </c>
      <c r="L24" s="285" t="s">
        <v>28</v>
      </c>
      <c r="M24" s="275" t="s">
        <v>33</v>
      </c>
      <c r="N24" s="155">
        <f>'2.виды ремонта'!C13</f>
        <v>1837269.9200000002</v>
      </c>
      <c r="O24" s="155">
        <v>0</v>
      </c>
      <c r="P24" s="155">
        <v>0</v>
      </c>
      <c r="Q24" s="155">
        <v>0</v>
      </c>
      <c r="R24" s="155">
        <f t="shared" si="1"/>
        <v>1837269.9200000002</v>
      </c>
      <c r="S24" s="155">
        <f t="shared" si="0"/>
        <v>799.22999825996169</v>
      </c>
      <c r="T24" s="155">
        <v>5115.04</v>
      </c>
      <c r="U24" s="282" t="s">
        <v>221</v>
      </c>
      <c r="W24" s="286"/>
      <c r="Y24" s="28"/>
      <c r="Z24" s="287"/>
      <c r="AA24" s="291"/>
      <c r="AB24" s="288"/>
      <c r="AC24" s="288"/>
      <c r="AD24" s="5"/>
    </row>
    <row r="25" spans="1:30" s="28" customFormat="1" ht="37.5">
      <c r="A25" s="276">
        <f t="shared" si="2"/>
        <v>6</v>
      </c>
      <c r="B25" s="296" t="s">
        <v>1220</v>
      </c>
      <c r="C25" s="278">
        <v>1997</v>
      </c>
      <c r="D25" s="277"/>
      <c r="E25" s="278" t="s">
        <v>222</v>
      </c>
      <c r="F25" s="284">
        <v>9</v>
      </c>
      <c r="G25" s="284">
        <v>1</v>
      </c>
      <c r="H25" s="155">
        <v>3556</v>
      </c>
      <c r="I25" s="281">
        <v>3224</v>
      </c>
      <c r="J25" s="281">
        <v>2986</v>
      </c>
      <c r="K25" s="280">
        <v>180</v>
      </c>
      <c r="L25" s="285" t="s">
        <v>28</v>
      </c>
      <c r="M25" s="175" t="s">
        <v>227</v>
      </c>
      <c r="N25" s="155">
        <f>'2.виды ремонта'!C14</f>
        <v>8842686.8800000008</v>
      </c>
      <c r="O25" s="155">
        <v>0</v>
      </c>
      <c r="P25" s="155">
        <v>0</v>
      </c>
      <c r="Q25" s="155">
        <v>0</v>
      </c>
      <c r="R25" s="155">
        <f t="shared" si="1"/>
        <v>8842686.8800000008</v>
      </c>
      <c r="S25" s="155">
        <f t="shared" si="0"/>
        <v>2742.7688833746902</v>
      </c>
      <c r="T25" s="155">
        <v>5115.04</v>
      </c>
      <c r="U25" s="282" t="s">
        <v>221</v>
      </c>
      <c r="W25" s="267"/>
      <c r="Z25" s="287"/>
      <c r="AA25" s="291"/>
      <c r="AB25" s="288"/>
      <c r="AC25" s="288"/>
      <c r="AD25" s="5"/>
    </row>
    <row r="26" spans="1:30" s="31" customFormat="1" ht="37.5">
      <c r="A26" s="276">
        <f t="shared" si="2"/>
        <v>7</v>
      </c>
      <c r="B26" s="297" t="s">
        <v>1221</v>
      </c>
      <c r="C26" s="278">
        <v>1976</v>
      </c>
      <c r="D26" s="277"/>
      <c r="E26" s="278" t="s">
        <v>222</v>
      </c>
      <c r="F26" s="284">
        <v>5</v>
      </c>
      <c r="G26" s="284">
        <v>15</v>
      </c>
      <c r="H26" s="155">
        <v>11562</v>
      </c>
      <c r="I26" s="281">
        <v>10229</v>
      </c>
      <c r="J26" s="281">
        <v>10229</v>
      </c>
      <c r="K26" s="280">
        <v>541</v>
      </c>
      <c r="L26" s="285" t="s">
        <v>28</v>
      </c>
      <c r="M26" s="275" t="s">
        <v>33</v>
      </c>
      <c r="N26" s="155">
        <f>'2.виды ремонта'!C15</f>
        <v>6884629.4500000002</v>
      </c>
      <c r="O26" s="155">
        <v>0</v>
      </c>
      <c r="P26" s="155">
        <v>0</v>
      </c>
      <c r="Q26" s="155">
        <v>0</v>
      </c>
      <c r="R26" s="155">
        <f t="shared" si="1"/>
        <v>6884629.4500000002</v>
      </c>
      <c r="S26" s="155">
        <f t="shared" si="0"/>
        <v>673.05009776126701</v>
      </c>
      <c r="T26" s="155">
        <v>5115.04</v>
      </c>
      <c r="U26" s="282" t="s">
        <v>221</v>
      </c>
      <c r="W26" s="286"/>
      <c r="Y26" s="28"/>
      <c r="Z26" s="287"/>
      <c r="AA26" s="291"/>
      <c r="AB26" s="288"/>
      <c r="AC26" s="288"/>
      <c r="AD26" s="5"/>
    </row>
    <row r="27" spans="1:30" s="28" customFormat="1" ht="37.5">
      <c r="A27" s="276">
        <f t="shared" si="2"/>
        <v>8</v>
      </c>
      <c r="B27" s="297" t="s">
        <v>1222</v>
      </c>
      <c r="C27" s="278">
        <v>1974</v>
      </c>
      <c r="D27" s="298"/>
      <c r="E27" s="278" t="s">
        <v>222</v>
      </c>
      <c r="F27" s="284">
        <v>5</v>
      </c>
      <c r="G27" s="284">
        <v>4</v>
      </c>
      <c r="H27" s="155">
        <v>3599</v>
      </c>
      <c r="I27" s="281">
        <v>3363.4</v>
      </c>
      <c r="J27" s="281">
        <v>3252.8</v>
      </c>
      <c r="K27" s="280">
        <v>180</v>
      </c>
      <c r="L27" s="285" t="s">
        <v>28</v>
      </c>
      <c r="M27" s="175" t="s">
        <v>227</v>
      </c>
      <c r="N27" s="155">
        <f>'2.виды ремонта'!C16</f>
        <v>5446139.5299999993</v>
      </c>
      <c r="O27" s="155">
        <v>0</v>
      </c>
      <c r="P27" s="155">
        <v>0</v>
      </c>
      <c r="Q27" s="155">
        <v>0</v>
      </c>
      <c r="R27" s="155">
        <f t="shared" si="1"/>
        <v>5446139.5299999993</v>
      </c>
      <c r="S27" s="155">
        <f t="shared" si="0"/>
        <v>1619.2363471487183</v>
      </c>
      <c r="T27" s="155">
        <v>5115.04</v>
      </c>
      <c r="U27" s="282" t="s">
        <v>221</v>
      </c>
      <c r="W27" s="267"/>
      <c r="Z27" s="287"/>
      <c r="AA27" s="291"/>
      <c r="AB27" s="288"/>
      <c r="AC27" s="288"/>
      <c r="AD27" s="5"/>
    </row>
    <row r="28" spans="1:30" s="31" customFormat="1" ht="37.5">
      <c r="A28" s="276">
        <f t="shared" si="2"/>
        <v>9</v>
      </c>
      <c r="B28" s="296" t="s">
        <v>1223</v>
      </c>
      <c r="C28" s="278">
        <v>1961</v>
      </c>
      <c r="D28" s="277"/>
      <c r="E28" s="278" t="s">
        <v>222</v>
      </c>
      <c r="F28" s="284">
        <v>5</v>
      </c>
      <c r="G28" s="284">
        <v>4</v>
      </c>
      <c r="H28" s="155">
        <v>3086.6</v>
      </c>
      <c r="I28" s="281">
        <v>2786.6</v>
      </c>
      <c r="J28" s="281">
        <v>2786.6</v>
      </c>
      <c r="K28" s="280">
        <v>157</v>
      </c>
      <c r="L28" s="285" t="s">
        <v>28</v>
      </c>
      <c r="M28" s="275" t="s">
        <v>33</v>
      </c>
      <c r="N28" s="155">
        <f>'2.виды ремонта'!C17</f>
        <v>3496298.63</v>
      </c>
      <c r="O28" s="155">
        <v>0</v>
      </c>
      <c r="P28" s="155">
        <v>0</v>
      </c>
      <c r="Q28" s="155">
        <v>0</v>
      </c>
      <c r="R28" s="155">
        <f t="shared" si="1"/>
        <v>3496298.63</v>
      </c>
      <c r="S28" s="155">
        <f t="shared" si="0"/>
        <v>1254.6826347520275</v>
      </c>
      <c r="T28" s="155">
        <v>5115.04</v>
      </c>
      <c r="U28" s="282" t="s">
        <v>221</v>
      </c>
      <c r="W28" s="286"/>
      <c r="Y28" s="28"/>
      <c r="Z28" s="287"/>
      <c r="AA28" s="291"/>
      <c r="AB28" s="288"/>
      <c r="AC28" s="288"/>
      <c r="AD28" s="5"/>
    </row>
    <row r="29" spans="1:30" s="31" customFormat="1" ht="37.5">
      <c r="A29" s="276">
        <f t="shared" si="2"/>
        <v>10</v>
      </c>
      <c r="B29" s="297" t="s">
        <v>1224</v>
      </c>
      <c r="C29" s="278">
        <v>1962</v>
      </c>
      <c r="D29" s="277"/>
      <c r="E29" s="278" t="s">
        <v>222</v>
      </c>
      <c r="F29" s="284">
        <v>5</v>
      </c>
      <c r="G29" s="284">
        <v>2</v>
      </c>
      <c r="H29" s="155">
        <v>1543</v>
      </c>
      <c r="I29" s="281">
        <v>1282.3</v>
      </c>
      <c r="J29" s="281">
        <v>1239.7</v>
      </c>
      <c r="K29" s="280">
        <v>73</v>
      </c>
      <c r="L29" s="285" t="s">
        <v>28</v>
      </c>
      <c r="M29" s="275" t="s">
        <v>30</v>
      </c>
      <c r="N29" s="155">
        <f>'2.виды ремонта'!C18</f>
        <v>859463.74</v>
      </c>
      <c r="O29" s="155">
        <v>0</v>
      </c>
      <c r="P29" s="155">
        <v>0</v>
      </c>
      <c r="Q29" s="155">
        <v>0</v>
      </c>
      <c r="R29" s="155">
        <f t="shared" si="1"/>
        <v>859463.74</v>
      </c>
      <c r="S29" s="155">
        <f t="shared" si="0"/>
        <v>670.25168837245576</v>
      </c>
      <c r="T29" s="155">
        <v>5115.04</v>
      </c>
      <c r="U29" s="282" t="s">
        <v>221</v>
      </c>
      <c r="W29" s="267"/>
      <c r="Y29" s="28"/>
      <c r="Z29" s="287"/>
      <c r="AA29" s="291"/>
      <c r="AB29" s="288"/>
      <c r="AC29" s="288"/>
      <c r="AD29" s="5"/>
    </row>
    <row r="30" spans="1:30" s="31" customFormat="1" ht="37.5">
      <c r="A30" s="276">
        <f t="shared" si="2"/>
        <v>11</v>
      </c>
      <c r="B30" s="297" t="s">
        <v>1225</v>
      </c>
      <c r="C30" s="278">
        <v>1959</v>
      </c>
      <c r="D30" s="278"/>
      <c r="E30" s="278" t="s">
        <v>222</v>
      </c>
      <c r="F30" s="284">
        <v>5</v>
      </c>
      <c r="G30" s="284">
        <v>4</v>
      </c>
      <c r="H30" s="155">
        <v>3724</v>
      </c>
      <c r="I30" s="281">
        <v>3045.1</v>
      </c>
      <c r="J30" s="281">
        <v>3045.1</v>
      </c>
      <c r="K30" s="280">
        <v>143</v>
      </c>
      <c r="L30" s="285" t="s">
        <v>28</v>
      </c>
      <c r="M30" s="275" t="s">
        <v>33</v>
      </c>
      <c r="N30" s="155">
        <f>'2.виды ремонта'!C19</f>
        <v>2695463.15</v>
      </c>
      <c r="O30" s="155">
        <v>0</v>
      </c>
      <c r="P30" s="155">
        <v>0</v>
      </c>
      <c r="Q30" s="155">
        <v>0</v>
      </c>
      <c r="R30" s="155">
        <f t="shared" si="1"/>
        <v>2695463.15</v>
      </c>
      <c r="S30" s="155">
        <f t="shared" si="0"/>
        <v>885.18050310334638</v>
      </c>
      <c r="T30" s="155">
        <v>5115.04</v>
      </c>
      <c r="U30" s="282" t="s">
        <v>221</v>
      </c>
      <c r="W30" s="286"/>
      <c r="Y30" s="28"/>
      <c r="Z30" s="287"/>
      <c r="AA30" s="291"/>
      <c r="AB30" s="288"/>
      <c r="AC30" s="288"/>
      <c r="AD30" s="5"/>
    </row>
    <row r="31" spans="1:30" s="31" customFormat="1" ht="37.5">
      <c r="A31" s="276">
        <f t="shared" si="2"/>
        <v>12</v>
      </c>
      <c r="B31" s="297" t="s">
        <v>1226</v>
      </c>
      <c r="C31" s="278">
        <v>1962</v>
      </c>
      <c r="D31" s="278"/>
      <c r="E31" s="278" t="s">
        <v>222</v>
      </c>
      <c r="F31" s="284">
        <v>5</v>
      </c>
      <c r="G31" s="284">
        <v>1</v>
      </c>
      <c r="H31" s="155">
        <v>2856</v>
      </c>
      <c r="I31" s="281">
        <v>2756.4</v>
      </c>
      <c r="J31" s="281">
        <v>2756.4</v>
      </c>
      <c r="K31" s="280">
        <v>139</v>
      </c>
      <c r="L31" s="285" t="s">
        <v>28</v>
      </c>
      <c r="M31" s="275" t="s">
        <v>227</v>
      </c>
      <c r="N31" s="155">
        <f>'2.виды ремонта'!C20</f>
        <v>4978299.04</v>
      </c>
      <c r="O31" s="155">
        <v>0</v>
      </c>
      <c r="P31" s="155">
        <v>0</v>
      </c>
      <c r="Q31" s="155">
        <v>0</v>
      </c>
      <c r="R31" s="155">
        <f t="shared" si="1"/>
        <v>4978299.04</v>
      </c>
      <c r="S31" s="155">
        <f t="shared" si="0"/>
        <v>1806.0873022783339</v>
      </c>
      <c r="T31" s="155">
        <v>5115.04</v>
      </c>
      <c r="U31" s="282" t="s">
        <v>221</v>
      </c>
      <c r="W31" s="267"/>
      <c r="Y31" s="28"/>
      <c r="Z31" s="287"/>
      <c r="AA31" s="291"/>
      <c r="AB31" s="288"/>
      <c r="AC31" s="288"/>
      <c r="AD31" s="5"/>
    </row>
    <row r="32" spans="1:30" s="31" customFormat="1" ht="37.5">
      <c r="A32" s="276">
        <f t="shared" si="2"/>
        <v>13</v>
      </c>
      <c r="B32" s="297" t="s">
        <v>1227</v>
      </c>
      <c r="C32" s="278">
        <v>1987</v>
      </c>
      <c r="D32" s="278"/>
      <c r="E32" s="278" t="s">
        <v>222</v>
      </c>
      <c r="F32" s="284">
        <v>5</v>
      </c>
      <c r="G32" s="284">
        <v>1</v>
      </c>
      <c r="H32" s="155">
        <v>1767</v>
      </c>
      <c r="I32" s="281">
        <v>1767</v>
      </c>
      <c r="J32" s="281">
        <v>1692</v>
      </c>
      <c r="K32" s="280">
        <v>128</v>
      </c>
      <c r="L32" s="285" t="s">
        <v>28</v>
      </c>
      <c r="M32" s="275" t="s">
        <v>30</v>
      </c>
      <c r="N32" s="155">
        <f>'2.виды ремонта'!C21</f>
        <v>1297410.1800000002</v>
      </c>
      <c r="O32" s="155">
        <v>0</v>
      </c>
      <c r="P32" s="155">
        <v>0</v>
      </c>
      <c r="Q32" s="155">
        <v>0</v>
      </c>
      <c r="R32" s="155">
        <f t="shared" si="1"/>
        <v>1297410.1800000002</v>
      </c>
      <c r="S32" s="155">
        <f t="shared" si="0"/>
        <v>734.2445840407471</v>
      </c>
      <c r="T32" s="155">
        <v>5115.04</v>
      </c>
      <c r="U32" s="282" t="s">
        <v>221</v>
      </c>
      <c r="W32" s="267"/>
      <c r="Y32" s="28"/>
      <c r="Z32" s="287"/>
      <c r="AA32" s="291"/>
      <c r="AB32" s="288"/>
      <c r="AC32" s="288"/>
      <c r="AD32" s="5"/>
    </row>
    <row r="33" spans="1:30" s="31" customFormat="1" ht="37.5">
      <c r="A33" s="276">
        <f t="shared" si="2"/>
        <v>14</v>
      </c>
      <c r="B33" s="297" t="s">
        <v>1228</v>
      </c>
      <c r="C33" s="278">
        <v>1969</v>
      </c>
      <c r="D33" s="278"/>
      <c r="E33" s="278" t="s">
        <v>222</v>
      </c>
      <c r="F33" s="284">
        <v>5</v>
      </c>
      <c r="G33" s="284">
        <v>2</v>
      </c>
      <c r="H33" s="155">
        <v>1892</v>
      </c>
      <c r="I33" s="281">
        <v>1782</v>
      </c>
      <c r="J33" s="281">
        <v>1356</v>
      </c>
      <c r="K33" s="280">
        <v>61</v>
      </c>
      <c r="L33" s="285" t="s">
        <v>28</v>
      </c>
      <c r="M33" s="275" t="s">
        <v>30</v>
      </c>
      <c r="N33" s="155">
        <f>'2.виды ремонта'!C22</f>
        <v>747860.85</v>
      </c>
      <c r="O33" s="155">
        <v>0</v>
      </c>
      <c r="P33" s="155">
        <v>0</v>
      </c>
      <c r="Q33" s="155">
        <v>0</v>
      </c>
      <c r="R33" s="155">
        <f t="shared" si="1"/>
        <v>747860.85</v>
      </c>
      <c r="S33" s="155">
        <f t="shared" si="0"/>
        <v>419.67500000000001</v>
      </c>
      <c r="T33" s="155">
        <v>5115.04</v>
      </c>
      <c r="U33" s="282" t="s">
        <v>221</v>
      </c>
      <c r="W33" s="267"/>
      <c r="Y33" s="28"/>
      <c r="Z33" s="287"/>
      <c r="AA33" s="291"/>
      <c r="AB33" s="288"/>
      <c r="AC33" s="288"/>
      <c r="AD33" s="5"/>
    </row>
    <row r="34" spans="1:30" s="31" customFormat="1" ht="37.5">
      <c r="A34" s="276">
        <f t="shared" si="2"/>
        <v>15</v>
      </c>
      <c r="B34" s="297" t="s">
        <v>1229</v>
      </c>
      <c r="C34" s="278">
        <v>1973</v>
      </c>
      <c r="D34" s="277"/>
      <c r="E34" s="278" t="s">
        <v>222</v>
      </c>
      <c r="F34" s="284">
        <v>5</v>
      </c>
      <c r="G34" s="284">
        <v>4</v>
      </c>
      <c r="H34" s="155">
        <v>3400</v>
      </c>
      <c r="I34" s="281">
        <v>2267</v>
      </c>
      <c r="J34" s="281">
        <v>2267</v>
      </c>
      <c r="K34" s="280">
        <v>169</v>
      </c>
      <c r="L34" s="285" t="s">
        <v>28</v>
      </c>
      <c r="M34" s="275" t="s">
        <v>30</v>
      </c>
      <c r="N34" s="155">
        <f>'2.виды ремонта'!C23</f>
        <v>1781758.6400000001</v>
      </c>
      <c r="O34" s="155">
        <v>0</v>
      </c>
      <c r="P34" s="155">
        <v>0</v>
      </c>
      <c r="Q34" s="155">
        <v>0</v>
      </c>
      <c r="R34" s="155">
        <f t="shared" si="1"/>
        <v>1781758.6400000001</v>
      </c>
      <c r="S34" s="155">
        <f t="shared" si="0"/>
        <v>785.95440670489643</v>
      </c>
      <c r="T34" s="155">
        <v>5115.04</v>
      </c>
      <c r="U34" s="282" t="s">
        <v>221</v>
      </c>
      <c r="W34" s="267"/>
      <c r="Y34" s="28"/>
      <c r="Z34" s="287"/>
      <c r="AA34" s="291"/>
      <c r="AB34" s="288"/>
      <c r="AC34" s="288"/>
      <c r="AD34" s="5"/>
    </row>
    <row r="35" spans="1:30" s="31" customFormat="1" ht="37.5">
      <c r="A35" s="276">
        <f t="shared" si="2"/>
        <v>16</v>
      </c>
      <c r="B35" s="296" t="s">
        <v>1230</v>
      </c>
      <c r="C35" s="278">
        <v>1991</v>
      </c>
      <c r="D35" s="278"/>
      <c r="E35" s="278" t="s">
        <v>222</v>
      </c>
      <c r="F35" s="280">
        <v>5</v>
      </c>
      <c r="G35" s="280">
        <v>9</v>
      </c>
      <c r="H35" s="155">
        <v>6761</v>
      </c>
      <c r="I35" s="281">
        <v>6191.2</v>
      </c>
      <c r="J35" s="281">
        <v>6191.2</v>
      </c>
      <c r="K35" s="280">
        <v>264</v>
      </c>
      <c r="L35" s="285" t="s">
        <v>28</v>
      </c>
      <c r="M35" s="175" t="s">
        <v>33</v>
      </c>
      <c r="N35" s="155">
        <f>'2.виды ремонта'!C24</f>
        <v>3572610.0500000003</v>
      </c>
      <c r="O35" s="155">
        <v>0</v>
      </c>
      <c r="P35" s="155">
        <v>0</v>
      </c>
      <c r="Q35" s="155">
        <v>0</v>
      </c>
      <c r="R35" s="155">
        <f t="shared" si="1"/>
        <v>3572610.0500000003</v>
      </c>
      <c r="S35" s="155">
        <f t="shared" si="0"/>
        <v>577.0464611060861</v>
      </c>
      <c r="T35" s="155">
        <v>5115.04</v>
      </c>
      <c r="U35" s="282" t="s">
        <v>221</v>
      </c>
      <c r="W35" s="286"/>
      <c r="Y35" s="28"/>
      <c r="Z35" s="287"/>
      <c r="AA35" s="291"/>
      <c r="AB35" s="288"/>
      <c r="AC35" s="288"/>
      <c r="AD35" s="5"/>
    </row>
    <row r="36" spans="1:30" s="31" customFormat="1" ht="37.5">
      <c r="A36" s="276">
        <f t="shared" si="2"/>
        <v>17</v>
      </c>
      <c r="B36" s="297" t="s">
        <v>1231</v>
      </c>
      <c r="C36" s="278">
        <v>1969</v>
      </c>
      <c r="D36" s="277"/>
      <c r="E36" s="278" t="s">
        <v>222</v>
      </c>
      <c r="F36" s="284">
        <v>5</v>
      </c>
      <c r="G36" s="284">
        <v>6</v>
      </c>
      <c r="H36" s="155">
        <v>5664</v>
      </c>
      <c r="I36" s="281">
        <v>5258</v>
      </c>
      <c r="J36" s="281">
        <v>5258</v>
      </c>
      <c r="K36" s="280">
        <v>247</v>
      </c>
      <c r="L36" s="285" t="s">
        <v>28</v>
      </c>
      <c r="M36" s="275" t="s">
        <v>33</v>
      </c>
      <c r="N36" s="155">
        <f>'2.виды ремонта'!C25</f>
        <v>2615774.21</v>
      </c>
      <c r="O36" s="155">
        <v>0</v>
      </c>
      <c r="P36" s="155">
        <v>0</v>
      </c>
      <c r="Q36" s="155">
        <v>0</v>
      </c>
      <c r="R36" s="155">
        <f t="shared" si="1"/>
        <v>2615774.21</v>
      </c>
      <c r="S36" s="155">
        <f t="shared" si="0"/>
        <v>497.48463484214528</v>
      </c>
      <c r="T36" s="155">
        <v>5115.04</v>
      </c>
      <c r="U36" s="282" t="s">
        <v>221</v>
      </c>
      <c r="W36" s="286"/>
      <c r="Y36" s="28"/>
      <c r="Z36" s="287"/>
      <c r="AA36" s="291"/>
      <c r="AB36" s="288"/>
      <c r="AC36" s="288"/>
      <c r="AD36" s="5"/>
    </row>
    <row r="37" spans="1:30" s="31" customFormat="1" ht="37.5">
      <c r="A37" s="276">
        <f t="shared" si="2"/>
        <v>18</v>
      </c>
      <c r="B37" s="299" t="s">
        <v>1232</v>
      </c>
      <c r="C37" s="300">
        <v>1995</v>
      </c>
      <c r="D37" s="277"/>
      <c r="E37" s="278" t="s">
        <v>222</v>
      </c>
      <c r="F37" s="301">
        <v>5</v>
      </c>
      <c r="G37" s="301">
        <v>6</v>
      </c>
      <c r="H37" s="155">
        <v>4638</v>
      </c>
      <c r="I37" s="281">
        <v>4153</v>
      </c>
      <c r="J37" s="281">
        <v>4087</v>
      </c>
      <c r="K37" s="280">
        <v>212</v>
      </c>
      <c r="L37" s="285" t="s">
        <v>28</v>
      </c>
      <c r="M37" s="175" t="s">
        <v>33</v>
      </c>
      <c r="N37" s="155">
        <f>'2.виды ремонта'!C26</f>
        <v>2890009.28</v>
      </c>
      <c r="O37" s="155">
        <v>0</v>
      </c>
      <c r="P37" s="155">
        <v>0</v>
      </c>
      <c r="Q37" s="155">
        <v>0</v>
      </c>
      <c r="R37" s="155">
        <f t="shared" si="1"/>
        <v>2890009.28</v>
      </c>
      <c r="S37" s="155">
        <f t="shared" si="0"/>
        <v>695.88472911148563</v>
      </c>
      <c r="T37" s="155">
        <v>5115.04</v>
      </c>
      <c r="U37" s="282" t="s">
        <v>221</v>
      </c>
      <c r="W37" s="286"/>
      <c r="Y37" s="28"/>
      <c r="Z37" s="287"/>
      <c r="AA37" s="291"/>
      <c r="AB37" s="288"/>
      <c r="AC37" s="288"/>
      <c r="AD37" s="5"/>
    </row>
    <row r="38" spans="1:30" s="31" customFormat="1" ht="37.5">
      <c r="A38" s="276">
        <f t="shared" si="2"/>
        <v>19</v>
      </c>
      <c r="B38" s="297" t="s">
        <v>1233</v>
      </c>
      <c r="C38" s="278">
        <v>1997</v>
      </c>
      <c r="D38" s="277"/>
      <c r="E38" s="278" t="s">
        <v>218</v>
      </c>
      <c r="F38" s="280">
        <v>5</v>
      </c>
      <c r="G38" s="280">
        <v>5</v>
      </c>
      <c r="H38" s="155">
        <v>4443</v>
      </c>
      <c r="I38" s="281">
        <v>4065</v>
      </c>
      <c r="J38" s="281">
        <v>3616</v>
      </c>
      <c r="K38" s="280">
        <v>176</v>
      </c>
      <c r="L38" s="285" t="s">
        <v>28</v>
      </c>
      <c r="M38" s="276" t="s">
        <v>33</v>
      </c>
      <c r="N38" s="155">
        <f>'2.виды ремонта'!C27</f>
        <v>2605690.6500000004</v>
      </c>
      <c r="O38" s="155">
        <v>0</v>
      </c>
      <c r="P38" s="155">
        <v>0</v>
      </c>
      <c r="Q38" s="155">
        <v>0</v>
      </c>
      <c r="R38" s="155">
        <f t="shared" si="1"/>
        <v>2605690.6500000004</v>
      </c>
      <c r="S38" s="155">
        <f t="shared" si="0"/>
        <v>641.00630996309974</v>
      </c>
      <c r="T38" s="155">
        <v>5115.04</v>
      </c>
      <c r="U38" s="282" t="s">
        <v>221</v>
      </c>
      <c r="W38" s="286"/>
      <c r="Y38" s="28"/>
      <c r="Z38" s="287"/>
      <c r="AA38" s="291"/>
      <c r="AB38" s="288"/>
      <c r="AC38" s="288"/>
      <c r="AD38" s="5"/>
    </row>
    <row r="39" spans="1:30" s="31" customFormat="1" ht="37.5">
      <c r="A39" s="276">
        <f t="shared" si="2"/>
        <v>20</v>
      </c>
      <c r="B39" s="297" t="s">
        <v>1234</v>
      </c>
      <c r="C39" s="278">
        <v>1968</v>
      </c>
      <c r="D39" s="278"/>
      <c r="E39" s="278" t="s">
        <v>222</v>
      </c>
      <c r="F39" s="284">
        <v>3</v>
      </c>
      <c r="G39" s="284">
        <v>2</v>
      </c>
      <c r="H39" s="155">
        <v>1633</v>
      </c>
      <c r="I39" s="281">
        <v>1245</v>
      </c>
      <c r="J39" s="281">
        <v>1162</v>
      </c>
      <c r="K39" s="280">
        <v>61</v>
      </c>
      <c r="L39" s="285" t="s">
        <v>28</v>
      </c>
      <c r="M39" s="275" t="s">
        <v>30</v>
      </c>
      <c r="N39" s="155">
        <f>'2.виды ремонта'!C28</f>
        <v>449924</v>
      </c>
      <c r="O39" s="155">
        <v>0</v>
      </c>
      <c r="P39" s="155">
        <v>0</v>
      </c>
      <c r="Q39" s="155">
        <v>0</v>
      </c>
      <c r="R39" s="155">
        <f t="shared" si="1"/>
        <v>449924</v>
      </c>
      <c r="S39" s="155">
        <f t="shared" si="0"/>
        <v>361.38473895582331</v>
      </c>
      <c r="T39" s="155">
        <v>5115.04</v>
      </c>
      <c r="U39" s="282" t="s">
        <v>221</v>
      </c>
      <c r="W39" s="267"/>
      <c r="Y39" s="28"/>
      <c r="Z39" s="287"/>
      <c r="AA39" s="291"/>
      <c r="AB39" s="288"/>
      <c r="AC39" s="288"/>
      <c r="AD39" s="5"/>
    </row>
    <row r="40" spans="1:30" s="31" customFormat="1" ht="37.5">
      <c r="A40" s="276">
        <f t="shared" si="2"/>
        <v>21</v>
      </c>
      <c r="B40" s="296" t="s">
        <v>1235</v>
      </c>
      <c r="C40" s="278">
        <v>1978</v>
      </c>
      <c r="D40" s="277"/>
      <c r="E40" s="278" t="s">
        <v>222</v>
      </c>
      <c r="F40" s="284">
        <v>5</v>
      </c>
      <c r="G40" s="284">
        <v>11</v>
      </c>
      <c r="H40" s="155">
        <v>7121</v>
      </c>
      <c r="I40" s="281">
        <v>7121</v>
      </c>
      <c r="J40" s="281">
        <v>6579.4</v>
      </c>
      <c r="K40" s="280">
        <v>388</v>
      </c>
      <c r="L40" s="285" t="s">
        <v>28</v>
      </c>
      <c r="M40" s="276" t="s">
        <v>33</v>
      </c>
      <c r="N40" s="155">
        <f>'2.виды ремонта'!C29</f>
        <v>5572339.5700000003</v>
      </c>
      <c r="O40" s="155">
        <v>0</v>
      </c>
      <c r="P40" s="155">
        <v>0</v>
      </c>
      <c r="Q40" s="155">
        <v>0</v>
      </c>
      <c r="R40" s="155">
        <f t="shared" si="1"/>
        <v>5572339.5700000003</v>
      </c>
      <c r="S40" s="155">
        <f t="shared" si="0"/>
        <v>782.52205729532375</v>
      </c>
      <c r="T40" s="155">
        <v>5115.04</v>
      </c>
      <c r="U40" s="282" t="s">
        <v>221</v>
      </c>
      <c r="W40" s="286"/>
      <c r="Y40" s="28"/>
      <c r="Z40" s="287"/>
      <c r="AA40" s="291"/>
      <c r="AB40" s="288"/>
      <c r="AC40" s="288"/>
      <c r="AD40" s="5"/>
    </row>
    <row r="41" spans="1:30" s="31" customFormat="1" ht="37.5">
      <c r="A41" s="276">
        <f t="shared" si="2"/>
        <v>22</v>
      </c>
      <c r="B41" s="296" t="s">
        <v>1236</v>
      </c>
      <c r="C41" s="278">
        <v>1986</v>
      </c>
      <c r="D41" s="277"/>
      <c r="E41" s="278" t="s">
        <v>222</v>
      </c>
      <c r="F41" s="284">
        <v>3</v>
      </c>
      <c r="G41" s="284">
        <v>2</v>
      </c>
      <c r="H41" s="155">
        <v>1311</v>
      </c>
      <c r="I41" s="281">
        <v>1103.5</v>
      </c>
      <c r="J41" s="281">
        <v>1103.5</v>
      </c>
      <c r="K41" s="280">
        <v>74</v>
      </c>
      <c r="L41" s="285" t="s">
        <v>28</v>
      </c>
      <c r="M41" s="276" t="s">
        <v>33</v>
      </c>
      <c r="N41" s="155">
        <f>'2.виды ремонта'!C30</f>
        <v>3676992.12</v>
      </c>
      <c r="O41" s="155">
        <v>0</v>
      </c>
      <c r="P41" s="155">
        <v>0</v>
      </c>
      <c r="Q41" s="155">
        <v>0</v>
      </c>
      <c r="R41" s="155">
        <f t="shared" si="1"/>
        <v>3676992.12</v>
      </c>
      <c r="S41" s="155">
        <f t="shared" si="0"/>
        <v>3332.1179157227007</v>
      </c>
      <c r="T41" s="155">
        <v>5115.04</v>
      </c>
      <c r="U41" s="282" t="s">
        <v>221</v>
      </c>
      <c r="W41" s="286"/>
      <c r="Y41" s="28"/>
      <c r="Z41" s="287"/>
      <c r="AA41" s="291"/>
      <c r="AB41" s="288"/>
      <c r="AC41" s="288"/>
      <c r="AD41" s="5"/>
    </row>
    <row r="42" spans="1:30" s="31" customFormat="1" ht="37.5">
      <c r="A42" s="276">
        <f t="shared" si="2"/>
        <v>23</v>
      </c>
      <c r="B42" s="296" t="s">
        <v>1238</v>
      </c>
      <c r="C42" s="278">
        <v>1985</v>
      </c>
      <c r="D42" s="277"/>
      <c r="E42" s="278" t="s">
        <v>222</v>
      </c>
      <c r="F42" s="280">
        <v>5</v>
      </c>
      <c r="G42" s="280">
        <v>9</v>
      </c>
      <c r="H42" s="155">
        <v>6948</v>
      </c>
      <c r="I42" s="281">
        <v>6256.1</v>
      </c>
      <c r="J42" s="281">
        <v>6256.1</v>
      </c>
      <c r="K42" s="280">
        <v>256</v>
      </c>
      <c r="L42" s="285" t="s">
        <v>28</v>
      </c>
      <c r="M42" s="276" t="s">
        <v>33</v>
      </c>
      <c r="N42" s="155">
        <f>'2.виды ремонта'!C31</f>
        <v>3632130.8600000003</v>
      </c>
      <c r="O42" s="155">
        <v>0</v>
      </c>
      <c r="P42" s="155">
        <v>0</v>
      </c>
      <c r="Q42" s="155">
        <v>0</v>
      </c>
      <c r="R42" s="155">
        <f t="shared" si="1"/>
        <v>3632130.8600000003</v>
      </c>
      <c r="S42" s="155">
        <f t="shared" si="0"/>
        <v>580.574297086044</v>
      </c>
      <c r="T42" s="155">
        <v>5115.04</v>
      </c>
      <c r="U42" s="282" t="s">
        <v>221</v>
      </c>
      <c r="W42" s="286"/>
      <c r="Y42" s="28"/>
      <c r="Z42" s="287"/>
      <c r="AA42" s="291"/>
      <c r="AB42" s="288"/>
      <c r="AC42" s="288"/>
      <c r="AD42" s="5"/>
    </row>
    <row r="43" spans="1:30" s="31" customFormat="1" ht="37.5">
      <c r="A43" s="276">
        <f t="shared" si="2"/>
        <v>24</v>
      </c>
      <c r="B43" s="296" t="s">
        <v>1239</v>
      </c>
      <c r="C43" s="278">
        <v>1958</v>
      </c>
      <c r="D43" s="278"/>
      <c r="E43" s="278" t="s">
        <v>222</v>
      </c>
      <c r="F43" s="280">
        <v>4</v>
      </c>
      <c r="G43" s="280">
        <v>2</v>
      </c>
      <c r="H43" s="155">
        <v>1496</v>
      </c>
      <c r="I43" s="281">
        <v>1196.2</v>
      </c>
      <c r="J43" s="281">
        <v>555.9</v>
      </c>
      <c r="K43" s="280">
        <v>56</v>
      </c>
      <c r="L43" s="285" t="s">
        <v>28</v>
      </c>
      <c r="M43" s="275" t="s">
        <v>30</v>
      </c>
      <c r="N43" s="155">
        <f>'2.виды ремонта'!C32</f>
        <v>469867.72000000003</v>
      </c>
      <c r="O43" s="155">
        <v>0</v>
      </c>
      <c r="P43" s="155">
        <v>0</v>
      </c>
      <c r="Q43" s="155">
        <v>0</v>
      </c>
      <c r="R43" s="155">
        <f>N43</f>
        <v>469867.72000000003</v>
      </c>
      <c r="S43" s="155">
        <f t="shared" si="0"/>
        <v>392.80030095301788</v>
      </c>
      <c r="T43" s="155">
        <v>5115.04</v>
      </c>
      <c r="U43" s="282" t="s">
        <v>221</v>
      </c>
      <c r="W43" s="267"/>
      <c r="Y43" s="28"/>
      <c r="Z43" s="287"/>
      <c r="AA43" s="291"/>
      <c r="AB43" s="288"/>
      <c r="AC43" s="288"/>
      <c r="AD43" s="5"/>
    </row>
    <row r="44" spans="1:30" s="31" customFormat="1" ht="37.5">
      <c r="A44" s="276">
        <f t="shared" si="2"/>
        <v>25</v>
      </c>
      <c r="B44" s="297" t="s">
        <v>1240</v>
      </c>
      <c r="C44" s="278">
        <v>1958</v>
      </c>
      <c r="D44" s="277"/>
      <c r="E44" s="278" t="s">
        <v>222</v>
      </c>
      <c r="F44" s="284">
        <v>4</v>
      </c>
      <c r="G44" s="284">
        <v>4</v>
      </c>
      <c r="H44" s="155">
        <v>3259</v>
      </c>
      <c r="I44" s="281">
        <v>2607.3000000000002</v>
      </c>
      <c r="J44" s="281">
        <v>2607.3000000000002</v>
      </c>
      <c r="K44" s="280">
        <v>108</v>
      </c>
      <c r="L44" s="285" t="s">
        <v>28</v>
      </c>
      <c r="M44" s="275" t="s">
        <v>30</v>
      </c>
      <c r="N44" s="155">
        <f>'2.виды ремонта'!C33</f>
        <v>928982.04999999993</v>
      </c>
      <c r="O44" s="155">
        <v>0</v>
      </c>
      <c r="P44" s="155">
        <v>0</v>
      </c>
      <c r="Q44" s="155">
        <v>0</v>
      </c>
      <c r="R44" s="155">
        <f t="shared" si="1"/>
        <v>928982.04999999993</v>
      </c>
      <c r="S44" s="155">
        <f t="shared" si="0"/>
        <v>356.30040655083798</v>
      </c>
      <c r="T44" s="155">
        <v>5115.04</v>
      </c>
      <c r="U44" s="282" t="s">
        <v>221</v>
      </c>
      <c r="W44" s="267"/>
      <c r="Y44" s="28"/>
      <c r="Z44" s="287"/>
      <c r="AA44" s="291"/>
      <c r="AB44" s="288"/>
      <c r="AC44" s="288"/>
      <c r="AD44" s="5"/>
    </row>
    <row r="45" spans="1:30" s="31" customFormat="1" ht="37.5">
      <c r="A45" s="276">
        <f t="shared" si="2"/>
        <v>26</v>
      </c>
      <c r="B45" s="297" t="s">
        <v>1241</v>
      </c>
      <c r="C45" s="278">
        <v>1959</v>
      </c>
      <c r="D45" s="277"/>
      <c r="E45" s="278" t="s">
        <v>222</v>
      </c>
      <c r="F45" s="284">
        <v>4</v>
      </c>
      <c r="G45" s="284">
        <v>2</v>
      </c>
      <c r="H45" s="155">
        <v>1624</v>
      </c>
      <c r="I45" s="281">
        <v>1300.3</v>
      </c>
      <c r="J45" s="281">
        <v>1300.3</v>
      </c>
      <c r="K45" s="280">
        <v>50</v>
      </c>
      <c r="L45" s="285" t="s">
        <v>28</v>
      </c>
      <c r="M45" s="276" t="s">
        <v>33</v>
      </c>
      <c r="N45" s="155">
        <f>'2.виды ремонта'!C34</f>
        <v>1458379.76</v>
      </c>
      <c r="O45" s="155">
        <v>0</v>
      </c>
      <c r="P45" s="155">
        <v>0</v>
      </c>
      <c r="Q45" s="155">
        <v>0</v>
      </c>
      <c r="R45" s="155">
        <f t="shared" si="1"/>
        <v>1458379.76</v>
      </c>
      <c r="S45" s="155">
        <f t="shared" si="0"/>
        <v>1121.5717603629932</v>
      </c>
      <c r="T45" s="155">
        <v>5115.04</v>
      </c>
      <c r="U45" s="282" t="s">
        <v>221</v>
      </c>
      <c r="W45" s="286"/>
      <c r="Y45" s="28"/>
      <c r="Z45" s="287"/>
      <c r="AA45" s="291"/>
      <c r="AB45" s="288"/>
      <c r="AC45" s="288"/>
      <c r="AD45" s="5"/>
    </row>
    <row r="46" spans="1:30" s="31" customFormat="1" ht="37.5">
      <c r="A46" s="276">
        <f t="shared" si="2"/>
        <v>27</v>
      </c>
      <c r="B46" s="297" t="s">
        <v>1242</v>
      </c>
      <c r="C46" s="278">
        <v>1986</v>
      </c>
      <c r="D46" s="277"/>
      <c r="E46" s="278" t="s">
        <v>222</v>
      </c>
      <c r="F46" s="284">
        <v>5</v>
      </c>
      <c r="G46" s="284">
        <v>3</v>
      </c>
      <c r="H46" s="155">
        <v>2328</v>
      </c>
      <c r="I46" s="281">
        <v>2112</v>
      </c>
      <c r="J46" s="281">
        <v>2013</v>
      </c>
      <c r="K46" s="280">
        <v>118</v>
      </c>
      <c r="L46" s="285" t="s">
        <v>28</v>
      </c>
      <c r="M46" s="275" t="s">
        <v>33</v>
      </c>
      <c r="N46" s="155">
        <f>'2.виды ремонта'!C35</f>
        <v>1472546.87</v>
      </c>
      <c r="O46" s="155">
        <v>0</v>
      </c>
      <c r="P46" s="155">
        <v>0</v>
      </c>
      <c r="Q46" s="155">
        <v>0</v>
      </c>
      <c r="R46" s="155">
        <f t="shared" si="1"/>
        <v>1472546.87</v>
      </c>
      <c r="S46" s="155">
        <f t="shared" si="0"/>
        <v>697.22863162878798</v>
      </c>
      <c r="T46" s="155">
        <v>5115.04</v>
      </c>
      <c r="U46" s="282" t="s">
        <v>221</v>
      </c>
      <c r="W46" s="286"/>
      <c r="Y46" s="28"/>
      <c r="Z46" s="287"/>
      <c r="AA46" s="291"/>
      <c r="AB46" s="288"/>
      <c r="AC46" s="288"/>
      <c r="AD46" s="5"/>
    </row>
    <row r="47" spans="1:30" s="31" customFormat="1" ht="37.5">
      <c r="A47" s="276">
        <f t="shared" si="2"/>
        <v>28</v>
      </c>
      <c r="B47" s="297" t="s">
        <v>1243</v>
      </c>
      <c r="C47" s="278">
        <v>1986</v>
      </c>
      <c r="D47" s="277"/>
      <c r="E47" s="278" t="s">
        <v>222</v>
      </c>
      <c r="F47" s="284">
        <v>5</v>
      </c>
      <c r="G47" s="284">
        <v>3</v>
      </c>
      <c r="H47" s="155">
        <v>2358</v>
      </c>
      <c r="I47" s="281">
        <v>2137</v>
      </c>
      <c r="J47" s="281">
        <v>1974</v>
      </c>
      <c r="K47" s="280">
        <v>128</v>
      </c>
      <c r="L47" s="285" t="s">
        <v>28</v>
      </c>
      <c r="M47" s="276" t="s">
        <v>33</v>
      </c>
      <c r="N47" s="155">
        <f>'2.виды ремонта'!C36</f>
        <v>1479714.33</v>
      </c>
      <c r="O47" s="155">
        <v>0</v>
      </c>
      <c r="P47" s="155">
        <v>0</v>
      </c>
      <c r="Q47" s="155">
        <v>0</v>
      </c>
      <c r="R47" s="155">
        <f t="shared" si="1"/>
        <v>1479714.33</v>
      </c>
      <c r="S47" s="155">
        <f t="shared" si="0"/>
        <v>692.42598502573708</v>
      </c>
      <c r="T47" s="155">
        <v>5115.04</v>
      </c>
      <c r="U47" s="282" t="s">
        <v>221</v>
      </c>
      <c r="W47" s="286"/>
      <c r="Y47" s="28"/>
      <c r="Z47" s="287"/>
      <c r="AA47" s="291"/>
      <c r="AB47" s="288"/>
      <c r="AC47" s="288"/>
      <c r="AD47" s="5"/>
    </row>
    <row r="48" spans="1:30" s="31" customFormat="1" ht="37.5">
      <c r="A48" s="276">
        <f t="shared" si="2"/>
        <v>29</v>
      </c>
      <c r="B48" s="296" t="s">
        <v>1244</v>
      </c>
      <c r="C48" s="278">
        <v>1976</v>
      </c>
      <c r="D48" s="277"/>
      <c r="E48" s="278" t="s">
        <v>222</v>
      </c>
      <c r="F48" s="284">
        <v>5</v>
      </c>
      <c r="G48" s="284">
        <v>4</v>
      </c>
      <c r="H48" s="155">
        <v>4175</v>
      </c>
      <c r="I48" s="281">
        <v>1845.3</v>
      </c>
      <c r="J48" s="281">
        <v>1792.8</v>
      </c>
      <c r="K48" s="280">
        <v>128</v>
      </c>
      <c r="L48" s="285" t="s">
        <v>28</v>
      </c>
      <c r="M48" s="275" t="s">
        <v>33</v>
      </c>
      <c r="N48" s="155">
        <f>'2.виды ремонта'!C37</f>
        <v>1665893.82</v>
      </c>
      <c r="O48" s="155">
        <v>0</v>
      </c>
      <c r="P48" s="155">
        <v>0</v>
      </c>
      <c r="Q48" s="155">
        <v>0</v>
      </c>
      <c r="R48" s="155">
        <f t="shared" si="1"/>
        <v>1665893.82</v>
      </c>
      <c r="S48" s="155">
        <f t="shared" si="0"/>
        <v>902.77668671760694</v>
      </c>
      <c r="T48" s="155">
        <v>5115.04</v>
      </c>
      <c r="U48" s="282" t="s">
        <v>221</v>
      </c>
      <c r="W48" s="286"/>
      <c r="Y48" s="28"/>
      <c r="Z48" s="287"/>
      <c r="AA48" s="291"/>
      <c r="AB48" s="288"/>
      <c r="AC48" s="288"/>
      <c r="AD48" s="5"/>
    </row>
    <row r="49" spans="1:30" s="31" customFormat="1" ht="37.5">
      <c r="A49" s="276">
        <f t="shared" si="2"/>
        <v>30</v>
      </c>
      <c r="B49" s="297" t="s">
        <v>1245</v>
      </c>
      <c r="C49" s="278">
        <v>1966</v>
      </c>
      <c r="D49" s="278"/>
      <c r="E49" s="278" t="s">
        <v>222</v>
      </c>
      <c r="F49" s="284">
        <v>5</v>
      </c>
      <c r="G49" s="284">
        <v>2</v>
      </c>
      <c r="H49" s="155">
        <v>3804</v>
      </c>
      <c r="I49" s="281">
        <v>3035</v>
      </c>
      <c r="J49" s="281">
        <v>2776</v>
      </c>
      <c r="K49" s="280">
        <v>214</v>
      </c>
      <c r="L49" s="285" t="s">
        <v>28</v>
      </c>
      <c r="M49" s="275" t="s">
        <v>33</v>
      </c>
      <c r="N49" s="155">
        <f>'2.виды ремонта'!C38</f>
        <v>1507854</v>
      </c>
      <c r="O49" s="155">
        <v>0</v>
      </c>
      <c r="P49" s="155">
        <v>0</v>
      </c>
      <c r="Q49" s="155">
        <v>0</v>
      </c>
      <c r="R49" s="155">
        <f t="shared" si="1"/>
        <v>1507854</v>
      </c>
      <c r="S49" s="155">
        <f t="shared" si="0"/>
        <v>496.8217462932455</v>
      </c>
      <c r="T49" s="155">
        <v>5115.04</v>
      </c>
      <c r="U49" s="282" t="s">
        <v>221</v>
      </c>
      <c r="W49" s="286"/>
      <c r="Y49" s="28"/>
      <c r="Z49" s="287"/>
      <c r="AA49" s="291"/>
      <c r="AB49" s="288"/>
      <c r="AC49" s="288"/>
      <c r="AD49" s="5"/>
    </row>
    <row r="50" spans="1:30" s="31" customFormat="1" ht="37.5">
      <c r="A50" s="276">
        <f t="shared" si="2"/>
        <v>31</v>
      </c>
      <c r="B50" s="297" t="s">
        <v>1246</v>
      </c>
      <c r="C50" s="278">
        <v>1966</v>
      </c>
      <c r="D50" s="278"/>
      <c r="E50" s="278" t="s">
        <v>222</v>
      </c>
      <c r="F50" s="284">
        <v>5</v>
      </c>
      <c r="G50" s="284">
        <v>2</v>
      </c>
      <c r="H50" s="155">
        <v>3577</v>
      </c>
      <c r="I50" s="281">
        <v>2872</v>
      </c>
      <c r="J50" s="281">
        <v>2435</v>
      </c>
      <c r="K50" s="280">
        <v>178</v>
      </c>
      <c r="L50" s="285" t="s">
        <v>28</v>
      </c>
      <c r="M50" s="275" t="s">
        <v>33</v>
      </c>
      <c r="N50" s="155">
        <f>'2.виды ремонта'!C39</f>
        <v>1500594.0899999999</v>
      </c>
      <c r="O50" s="155">
        <v>0</v>
      </c>
      <c r="P50" s="155">
        <v>0</v>
      </c>
      <c r="Q50" s="155">
        <v>0</v>
      </c>
      <c r="R50" s="155">
        <f t="shared" si="1"/>
        <v>1500594.0899999999</v>
      </c>
      <c r="S50" s="155">
        <f t="shared" si="0"/>
        <v>522.49097841225625</v>
      </c>
      <c r="T50" s="155">
        <v>5115.04</v>
      </c>
      <c r="U50" s="282" t="s">
        <v>221</v>
      </c>
      <c r="W50" s="286"/>
      <c r="Y50" s="28"/>
      <c r="Z50" s="287"/>
      <c r="AA50" s="291"/>
      <c r="AB50" s="288"/>
      <c r="AC50" s="288"/>
      <c r="AD50" s="5"/>
    </row>
    <row r="51" spans="1:30" s="31" customFormat="1" ht="37.5">
      <c r="A51" s="276">
        <f t="shared" si="2"/>
        <v>32</v>
      </c>
      <c r="B51" s="297" t="s">
        <v>1247</v>
      </c>
      <c r="C51" s="278">
        <v>1967</v>
      </c>
      <c r="D51" s="277"/>
      <c r="E51" s="278" t="s">
        <v>222</v>
      </c>
      <c r="F51" s="284">
        <v>5</v>
      </c>
      <c r="G51" s="284">
        <v>6</v>
      </c>
      <c r="H51" s="155">
        <v>5703</v>
      </c>
      <c r="I51" s="281">
        <v>4554</v>
      </c>
      <c r="J51" s="281">
        <v>4554</v>
      </c>
      <c r="K51" s="280">
        <v>280</v>
      </c>
      <c r="L51" s="285" t="s">
        <v>28</v>
      </c>
      <c r="M51" s="276" t="s">
        <v>33</v>
      </c>
      <c r="N51" s="155">
        <f>'2.виды ремонта'!C40</f>
        <v>2899579.66</v>
      </c>
      <c r="O51" s="155">
        <v>0</v>
      </c>
      <c r="P51" s="155">
        <v>0</v>
      </c>
      <c r="Q51" s="155">
        <v>0</v>
      </c>
      <c r="R51" s="155">
        <f t="shared" si="1"/>
        <v>2899579.66</v>
      </c>
      <c r="S51" s="155">
        <f t="shared" si="0"/>
        <v>636.71050944224862</v>
      </c>
      <c r="T51" s="155">
        <v>5115.04</v>
      </c>
      <c r="U51" s="282" t="s">
        <v>221</v>
      </c>
      <c r="W51" s="286"/>
      <c r="Y51" s="28"/>
      <c r="Z51" s="287"/>
      <c r="AA51" s="291"/>
      <c r="AB51" s="288"/>
      <c r="AC51" s="288"/>
      <c r="AD51" s="5"/>
    </row>
    <row r="52" spans="1:30" s="31" customFormat="1" ht="37.5">
      <c r="A52" s="276">
        <f t="shared" si="2"/>
        <v>33</v>
      </c>
      <c r="B52" s="297" t="s">
        <v>1248</v>
      </c>
      <c r="C52" s="278">
        <v>1985</v>
      </c>
      <c r="D52" s="277"/>
      <c r="E52" s="278" t="s">
        <v>222</v>
      </c>
      <c r="F52" s="284">
        <v>5</v>
      </c>
      <c r="G52" s="284">
        <v>7</v>
      </c>
      <c r="H52" s="155">
        <v>5411</v>
      </c>
      <c r="I52" s="281">
        <v>4887</v>
      </c>
      <c r="J52" s="281">
        <v>4887</v>
      </c>
      <c r="K52" s="280">
        <v>211</v>
      </c>
      <c r="L52" s="285" t="s">
        <v>28</v>
      </c>
      <c r="M52" s="275" t="s">
        <v>33</v>
      </c>
      <c r="N52" s="155">
        <f>'2.виды ремонта'!C41</f>
        <v>3188681.76</v>
      </c>
      <c r="O52" s="155">
        <v>0</v>
      </c>
      <c r="P52" s="155">
        <v>0</v>
      </c>
      <c r="Q52" s="155">
        <v>0</v>
      </c>
      <c r="R52" s="155">
        <f t="shared" si="1"/>
        <v>3188681.76</v>
      </c>
      <c r="S52" s="155">
        <f t="shared" si="0"/>
        <v>652.48245549416811</v>
      </c>
      <c r="T52" s="155">
        <v>5115.04</v>
      </c>
      <c r="U52" s="282" t="s">
        <v>221</v>
      </c>
      <c r="W52" s="286"/>
      <c r="Y52" s="28"/>
      <c r="Z52" s="287"/>
      <c r="AA52" s="291"/>
      <c r="AB52" s="288"/>
      <c r="AC52" s="288"/>
      <c r="AD52" s="5"/>
    </row>
    <row r="53" spans="1:30" s="31" customFormat="1" ht="37.5">
      <c r="A53" s="276">
        <f t="shared" si="2"/>
        <v>34</v>
      </c>
      <c r="B53" s="277" t="s">
        <v>1249</v>
      </c>
      <c r="C53" s="278">
        <v>1974</v>
      </c>
      <c r="D53" s="277"/>
      <c r="E53" s="278" t="s">
        <v>222</v>
      </c>
      <c r="F53" s="284">
        <v>5</v>
      </c>
      <c r="G53" s="284">
        <v>6</v>
      </c>
      <c r="H53" s="155">
        <v>5791</v>
      </c>
      <c r="I53" s="281">
        <v>5311.6</v>
      </c>
      <c r="J53" s="281">
        <v>3805.4</v>
      </c>
      <c r="K53" s="280">
        <v>202</v>
      </c>
      <c r="L53" s="285" t="s">
        <v>28</v>
      </c>
      <c r="M53" s="275" t="s">
        <v>227</v>
      </c>
      <c r="N53" s="155">
        <f>'2.виды ремонта'!C42</f>
        <v>7357413.8399999999</v>
      </c>
      <c r="O53" s="155">
        <v>0</v>
      </c>
      <c r="P53" s="155">
        <v>0</v>
      </c>
      <c r="Q53" s="155">
        <v>0</v>
      </c>
      <c r="R53" s="155">
        <f t="shared" si="1"/>
        <v>7357413.8399999999</v>
      </c>
      <c r="S53" s="155">
        <f t="shared" si="0"/>
        <v>1385.1596204533473</v>
      </c>
      <c r="T53" s="155">
        <v>5115.04</v>
      </c>
      <c r="U53" s="282" t="s">
        <v>221</v>
      </c>
      <c r="W53" s="267"/>
      <c r="Y53" s="28"/>
      <c r="Z53" s="287"/>
      <c r="AA53" s="291"/>
      <c r="AB53" s="288"/>
      <c r="AC53" s="288"/>
      <c r="AD53" s="5"/>
    </row>
    <row r="54" spans="1:30" s="31" customFormat="1" ht="37.5">
      <c r="A54" s="276">
        <f t="shared" si="2"/>
        <v>35</v>
      </c>
      <c r="B54" s="277" t="s">
        <v>1250</v>
      </c>
      <c r="C54" s="278">
        <v>1975</v>
      </c>
      <c r="D54" s="277"/>
      <c r="E54" s="278" t="s">
        <v>222</v>
      </c>
      <c r="F54" s="284">
        <v>5</v>
      </c>
      <c r="G54" s="284">
        <v>6</v>
      </c>
      <c r="H54" s="155">
        <v>5780</v>
      </c>
      <c r="I54" s="281">
        <v>5090.2</v>
      </c>
      <c r="J54" s="281">
        <v>3834.4</v>
      </c>
      <c r="K54" s="280">
        <v>189</v>
      </c>
      <c r="L54" s="285" t="s">
        <v>28</v>
      </c>
      <c r="M54" s="275" t="s">
        <v>227</v>
      </c>
      <c r="N54" s="155">
        <f>'2.виды ремонта'!C43</f>
        <v>7274051.25</v>
      </c>
      <c r="O54" s="155">
        <v>0</v>
      </c>
      <c r="P54" s="155">
        <v>0</v>
      </c>
      <c r="Q54" s="155">
        <v>0</v>
      </c>
      <c r="R54" s="155">
        <f t="shared" si="1"/>
        <v>7274051.25</v>
      </c>
      <c r="S54" s="155">
        <f t="shared" si="0"/>
        <v>1429.0305390750855</v>
      </c>
      <c r="T54" s="155">
        <v>5115.04</v>
      </c>
      <c r="U54" s="282" t="s">
        <v>221</v>
      </c>
      <c r="W54" s="267"/>
      <c r="Y54" s="28"/>
      <c r="Z54" s="287"/>
      <c r="AA54" s="291"/>
      <c r="AB54" s="288"/>
      <c r="AC54" s="288"/>
      <c r="AD54" s="5"/>
    </row>
    <row r="55" spans="1:30" s="31" customFormat="1" ht="37.5">
      <c r="A55" s="276">
        <f t="shared" si="2"/>
        <v>36</v>
      </c>
      <c r="B55" s="297" t="s">
        <v>1251</v>
      </c>
      <c r="C55" s="278">
        <v>1987</v>
      </c>
      <c r="D55" s="277"/>
      <c r="E55" s="278" t="s">
        <v>222</v>
      </c>
      <c r="F55" s="284">
        <v>5</v>
      </c>
      <c r="G55" s="284">
        <v>7</v>
      </c>
      <c r="H55" s="155">
        <v>5473</v>
      </c>
      <c r="I55" s="281">
        <v>4894</v>
      </c>
      <c r="J55" s="281">
        <v>4894</v>
      </c>
      <c r="K55" s="280">
        <v>229</v>
      </c>
      <c r="L55" s="285" t="s">
        <v>28</v>
      </c>
      <c r="M55" s="275" t="s">
        <v>30</v>
      </c>
      <c r="N55" s="155">
        <f>'2.виды ремонта'!C44</f>
        <v>3123840.02</v>
      </c>
      <c r="O55" s="155">
        <v>0</v>
      </c>
      <c r="P55" s="155">
        <v>0</v>
      </c>
      <c r="Q55" s="155">
        <v>0</v>
      </c>
      <c r="R55" s="155">
        <f t="shared" si="1"/>
        <v>3123840.02</v>
      </c>
      <c r="S55" s="155">
        <f t="shared" si="0"/>
        <v>638.29996322026977</v>
      </c>
      <c r="T55" s="155">
        <v>5115.04</v>
      </c>
      <c r="U55" s="282" t="s">
        <v>221</v>
      </c>
      <c r="W55" s="267"/>
      <c r="Y55" s="28"/>
      <c r="Z55" s="287"/>
      <c r="AA55" s="291"/>
      <c r="AB55" s="288"/>
      <c r="AC55" s="288"/>
      <c r="AD55" s="5"/>
    </row>
    <row r="56" spans="1:30" s="31" customFormat="1" ht="37.5">
      <c r="A56" s="276">
        <f t="shared" si="2"/>
        <v>37</v>
      </c>
      <c r="B56" s="297" t="s">
        <v>1252</v>
      </c>
      <c r="C56" s="278">
        <v>1986</v>
      </c>
      <c r="D56" s="277"/>
      <c r="E56" s="278" t="s">
        <v>222</v>
      </c>
      <c r="F56" s="284">
        <v>5</v>
      </c>
      <c r="G56" s="284">
        <v>7</v>
      </c>
      <c r="H56" s="155">
        <v>5526</v>
      </c>
      <c r="I56" s="281">
        <v>4885</v>
      </c>
      <c r="J56" s="281">
        <v>4670</v>
      </c>
      <c r="K56" s="280">
        <v>268</v>
      </c>
      <c r="L56" s="285" t="s">
        <v>28</v>
      </c>
      <c r="M56" s="275" t="s">
        <v>30</v>
      </c>
      <c r="N56" s="155">
        <f>'2.виды ремонта'!C45</f>
        <v>2928421.66</v>
      </c>
      <c r="O56" s="155">
        <v>0</v>
      </c>
      <c r="P56" s="155">
        <v>0</v>
      </c>
      <c r="Q56" s="155">
        <v>0</v>
      </c>
      <c r="R56" s="155">
        <f t="shared" si="1"/>
        <v>2928421.66</v>
      </c>
      <c r="S56" s="155">
        <f t="shared" si="0"/>
        <v>599.47219242579331</v>
      </c>
      <c r="T56" s="155">
        <v>5115.04</v>
      </c>
      <c r="U56" s="282" t="s">
        <v>221</v>
      </c>
      <c r="W56" s="267"/>
      <c r="Y56" s="28"/>
      <c r="Z56" s="287"/>
      <c r="AA56" s="291"/>
      <c r="AB56" s="288"/>
      <c r="AC56" s="288"/>
      <c r="AD56" s="5"/>
    </row>
    <row r="57" spans="1:30" s="31" customFormat="1" ht="37.5">
      <c r="A57" s="276">
        <f t="shared" si="2"/>
        <v>38</v>
      </c>
      <c r="B57" s="297" t="s">
        <v>1253</v>
      </c>
      <c r="C57" s="278">
        <v>1989</v>
      </c>
      <c r="D57" s="277"/>
      <c r="E57" s="278" t="s">
        <v>222</v>
      </c>
      <c r="F57" s="284">
        <v>3</v>
      </c>
      <c r="G57" s="284">
        <v>2</v>
      </c>
      <c r="H57" s="155">
        <v>1623</v>
      </c>
      <c r="I57" s="281">
        <v>511.4</v>
      </c>
      <c r="J57" s="281">
        <v>221.1</v>
      </c>
      <c r="K57" s="280">
        <v>77</v>
      </c>
      <c r="L57" s="285" t="s">
        <v>28</v>
      </c>
      <c r="M57" s="275" t="s">
        <v>33</v>
      </c>
      <c r="N57" s="155">
        <f>'2.виды ремонта'!C46</f>
        <v>1338334.3400000001</v>
      </c>
      <c r="O57" s="155">
        <v>0</v>
      </c>
      <c r="P57" s="155">
        <v>0</v>
      </c>
      <c r="Q57" s="155">
        <v>0</v>
      </c>
      <c r="R57" s="155">
        <f t="shared" si="1"/>
        <v>1338334.3400000001</v>
      </c>
      <c r="S57" s="155">
        <f t="shared" si="0"/>
        <v>2617.0010559249122</v>
      </c>
      <c r="T57" s="155">
        <v>5115.04</v>
      </c>
      <c r="U57" s="282" t="s">
        <v>221</v>
      </c>
      <c r="W57" s="286"/>
      <c r="Y57" s="28"/>
      <c r="Z57" s="287"/>
      <c r="AA57" s="291"/>
      <c r="AB57" s="288"/>
      <c r="AC57" s="288"/>
      <c r="AD57" s="5"/>
    </row>
    <row r="58" spans="1:30" s="31" customFormat="1" ht="37.5">
      <c r="A58" s="276">
        <f t="shared" si="2"/>
        <v>39</v>
      </c>
      <c r="B58" s="297" t="s">
        <v>1254</v>
      </c>
      <c r="C58" s="278">
        <v>1978</v>
      </c>
      <c r="D58" s="277"/>
      <c r="E58" s="278" t="s">
        <v>222</v>
      </c>
      <c r="F58" s="289">
        <v>5</v>
      </c>
      <c r="G58" s="289">
        <v>7</v>
      </c>
      <c r="H58" s="155">
        <v>5366</v>
      </c>
      <c r="I58" s="281">
        <v>4848</v>
      </c>
      <c r="J58" s="281">
        <v>4706.2</v>
      </c>
      <c r="K58" s="280">
        <v>223</v>
      </c>
      <c r="L58" s="285" t="s">
        <v>28</v>
      </c>
      <c r="M58" s="276" t="s">
        <v>33</v>
      </c>
      <c r="N58" s="155">
        <f>'2.виды ремонта'!C47</f>
        <v>2954813.16</v>
      </c>
      <c r="O58" s="155">
        <v>0</v>
      </c>
      <c r="P58" s="155">
        <v>0</v>
      </c>
      <c r="Q58" s="155">
        <v>0</v>
      </c>
      <c r="R58" s="155">
        <f t="shared" si="1"/>
        <v>2954813.16</v>
      </c>
      <c r="S58" s="155">
        <f t="shared" si="0"/>
        <v>609.49116336633665</v>
      </c>
      <c r="T58" s="155">
        <v>5115.04</v>
      </c>
      <c r="U58" s="282" t="s">
        <v>221</v>
      </c>
      <c r="W58" s="286"/>
      <c r="Y58" s="28"/>
      <c r="Z58" s="287"/>
      <c r="AA58" s="291"/>
      <c r="AB58" s="288"/>
      <c r="AC58" s="288"/>
      <c r="AD58" s="5"/>
    </row>
    <row r="59" spans="1:30" s="31" customFormat="1" ht="37.5">
      <c r="A59" s="276">
        <f t="shared" si="2"/>
        <v>40</v>
      </c>
      <c r="B59" s="277" t="s">
        <v>1255</v>
      </c>
      <c r="C59" s="278">
        <v>1994</v>
      </c>
      <c r="D59" s="277"/>
      <c r="E59" s="277" t="s">
        <v>222</v>
      </c>
      <c r="F59" s="280">
        <v>5</v>
      </c>
      <c r="G59" s="280">
        <v>1</v>
      </c>
      <c r="H59" s="155">
        <v>1705</v>
      </c>
      <c r="I59" s="281">
        <v>929.3</v>
      </c>
      <c r="J59" s="281">
        <v>929.3</v>
      </c>
      <c r="K59" s="280">
        <v>70</v>
      </c>
      <c r="L59" s="285" t="s">
        <v>28</v>
      </c>
      <c r="M59" s="175" t="s">
        <v>33</v>
      </c>
      <c r="N59" s="155">
        <f>'2.виды ремонта'!C48</f>
        <v>989733.34</v>
      </c>
      <c r="O59" s="155">
        <v>0</v>
      </c>
      <c r="P59" s="155">
        <v>0</v>
      </c>
      <c r="Q59" s="155">
        <v>0</v>
      </c>
      <c r="R59" s="155">
        <f t="shared" si="1"/>
        <v>989733.34</v>
      </c>
      <c r="S59" s="155">
        <f t="shared" si="0"/>
        <v>1065.031034111697</v>
      </c>
      <c r="T59" s="155">
        <v>5115.04</v>
      </c>
      <c r="U59" s="282" t="s">
        <v>221</v>
      </c>
      <c r="W59" s="286"/>
      <c r="Y59" s="28"/>
      <c r="Z59" s="287"/>
      <c r="AA59" s="291"/>
      <c r="AB59" s="288"/>
      <c r="AC59" s="288"/>
      <c r="AD59" s="5"/>
    </row>
    <row r="60" spans="1:30" s="31" customFormat="1" ht="37.5">
      <c r="A60" s="276">
        <f t="shared" si="2"/>
        <v>41</v>
      </c>
      <c r="B60" s="277" t="s">
        <v>1256</v>
      </c>
      <c r="C60" s="278">
        <v>1990</v>
      </c>
      <c r="D60" s="294"/>
      <c r="E60" s="290" t="s">
        <v>222</v>
      </c>
      <c r="F60" s="280">
        <v>5</v>
      </c>
      <c r="G60" s="280">
        <v>2</v>
      </c>
      <c r="H60" s="155">
        <v>1424</v>
      </c>
      <c r="I60" s="281">
        <v>1420.5</v>
      </c>
      <c r="J60" s="293">
        <v>1289.4000000000001</v>
      </c>
      <c r="K60" s="295">
        <v>90</v>
      </c>
      <c r="L60" s="285" t="s">
        <v>28</v>
      </c>
      <c r="M60" s="292" t="s">
        <v>33</v>
      </c>
      <c r="N60" s="155">
        <f>'2.виды ремонта'!C49</f>
        <v>900497.83</v>
      </c>
      <c r="O60" s="155">
        <v>0</v>
      </c>
      <c r="P60" s="155">
        <v>0</v>
      </c>
      <c r="Q60" s="155">
        <v>0</v>
      </c>
      <c r="R60" s="155">
        <f t="shared" si="1"/>
        <v>900497.83</v>
      </c>
      <c r="S60" s="155">
        <f t="shared" si="0"/>
        <v>633.93018655403023</v>
      </c>
      <c r="T60" s="155">
        <v>5115.04</v>
      </c>
      <c r="U60" s="282" t="s">
        <v>221</v>
      </c>
      <c r="W60" s="286"/>
      <c r="Y60" s="28"/>
      <c r="Z60" s="287"/>
      <c r="AA60" s="291"/>
      <c r="AB60" s="288"/>
      <c r="AC60" s="288"/>
      <c r="AD60" s="5"/>
    </row>
    <row r="61" spans="1:30" s="31" customFormat="1" ht="37.5">
      <c r="A61" s="276">
        <f t="shared" si="2"/>
        <v>42</v>
      </c>
      <c r="B61" s="278" t="s">
        <v>1257</v>
      </c>
      <c r="C61" s="278">
        <v>1980</v>
      </c>
      <c r="D61" s="278"/>
      <c r="E61" s="277" t="s">
        <v>222</v>
      </c>
      <c r="F61" s="280">
        <v>5</v>
      </c>
      <c r="G61" s="280">
        <v>8</v>
      </c>
      <c r="H61" s="155">
        <v>5479</v>
      </c>
      <c r="I61" s="281">
        <v>5479</v>
      </c>
      <c r="J61" s="281">
        <v>5479</v>
      </c>
      <c r="K61" s="280">
        <v>253</v>
      </c>
      <c r="L61" s="285" t="s">
        <v>28</v>
      </c>
      <c r="M61" s="276" t="s">
        <v>33</v>
      </c>
      <c r="N61" s="155">
        <f>'2.виды ремонта'!C50</f>
        <v>3019579</v>
      </c>
      <c r="O61" s="155">
        <v>0</v>
      </c>
      <c r="P61" s="155">
        <v>0</v>
      </c>
      <c r="Q61" s="155">
        <v>0</v>
      </c>
      <c r="R61" s="155">
        <f t="shared" si="1"/>
        <v>3019579</v>
      </c>
      <c r="S61" s="155">
        <f t="shared" si="0"/>
        <v>551.11863478736996</v>
      </c>
      <c r="T61" s="155">
        <v>5115.04</v>
      </c>
      <c r="U61" s="282" t="s">
        <v>221</v>
      </c>
      <c r="W61" s="286"/>
      <c r="Y61" s="28"/>
      <c r="Z61" s="287"/>
      <c r="AA61" s="291"/>
      <c r="AB61" s="288"/>
      <c r="AC61" s="288"/>
      <c r="AD61" s="5"/>
    </row>
    <row r="62" spans="1:30" s="31" customFormat="1" ht="37.5">
      <c r="A62" s="276">
        <f t="shared" si="2"/>
        <v>43</v>
      </c>
      <c r="B62" s="278" t="s">
        <v>1258</v>
      </c>
      <c r="C62" s="278">
        <v>2001</v>
      </c>
      <c r="D62" s="277"/>
      <c r="E62" s="277" t="s">
        <v>222</v>
      </c>
      <c r="F62" s="280">
        <v>5</v>
      </c>
      <c r="G62" s="280">
        <v>2</v>
      </c>
      <c r="H62" s="155">
        <v>2928</v>
      </c>
      <c r="I62" s="281">
        <v>2217.6999999999998</v>
      </c>
      <c r="J62" s="281">
        <v>2104.9</v>
      </c>
      <c r="K62" s="280">
        <v>97</v>
      </c>
      <c r="L62" s="285" t="s">
        <v>28</v>
      </c>
      <c r="M62" s="276" t="s">
        <v>33</v>
      </c>
      <c r="N62" s="155">
        <f>'2.виды ремонта'!C51</f>
        <v>1158582.1499999999</v>
      </c>
      <c r="O62" s="155">
        <v>0</v>
      </c>
      <c r="P62" s="155">
        <v>0</v>
      </c>
      <c r="Q62" s="155">
        <v>0</v>
      </c>
      <c r="R62" s="155">
        <f t="shared" si="1"/>
        <v>1158582.1499999999</v>
      </c>
      <c r="S62" s="155">
        <f t="shared" si="0"/>
        <v>522.42510258375796</v>
      </c>
      <c r="T62" s="155">
        <v>5115.04</v>
      </c>
      <c r="U62" s="282" t="s">
        <v>221</v>
      </c>
      <c r="W62" s="286"/>
      <c r="Y62" s="28"/>
      <c r="Z62" s="287"/>
      <c r="AA62" s="291"/>
      <c r="AB62" s="288"/>
      <c r="AC62" s="288"/>
      <c r="AD62" s="5"/>
    </row>
    <row r="63" spans="1:30" s="31" customFormat="1" ht="37.5">
      <c r="A63" s="276">
        <f t="shared" si="2"/>
        <v>44</v>
      </c>
      <c r="B63" s="277" t="s">
        <v>1259</v>
      </c>
      <c r="C63" s="278">
        <v>1980</v>
      </c>
      <c r="D63" s="294"/>
      <c r="E63" s="290" t="s">
        <v>222</v>
      </c>
      <c r="F63" s="280">
        <v>5</v>
      </c>
      <c r="G63" s="280">
        <v>6</v>
      </c>
      <c r="H63" s="155">
        <v>5077</v>
      </c>
      <c r="I63" s="281">
        <v>5077</v>
      </c>
      <c r="J63" s="293">
        <v>4895.72</v>
      </c>
      <c r="K63" s="295">
        <v>213</v>
      </c>
      <c r="L63" s="285" t="s">
        <v>28</v>
      </c>
      <c r="M63" s="292" t="s">
        <v>33</v>
      </c>
      <c r="N63" s="155">
        <f>'2.виды ремонта'!C52</f>
        <v>3257268.81</v>
      </c>
      <c r="O63" s="155">
        <v>0</v>
      </c>
      <c r="P63" s="155">
        <v>0</v>
      </c>
      <c r="Q63" s="155">
        <v>0</v>
      </c>
      <c r="R63" s="155">
        <f t="shared" si="1"/>
        <v>3257268.81</v>
      </c>
      <c r="S63" s="155">
        <f t="shared" si="0"/>
        <v>641.57352964349025</v>
      </c>
      <c r="T63" s="155">
        <v>5115.04</v>
      </c>
      <c r="U63" s="282" t="s">
        <v>221</v>
      </c>
      <c r="W63" s="286"/>
      <c r="Y63" s="28"/>
      <c r="Z63" s="287"/>
      <c r="AA63" s="291"/>
      <c r="AB63" s="288"/>
      <c r="AC63" s="288"/>
      <c r="AD63" s="5"/>
    </row>
    <row r="64" spans="1:30" s="31" customFormat="1" ht="37.5">
      <c r="A64" s="276">
        <f t="shared" si="2"/>
        <v>45</v>
      </c>
      <c r="B64" s="277" t="s">
        <v>1260</v>
      </c>
      <c r="C64" s="278">
        <v>1982</v>
      </c>
      <c r="D64" s="294"/>
      <c r="E64" s="290" t="s">
        <v>222</v>
      </c>
      <c r="F64" s="280">
        <v>4</v>
      </c>
      <c r="G64" s="280">
        <v>1</v>
      </c>
      <c r="H64" s="155">
        <v>2089</v>
      </c>
      <c r="I64" s="281">
        <v>1638</v>
      </c>
      <c r="J64" s="293">
        <v>341</v>
      </c>
      <c r="K64" s="295">
        <v>49</v>
      </c>
      <c r="L64" s="285" t="s">
        <v>28</v>
      </c>
      <c r="M64" s="292" t="s">
        <v>33</v>
      </c>
      <c r="N64" s="155">
        <f>'2.виды ремонта'!C53</f>
        <v>2008223.46</v>
      </c>
      <c r="O64" s="155">
        <v>0</v>
      </c>
      <c r="P64" s="155">
        <v>0</v>
      </c>
      <c r="Q64" s="155">
        <v>0</v>
      </c>
      <c r="R64" s="155">
        <f t="shared" si="1"/>
        <v>2008223.46</v>
      </c>
      <c r="S64" s="155">
        <f t="shared" si="0"/>
        <v>1226.0216483516483</v>
      </c>
      <c r="T64" s="155">
        <v>5115.04</v>
      </c>
      <c r="U64" s="282" t="s">
        <v>221</v>
      </c>
      <c r="W64" s="286"/>
      <c r="Y64" s="28"/>
      <c r="Z64" s="287"/>
      <c r="AA64" s="291"/>
      <c r="AB64" s="288"/>
      <c r="AC64" s="288"/>
      <c r="AD64" s="5"/>
    </row>
    <row r="65" spans="1:30" s="31" customFormat="1" ht="37.5">
      <c r="A65" s="276">
        <f t="shared" si="2"/>
        <v>46</v>
      </c>
      <c r="B65" s="277" t="s">
        <v>1261</v>
      </c>
      <c r="C65" s="278">
        <v>1979</v>
      </c>
      <c r="D65" s="294"/>
      <c r="E65" s="290" t="s">
        <v>222</v>
      </c>
      <c r="F65" s="280">
        <v>5</v>
      </c>
      <c r="G65" s="280">
        <v>1</v>
      </c>
      <c r="H65" s="155">
        <v>4005</v>
      </c>
      <c r="I65" s="281">
        <v>2536</v>
      </c>
      <c r="J65" s="293">
        <v>2536</v>
      </c>
      <c r="K65" s="295">
        <v>333</v>
      </c>
      <c r="L65" s="285" t="s">
        <v>28</v>
      </c>
      <c r="M65" s="292" t="s">
        <v>33</v>
      </c>
      <c r="N65" s="155">
        <f>'2.виды ремонта'!C54</f>
        <v>1849815.8399999999</v>
      </c>
      <c r="O65" s="155">
        <v>0</v>
      </c>
      <c r="P65" s="155">
        <v>0</v>
      </c>
      <c r="Q65" s="155">
        <v>0</v>
      </c>
      <c r="R65" s="155">
        <f t="shared" si="1"/>
        <v>1849815.8399999999</v>
      </c>
      <c r="S65" s="155">
        <f t="shared" si="0"/>
        <v>729.4226498422712</v>
      </c>
      <c r="T65" s="155">
        <v>5115.04</v>
      </c>
      <c r="U65" s="282" t="s">
        <v>221</v>
      </c>
      <c r="W65" s="286"/>
      <c r="Y65" s="28"/>
      <c r="Z65" s="287"/>
      <c r="AA65" s="291"/>
      <c r="AB65" s="288"/>
      <c r="AC65" s="288"/>
      <c r="AD65" s="5"/>
    </row>
    <row r="66" spans="1:30" s="31" customFormat="1" ht="37.5">
      <c r="A66" s="276">
        <f t="shared" si="2"/>
        <v>47</v>
      </c>
      <c r="B66" s="277" t="s">
        <v>1262</v>
      </c>
      <c r="C66" s="278">
        <v>1983</v>
      </c>
      <c r="D66" s="294"/>
      <c r="E66" s="290" t="s">
        <v>222</v>
      </c>
      <c r="F66" s="280">
        <v>5</v>
      </c>
      <c r="G66" s="280">
        <v>3</v>
      </c>
      <c r="H66" s="155">
        <v>3812</v>
      </c>
      <c r="I66" s="281">
        <v>3812</v>
      </c>
      <c r="J66" s="293">
        <v>2881.3</v>
      </c>
      <c r="K66" s="295">
        <v>221</v>
      </c>
      <c r="L66" s="285" t="s">
        <v>28</v>
      </c>
      <c r="M66" s="292" t="s">
        <v>33</v>
      </c>
      <c r="N66" s="155">
        <f>'2.виды ремонта'!C55</f>
        <v>2089526.48</v>
      </c>
      <c r="O66" s="155">
        <v>0</v>
      </c>
      <c r="P66" s="155">
        <v>0</v>
      </c>
      <c r="Q66" s="155">
        <v>0</v>
      </c>
      <c r="R66" s="155">
        <f t="shared" si="1"/>
        <v>2089526.48</v>
      </c>
      <c r="S66" s="155">
        <f t="shared" si="0"/>
        <v>548.14440713536203</v>
      </c>
      <c r="T66" s="155">
        <v>5115.04</v>
      </c>
      <c r="U66" s="282" t="s">
        <v>221</v>
      </c>
      <c r="W66" s="286"/>
      <c r="Y66" s="28"/>
      <c r="Z66" s="287"/>
      <c r="AA66" s="291"/>
      <c r="AB66" s="288"/>
      <c r="AC66" s="288"/>
      <c r="AD66" s="5"/>
    </row>
    <row r="67" spans="1:30" s="31" customFormat="1" ht="37.5">
      <c r="A67" s="276">
        <f t="shared" si="2"/>
        <v>48</v>
      </c>
      <c r="B67" s="277" t="s">
        <v>1263</v>
      </c>
      <c r="C67" s="278">
        <v>1970</v>
      </c>
      <c r="D67" s="277"/>
      <c r="E67" s="277" t="s">
        <v>222</v>
      </c>
      <c r="F67" s="280">
        <v>5</v>
      </c>
      <c r="G67" s="280">
        <v>8</v>
      </c>
      <c r="H67" s="155">
        <v>6031</v>
      </c>
      <c r="I67" s="281">
        <v>4138</v>
      </c>
      <c r="J67" s="281">
        <v>4138</v>
      </c>
      <c r="K67" s="280">
        <v>307</v>
      </c>
      <c r="L67" s="285" t="s">
        <v>28</v>
      </c>
      <c r="M67" s="175" t="s">
        <v>33</v>
      </c>
      <c r="N67" s="155">
        <f>'2.виды ремонта'!C56</f>
        <v>3443596.46</v>
      </c>
      <c r="O67" s="155">
        <v>0</v>
      </c>
      <c r="P67" s="155">
        <v>0</v>
      </c>
      <c r="Q67" s="155">
        <v>0</v>
      </c>
      <c r="R67" s="155">
        <f t="shared" si="1"/>
        <v>3443596.46</v>
      </c>
      <c r="S67" s="155">
        <f t="shared" si="0"/>
        <v>832.18860802319955</v>
      </c>
      <c r="T67" s="155">
        <v>5115.04</v>
      </c>
      <c r="U67" s="282" t="s">
        <v>221</v>
      </c>
      <c r="W67" s="286"/>
      <c r="Y67" s="28"/>
      <c r="Z67" s="287"/>
      <c r="AA67" s="291"/>
      <c r="AB67" s="288"/>
      <c r="AC67" s="288"/>
      <c r="AD67" s="5"/>
    </row>
    <row r="68" spans="1:30" s="31" customFormat="1" ht="37.5">
      <c r="A68" s="276">
        <f t="shared" si="2"/>
        <v>49</v>
      </c>
      <c r="B68" s="277" t="s">
        <v>1264</v>
      </c>
      <c r="C68" s="278">
        <v>1963</v>
      </c>
      <c r="D68" s="294"/>
      <c r="E68" s="290" t="s">
        <v>222</v>
      </c>
      <c r="F68" s="280">
        <v>5</v>
      </c>
      <c r="G68" s="280">
        <v>6</v>
      </c>
      <c r="H68" s="155">
        <v>5927</v>
      </c>
      <c r="I68" s="281">
        <v>4414.1000000000004</v>
      </c>
      <c r="J68" s="293">
        <v>4414.1000000000004</v>
      </c>
      <c r="K68" s="295">
        <v>217</v>
      </c>
      <c r="L68" s="285" t="s">
        <v>28</v>
      </c>
      <c r="M68" s="292" t="s">
        <v>33</v>
      </c>
      <c r="N68" s="155">
        <f>'2.виды ремонта'!C57</f>
        <v>2655209.66</v>
      </c>
      <c r="O68" s="155">
        <v>0</v>
      </c>
      <c r="P68" s="155">
        <v>0</v>
      </c>
      <c r="Q68" s="155">
        <v>0</v>
      </c>
      <c r="R68" s="155">
        <f t="shared" si="1"/>
        <v>2655209.66</v>
      </c>
      <c r="S68" s="155">
        <f t="shared" si="0"/>
        <v>601.52911352257536</v>
      </c>
      <c r="T68" s="155">
        <v>5115.04</v>
      </c>
      <c r="U68" s="282" t="s">
        <v>221</v>
      </c>
      <c r="W68" s="286"/>
      <c r="Y68" s="28"/>
      <c r="Z68" s="287"/>
      <c r="AA68" s="291"/>
      <c r="AB68" s="288"/>
      <c r="AC68" s="288"/>
      <c r="AD68" s="5"/>
    </row>
    <row r="69" spans="1:30" s="31" customFormat="1" ht="37.5">
      <c r="A69" s="276">
        <f t="shared" si="2"/>
        <v>50</v>
      </c>
      <c r="B69" s="277" t="s">
        <v>1265</v>
      </c>
      <c r="C69" s="278">
        <v>1961</v>
      </c>
      <c r="D69" s="294"/>
      <c r="E69" s="290" t="s">
        <v>222</v>
      </c>
      <c r="F69" s="280">
        <v>5</v>
      </c>
      <c r="G69" s="280">
        <v>2</v>
      </c>
      <c r="H69" s="155">
        <v>1473</v>
      </c>
      <c r="I69" s="281">
        <v>1270.0999999999999</v>
      </c>
      <c r="J69" s="293">
        <v>1270.0999999999999</v>
      </c>
      <c r="K69" s="295">
        <v>63</v>
      </c>
      <c r="L69" s="285" t="s">
        <v>28</v>
      </c>
      <c r="M69" s="292" t="s">
        <v>33</v>
      </c>
      <c r="N69" s="155">
        <f>'2.виды ремонта'!C58</f>
        <v>987192.74</v>
      </c>
      <c r="O69" s="155">
        <v>0</v>
      </c>
      <c r="P69" s="155">
        <v>0</v>
      </c>
      <c r="Q69" s="155">
        <v>0</v>
      </c>
      <c r="R69" s="155">
        <f t="shared" si="1"/>
        <v>987192.74</v>
      </c>
      <c r="S69" s="155">
        <f t="shared" si="0"/>
        <v>777.25591685694042</v>
      </c>
      <c r="T69" s="155">
        <v>5115.04</v>
      </c>
      <c r="U69" s="282" t="s">
        <v>221</v>
      </c>
      <c r="W69" s="286"/>
      <c r="Y69" s="28"/>
      <c r="Z69" s="287"/>
      <c r="AA69" s="291"/>
      <c r="AB69" s="288"/>
      <c r="AC69" s="288"/>
      <c r="AD69" s="5"/>
    </row>
    <row r="70" spans="1:30" s="31" customFormat="1" ht="37.5">
      <c r="A70" s="276">
        <f t="shared" si="2"/>
        <v>51</v>
      </c>
      <c r="B70" s="277" t="s">
        <v>1266</v>
      </c>
      <c r="C70" s="278">
        <v>1961</v>
      </c>
      <c r="D70" s="294"/>
      <c r="E70" s="290" t="s">
        <v>222</v>
      </c>
      <c r="F70" s="280">
        <v>4</v>
      </c>
      <c r="G70" s="280">
        <v>4</v>
      </c>
      <c r="H70" s="155">
        <v>2735</v>
      </c>
      <c r="I70" s="281">
        <v>2505.5</v>
      </c>
      <c r="J70" s="293">
        <v>2505.5</v>
      </c>
      <c r="K70" s="295">
        <v>125</v>
      </c>
      <c r="L70" s="285" t="s">
        <v>28</v>
      </c>
      <c r="M70" s="292" t="s">
        <v>33</v>
      </c>
      <c r="N70" s="155">
        <f>'2.виды ремонта'!C59</f>
        <v>2873979.1100000003</v>
      </c>
      <c r="O70" s="155">
        <v>0</v>
      </c>
      <c r="P70" s="155">
        <v>0</v>
      </c>
      <c r="Q70" s="155">
        <v>0</v>
      </c>
      <c r="R70" s="155">
        <f t="shared" si="1"/>
        <v>2873979.1100000003</v>
      </c>
      <c r="S70" s="155">
        <f t="shared" si="0"/>
        <v>1147.068094192776</v>
      </c>
      <c r="T70" s="155">
        <v>5115.04</v>
      </c>
      <c r="U70" s="282" t="s">
        <v>221</v>
      </c>
      <c r="W70" s="286"/>
      <c r="Y70" s="28"/>
      <c r="Z70" s="287"/>
      <c r="AA70" s="291"/>
      <c r="AB70" s="288"/>
      <c r="AC70" s="288"/>
      <c r="AD70" s="5"/>
    </row>
    <row r="71" spans="1:30" s="31" customFormat="1" ht="37.5">
      <c r="A71" s="276">
        <f t="shared" si="2"/>
        <v>52</v>
      </c>
      <c r="B71" s="277" t="s">
        <v>1267</v>
      </c>
      <c r="C71" s="278">
        <v>1972</v>
      </c>
      <c r="D71" s="277"/>
      <c r="E71" s="277" t="s">
        <v>222</v>
      </c>
      <c r="F71" s="280">
        <v>5</v>
      </c>
      <c r="G71" s="280">
        <v>6</v>
      </c>
      <c r="H71" s="155">
        <v>4665</v>
      </c>
      <c r="I71" s="281">
        <v>4665</v>
      </c>
      <c r="J71" s="281">
        <v>4665</v>
      </c>
      <c r="K71" s="280">
        <v>193</v>
      </c>
      <c r="L71" s="285" t="s">
        <v>28</v>
      </c>
      <c r="M71" s="175" t="s">
        <v>33</v>
      </c>
      <c r="N71" s="155">
        <f>'2.виды ремонта'!C60</f>
        <v>2258562.6100000003</v>
      </c>
      <c r="O71" s="155">
        <v>0</v>
      </c>
      <c r="P71" s="155">
        <v>0</v>
      </c>
      <c r="Q71" s="155">
        <v>0</v>
      </c>
      <c r="R71" s="155">
        <f t="shared" si="1"/>
        <v>2258562.6100000003</v>
      </c>
      <c r="S71" s="155">
        <f t="shared" si="0"/>
        <v>484.15061307609869</v>
      </c>
      <c r="T71" s="155">
        <v>5115.04</v>
      </c>
      <c r="U71" s="282" t="s">
        <v>221</v>
      </c>
      <c r="W71" s="286"/>
      <c r="Y71" s="28"/>
      <c r="Z71" s="287"/>
      <c r="AA71" s="291"/>
      <c r="AB71" s="288"/>
      <c r="AC71" s="288"/>
      <c r="AD71" s="5"/>
    </row>
    <row r="72" spans="1:30" s="31" customFormat="1" ht="37.5">
      <c r="A72" s="276">
        <f t="shared" si="2"/>
        <v>53</v>
      </c>
      <c r="B72" s="277" t="s">
        <v>1268</v>
      </c>
      <c r="C72" s="278">
        <v>1962</v>
      </c>
      <c r="D72" s="294"/>
      <c r="E72" s="290" t="s">
        <v>222</v>
      </c>
      <c r="F72" s="280">
        <v>5</v>
      </c>
      <c r="G72" s="280">
        <v>4</v>
      </c>
      <c r="H72" s="155">
        <v>3882</v>
      </c>
      <c r="I72" s="281">
        <v>2903.6</v>
      </c>
      <c r="J72" s="293">
        <v>2903.6</v>
      </c>
      <c r="K72" s="295">
        <v>155</v>
      </c>
      <c r="L72" s="285" t="s">
        <v>28</v>
      </c>
      <c r="M72" s="292" t="s">
        <v>33</v>
      </c>
      <c r="N72" s="155">
        <f>'2.виды ремонта'!C61</f>
        <v>2848543.53</v>
      </c>
      <c r="O72" s="155">
        <v>0</v>
      </c>
      <c r="P72" s="155">
        <v>0</v>
      </c>
      <c r="Q72" s="155">
        <v>0</v>
      </c>
      <c r="R72" s="155">
        <f t="shared" si="1"/>
        <v>2848543.53</v>
      </c>
      <c r="S72" s="155">
        <f t="shared" si="0"/>
        <v>981.0385486981678</v>
      </c>
      <c r="T72" s="155">
        <v>5115.04</v>
      </c>
      <c r="U72" s="282" t="s">
        <v>221</v>
      </c>
      <c r="W72" s="286"/>
      <c r="Y72" s="28"/>
      <c r="Z72" s="287"/>
      <c r="AA72" s="291"/>
      <c r="AB72" s="288"/>
      <c r="AC72" s="288"/>
      <c r="AD72" s="5"/>
    </row>
    <row r="73" spans="1:30" s="31" customFormat="1" ht="37.5">
      <c r="A73" s="276">
        <f t="shared" si="2"/>
        <v>54</v>
      </c>
      <c r="B73" s="277" t="s">
        <v>1269</v>
      </c>
      <c r="C73" s="278">
        <v>1979</v>
      </c>
      <c r="D73" s="294"/>
      <c r="E73" s="290" t="s">
        <v>222</v>
      </c>
      <c r="F73" s="280">
        <v>5</v>
      </c>
      <c r="G73" s="280">
        <v>5</v>
      </c>
      <c r="H73" s="155">
        <v>4184</v>
      </c>
      <c r="I73" s="281">
        <v>4127.3999999999996</v>
      </c>
      <c r="J73" s="293">
        <v>3273</v>
      </c>
      <c r="K73" s="295">
        <v>249</v>
      </c>
      <c r="L73" s="285" t="s">
        <v>28</v>
      </c>
      <c r="M73" s="292" t="s">
        <v>33</v>
      </c>
      <c r="N73" s="155">
        <f>'2.виды ремонта'!C62</f>
        <v>2377251.96</v>
      </c>
      <c r="O73" s="155">
        <v>0</v>
      </c>
      <c r="P73" s="155">
        <v>0</v>
      </c>
      <c r="Q73" s="155">
        <v>0</v>
      </c>
      <c r="R73" s="155">
        <f t="shared" si="1"/>
        <v>2377251.96</v>
      </c>
      <c r="S73" s="155">
        <f t="shared" si="0"/>
        <v>575.96839656926886</v>
      </c>
      <c r="T73" s="155">
        <v>5115.04</v>
      </c>
      <c r="U73" s="282" t="s">
        <v>221</v>
      </c>
      <c r="W73" s="286"/>
      <c r="Y73" s="28"/>
      <c r="Z73" s="287"/>
      <c r="AA73" s="291"/>
      <c r="AB73" s="288"/>
      <c r="AC73" s="288"/>
      <c r="AD73" s="5"/>
    </row>
    <row r="74" spans="1:30" s="31" customFormat="1" ht="37.5">
      <c r="A74" s="276">
        <f t="shared" si="2"/>
        <v>55</v>
      </c>
      <c r="B74" s="277" t="s">
        <v>1270</v>
      </c>
      <c r="C74" s="278">
        <v>1989</v>
      </c>
      <c r="D74" s="294"/>
      <c r="E74" s="290" t="s">
        <v>222</v>
      </c>
      <c r="F74" s="280">
        <v>5</v>
      </c>
      <c r="G74" s="280">
        <v>3</v>
      </c>
      <c r="H74" s="155">
        <v>3435</v>
      </c>
      <c r="I74" s="281">
        <v>3435</v>
      </c>
      <c r="J74" s="281">
        <v>3435</v>
      </c>
      <c r="K74" s="295">
        <v>203</v>
      </c>
      <c r="L74" s="285" t="s">
        <v>28</v>
      </c>
      <c r="M74" s="292" t="s">
        <v>33</v>
      </c>
      <c r="N74" s="155">
        <f>'2.виды ремонта'!C63</f>
        <v>1999604.68</v>
      </c>
      <c r="O74" s="155">
        <v>0</v>
      </c>
      <c r="P74" s="155">
        <v>0</v>
      </c>
      <c r="Q74" s="155">
        <v>0</v>
      </c>
      <c r="R74" s="155">
        <f t="shared" si="1"/>
        <v>1999604.68</v>
      </c>
      <c r="S74" s="155">
        <f t="shared" si="0"/>
        <v>582.12654439592427</v>
      </c>
      <c r="T74" s="155">
        <v>5115.04</v>
      </c>
      <c r="U74" s="282" t="s">
        <v>221</v>
      </c>
      <c r="W74" s="286"/>
      <c r="Y74" s="28"/>
      <c r="Z74" s="287"/>
      <c r="AA74" s="291"/>
      <c r="AB74" s="288"/>
      <c r="AC74" s="288"/>
      <c r="AD74" s="5"/>
    </row>
    <row r="75" spans="1:30" s="31" customFormat="1" ht="37.5">
      <c r="A75" s="276">
        <f t="shared" si="2"/>
        <v>56</v>
      </c>
      <c r="B75" s="277" t="s">
        <v>1271</v>
      </c>
      <c r="C75" s="278">
        <v>1981</v>
      </c>
      <c r="D75" s="294"/>
      <c r="E75" s="290" t="s">
        <v>222</v>
      </c>
      <c r="F75" s="280">
        <v>5</v>
      </c>
      <c r="G75" s="280">
        <v>10</v>
      </c>
      <c r="H75" s="155">
        <v>6799</v>
      </c>
      <c r="I75" s="281">
        <v>6799</v>
      </c>
      <c r="J75" s="293">
        <v>5953.1</v>
      </c>
      <c r="K75" s="295">
        <v>358</v>
      </c>
      <c r="L75" s="285" t="s">
        <v>28</v>
      </c>
      <c r="M75" s="292" t="s">
        <v>33</v>
      </c>
      <c r="N75" s="155">
        <f>'2.виды ремонта'!C64</f>
        <v>4365089.8499999996</v>
      </c>
      <c r="O75" s="155">
        <v>0</v>
      </c>
      <c r="P75" s="155">
        <v>0</v>
      </c>
      <c r="Q75" s="155">
        <v>0</v>
      </c>
      <c r="R75" s="155">
        <f t="shared" si="1"/>
        <v>4365089.8499999996</v>
      </c>
      <c r="S75" s="155">
        <f t="shared" si="0"/>
        <v>642.01939255772902</v>
      </c>
      <c r="T75" s="155">
        <v>5115.04</v>
      </c>
      <c r="U75" s="282" t="s">
        <v>221</v>
      </c>
      <c r="W75" s="286"/>
      <c r="Y75" s="28"/>
      <c r="Z75" s="287"/>
      <c r="AA75" s="291"/>
      <c r="AB75" s="288"/>
      <c r="AC75" s="288"/>
      <c r="AD75" s="5"/>
    </row>
    <row r="76" spans="1:30" s="31" customFormat="1" ht="37.5">
      <c r="A76" s="276">
        <f t="shared" si="2"/>
        <v>57</v>
      </c>
      <c r="B76" s="277" t="s">
        <v>1272</v>
      </c>
      <c r="C76" s="278">
        <v>1985</v>
      </c>
      <c r="D76" s="294"/>
      <c r="E76" s="290" t="s">
        <v>222</v>
      </c>
      <c r="F76" s="280">
        <v>5</v>
      </c>
      <c r="G76" s="280">
        <v>4</v>
      </c>
      <c r="H76" s="155">
        <v>2745</v>
      </c>
      <c r="I76" s="281">
        <v>2745</v>
      </c>
      <c r="J76" s="293">
        <v>2469.8000000000002</v>
      </c>
      <c r="K76" s="295">
        <v>121</v>
      </c>
      <c r="L76" s="285" t="s">
        <v>28</v>
      </c>
      <c r="M76" s="292" t="s">
        <v>33</v>
      </c>
      <c r="N76" s="155">
        <f>'2.виды ремонта'!C65</f>
        <v>1827597.43</v>
      </c>
      <c r="O76" s="155">
        <v>0</v>
      </c>
      <c r="P76" s="155">
        <v>0</v>
      </c>
      <c r="Q76" s="155">
        <v>0</v>
      </c>
      <c r="R76" s="155">
        <f t="shared" si="1"/>
        <v>1827597.43</v>
      </c>
      <c r="S76" s="155">
        <f t="shared" si="0"/>
        <v>665.79141347905284</v>
      </c>
      <c r="T76" s="155">
        <v>5115.04</v>
      </c>
      <c r="U76" s="282" t="s">
        <v>221</v>
      </c>
      <c r="W76" s="286"/>
      <c r="Y76" s="28"/>
      <c r="Z76" s="287"/>
      <c r="AA76" s="291"/>
      <c r="AB76" s="288"/>
      <c r="AC76" s="288"/>
      <c r="AD76" s="5"/>
    </row>
    <row r="77" spans="1:30" s="31" customFormat="1" ht="37.5">
      <c r="A77" s="276">
        <f t="shared" si="2"/>
        <v>58</v>
      </c>
      <c r="B77" s="277" t="s">
        <v>1273</v>
      </c>
      <c r="C77" s="278">
        <v>1961</v>
      </c>
      <c r="D77" s="294"/>
      <c r="E77" s="290" t="s">
        <v>222</v>
      </c>
      <c r="F77" s="280">
        <v>5</v>
      </c>
      <c r="G77" s="280">
        <v>4</v>
      </c>
      <c r="H77" s="155">
        <v>2534</v>
      </c>
      <c r="I77" s="281">
        <v>2119.6</v>
      </c>
      <c r="J77" s="293">
        <v>2119.6</v>
      </c>
      <c r="K77" s="295">
        <v>133</v>
      </c>
      <c r="L77" s="285" t="s">
        <v>28</v>
      </c>
      <c r="M77" s="292" t="s">
        <v>33</v>
      </c>
      <c r="N77" s="155">
        <f>'2.виды ремонта'!C66</f>
        <v>1754867.04</v>
      </c>
      <c r="O77" s="155">
        <v>0</v>
      </c>
      <c r="P77" s="155">
        <v>0</v>
      </c>
      <c r="Q77" s="155">
        <v>0</v>
      </c>
      <c r="R77" s="155">
        <f t="shared" si="1"/>
        <v>1754867.04</v>
      </c>
      <c r="S77" s="155">
        <f t="shared" si="0"/>
        <v>827.9236837139083</v>
      </c>
      <c r="T77" s="155">
        <v>5115.04</v>
      </c>
      <c r="U77" s="282" t="s">
        <v>221</v>
      </c>
      <c r="W77" s="286"/>
      <c r="Y77" s="28"/>
      <c r="Z77" s="287"/>
      <c r="AA77" s="291"/>
      <c r="AB77" s="288"/>
      <c r="AC77" s="288"/>
      <c r="AD77" s="5"/>
    </row>
    <row r="78" spans="1:30" s="31" customFormat="1" ht="37.5">
      <c r="A78" s="276">
        <f t="shared" si="2"/>
        <v>59</v>
      </c>
      <c r="B78" s="277" t="s">
        <v>1274</v>
      </c>
      <c r="C78" s="278">
        <v>1988</v>
      </c>
      <c r="D78" s="294"/>
      <c r="E78" s="290" t="s">
        <v>222</v>
      </c>
      <c r="F78" s="280">
        <v>5</v>
      </c>
      <c r="G78" s="280">
        <v>4</v>
      </c>
      <c r="H78" s="155">
        <v>2806</v>
      </c>
      <c r="I78" s="281">
        <v>2517.4</v>
      </c>
      <c r="J78" s="293">
        <v>2517.4</v>
      </c>
      <c r="K78" s="295">
        <v>126</v>
      </c>
      <c r="L78" s="285" t="s">
        <v>28</v>
      </c>
      <c r="M78" s="292" t="s">
        <v>33</v>
      </c>
      <c r="N78" s="155">
        <f>'2.виды ремонта'!C67</f>
        <v>1803535.3800000001</v>
      </c>
      <c r="O78" s="155">
        <v>0</v>
      </c>
      <c r="P78" s="155">
        <v>0</v>
      </c>
      <c r="Q78" s="155">
        <v>0</v>
      </c>
      <c r="R78" s="155">
        <f t="shared" si="1"/>
        <v>1803535.3800000001</v>
      </c>
      <c r="S78" s="155">
        <f t="shared" si="0"/>
        <v>716.42781441169461</v>
      </c>
      <c r="T78" s="155">
        <v>5115.04</v>
      </c>
      <c r="U78" s="282" t="s">
        <v>221</v>
      </c>
      <c r="W78" s="286"/>
      <c r="Y78" s="28"/>
      <c r="Z78" s="287"/>
      <c r="AA78" s="291"/>
      <c r="AB78" s="288"/>
      <c r="AC78" s="288"/>
      <c r="AD78" s="5"/>
    </row>
    <row r="79" spans="1:30" s="31" customFormat="1" ht="37.5">
      <c r="A79" s="276">
        <f t="shared" si="2"/>
        <v>60</v>
      </c>
      <c r="B79" s="277" t="s">
        <v>1275</v>
      </c>
      <c r="C79" s="278">
        <v>1993</v>
      </c>
      <c r="D79" s="294"/>
      <c r="E79" s="290" t="s">
        <v>222</v>
      </c>
      <c r="F79" s="280">
        <v>5</v>
      </c>
      <c r="G79" s="280">
        <v>2</v>
      </c>
      <c r="H79" s="155">
        <v>1627</v>
      </c>
      <c r="I79" s="281">
        <v>1502.5</v>
      </c>
      <c r="J79" s="293">
        <v>1323.7</v>
      </c>
      <c r="K79" s="295">
        <v>103</v>
      </c>
      <c r="L79" s="285" t="s">
        <v>28</v>
      </c>
      <c r="M79" s="292" t="s">
        <v>225</v>
      </c>
      <c r="N79" s="155">
        <f>'2.виды ремонта'!C68</f>
        <v>668780.35</v>
      </c>
      <c r="O79" s="155">
        <v>0</v>
      </c>
      <c r="P79" s="155">
        <v>0</v>
      </c>
      <c r="Q79" s="155">
        <v>0</v>
      </c>
      <c r="R79" s="155">
        <f t="shared" si="1"/>
        <v>668780.35</v>
      </c>
      <c r="S79" s="155">
        <f t="shared" si="0"/>
        <v>445.11171381031613</v>
      </c>
      <c r="T79" s="155">
        <v>5115.04</v>
      </c>
      <c r="U79" s="282" t="s">
        <v>221</v>
      </c>
      <c r="W79" s="267"/>
      <c r="Y79" s="28"/>
      <c r="Z79" s="287"/>
      <c r="AA79" s="291"/>
      <c r="AB79" s="288"/>
      <c r="AC79" s="288"/>
      <c r="AD79" s="5"/>
    </row>
    <row r="80" spans="1:30" s="31" customFormat="1" ht="37.5">
      <c r="A80" s="276">
        <f t="shared" si="2"/>
        <v>61</v>
      </c>
      <c r="B80" s="277" t="s">
        <v>1276</v>
      </c>
      <c r="C80" s="278">
        <v>1991</v>
      </c>
      <c r="D80" s="294"/>
      <c r="E80" s="290" t="s">
        <v>222</v>
      </c>
      <c r="F80" s="280">
        <v>5</v>
      </c>
      <c r="G80" s="280">
        <v>2</v>
      </c>
      <c r="H80" s="155">
        <v>1399</v>
      </c>
      <c r="I80" s="281">
        <v>1248</v>
      </c>
      <c r="J80" s="293">
        <v>1200.8</v>
      </c>
      <c r="K80" s="295">
        <v>78</v>
      </c>
      <c r="L80" s="285" t="s">
        <v>28</v>
      </c>
      <c r="M80" s="292" t="s">
        <v>33</v>
      </c>
      <c r="N80" s="155">
        <f>'2.виды ремонта'!C69</f>
        <v>1019092.5800000001</v>
      </c>
      <c r="O80" s="155">
        <v>0</v>
      </c>
      <c r="P80" s="155">
        <v>0</v>
      </c>
      <c r="Q80" s="155">
        <v>0</v>
      </c>
      <c r="R80" s="155">
        <f t="shared" si="1"/>
        <v>1019092.5800000001</v>
      </c>
      <c r="S80" s="155">
        <f>N80/I80</f>
        <v>816.58059294871805</v>
      </c>
      <c r="T80" s="155">
        <v>5115.04</v>
      </c>
      <c r="U80" s="282" t="s">
        <v>221</v>
      </c>
      <c r="W80" s="286"/>
      <c r="Y80" s="28"/>
      <c r="Z80" s="287"/>
      <c r="AA80" s="291"/>
      <c r="AB80" s="288"/>
      <c r="AC80" s="288"/>
      <c r="AD80" s="5"/>
    </row>
    <row r="81" spans="1:30" s="31" customFormat="1" ht="37.5">
      <c r="A81" s="276">
        <f t="shared" si="2"/>
        <v>62</v>
      </c>
      <c r="B81" s="277" t="s">
        <v>1277</v>
      </c>
      <c r="C81" s="278">
        <v>1993</v>
      </c>
      <c r="D81" s="294"/>
      <c r="E81" s="290" t="s">
        <v>222</v>
      </c>
      <c r="F81" s="280">
        <v>5</v>
      </c>
      <c r="G81" s="280">
        <v>2</v>
      </c>
      <c r="H81" s="155">
        <v>1409</v>
      </c>
      <c r="I81" s="281">
        <v>1293</v>
      </c>
      <c r="J81" s="293">
        <v>1154.5</v>
      </c>
      <c r="K81" s="295">
        <v>350</v>
      </c>
      <c r="L81" s="285" t="s">
        <v>28</v>
      </c>
      <c r="M81" s="292" t="s">
        <v>33</v>
      </c>
      <c r="N81" s="155">
        <f>'2.виды ремонта'!C70</f>
        <v>1014039.37</v>
      </c>
      <c r="O81" s="155">
        <v>0</v>
      </c>
      <c r="P81" s="155">
        <v>0</v>
      </c>
      <c r="Q81" s="155">
        <v>0</v>
      </c>
      <c r="R81" s="155">
        <f>N81</f>
        <v>1014039.37</v>
      </c>
      <c r="S81" s="155">
        <f>N81/I81</f>
        <v>784.25318638824444</v>
      </c>
      <c r="T81" s="155">
        <v>5115.04</v>
      </c>
      <c r="U81" s="282" t="s">
        <v>221</v>
      </c>
      <c r="W81" s="286"/>
      <c r="Y81" s="28"/>
      <c r="Z81" s="287"/>
      <c r="AA81" s="291"/>
      <c r="AB81" s="288"/>
      <c r="AC81" s="288"/>
      <c r="AD81" s="5"/>
    </row>
    <row r="82" spans="1:30" s="31" customFormat="1" ht="56.25">
      <c r="A82" s="276">
        <f t="shared" si="2"/>
        <v>63</v>
      </c>
      <c r="B82" s="278" t="s">
        <v>1278</v>
      </c>
      <c r="C82" s="277">
        <v>1984</v>
      </c>
      <c r="D82" s="277"/>
      <c r="E82" s="277" t="s">
        <v>222</v>
      </c>
      <c r="F82" s="284">
        <v>9</v>
      </c>
      <c r="G82" s="289">
        <v>3</v>
      </c>
      <c r="H82" s="155">
        <v>6488</v>
      </c>
      <c r="I82" s="281">
        <v>5912</v>
      </c>
      <c r="J82" s="281">
        <v>5802</v>
      </c>
      <c r="K82" s="280">
        <v>292</v>
      </c>
      <c r="L82" s="285" t="s">
        <v>28</v>
      </c>
      <c r="M82" s="276" t="s">
        <v>3836</v>
      </c>
      <c r="N82" s="155">
        <f>'2.виды ремонта'!C71</f>
        <v>13683121.67</v>
      </c>
      <c r="O82" s="155">
        <v>0</v>
      </c>
      <c r="P82" s="155">
        <v>0</v>
      </c>
      <c r="Q82" s="155">
        <v>0</v>
      </c>
      <c r="R82" s="155">
        <f>N82</f>
        <v>13683121.67</v>
      </c>
      <c r="S82" s="155">
        <f>N82/I82</f>
        <v>2314.4657763870096</v>
      </c>
      <c r="T82" s="155">
        <v>5115.04</v>
      </c>
      <c r="U82" s="282" t="s">
        <v>221</v>
      </c>
      <c r="W82" s="267"/>
      <c r="Y82" s="28"/>
      <c r="Z82" s="287"/>
      <c r="AA82" s="291"/>
      <c r="AB82" s="288"/>
      <c r="AC82" s="288"/>
      <c r="AD82" s="5"/>
    </row>
    <row r="83" spans="1:30" s="31" customFormat="1" ht="37.5">
      <c r="A83" s="276">
        <f t="shared" si="2"/>
        <v>64</v>
      </c>
      <c r="B83" s="278" t="s">
        <v>1279</v>
      </c>
      <c r="C83" s="277">
        <v>1977</v>
      </c>
      <c r="D83" s="277"/>
      <c r="E83" s="277" t="s">
        <v>222</v>
      </c>
      <c r="F83" s="284">
        <v>5</v>
      </c>
      <c r="G83" s="289">
        <v>8</v>
      </c>
      <c r="H83" s="155">
        <v>8331</v>
      </c>
      <c r="I83" s="281">
        <v>6802</v>
      </c>
      <c r="J83" s="281">
        <v>6802</v>
      </c>
      <c r="K83" s="280">
        <v>333</v>
      </c>
      <c r="L83" s="285" t="s">
        <v>28</v>
      </c>
      <c r="M83" s="276" t="s">
        <v>33</v>
      </c>
      <c r="N83" s="155">
        <f>'2.виды ремонта'!C72</f>
        <v>8676554.4399999995</v>
      </c>
      <c r="O83" s="155">
        <v>0</v>
      </c>
      <c r="P83" s="155">
        <v>0</v>
      </c>
      <c r="Q83" s="155">
        <v>0</v>
      </c>
      <c r="R83" s="155">
        <f>N83</f>
        <v>8676554.4399999995</v>
      </c>
      <c r="S83" s="155">
        <f>N83/I83</f>
        <v>1275.5887150837989</v>
      </c>
      <c r="T83" s="155">
        <v>5115.04</v>
      </c>
      <c r="U83" s="282" t="s">
        <v>221</v>
      </c>
      <c r="W83" s="286"/>
      <c r="Y83" s="28"/>
      <c r="Z83" s="287"/>
      <c r="AA83" s="291"/>
      <c r="AB83" s="288"/>
      <c r="AC83" s="288"/>
      <c r="AD83" s="5"/>
    </row>
    <row r="84" spans="1:30" s="31" customFormat="1" ht="37.5">
      <c r="A84" s="276">
        <f t="shared" si="2"/>
        <v>65</v>
      </c>
      <c r="B84" s="278" t="s">
        <v>3789</v>
      </c>
      <c r="C84" s="278">
        <v>1989</v>
      </c>
      <c r="D84" s="278"/>
      <c r="E84" s="277" t="s">
        <v>222</v>
      </c>
      <c r="F84" s="284">
        <v>9</v>
      </c>
      <c r="G84" s="284">
        <v>1</v>
      </c>
      <c r="H84" s="155">
        <v>3623.9</v>
      </c>
      <c r="I84" s="281">
        <v>3241.8</v>
      </c>
      <c r="J84" s="281">
        <v>2811.7</v>
      </c>
      <c r="K84" s="280">
        <v>158</v>
      </c>
      <c r="L84" s="285" t="s">
        <v>28</v>
      </c>
      <c r="M84" s="175" t="s">
        <v>227</v>
      </c>
      <c r="N84" s="155">
        <f>'2.виды ремонта'!C73</f>
        <v>8648825.7899999991</v>
      </c>
      <c r="O84" s="155">
        <v>0</v>
      </c>
      <c r="P84" s="155">
        <v>0</v>
      </c>
      <c r="Q84" s="155">
        <v>0</v>
      </c>
      <c r="R84" s="155">
        <f t="shared" ref="R84:R99" si="3">N84</f>
        <v>8648825.7899999991</v>
      </c>
      <c r="S84" s="155">
        <f t="shared" ref="S84:S99" si="4">N84/I84</f>
        <v>2667.9085045345173</v>
      </c>
      <c r="T84" s="155">
        <v>5115.04</v>
      </c>
      <c r="U84" s="282" t="s">
        <v>221</v>
      </c>
      <c r="W84" s="267"/>
      <c r="Y84" s="28"/>
      <c r="Z84" s="287"/>
      <c r="AA84" s="291"/>
      <c r="AB84" s="288"/>
      <c r="AC84" s="288"/>
      <c r="AD84" s="5"/>
    </row>
    <row r="85" spans="1:30" s="31" customFormat="1" ht="37.5">
      <c r="A85" s="276">
        <f t="shared" ref="A85:A103" si="5">A84+1</f>
        <v>66</v>
      </c>
      <c r="B85" s="278" t="s">
        <v>3790</v>
      </c>
      <c r="C85" s="278">
        <v>1984</v>
      </c>
      <c r="D85" s="278"/>
      <c r="E85" s="277" t="s">
        <v>222</v>
      </c>
      <c r="F85" s="284">
        <v>5</v>
      </c>
      <c r="G85" s="284">
        <v>2</v>
      </c>
      <c r="H85" s="155">
        <v>3074.7</v>
      </c>
      <c r="I85" s="281">
        <v>2894.7</v>
      </c>
      <c r="J85" s="281">
        <v>1599</v>
      </c>
      <c r="K85" s="280">
        <v>251</v>
      </c>
      <c r="L85" s="285" t="s">
        <v>28</v>
      </c>
      <c r="M85" s="175" t="s">
        <v>227</v>
      </c>
      <c r="N85" s="155">
        <f>'2.виды ремонта'!C74</f>
        <v>6669252.5</v>
      </c>
      <c r="O85" s="155">
        <v>0</v>
      </c>
      <c r="P85" s="155">
        <v>0</v>
      </c>
      <c r="Q85" s="155">
        <v>0</v>
      </c>
      <c r="R85" s="155">
        <f t="shared" si="3"/>
        <v>6669252.5</v>
      </c>
      <c r="S85" s="155">
        <f t="shared" si="4"/>
        <v>2303.9529139461774</v>
      </c>
      <c r="T85" s="155">
        <v>5115.04</v>
      </c>
      <c r="U85" s="282" t="s">
        <v>221</v>
      </c>
      <c r="W85" s="267"/>
      <c r="Y85" s="28"/>
      <c r="Z85" s="287"/>
      <c r="AA85" s="291"/>
      <c r="AB85" s="288"/>
      <c r="AC85" s="288"/>
      <c r="AD85" s="5"/>
    </row>
    <row r="86" spans="1:30" s="31" customFormat="1" ht="37.5">
      <c r="A86" s="276">
        <f t="shared" si="5"/>
        <v>67</v>
      </c>
      <c r="B86" s="278" t="s">
        <v>3791</v>
      </c>
      <c r="C86" s="278">
        <v>1968</v>
      </c>
      <c r="D86" s="278"/>
      <c r="E86" s="277" t="s">
        <v>222</v>
      </c>
      <c r="F86" s="284">
        <v>5</v>
      </c>
      <c r="G86" s="284">
        <v>6</v>
      </c>
      <c r="H86" s="155">
        <v>4620.6000000000004</v>
      </c>
      <c r="I86" s="281">
        <v>4127.6000000000004</v>
      </c>
      <c r="J86" s="281">
        <v>3783.4</v>
      </c>
      <c r="K86" s="280">
        <v>177</v>
      </c>
      <c r="L86" s="285" t="s">
        <v>28</v>
      </c>
      <c r="M86" s="175" t="s">
        <v>227</v>
      </c>
      <c r="N86" s="155">
        <f>'2.виды ремонта'!C75</f>
        <v>6599723.6299999999</v>
      </c>
      <c r="O86" s="155">
        <v>0</v>
      </c>
      <c r="P86" s="155">
        <v>0</v>
      </c>
      <c r="Q86" s="155">
        <v>0</v>
      </c>
      <c r="R86" s="155">
        <f t="shared" si="3"/>
        <v>6599723.6299999999</v>
      </c>
      <c r="S86" s="155">
        <f t="shared" si="4"/>
        <v>1598.9251938172301</v>
      </c>
      <c r="T86" s="155">
        <v>5115.04</v>
      </c>
      <c r="U86" s="282" t="s">
        <v>221</v>
      </c>
      <c r="W86" s="267"/>
      <c r="Y86" s="28"/>
      <c r="Z86" s="287"/>
      <c r="AA86" s="291"/>
      <c r="AB86" s="288"/>
      <c r="AC86" s="288"/>
      <c r="AD86" s="5"/>
    </row>
    <row r="87" spans="1:30" s="31" customFormat="1" ht="37.5">
      <c r="A87" s="276">
        <f t="shared" si="5"/>
        <v>68</v>
      </c>
      <c r="B87" s="278" t="s">
        <v>3950</v>
      </c>
      <c r="C87" s="278">
        <v>1968</v>
      </c>
      <c r="D87" s="278"/>
      <c r="E87" s="277" t="s">
        <v>222</v>
      </c>
      <c r="F87" s="284">
        <v>5</v>
      </c>
      <c r="G87" s="284">
        <v>6</v>
      </c>
      <c r="H87" s="155">
        <v>4956.7</v>
      </c>
      <c r="I87" s="281">
        <v>4454.3999999999996</v>
      </c>
      <c r="J87" s="281">
        <v>4047.5</v>
      </c>
      <c r="K87" s="280">
        <v>226</v>
      </c>
      <c r="L87" s="285" t="s">
        <v>28</v>
      </c>
      <c r="M87" s="175" t="s">
        <v>227</v>
      </c>
      <c r="N87" s="155">
        <f>'2.виды ремонта'!C76</f>
        <v>6568518.3899999997</v>
      </c>
      <c r="O87" s="155">
        <v>0</v>
      </c>
      <c r="P87" s="155">
        <v>0</v>
      </c>
      <c r="Q87" s="155">
        <v>0</v>
      </c>
      <c r="R87" s="155">
        <f t="shared" si="3"/>
        <v>6568518.3899999997</v>
      </c>
      <c r="S87" s="155">
        <f t="shared" si="4"/>
        <v>1474.6135035021553</v>
      </c>
      <c r="T87" s="155">
        <v>5115.04</v>
      </c>
      <c r="U87" s="282" t="s">
        <v>221</v>
      </c>
      <c r="W87" s="267"/>
      <c r="Y87" s="28"/>
      <c r="Z87" s="287"/>
      <c r="AA87" s="291"/>
      <c r="AB87" s="288"/>
      <c r="AC87" s="288"/>
      <c r="AD87" s="5"/>
    </row>
    <row r="88" spans="1:30" s="31" customFormat="1" ht="37.5">
      <c r="A88" s="276">
        <f t="shared" si="5"/>
        <v>69</v>
      </c>
      <c r="B88" s="297" t="s">
        <v>3487</v>
      </c>
      <c r="C88" s="278">
        <v>1976</v>
      </c>
      <c r="D88" s="278"/>
      <c r="E88" s="278" t="s">
        <v>218</v>
      </c>
      <c r="F88" s="280">
        <v>5</v>
      </c>
      <c r="G88" s="280">
        <v>4</v>
      </c>
      <c r="H88" s="155">
        <v>2944</v>
      </c>
      <c r="I88" s="281">
        <v>2656</v>
      </c>
      <c r="J88" s="281">
        <v>2439</v>
      </c>
      <c r="K88" s="280">
        <v>166</v>
      </c>
      <c r="L88" s="285" t="s">
        <v>28</v>
      </c>
      <c r="M88" s="276" t="s">
        <v>33</v>
      </c>
      <c r="N88" s="155">
        <f>'2.виды ремонта'!C77</f>
        <v>3554261.85</v>
      </c>
      <c r="O88" s="155">
        <v>0</v>
      </c>
      <c r="P88" s="155">
        <v>0</v>
      </c>
      <c r="Q88" s="155">
        <v>0</v>
      </c>
      <c r="R88" s="155">
        <f t="shared" si="3"/>
        <v>3554261.85</v>
      </c>
      <c r="S88" s="155">
        <f t="shared" si="4"/>
        <v>1338.2009977409639</v>
      </c>
      <c r="T88" s="155">
        <v>5115.04</v>
      </c>
      <c r="U88" s="282" t="s">
        <v>221</v>
      </c>
      <c r="V88" s="261"/>
      <c r="W88" s="286"/>
      <c r="X88" s="261"/>
      <c r="Y88" s="28"/>
      <c r="Z88" s="287"/>
      <c r="AA88" s="291"/>
      <c r="AB88" s="288"/>
      <c r="AC88" s="288"/>
      <c r="AD88" s="5"/>
    </row>
    <row r="89" spans="1:30" s="31" customFormat="1" ht="37.5">
      <c r="A89" s="276">
        <f t="shared" si="5"/>
        <v>70</v>
      </c>
      <c r="B89" s="277" t="s">
        <v>3488</v>
      </c>
      <c r="C89" s="296">
        <v>1974</v>
      </c>
      <c r="D89" s="278"/>
      <c r="E89" s="302" t="s">
        <v>222</v>
      </c>
      <c r="F89" s="303">
        <v>5</v>
      </c>
      <c r="G89" s="303">
        <v>4</v>
      </c>
      <c r="H89" s="155">
        <v>4264.7</v>
      </c>
      <c r="I89" s="281">
        <v>4204.7</v>
      </c>
      <c r="J89" s="281">
        <v>3229.6</v>
      </c>
      <c r="K89" s="280">
        <v>127</v>
      </c>
      <c r="L89" s="285" t="s">
        <v>28</v>
      </c>
      <c r="M89" s="276" t="s">
        <v>33</v>
      </c>
      <c r="N89" s="155">
        <f>'2.виды ремонта'!C78</f>
        <v>4485560.75</v>
      </c>
      <c r="O89" s="155">
        <v>0</v>
      </c>
      <c r="P89" s="155">
        <v>0</v>
      </c>
      <c r="Q89" s="155">
        <v>0</v>
      </c>
      <c r="R89" s="155">
        <f t="shared" si="3"/>
        <v>4485560.75</v>
      </c>
      <c r="S89" s="155">
        <f t="shared" si="4"/>
        <v>1066.7968582776418</v>
      </c>
      <c r="T89" s="155">
        <v>5115.04</v>
      </c>
      <c r="U89" s="282" t="s">
        <v>221</v>
      </c>
      <c r="V89" s="261"/>
      <c r="W89" s="286"/>
      <c r="X89" s="261"/>
      <c r="Y89" s="28"/>
      <c r="Z89" s="287"/>
      <c r="AA89" s="291"/>
      <c r="AB89" s="288"/>
      <c r="AC89" s="288"/>
      <c r="AD89" s="5"/>
    </row>
    <row r="90" spans="1:30" s="31" customFormat="1" ht="37.5">
      <c r="A90" s="276">
        <f t="shared" si="5"/>
        <v>71</v>
      </c>
      <c r="B90" s="297" t="s">
        <v>3489</v>
      </c>
      <c r="C90" s="278">
        <v>1983</v>
      </c>
      <c r="D90" s="278"/>
      <c r="E90" s="277" t="s">
        <v>222</v>
      </c>
      <c r="F90" s="280">
        <v>5</v>
      </c>
      <c r="G90" s="280">
        <v>1</v>
      </c>
      <c r="H90" s="155">
        <v>4096.7</v>
      </c>
      <c r="I90" s="281">
        <v>2701.7</v>
      </c>
      <c r="J90" s="281">
        <v>1481.4</v>
      </c>
      <c r="K90" s="280">
        <v>322</v>
      </c>
      <c r="L90" s="285" t="s">
        <v>28</v>
      </c>
      <c r="M90" s="276" t="s">
        <v>33</v>
      </c>
      <c r="N90" s="155">
        <f>'2.виды ремонта'!C79</f>
        <v>4798811.21</v>
      </c>
      <c r="O90" s="155">
        <v>0</v>
      </c>
      <c r="P90" s="155">
        <v>0</v>
      </c>
      <c r="Q90" s="155">
        <v>0</v>
      </c>
      <c r="R90" s="155">
        <f t="shared" si="3"/>
        <v>4798811.21</v>
      </c>
      <c r="S90" s="155">
        <f t="shared" si="4"/>
        <v>1776.2191249953735</v>
      </c>
      <c r="T90" s="155">
        <v>5115.04</v>
      </c>
      <c r="U90" s="282" t="s">
        <v>221</v>
      </c>
      <c r="V90" s="261"/>
      <c r="W90" s="286"/>
      <c r="X90" s="261"/>
      <c r="Y90" s="28"/>
      <c r="Z90" s="287"/>
      <c r="AA90" s="291"/>
      <c r="AB90" s="288"/>
      <c r="AC90" s="288"/>
      <c r="AD90" s="5"/>
    </row>
    <row r="91" spans="1:30" s="31" customFormat="1" ht="37.5">
      <c r="A91" s="276">
        <f t="shared" si="5"/>
        <v>72</v>
      </c>
      <c r="B91" s="297" t="s">
        <v>3491</v>
      </c>
      <c r="C91" s="278">
        <v>1960</v>
      </c>
      <c r="D91" s="278"/>
      <c r="E91" s="277" t="s">
        <v>222</v>
      </c>
      <c r="F91" s="280">
        <v>4</v>
      </c>
      <c r="G91" s="280">
        <v>4</v>
      </c>
      <c r="H91" s="155">
        <v>2736.3</v>
      </c>
      <c r="I91" s="281">
        <v>2736.3</v>
      </c>
      <c r="J91" s="281">
        <v>2338.4</v>
      </c>
      <c r="K91" s="280">
        <v>113</v>
      </c>
      <c r="L91" s="285" t="s">
        <v>28</v>
      </c>
      <c r="M91" s="276" t="s">
        <v>30</v>
      </c>
      <c r="N91" s="155">
        <f>'2.виды ремонта'!C80</f>
        <v>1478112.9</v>
      </c>
      <c r="O91" s="155">
        <v>0</v>
      </c>
      <c r="P91" s="155">
        <v>0</v>
      </c>
      <c r="Q91" s="155">
        <v>0</v>
      </c>
      <c r="R91" s="155">
        <f t="shared" si="3"/>
        <v>1478112.9</v>
      </c>
      <c r="S91" s="155">
        <f t="shared" si="4"/>
        <v>540.18671198333504</v>
      </c>
      <c r="T91" s="155">
        <v>5115.04</v>
      </c>
      <c r="U91" s="282" t="s">
        <v>221</v>
      </c>
      <c r="V91" s="261"/>
      <c r="Y91" s="28"/>
      <c r="Z91" s="287"/>
      <c r="AA91" s="291"/>
      <c r="AB91" s="288"/>
      <c r="AC91" s="288"/>
      <c r="AD91" s="5"/>
    </row>
    <row r="92" spans="1:30" s="31" customFormat="1" ht="37.5">
      <c r="A92" s="276">
        <f t="shared" si="5"/>
        <v>73</v>
      </c>
      <c r="B92" s="304" t="s">
        <v>3787</v>
      </c>
      <c r="C92" s="277">
        <v>1992</v>
      </c>
      <c r="D92" s="277"/>
      <c r="E92" s="277" t="s">
        <v>222</v>
      </c>
      <c r="F92" s="284">
        <v>7</v>
      </c>
      <c r="G92" s="284">
        <v>2</v>
      </c>
      <c r="H92" s="155">
        <v>2676.4</v>
      </c>
      <c r="I92" s="281">
        <f>2124.9+432.4</f>
        <v>2557.3000000000002</v>
      </c>
      <c r="J92" s="281">
        <v>432.4</v>
      </c>
      <c r="K92" s="280">
        <v>124</v>
      </c>
      <c r="L92" s="285" t="s">
        <v>28</v>
      </c>
      <c r="M92" s="275" t="s">
        <v>220</v>
      </c>
      <c r="N92" s="155">
        <f>'2.виды ремонта'!C81</f>
        <v>3863003.08</v>
      </c>
      <c r="O92" s="155">
        <v>0</v>
      </c>
      <c r="P92" s="155">
        <v>0</v>
      </c>
      <c r="Q92" s="155">
        <v>0</v>
      </c>
      <c r="R92" s="155">
        <f t="shared" si="3"/>
        <v>3863003.08</v>
      </c>
      <c r="S92" s="155">
        <f t="shared" si="4"/>
        <v>1510.5787666679701</v>
      </c>
      <c r="T92" s="155">
        <v>5115.04</v>
      </c>
      <c r="U92" s="282" t="s">
        <v>221</v>
      </c>
      <c r="W92" s="261"/>
      <c r="X92" s="261"/>
      <c r="Y92" s="28"/>
      <c r="Z92" s="287"/>
      <c r="AA92" s="291"/>
      <c r="AB92" s="288"/>
      <c r="AC92" s="288"/>
      <c r="AD92" s="5"/>
    </row>
    <row r="93" spans="1:30" s="31" customFormat="1" ht="37.5">
      <c r="A93" s="276">
        <f t="shared" si="5"/>
        <v>74</v>
      </c>
      <c r="B93" s="304" t="s">
        <v>3786</v>
      </c>
      <c r="C93" s="277">
        <v>1993</v>
      </c>
      <c r="D93" s="277"/>
      <c r="E93" s="277" t="s">
        <v>218</v>
      </c>
      <c r="F93" s="284">
        <v>9</v>
      </c>
      <c r="G93" s="284">
        <v>3</v>
      </c>
      <c r="H93" s="155">
        <v>6831</v>
      </c>
      <c r="I93" s="281">
        <v>3661.6</v>
      </c>
      <c r="J93" s="281">
        <v>3093.7</v>
      </c>
      <c r="K93" s="280">
        <v>292</v>
      </c>
      <c r="L93" s="285" t="s">
        <v>28</v>
      </c>
      <c r="M93" s="275" t="s">
        <v>220</v>
      </c>
      <c r="N93" s="155">
        <f>'2.виды ремонта'!C82</f>
        <v>6037670.2400000002</v>
      </c>
      <c r="O93" s="155">
        <v>0</v>
      </c>
      <c r="P93" s="155">
        <v>0</v>
      </c>
      <c r="Q93" s="155">
        <v>0</v>
      </c>
      <c r="R93" s="155">
        <f t="shared" si="3"/>
        <v>6037670.2400000002</v>
      </c>
      <c r="S93" s="155">
        <f t="shared" si="4"/>
        <v>1648.9158400699148</v>
      </c>
      <c r="T93" s="155">
        <v>5115.04</v>
      </c>
      <c r="U93" s="282" t="s">
        <v>221</v>
      </c>
      <c r="W93" s="261"/>
      <c r="X93" s="261"/>
      <c r="Y93" s="28"/>
      <c r="Z93" s="287"/>
      <c r="AA93" s="291"/>
      <c r="AB93" s="288"/>
      <c r="AC93" s="288"/>
      <c r="AD93" s="5"/>
    </row>
    <row r="94" spans="1:30" s="31" customFormat="1" ht="37.5">
      <c r="A94" s="276">
        <f t="shared" si="5"/>
        <v>75</v>
      </c>
      <c r="B94" s="304" t="s">
        <v>3785</v>
      </c>
      <c r="C94" s="277">
        <v>1993</v>
      </c>
      <c r="D94" s="277"/>
      <c r="E94" s="277" t="s">
        <v>218</v>
      </c>
      <c r="F94" s="284">
        <v>9</v>
      </c>
      <c r="G94" s="284">
        <v>3</v>
      </c>
      <c r="H94" s="155">
        <v>6262.1</v>
      </c>
      <c r="I94" s="281">
        <v>3702.9</v>
      </c>
      <c r="J94" s="281">
        <v>3492.1</v>
      </c>
      <c r="K94" s="280">
        <v>314</v>
      </c>
      <c r="L94" s="285" t="s">
        <v>28</v>
      </c>
      <c r="M94" s="275" t="s">
        <v>220</v>
      </c>
      <c r="N94" s="155">
        <f>'2.виды ремонта'!C83</f>
        <v>6036941.7199999997</v>
      </c>
      <c r="O94" s="155">
        <v>0</v>
      </c>
      <c r="P94" s="155">
        <v>0</v>
      </c>
      <c r="Q94" s="155">
        <v>0</v>
      </c>
      <c r="R94" s="155">
        <f t="shared" si="3"/>
        <v>6036941.7199999997</v>
      </c>
      <c r="S94" s="155">
        <f t="shared" si="4"/>
        <v>1630.3280455858921</v>
      </c>
      <c r="T94" s="155">
        <v>5115.04</v>
      </c>
      <c r="U94" s="282" t="s">
        <v>221</v>
      </c>
      <c r="W94" s="261"/>
      <c r="X94" s="261"/>
      <c r="Y94" s="28"/>
      <c r="Z94" s="287"/>
      <c r="AA94" s="291"/>
      <c r="AB94" s="288"/>
      <c r="AC94" s="288"/>
      <c r="AD94" s="5"/>
    </row>
    <row r="95" spans="1:30" s="31" customFormat="1" ht="37.5">
      <c r="A95" s="276">
        <f t="shared" si="5"/>
        <v>76</v>
      </c>
      <c r="B95" s="304" t="s">
        <v>2149</v>
      </c>
      <c r="C95" s="277">
        <v>1983</v>
      </c>
      <c r="D95" s="277"/>
      <c r="E95" s="277" t="s">
        <v>222</v>
      </c>
      <c r="F95" s="284">
        <v>9</v>
      </c>
      <c r="G95" s="284">
        <v>11</v>
      </c>
      <c r="H95" s="155">
        <v>25453.7</v>
      </c>
      <c r="I95" s="281">
        <v>22238.6</v>
      </c>
      <c r="J95" s="281">
        <v>21353.4</v>
      </c>
      <c r="K95" s="280">
        <v>1133</v>
      </c>
      <c r="L95" s="285" t="s">
        <v>28</v>
      </c>
      <c r="M95" s="275" t="s">
        <v>220</v>
      </c>
      <c r="N95" s="155">
        <f>'2.виды ремонта'!C84</f>
        <v>10027041.15</v>
      </c>
      <c r="O95" s="155">
        <v>0</v>
      </c>
      <c r="P95" s="155">
        <v>0</v>
      </c>
      <c r="Q95" s="155">
        <v>0</v>
      </c>
      <c r="R95" s="155">
        <f t="shared" si="3"/>
        <v>10027041.15</v>
      </c>
      <c r="S95" s="155">
        <f t="shared" si="4"/>
        <v>450.88454983677036</v>
      </c>
      <c r="T95" s="155">
        <v>5115.04</v>
      </c>
      <c r="U95" s="282" t="s">
        <v>221</v>
      </c>
      <c r="W95" s="261"/>
      <c r="X95" s="261"/>
      <c r="Y95" s="28"/>
      <c r="Z95" s="287"/>
      <c r="AA95" s="291"/>
      <c r="AB95" s="288"/>
      <c r="AC95" s="288"/>
      <c r="AD95" s="5"/>
    </row>
    <row r="96" spans="1:30" s="31" customFormat="1" ht="37.5">
      <c r="A96" s="276">
        <f t="shared" si="5"/>
        <v>77</v>
      </c>
      <c r="B96" s="304" t="s">
        <v>3783</v>
      </c>
      <c r="C96" s="277">
        <v>1982</v>
      </c>
      <c r="D96" s="277"/>
      <c r="E96" s="277" t="s">
        <v>222</v>
      </c>
      <c r="F96" s="284">
        <v>9</v>
      </c>
      <c r="G96" s="284">
        <v>4</v>
      </c>
      <c r="H96" s="155">
        <v>9502</v>
      </c>
      <c r="I96" s="281">
        <v>8330</v>
      </c>
      <c r="J96" s="281">
        <v>7734</v>
      </c>
      <c r="K96" s="280">
        <v>365</v>
      </c>
      <c r="L96" s="285" t="s">
        <v>28</v>
      </c>
      <c r="M96" s="275" t="s">
        <v>220</v>
      </c>
      <c r="N96" s="155">
        <f>'2.виды ремонта'!C85</f>
        <v>7873183.25</v>
      </c>
      <c r="O96" s="155">
        <v>0</v>
      </c>
      <c r="P96" s="155">
        <v>0</v>
      </c>
      <c r="Q96" s="155">
        <v>0</v>
      </c>
      <c r="R96" s="155">
        <f t="shared" si="3"/>
        <v>7873183.25</v>
      </c>
      <c r="S96" s="155">
        <f t="shared" si="4"/>
        <v>945.16005402160863</v>
      </c>
      <c r="T96" s="155">
        <v>5115.04</v>
      </c>
      <c r="U96" s="282" t="s">
        <v>221</v>
      </c>
      <c r="W96" s="261"/>
      <c r="X96" s="261"/>
      <c r="Y96" s="28"/>
      <c r="Z96" s="287"/>
      <c r="AA96" s="291"/>
      <c r="AB96" s="288"/>
      <c r="AC96" s="288"/>
      <c r="AD96" s="5"/>
    </row>
    <row r="97" spans="1:30" s="31" customFormat="1" ht="37.5">
      <c r="A97" s="276">
        <f t="shared" si="5"/>
        <v>78</v>
      </c>
      <c r="B97" s="304" t="s">
        <v>3782</v>
      </c>
      <c r="C97" s="277">
        <v>1982</v>
      </c>
      <c r="D97" s="277"/>
      <c r="E97" s="277" t="s">
        <v>222</v>
      </c>
      <c r="F97" s="284">
        <v>9</v>
      </c>
      <c r="G97" s="284">
        <v>5</v>
      </c>
      <c r="H97" s="155">
        <v>11183</v>
      </c>
      <c r="I97" s="281">
        <v>9820</v>
      </c>
      <c r="J97" s="281">
        <v>9360</v>
      </c>
      <c r="K97" s="280">
        <v>505</v>
      </c>
      <c r="L97" s="285" t="s">
        <v>28</v>
      </c>
      <c r="M97" s="275" t="s">
        <v>220</v>
      </c>
      <c r="N97" s="155">
        <f>'2.виды ремонта'!C86</f>
        <v>9828482.4499999993</v>
      </c>
      <c r="O97" s="155">
        <v>0</v>
      </c>
      <c r="P97" s="155">
        <v>0</v>
      </c>
      <c r="Q97" s="155">
        <v>0</v>
      </c>
      <c r="R97" s="155">
        <f t="shared" si="3"/>
        <v>9828482.4499999993</v>
      </c>
      <c r="S97" s="155">
        <f t="shared" si="4"/>
        <v>1000.8637932790223</v>
      </c>
      <c r="T97" s="155">
        <v>5115.04</v>
      </c>
      <c r="U97" s="282" t="s">
        <v>221</v>
      </c>
      <c r="W97" s="261"/>
      <c r="X97" s="261"/>
      <c r="Y97" s="28"/>
      <c r="Z97" s="287"/>
      <c r="AA97" s="291"/>
      <c r="AB97" s="288"/>
      <c r="AC97" s="288"/>
      <c r="AD97" s="5"/>
    </row>
    <row r="98" spans="1:30" s="31" customFormat="1" ht="37.5">
      <c r="A98" s="276">
        <f t="shared" si="5"/>
        <v>79</v>
      </c>
      <c r="B98" s="304" t="s">
        <v>3457</v>
      </c>
      <c r="C98" s="277">
        <v>1973</v>
      </c>
      <c r="D98" s="277"/>
      <c r="E98" s="277" t="s">
        <v>222</v>
      </c>
      <c r="F98" s="284">
        <v>9</v>
      </c>
      <c r="G98" s="284">
        <v>2</v>
      </c>
      <c r="H98" s="155">
        <v>6525</v>
      </c>
      <c r="I98" s="281">
        <v>5965</v>
      </c>
      <c r="J98" s="281">
        <v>4569</v>
      </c>
      <c r="K98" s="280">
        <v>244</v>
      </c>
      <c r="L98" s="285" t="s">
        <v>28</v>
      </c>
      <c r="M98" s="275" t="s">
        <v>220</v>
      </c>
      <c r="N98" s="155">
        <f>'2.виды ремонта'!C87</f>
        <v>3976911.71</v>
      </c>
      <c r="O98" s="155">
        <v>0</v>
      </c>
      <c r="P98" s="155">
        <v>0</v>
      </c>
      <c r="Q98" s="155">
        <v>0</v>
      </c>
      <c r="R98" s="155">
        <f t="shared" si="3"/>
        <v>3976911.71</v>
      </c>
      <c r="S98" s="155">
        <f t="shared" si="4"/>
        <v>666.7077468566639</v>
      </c>
      <c r="T98" s="155">
        <v>5115.04</v>
      </c>
      <c r="U98" s="282" t="s">
        <v>221</v>
      </c>
      <c r="W98" s="261"/>
      <c r="X98" s="261"/>
      <c r="Y98" s="28"/>
      <c r="Z98" s="287"/>
      <c r="AA98" s="291"/>
      <c r="AB98" s="288"/>
      <c r="AC98" s="288"/>
      <c r="AD98" s="5"/>
    </row>
    <row r="99" spans="1:30" s="42" customFormat="1" ht="37.5">
      <c r="A99" s="276">
        <f t="shared" si="5"/>
        <v>80</v>
      </c>
      <c r="B99" s="304" t="s">
        <v>3781</v>
      </c>
      <c r="C99" s="277">
        <v>1982</v>
      </c>
      <c r="D99" s="277"/>
      <c r="E99" s="277" t="s">
        <v>222</v>
      </c>
      <c r="F99" s="284">
        <v>12</v>
      </c>
      <c r="G99" s="284">
        <v>1</v>
      </c>
      <c r="H99" s="155">
        <v>3907.1</v>
      </c>
      <c r="I99" s="281">
        <v>3575</v>
      </c>
      <c r="J99" s="281">
        <v>3089.9</v>
      </c>
      <c r="K99" s="280">
        <v>156</v>
      </c>
      <c r="L99" s="285" t="s">
        <v>28</v>
      </c>
      <c r="M99" s="275" t="s">
        <v>220</v>
      </c>
      <c r="N99" s="155">
        <f>'2.виды ремонта'!C88</f>
        <v>4701772.26</v>
      </c>
      <c r="O99" s="155">
        <v>0</v>
      </c>
      <c r="P99" s="155">
        <v>0</v>
      </c>
      <c r="Q99" s="155">
        <v>0</v>
      </c>
      <c r="R99" s="155">
        <f t="shared" si="3"/>
        <v>4701772.26</v>
      </c>
      <c r="S99" s="155">
        <f t="shared" si="4"/>
        <v>1315.1810517482518</v>
      </c>
      <c r="T99" s="155">
        <v>5115.04</v>
      </c>
      <c r="U99" s="282" t="s">
        <v>221</v>
      </c>
      <c r="W99" s="27"/>
      <c r="X99" s="27"/>
      <c r="Y99" s="28"/>
      <c r="Z99" s="287"/>
      <c r="AA99" s="291"/>
      <c r="AB99" s="288"/>
      <c r="AC99" s="288"/>
      <c r="AD99" s="5"/>
    </row>
    <row r="100" spans="1:30" s="42" customFormat="1" ht="37.5">
      <c r="A100" s="276">
        <f t="shared" si="5"/>
        <v>81</v>
      </c>
      <c r="B100" s="277" t="s">
        <v>3784</v>
      </c>
      <c r="C100" s="277">
        <v>1989</v>
      </c>
      <c r="D100" s="277"/>
      <c r="E100" s="277" t="s">
        <v>218</v>
      </c>
      <c r="F100" s="284">
        <v>9</v>
      </c>
      <c r="G100" s="284">
        <v>3</v>
      </c>
      <c r="H100" s="155">
        <v>6712.8</v>
      </c>
      <c r="I100" s="281">
        <v>6039.6</v>
      </c>
      <c r="J100" s="281">
        <v>6039.6</v>
      </c>
      <c r="K100" s="280">
        <v>324</v>
      </c>
      <c r="L100" s="285" t="s">
        <v>28</v>
      </c>
      <c r="M100" s="275" t="s">
        <v>220</v>
      </c>
      <c r="N100" s="155">
        <f>'2.виды ремонта'!C89</f>
        <v>5998182.2300000004</v>
      </c>
      <c r="O100" s="155">
        <v>0</v>
      </c>
      <c r="P100" s="155">
        <v>0</v>
      </c>
      <c r="Q100" s="155">
        <v>0</v>
      </c>
      <c r="R100" s="155">
        <f>N100</f>
        <v>5998182.2300000004</v>
      </c>
      <c r="S100" s="155">
        <f>N100/I100</f>
        <v>993.14229915888473</v>
      </c>
      <c r="T100" s="155">
        <v>5115.04</v>
      </c>
      <c r="U100" s="282" t="s">
        <v>221</v>
      </c>
      <c r="W100" s="27"/>
      <c r="X100" s="27"/>
      <c r="Y100" s="28"/>
      <c r="Z100" s="287"/>
      <c r="AA100" s="291"/>
      <c r="AB100" s="288"/>
      <c r="AC100" s="288"/>
      <c r="AD100" s="5"/>
    </row>
    <row r="101" spans="1:30" s="31" customFormat="1" ht="37.5">
      <c r="A101" s="276">
        <f t="shared" si="5"/>
        <v>82</v>
      </c>
      <c r="B101" s="278" t="s">
        <v>3780</v>
      </c>
      <c r="C101" s="278">
        <v>1989</v>
      </c>
      <c r="D101" s="278"/>
      <c r="E101" s="278" t="s">
        <v>222</v>
      </c>
      <c r="F101" s="284">
        <v>5</v>
      </c>
      <c r="G101" s="284">
        <v>3</v>
      </c>
      <c r="H101" s="155">
        <v>2956.8</v>
      </c>
      <c r="I101" s="281">
        <v>2433.1999999999998</v>
      </c>
      <c r="J101" s="281">
        <v>1812.8</v>
      </c>
      <c r="K101" s="280">
        <v>456</v>
      </c>
      <c r="L101" s="285" t="s">
        <v>28</v>
      </c>
      <c r="M101" s="175" t="s">
        <v>30</v>
      </c>
      <c r="N101" s="155">
        <f>'2.виды ремонта'!C90</f>
        <v>2465156.79</v>
      </c>
      <c r="O101" s="155">
        <v>0</v>
      </c>
      <c r="P101" s="155">
        <v>0</v>
      </c>
      <c r="Q101" s="155">
        <v>0</v>
      </c>
      <c r="R101" s="155">
        <f>N101</f>
        <v>2465156.79</v>
      </c>
      <c r="S101" s="155">
        <f>N101/I101</f>
        <v>1013.1336470491535</v>
      </c>
      <c r="T101" s="155">
        <v>5115.04</v>
      </c>
      <c r="U101" s="282" t="s">
        <v>221</v>
      </c>
      <c r="W101" s="267"/>
      <c r="Y101" s="28"/>
      <c r="Z101" s="287"/>
      <c r="AA101" s="291"/>
      <c r="AB101" s="288"/>
      <c r="AC101" s="288"/>
      <c r="AD101" s="5"/>
    </row>
    <row r="102" spans="1:30" s="31" customFormat="1" ht="37.5">
      <c r="A102" s="276">
        <f t="shared" si="5"/>
        <v>83</v>
      </c>
      <c r="B102" s="278" t="s">
        <v>2174</v>
      </c>
      <c r="C102" s="278">
        <v>1974</v>
      </c>
      <c r="D102" s="278"/>
      <c r="E102" s="277" t="s">
        <v>222</v>
      </c>
      <c r="F102" s="284">
        <v>5</v>
      </c>
      <c r="G102" s="284">
        <v>4</v>
      </c>
      <c r="H102" s="155">
        <v>3340</v>
      </c>
      <c r="I102" s="281">
        <v>3340</v>
      </c>
      <c r="J102" s="281">
        <v>3340</v>
      </c>
      <c r="K102" s="280">
        <v>161</v>
      </c>
      <c r="L102" s="285" t="s">
        <v>28</v>
      </c>
      <c r="M102" s="275" t="s">
        <v>30</v>
      </c>
      <c r="N102" s="155">
        <f>'2.виды ремонта'!C91</f>
        <v>1616557.54</v>
      </c>
      <c r="O102" s="155">
        <v>0</v>
      </c>
      <c r="P102" s="155">
        <v>0</v>
      </c>
      <c r="Q102" s="155">
        <v>0</v>
      </c>
      <c r="R102" s="155">
        <f>N102</f>
        <v>1616557.54</v>
      </c>
      <c r="S102" s="155">
        <f>N102/I102</f>
        <v>483.99926347305393</v>
      </c>
      <c r="T102" s="155">
        <v>5115.04</v>
      </c>
      <c r="U102" s="282" t="s">
        <v>221</v>
      </c>
      <c r="W102" s="267"/>
      <c r="Y102" s="28"/>
      <c r="Z102" s="287"/>
      <c r="AA102" s="305"/>
      <c r="AB102" s="288"/>
      <c r="AC102" s="288"/>
      <c r="AD102" s="5"/>
    </row>
    <row r="103" spans="1:30" s="31" customFormat="1" ht="37.5">
      <c r="A103" s="276">
        <f t="shared" si="5"/>
        <v>84</v>
      </c>
      <c r="B103" s="277" t="s">
        <v>2218</v>
      </c>
      <c r="C103" s="278">
        <v>1956</v>
      </c>
      <c r="D103" s="294"/>
      <c r="E103" s="290" t="s">
        <v>222</v>
      </c>
      <c r="F103" s="280">
        <v>2</v>
      </c>
      <c r="G103" s="280">
        <v>2</v>
      </c>
      <c r="H103" s="155">
        <v>820</v>
      </c>
      <c r="I103" s="281">
        <v>656</v>
      </c>
      <c r="J103" s="293">
        <v>656</v>
      </c>
      <c r="K103" s="295">
        <v>28</v>
      </c>
      <c r="L103" s="285" t="s">
        <v>28</v>
      </c>
      <c r="M103" s="292" t="s">
        <v>30</v>
      </c>
      <c r="N103" s="306">
        <f>'2.виды ремонта'!C92</f>
        <v>186992.61</v>
      </c>
      <c r="O103" s="155">
        <v>0</v>
      </c>
      <c r="P103" s="155">
        <v>0</v>
      </c>
      <c r="Q103" s="155">
        <v>0</v>
      </c>
      <c r="R103" s="155">
        <f>N103</f>
        <v>186992.61</v>
      </c>
      <c r="S103" s="155">
        <f>N103/I103</f>
        <v>285.04971036585363</v>
      </c>
      <c r="T103" s="155">
        <v>5115.04</v>
      </c>
      <c r="U103" s="282" t="s">
        <v>221</v>
      </c>
      <c r="W103" s="267"/>
      <c r="Y103" s="28"/>
      <c r="Z103" s="287"/>
      <c r="AA103" s="305"/>
      <c r="AB103" s="288"/>
      <c r="AC103" s="288"/>
      <c r="AD103" s="5"/>
    </row>
    <row r="104" spans="1:30" s="31" customFormat="1" ht="43.5" customHeight="1">
      <c r="A104" s="1047" t="s">
        <v>146</v>
      </c>
      <c r="B104" s="1047"/>
      <c r="C104" s="1047"/>
      <c r="D104" s="1047"/>
      <c r="E104" s="279" t="s">
        <v>28</v>
      </c>
      <c r="F104" s="280" t="s">
        <v>28</v>
      </c>
      <c r="G104" s="280" t="s">
        <v>28</v>
      </c>
      <c r="H104" s="155">
        <f>SUM(H20:H103)</f>
        <v>373091.1</v>
      </c>
      <c r="I104" s="281">
        <f>SUM(I20:I103)</f>
        <v>318963.3</v>
      </c>
      <c r="J104" s="281">
        <f>SUM(J20:J103)</f>
        <v>293644.71999999997</v>
      </c>
      <c r="K104" s="280">
        <f>SUM(K20:K103)</f>
        <v>17655</v>
      </c>
      <c r="L104" s="285" t="s">
        <v>28</v>
      </c>
      <c r="M104" s="276" t="s">
        <v>28</v>
      </c>
      <c r="N104" s="155">
        <f>SUM(N20:N103)</f>
        <v>299513212.53000009</v>
      </c>
      <c r="O104" s="155">
        <f>SUM(O20:O103)</f>
        <v>0</v>
      </c>
      <c r="P104" s="155">
        <f>SUM(P20:P103)</f>
        <v>0</v>
      </c>
      <c r="Q104" s="155">
        <f>SUM(Q20:Q103)</f>
        <v>0</v>
      </c>
      <c r="R104" s="155">
        <f>SUM(R20:R103)</f>
        <v>299513212.53000009</v>
      </c>
      <c r="S104" s="155">
        <f>N104/I104</f>
        <v>939.0209235043659</v>
      </c>
      <c r="T104" s="155">
        <v>5115.04</v>
      </c>
      <c r="U104" s="282" t="s">
        <v>221</v>
      </c>
      <c r="V104" s="19"/>
      <c r="W104" s="19"/>
      <c r="X104" s="19"/>
      <c r="Y104" s="28"/>
      <c r="AA104" s="17"/>
      <c r="AD104" s="5"/>
    </row>
    <row r="105" spans="1:30" s="50" customFormat="1" ht="41.25" customHeight="1">
      <c r="A105" s="1015" t="s">
        <v>145</v>
      </c>
      <c r="B105" s="1015"/>
      <c r="C105" s="1015"/>
      <c r="D105" s="1015"/>
      <c r="E105" s="1015"/>
      <c r="F105" s="1015"/>
      <c r="G105" s="1015"/>
      <c r="H105" s="1015"/>
      <c r="I105" s="1015"/>
      <c r="J105" s="1015"/>
      <c r="K105" s="1015"/>
      <c r="L105" s="1015"/>
      <c r="M105" s="1015"/>
      <c r="N105" s="1015"/>
      <c r="O105" s="1015"/>
      <c r="P105" s="1015"/>
      <c r="Q105" s="1015"/>
      <c r="R105" s="1015"/>
      <c r="S105" s="1015"/>
      <c r="T105" s="1015"/>
      <c r="U105" s="1015"/>
      <c r="W105" s="58"/>
      <c r="Y105" s="44"/>
      <c r="Z105" s="46"/>
      <c r="AA105" s="47"/>
      <c r="AD105" s="274"/>
    </row>
    <row r="106" spans="1:30" s="50" customFormat="1" ht="37.5" customHeight="1">
      <c r="A106" s="238">
        <v>1</v>
      </c>
      <c r="B106" s="227" t="s">
        <v>2145</v>
      </c>
      <c r="C106" s="228">
        <v>1987</v>
      </c>
      <c r="D106" s="263"/>
      <c r="E106" s="231" t="s">
        <v>222</v>
      </c>
      <c r="F106" s="233">
        <v>12</v>
      </c>
      <c r="G106" s="233">
        <v>1</v>
      </c>
      <c r="H106" s="234">
        <v>4520</v>
      </c>
      <c r="I106" s="235">
        <v>3688.5</v>
      </c>
      <c r="J106" s="268">
        <v>3688.5</v>
      </c>
      <c r="K106" s="265">
        <v>206</v>
      </c>
      <c r="L106" s="265">
        <f>'2.виды ремонта'!E95</f>
        <v>2</v>
      </c>
      <c r="M106" s="264" t="s">
        <v>220</v>
      </c>
      <c r="N106" s="162">
        <f>'2.виды ремонта'!C95</f>
        <v>4506250</v>
      </c>
      <c r="O106" s="234">
        <v>0</v>
      </c>
      <c r="P106" s="234">
        <f>'2.виды ремонта'!E95*1695000</f>
        <v>3390000</v>
      </c>
      <c r="Q106" s="234">
        <v>0</v>
      </c>
      <c r="R106" s="234">
        <f t="shared" ref="R106:R121" si="6">N106-O106-P106-Q106</f>
        <v>1116250</v>
      </c>
      <c r="S106" s="234">
        <f t="shared" ref="S106:S117" si="7">N106/L106</f>
        <v>2253125</v>
      </c>
      <c r="T106" s="234">
        <v>2300000</v>
      </c>
      <c r="U106" s="154" t="s">
        <v>233</v>
      </c>
      <c r="X106" s="308"/>
      <c r="Y106" s="44"/>
      <c r="Z106" s="46"/>
      <c r="AA106" s="47"/>
      <c r="AB106" s="48"/>
      <c r="AC106" s="48"/>
      <c r="AD106" s="274"/>
    </row>
    <row r="107" spans="1:30" s="50" customFormat="1" ht="37.5" customHeight="1">
      <c r="A107" s="238">
        <f t="shared" ref="A107:A126" si="8">A106+1</f>
        <v>2</v>
      </c>
      <c r="B107" s="227" t="s">
        <v>2149</v>
      </c>
      <c r="C107" s="228">
        <v>1983</v>
      </c>
      <c r="D107" s="263"/>
      <c r="E107" s="231" t="s">
        <v>222</v>
      </c>
      <c r="F107" s="233">
        <v>9</v>
      </c>
      <c r="G107" s="233">
        <v>11</v>
      </c>
      <c r="H107" s="234">
        <v>25457</v>
      </c>
      <c r="I107" s="235">
        <v>22238.6</v>
      </c>
      <c r="J107" s="268">
        <v>21353.4</v>
      </c>
      <c r="K107" s="265">
        <v>1133</v>
      </c>
      <c r="L107" s="265">
        <f>'2.виды ремонта'!E96</f>
        <v>5</v>
      </c>
      <c r="M107" s="264" t="s">
        <v>220</v>
      </c>
      <c r="N107" s="162">
        <f>'2.виды ремонта'!C96</f>
        <v>10717570</v>
      </c>
      <c r="O107" s="234">
        <v>0</v>
      </c>
      <c r="P107" s="234">
        <f>'2.виды ремонта'!E96*1695000</f>
        <v>8475000</v>
      </c>
      <c r="Q107" s="234">
        <v>0</v>
      </c>
      <c r="R107" s="234">
        <f t="shared" si="6"/>
        <v>2242570</v>
      </c>
      <c r="S107" s="234">
        <f t="shared" si="7"/>
        <v>2143514</v>
      </c>
      <c r="T107" s="234">
        <v>2300000</v>
      </c>
      <c r="U107" s="154" t="s">
        <v>233</v>
      </c>
      <c r="X107" s="308"/>
      <c r="Y107" s="44"/>
      <c r="Z107" s="46"/>
      <c r="AA107" s="47"/>
      <c r="AB107" s="48"/>
      <c r="AC107" s="48"/>
      <c r="AD107" s="274"/>
    </row>
    <row r="108" spans="1:30" s="50" customFormat="1" ht="37.5" customHeight="1">
      <c r="A108" s="238">
        <f t="shared" si="8"/>
        <v>3</v>
      </c>
      <c r="B108" s="227" t="s">
        <v>2168</v>
      </c>
      <c r="C108" s="228">
        <v>1988</v>
      </c>
      <c r="D108" s="263"/>
      <c r="E108" s="231" t="s">
        <v>222</v>
      </c>
      <c r="F108" s="233">
        <v>9</v>
      </c>
      <c r="G108" s="233">
        <v>1</v>
      </c>
      <c r="H108" s="234">
        <v>3218</v>
      </c>
      <c r="I108" s="268">
        <v>2696.13</v>
      </c>
      <c r="J108" s="268">
        <v>2696.13</v>
      </c>
      <c r="K108" s="265">
        <v>271</v>
      </c>
      <c r="L108" s="265">
        <f>'2.виды ремонта'!E97</f>
        <v>1</v>
      </c>
      <c r="M108" s="264" t="s">
        <v>220</v>
      </c>
      <c r="N108" s="162">
        <f>'2.виды ремонта'!C97</f>
        <v>2200970</v>
      </c>
      <c r="O108" s="234">
        <v>0</v>
      </c>
      <c r="P108" s="234">
        <f>'2.виды ремонта'!E97*1695000</f>
        <v>1695000</v>
      </c>
      <c r="Q108" s="234">
        <v>0</v>
      </c>
      <c r="R108" s="234">
        <f t="shared" si="6"/>
        <v>505970</v>
      </c>
      <c r="S108" s="234">
        <f t="shared" si="7"/>
        <v>2200970</v>
      </c>
      <c r="T108" s="234">
        <v>2300000</v>
      </c>
      <c r="U108" s="154" t="s">
        <v>233</v>
      </c>
      <c r="X108" s="308"/>
      <c r="Y108" s="44"/>
      <c r="Z108" s="46"/>
      <c r="AA108" s="47"/>
      <c r="AB108" s="48"/>
      <c r="AC108" s="48"/>
      <c r="AD108" s="274"/>
    </row>
    <row r="109" spans="1:30" s="50" customFormat="1" ht="37.5" customHeight="1">
      <c r="A109" s="238">
        <f t="shared" si="8"/>
        <v>4</v>
      </c>
      <c r="B109" s="227" t="s">
        <v>2184</v>
      </c>
      <c r="C109" s="228">
        <v>1988</v>
      </c>
      <c r="D109" s="263"/>
      <c r="E109" s="231" t="s">
        <v>222</v>
      </c>
      <c r="F109" s="233">
        <v>9</v>
      </c>
      <c r="G109" s="233">
        <v>5</v>
      </c>
      <c r="H109" s="234">
        <v>11046</v>
      </c>
      <c r="I109" s="235">
        <v>9691.7999999999993</v>
      </c>
      <c r="J109" s="268">
        <v>8877.2000000000007</v>
      </c>
      <c r="K109" s="265">
        <v>505</v>
      </c>
      <c r="L109" s="265">
        <f>'2.виды ремонта'!E98</f>
        <v>5</v>
      </c>
      <c r="M109" s="264" t="s">
        <v>220</v>
      </c>
      <c r="N109" s="162">
        <f>'2.виды ремонта'!C98</f>
        <v>10645810</v>
      </c>
      <c r="O109" s="234">
        <v>0</v>
      </c>
      <c r="P109" s="234">
        <f>'2.виды ремонта'!E98*1695000</f>
        <v>8475000</v>
      </c>
      <c r="Q109" s="234">
        <v>0</v>
      </c>
      <c r="R109" s="234">
        <f t="shared" si="6"/>
        <v>2170810</v>
      </c>
      <c r="S109" s="234">
        <f t="shared" si="7"/>
        <v>2129162</v>
      </c>
      <c r="T109" s="234">
        <v>2300000</v>
      </c>
      <c r="U109" s="154" t="s">
        <v>233</v>
      </c>
      <c r="X109" s="308"/>
      <c r="Y109" s="44"/>
      <c r="Z109" s="46"/>
      <c r="AA109" s="47"/>
      <c r="AB109" s="48"/>
      <c r="AC109" s="48"/>
      <c r="AD109" s="274"/>
    </row>
    <row r="110" spans="1:30" s="50" customFormat="1" ht="37.5" customHeight="1">
      <c r="A110" s="238">
        <f t="shared" si="8"/>
        <v>5</v>
      </c>
      <c r="B110" s="227" t="s">
        <v>3949</v>
      </c>
      <c r="C110" s="228">
        <v>1986</v>
      </c>
      <c r="D110" s="263"/>
      <c r="E110" s="231" t="s">
        <v>222</v>
      </c>
      <c r="F110" s="233">
        <v>9</v>
      </c>
      <c r="G110" s="233">
        <v>2</v>
      </c>
      <c r="H110" s="234">
        <v>4223</v>
      </c>
      <c r="I110" s="235">
        <v>3942.8</v>
      </c>
      <c r="J110" s="268">
        <v>3527.17</v>
      </c>
      <c r="K110" s="265">
        <v>242</v>
      </c>
      <c r="L110" s="265">
        <f>'2.виды ремонта'!E99</f>
        <v>2</v>
      </c>
      <c r="M110" s="264" t="s">
        <v>220</v>
      </c>
      <c r="N110" s="162">
        <f>'2.виды ремонта'!C99</f>
        <v>4357580</v>
      </c>
      <c r="O110" s="234">
        <v>0</v>
      </c>
      <c r="P110" s="234">
        <f>'2.виды ремонта'!E99*1695000</f>
        <v>3390000</v>
      </c>
      <c r="Q110" s="234">
        <v>0</v>
      </c>
      <c r="R110" s="234">
        <f t="shared" si="6"/>
        <v>967580</v>
      </c>
      <c r="S110" s="234">
        <f t="shared" si="7"/>
        <v>2178790</v>
      </c>
      <c r="T110" s="234">
        <v>2300000</v>
      </c>
      <c r="U110" s="154" t="s">
        <v>233</v>
      </c>
      <c r="X110" s="308"/>
      <c r="Y110" s="44"/>
      <c r="Z110" s="46"/>
      <c r="AA110" s="47"/>
      <c r="AB110" s="48"/>
      <c r="AC110" s="48"/>
      <c r="AD110" s="274"/>
    </row>
    <row r="111" spans="1:30" s="50" customFormat="1" ht="47.25" customHeight="1">
      <c r="A111" s="1015">
        <v>6</v>
      </c>
      <c r="B111" s="1030" t="s">
        <v>2205</v>
      </c>
      <c r="C111" s="1029">
        <v>1988</v>
      </c>
      <c r="D111" s="1075"/>
      <c r="E111" s="1029" t="s">
        <v>218</v>
      </c>
      <c r="F111" s="1031">
        <v>9</v>
      </c>
      <c r="G111" s="1031">
        <v>5</v>
      </c>
      <c r="H111" s="1042">
        <v>11583</v>
      </c>
      <c r="I111" s="1043">
        <v>10036.200000000001</v>
      </c>
      <c r="J111" s="1076">
        <v>9419.2999999999993</v>
      </c>
      <c r="K111" s="1077">
        <v>561</v>
      </c>
      <c r="L111" s="265">
        <f>'2.виды ремонта'!E100</f>
        <v>5</v>
      </c>
      <c r="M111" s="264" t="s">
        <v>220</v>
      </c>
      <c r="N111" s="162">
        <f>'2.виды ремонта'!F100</f>
        <v>10627480</v>
      </c>
      <c r="O111" s="234">
        <v>0</v>
      </c>
      <c r="P111" s="234">
        <f>'2.виды ремонта'!E100*1695000</f>
        <v>8475000</v>
      </c>
      <c r="Q111" s="234">
        <v>0</v>
      </c>
      <c r="R111" s="234">
        <f>N111-O111-P111-Q111</f>
        <v>2152480</v>
      </c>
      <c r="S111" s="234">
        <f t="shared" si="7"/>
        <v>2125496</v>
      </c>
      <c r="T111" s="234">
        <v>2300000</v>
      </c>
      <c r="U111" s="154" t="s">
        <v>233</v>
      </c>
      <c r="X111" s="308"/>
      <c r="Y111" s="44"/>
      <c r="Z111" s="46"/>
      <c r="AA111" s="47"/>
      <c r="AB111" s="48"/>
      <c r="AC111" s="48"/>
      <c r="AD111" s="274"/>
    </row>
    <row r="112" spans="1:30" s="50" customFormat="1" ht="42.75" customHeight="1">
      <c r="A112" s="1015"/>
      <c r="B112" s="1030"/>
      <c r="C112" s="1029"/>
      <c r="D112" s="1075"/>
      <c r="E112" s="1029"/>
      <c r="F112" s="1031"/>
      <c r="G112" s="1031"/>
      <c r="H112" s="1042"/>
      <c r="I112" s="1043"/>
      <c r="J112" s="1076"/>
      <c r="K112" s="1077"/>
      <c r="L112" s="265">
        <f>'2.виды ремонта'!G100</f>
        <v>1610</v>
      </c>
      <c r="M112" s="264" t="s">
        <v>33</v>
      </c>
      <c r="N112" s="162">
        <f>'2.виды ремонта'!H100</f>
        <v>3683229</v>
      </c>
      <c r="O112" s="234">
        <v>0</v>
      </c>
      <c r="P112" s="234">
        <v>0</v>
      </c>
      <c r="Q112" s="234">
        <v>0</v>
      </c>
      <c r="R112" s="234">
        <f t="shared" si="6"/>
        <v>3683229</v>
      </c>
      <c r="S112" s="257">
        <f t="shared" si="7"/>
        <v>2287.7198757763977</v>
      </c>
      <c r="T112" s="234">
        <v>3564.43</v>
      </c>
      <c r="U112" s="154" t="s">
        <v>233</v>
      </c>
      <c r="X112" s="308"/>
      <c r="Y112" s="44"/>
      <c r="Z112" s="46"/>
      <c r="AA112" s="47"/>
      <c r="AB112" s="48"/>
      <c r="AC112" s="48"/>
      <c r="AD112" s="274"/>
    </row>
    <row r="113" spans="1:30" s="50" customFormat="1" ht="37.5" customHeight="1">
      <c r="A113" s="238">
        <v>7</v>
      </c>
      <c r="B113" s="227" t="s">
        <v>2210</v>
      </c>
      <c r="C113" s="228">
        <v>1984</v>
      </c>
      <c r="D113" s="263"/>
      <c r="E113" s="231" t="s">
        <v>222</v>
      </c>
      <c r="F113" s="233">
        <v>9</v>
      </c>
      <c r="G113" s="233">
        <v>4</v>
      </c>
      <c r="H113" s="234">
        <v>9682</v>
      </c>
      <c r="I113" s="235">
        <v>8426</v>
      </c>
      <c r="J113" s="268">
        <v>6744</v>
      </c>
      <c r="K113" s="265">
        <v>358</v>
      </c>
      <c r="L113" s="265">
        <f>'2.виды ремонта'!E101</f>
        <v>4</v>
      </c>
      <c r="M113" s="264" t="s">
        <v>220</v>
      </c>
      <c r="N113" s="162">
        <f>'2.виды ремонта'!C101</f>
        <v>8744790</v>
      </c>
      <c r="O113" s="234">
        <v>0</v>
      </c>
      <c r="P113" s="234">
        <f>'2.виды ремонта'!E101*1695000</f>
        <v>6780000</v>
      </c>
      <c r="Q113" s="234">
        <v>0</v>
      </c>
      <c r="R113" s="234">
        <f t="shared" si="6"/>
        <v>1964790</v>
      </c>
      <c r="S113" s="234">
        <f t="shared" si="7"/>
        <v>2186197.5</v>
      </c>
      <c r="T113" s="234">
        <v>2300000</v>
      </c>
      <c r="U113" s="154" t="s">
        <v>233</v>
      </c>
      <c r="X113" s="308"/>
      <c r="Y113" s="44"/>
      <c r="Z113" s="46"/>
      <c r="AA113" s="47"/>
      <c r="AB113" s="48"/>
      <c r="AC113" s="48"/>
      <c r="AD113" s="274"/>
    </row>
    <row r="114" spans="1:30" s="50" customFormat="1" ht="37.5" customHeight="1">
      <c r="A114" s="238">
        <f t="shared" si="8"/>
        <v>8</v>
      </c>
      <c r="B114" s="227" t="s">
        <v>2211</v>
      </c>
      <c r="C114" s="228">
        <v>1984</v>
      </c>
      <c r="D114" s="263"/>
      <c r="E114" s="231" t="s">
        <v>222</v>
      </c>
      <c r="F114" s="233">
        <v>9</v>
      </c>
      <c r="G114" s="233">
        <v>4</v>
      </c>
      <c r="H114" s="234">
        <v>8995</v>
      </c>
      <c r="I114" s="235">
        <v>7736.3</v>
      </c>
      <c r="J114" s="268">
        <v>6955.6</v>
      </c>
      <c r="K114" s="265">
        <v>359</v>
      </c>
      <c r="L114" s="265">
        <f>'2.виды ремонта'!E102</f>
        <v>4</v>
      </c>
      <c r="M114" s="264" t="s">
        <v>220</v>
      </c>
      <c r="N114" s="162">
        <f>'2.виды ремонта'!C102</f>
        <v>8744790</v>
      </c>
      <c r="O114" s="234">
        <v>0</v>
      </c>
      <c r="P114" s="234">
        <f>'2.виды ремонта'!E102*1695000</f>
        <v>6780000</v>
      </c>
      <c r="Q114" s="234">
        <v>0</v>
      </c>
      <c r="R114" s="234">
        <f t="shared" si="6"/>
        <v>1964790</v>
      </c>
      <c r="S114" s="234">
        <f t="shared" si="7"/>
        <v>2186197.5</v>
      </c>
      <c r="T114" s="234">
        <v>2300000</v>
      </c>
      <c r="U114" s="154" t="s">
        <v>233</v>
      </c>
      <c r="X114" s="308"/>
      <c r="Y114" s="44"/>
      <c r="Z114" s="46"/>
      <c r="AA114" s="47"/>
      <c r="AB114" s="48"/>
      <c r="AC114" s="48"/>
      <c r="AD114" s="274"/>
    </row>
    <row r="115" spans="1:30" s="50" customFormat="1" ht="37.5" customHeight="1">
      <c r="A115" s="238">
        <f t="shared" si="8"/>
        <v>9</v>
      </c>
      <c r="B115" s="227" t="s">
        <v>2213</v>
      </c>
      <c r="C115" s="228">
        <v>1986</v>
      </c>
      <c r="D115" s="263"/>
      <c r="E115" s="231" t="s">
        <v>222</v>
      </c>
      <c r="F115" s="233">
        <v>9</v>
      </c>
      <c r="G115" s="233">
        <v>1</v>
      </c>
      <c r="H115" s="234">
        <v>3615</v>
      </c>
      <c r="I115" s="235">
        <v>3288.1</v>
      </c>
      <c r="J115" s="268">
        <v>2960.6</v>
      </c>
      <c r="K115" s="265">
        <v>147</v>
      </c>
      <c r="L115" s="265">
        <f>'2.виды ремонта'!E103</f>
        <v>1</v>
      </c>
      <c r="M115" s="264" t="s">
        <v>220</v>
      </c>
      <c r="N115" s="162">
        <f>'2.виды ремонта'!C103</f>
        <v>2196940</v>
      </c>
      <c r="O115" s="234">
        <v>0</v>
      </c>
      <c r="P115" s="234">
        <f>'2.виды ремонта'!E103*1695000</f>
        <v>1695000</v>
      </c>
      <c r="Q115" s="234">
        <v>0</v>
      </c>
      <c r="R115" s="234">
        <f t="shared" si="6"/>
        <v>501940</v>
      </c>
      <c r="S115" s="234">
        <f t="shared" si="7"/>
        <v>2196940</v>
      </c>
      <c r="T115" s="234">
        <v>2300000</v>
      </c>
      <c r="U115" s="154" t="s">
        <v>233</v>
      </c>
      <c r="X115" s="308"/>
      <c r="Y115" s="44"/>
      <c r="Z115" s="46"/>
      <c r="AA115" s="47"/>
      <c r="AB115" s="48"/>
      <c r="AC115" s="48"/>
      <c r="AD115" s="274"/>
    </row>
    <row r="116" spans="1:30" s="50" customFormat="1" ht="42.75" customHeight="1">
      <c r="A116" s="1015">
        <v>10</v>
      </c>
      <c r="B116" s="1030" t="s">
        <v>2216</v>
      </c>
      <c r="C116" s="1029">
        <v>1988</v>
      </c>
      <c r="D116" s="1075"/>
      <c r="E116" s="1029" t="s">
        <v>218</v>
      </c>
      <c r="F116" s="1039">
        <v>9</v>
      </c>
      <c r="G116" s="1039">
        <v>4</v>
      </c>
      <c r="H116" s="1040">
        <v>8968</v>
      </c>
      <c r="I116" s="1041">
        <v>7841.1</v>
      </c>
      <c r="J116" s="1028">
        <v>7658.1</v>
      </c>
      <c r="K116" s="1074">
        <v>396</v>
      </c>
      <c r="L116" s="265">
        <f>'2.виды ремонта'!E104</f>
        <v>4</v>
      </c>
      <c r="M116" s="264" t="s">
        <v>220</v>
      </c>
      <c r="N116" s="162">
        <f>'2.виды ремонта'!F104</f>
        <v>8506290</v>
      </c>
      <c r="O116" s="234">
        <v>0</v>
      </c>
      <c r="P116" s="234">
        <f>'2.виды ремонта'!E104*1695000</f>
        <v>6780000</v>
      </c>
      <c r="Q116" s="234">
        <v>0</v>
      </c>
      <c r="R116" s="234">
        <f>N116-O116-P116-Q116</f>
        <v>1726290</v>
      </c>
      <c r="S116" s="234">
        <f t="shared" si="7"/>
        <v>2126572.5</v>
      </c>
      <c r="T116" s="234">
        <v>2300000</v>
      </c>
      <c r="U116" s="154" t="s">
        <v>233</v>
      </c>
      <c r="X116" s="308"/>
      <c r="Y116" s="44"/>
      <c r="Z116" s="46"/>
      <c r="AA116" s="47"/>
      <c r="AB116" s="48"/>
      <c r="AC116" s="48"/>
      <c r="AD116" s="274"/>
    </row>
    <row r="117" spans="1:30" s="50" customFormat="1" ht="36.75" customHeight="1">
      <c r="A117" s="1015"/>
      <c r="B117" s="1030"/>
      <c r="C117" s="1029"/>
      <c r="D117" s="1075"/>
      <c r="E117" s="1029"/>
      <c r="F117" s="1039"/>
      <c r="G117" s="1039"/>
      <c r="H117" s="1040"/>
      <c r="I117" s="1041"/>
      <c r="J117" s="1028"/>
      <c r="K117" s="1074"/>
      <c r="L117" s="265">
        <f>'2.виды ремонта'!G104</f>
        <v>1288</v>
      </c>
      <c r="M117" s="264" t="s">
        <v>33</v>
      </c>
      <c r="N117" s="162">
        <f>'2.виды ремонта'!H104</f>
        <v>2596547</v>
      </c>
      <c r="O117" s="234">
        <v>0</v>
      </c>
      <c r="P117" s="234">
        <v>0</v>
      </c>
      <c r="Q117" s="234">
        <v>0</v>
      </c>
      <c r="R117" s="234">
        <f t="shared" si="6"/>
        <v>2596547</v>
      </c>
      <c r="S117" s="257">
        <f t="shared" si="7"/>
        <v>2015.9526397515529</v>
      </c>
      <c r="T117" s="234">
        <v>3564.43</v>
      </c>
      <c r="U117" s="154" t="s">
        <v>233</v>
      </c>
      <c r="X117" s="308"/>
      <c r="Y117" s="44"/>
      <c r="Z117" s="46"/>
      <c r="AA117" s="47"/>
      <c r="AB117" s="48"/>
      <c r="AC117" s="48"/>
      <c r="AD117" s="274"/>
    </row>
    <row r="118" spans="1:30" s="50" customFormat="1" ht="37.5" customHeight="1">
      <c r="A118" s="238">
        <v>11</v>
      </c>
      <c r="B118" s="227" t="s">
        <v>2230</v>
      </c>
      <c r="C118" s="228">
        <v>1987</v>
      </c>
      <c r="D118" s="263"/>
      <c r="E118" s="231" t="s">
        <v>222</v>
      </c>
      <c r="F118" s="233">
        <v>9</v>
      </c>
      <c r="G118" s="233">
        <v>2</v>
      </c>
      <c r="H118" s="234">
        <v>4282</v>
      </c>
      <c r="I118" s="235">
        <v>4085.4</v>
      </c>
      <c r="J118" s="268">
        <v>3696.5</v>
      </c>
      <c r="K118" s="265">
        <v>188</v>
      </c>
      <c r="L118" s="265">
        <f>'2.виды ремонта'!E105</f>
        <v>2</v>
      </c>
      <c r="M118" s="264" t="s">
        <v>220</v>
      </c>
      <c r="N118" s="162">
        <f>'2.виды ремонта'!C105</f>
        <v>4393510</v>
      </c>
      <c r="O118" s="234">
        <v>0</v>
      </c>
      <c r="P118" s="234">
        <f>'2.виды ремонта'!E105*1695000</f>
        <v>3390000</v>
      </c>
      <c r="Q118" s="234">
        <v>0</v>
      </c>
      <c r="R118" s="234">
        <f t="shared" si="6"/>
        <v>1003510</v>
      </c>
      <c r="S118" s="234">
        <f t="shared" ref="S118:S125" si="9">N118/L118</f>
        <v>2196755</v>
      </c>
      <c r="T118" s="234">
        <v>2300000</v>
      </c>
      <c r="U118" s="154" t="s">
        <v>233</v>
      </c>
      <c r="X118" s="308"/>
      <c r="Y118" s="44"/>
      <c r="Z118" s="46"/>
      <c r="AA118" s="47"/>
      <c r="AB118" s="48"/>
      <c r="AC118" s="48"/>
      <c r="AD118" s="274"/>
    </row>
    <row r="119" spans="1:30" s="50" customFormat="1" ht="37.5" customHeight="1">
      <c r="A119" s="238">
        <f t="shared" si="8"/>
        <v>12</v>
      </c>
      <c r="B119" s="227" t="s">
        <v>2231</v>
      </c>
      <c r="C119" s="228">
        <v>1985</v>
      </c>
      <c r="D119" s="263"/>
      <c r="E119" s="231" t="s">
        <v>222</v>
      </c>
      <c r="F119" s="233">
        <v>9</v>
      </c>
      <c r="G119" s="233">
        <v>1</v>
      </c>
      <c r="H119" s="234">
        <v>4289</v>
      </c>
      <c r="I119" s="235">
        <v>3939.8</v>
      </c>
      <c r="J119" s="268">
        <v>3831.2</v>
      </c>
      <c r="K119" s="265">
        <v>190</v>
      </c>
      <c r="L119" s="265">
        <f>'2.виды ремонта'!E106</f>
        <v>1</v>
      </c>
      <c r="M119" s="264" t="s">
        <v>220</v>
      </c>
      <c r="N119" s="162">
        <f>'2.виды ремонта'!C106</f>
        <v>2184600</v>
      </c>
      <c r="O119" s="234">
        <v>0</v>
      </c>
      <c r="P119" s="234">
        <f>'2.виды ремонта'!E106*1695000</f>
        <v>1695000</v>
      </c>
      <c r="Q119" s="234">
        <v>0</v>
      </c>
      <c r="R119" s="234">
        <f t="shared" si="6"/>
        <v>489600</v>
      </c>
      <c r="S119" s="234">
        <f t="shared" si="9"/>
        <v>2184600</v>
      </c>
      <c r="T119" s="234">
        <v>2300000</v>
      </c>
      <c r="U119" s="154" t="s">
        <v>233</v>
      </c>
      <c r="X119" s="308"/>
      <c r="Y119" s="44"/>
      <c r="Z119" s="46"/>
      <c r="AA119" s="47"/>
      <c r="AB119" s="48"/>
      <c r="AC119" s="48"/>
      <c r="AD119" s="274"/>
    </row>
    <row r="120" spans="1:30" s="50" customFormat="1" ht="37.5" customHeight="1">
      <c r="A120" s="238">
        <f t="shared" si="8"/>
        <v>13</v>
      </c>
      <c r="B120" s="227" t="s">
        <v>2232</v>
      </c>
      <c r="C120" s="228">
        <v>1983</v>
      </c>
      <c r="D120" s="263"/>
      <c r="E120" s="231" t="s">
        <v>222</v>
      </c>
      <c r="F120" s="233">
        <v>9</v>
      </c>
      <c r="G120" s="233">
        <v>5</v>
      </c>
      <c r="H120" s="234">
        <v>11719</v>
      </c>
      <c r="I120" s="235">
        <v>8330</v>
      </c>
      <c r="J120" s="268">
        <v>7734</v>
      </c>
      <c r="K120" s="265">
        <v>365</v>
      </c>
      <c r="L120" s="265">
        <f>'2.виды ремонта'!E107</f>
        <v>4</v>
      </c>
      <c r="M120" s="264" t="s">
        <v>220</v>
      </c>
      <c r="N120" s="162">
        <f>'2.виды ремонта'!C107</f>
        <v>8748540</v>
      </c>
      <c r="O120" s="234">
        <v>0</v>
      </c>
      <c r="P120" s="234">
        <f>'2.виды ремонта'!E107*1695000</f>
        <v>6780000</v>
      </c>
      <c r="Q120" s="234">
        <v>0</v>
      </c>
      <c r="R120" s="234">
        <f t="shared" si="6"/>
        <v>1968540</v>
      </c>
      <c r="S120" s="234">
        <f t="shared" si="9"/>
        <v>2187135</v>
      </c>
      <c r="T120" s="234">
        <v>2300000</v>
      </c>
      <c r="U120" s="154" t="s">
        <v>233</v>
      </c>
      <c r="X120" s="308"/>
      <c r="Y120" s="44"/>
      <c r="Z120" s="46"/>
      <c r="AA120" s="47"/>
      <c r="AB120" s="48"/>
      <c r="AC120" s="48"/>
      <c r="AD120" s="274"/>
    </row>
    <row r="121" spans="1:30" s="50" customFormat="1" ht="37.5" customHeight="1">
      <c r="A121" s="238">
        <f t="shared" si="8"/>
        <v>14</v>
      </c>
      <c r="B121" s="227" t="s">
        <v>2233</v>
      </c>
      <c r="C121" s="228">
        <v>1984</v>
      </c>
      <c r="D121" s="263"/>
      <c r="E121" s="231" t="s">
        <v>222</v>
      </c>
      <c r="F121" s="233">
        <v>9</v>
      </c>
      <c r="G121" s="233">
        <v>5</v>
      </c>
      <c r="H121" s="234">
        <v>11232</v>
      </c>
      <c r="I121" s="235">
        <v>9990.4</v>
      </c>
      <c r="J121" s="268">
        <v>9331.2999999999993</v>
      </c>
      <c r="K121" s="265">
        <v>425</v>
      </c>
      <c r="L121" s="265">
        <f>'2.виды ремонта'!E108</f>
        <v>5</v>
      </c>
      <c r="M121" s="264" t="s">
        <v>220</v>
      </c>
      <c r="N121" s="162">
        <f>'2.виды ремонта'!C108</f>
        <v>10877080</v>
      </c>
      <c r="O121" s="234">
        <v>0</v>
      </c>
      <c r="P121" s="234">
        <f>'2.виды ремонта'!E108*1695000</f>
        <v>8475000</v>
      </c>
      <c r="Q121" s="234">
        <v>0</v>
      </c>
      <c r="R121" s="234">
        <f t="shared" si="6"/>
        <v>2402080</v>
      </c>
      <c r="S121" s="234">
        <f t="shared" si="9"/>
        <v>2175416</v>
      </c>
      <c r="T121" s="234">
        <v>2300000</v>
      </c>
      <c r="U121" s="154" t="s">
        <v>233</v>
      </c>
      <c r="X121" s="308"/>
      <c r="Y121" s="44"/>
      <c r="Z121" s="46"/>
      <c r="AA121" s="47"/>
      <c r="AB121" s="48"/>
      <c r="AC121" s="48"/>
      <c r="AD121" s="274"/>
    </row>
    <row r="122" spans="1:30" s="49" customFormat="1" ht="37.5" customHeight="1">
      <c r="A122" s="238">
        <f t="shared" si="8"/>
        <v>15</v>
      </c>
      <c r="B122" s="229" t="s">
        <v>3856</v>
      </c>
      <c r="C122" s="228">
        <v>1984</v>
      </c>
      <c r="D122" s="227"/>
      <c r="E122" s="229" t="s">
        <v>222</v>
      </c>
      <c r="F122" s="233">
        <v>9</v>
      </c>
      <c r="G122" s="233">
        <v>4</v>
      </c>
      <c r="H122" s="234">
        <v>13425.6</v>
      </c>
      <c r="I122" s="235">
        <v>8789</v>
      </c>
      <c r="J122" s="235">
        <v>8645</v>
      </c>
      <c r="K122" s="233">
        <v>417</v>
      </c>
      <c r="L122" s="265">
        <f>'2.виды ремонта'!E109</f>
        <v>4</v>
      </c>
      <c r="M122" s="226" t="s">
        <v>220</v>
      </c>
      <c r="N122" s="162">
        <f>'2.виды ремонта'!C109</f>
        <v>8645210</v>
      </c>
      <c r="O122" s="234">
        <v>0</v>
      </c>
      <c r="P122" s="234">
        <f>'2.виды ремонта'!E109*1695000</f>
        <v>6780000</v>
      </c>
      <c r="Q122" s="234">
        <v>0</v>
      </c>
      <c r="R122" s="234">
        <f>N122-O122-P122-Q122</f>
        <v>1865210</v>
      </c>
      <c r="S122" s="234">
        <f t="shared" si="9"/>
        <v>2161302.5</v>
      </c>
      <c r="T122" s="234">
        <v>2300000</v>
      </c>
      <c r="U122" s="154" t="s">
        <v>233</v>
      </c>
      <c r="V122" s="57"/>
      <c r="W122" s="50"/>
      <c r="X122" s="308"/>
      <c r="Y122" s="44"/>
      <c r="Z122" s="46"/>
      <c r="AA122" s="47"/>
      <c r="AB122" s="48"/>
      <c r="AC122" s="48"/>
    </row>
    <row r="123" spans="1:30" s="49" customFormat="1" ht="37.5" customHeight="1">
      <c r="A123" s="238">
        <f t="shared" si="8"/>
        <v>16</v>
      </c>
      <c r="B123" s="227" t="s">
        <v>3857</v>
      </c>
      <c r="C123" s="237">
        <v>1971</v>
      </c>
      <c r="D123" s="227"/>
      <c r="E123" s="228" t="s">
        <v>222</v>
      </c>
      <c r="F123" s="260">
        <v>9</v>
      </c>
      <c r="G123" s="182">
        <v>6</v>
      </c>
      <c r="H123" s="234">
        <v>17190.099999999999</v>
      </c>
      <c r="I123" s="235">
        <v>12642.8</v>
      </c>
      <c r="J123" s="230">
        <v>12367.8</v>
      </c>
      <c r="K123" s="232">
        <v>544</v>
      </c>
      <c r="L123" s="265">
        <f>'2.виды ремонта'!E110</f>
        <v>2</v>
      </c>
      <c r="M123" s="226" t="s">
        <v>220</v>
      </c>
      <c r="N123" s="162">
        <f>'2.виды ремонта'!C110</f>
        <v>4316180</v>
      </c>
      <c r="O123" s="234">
        <v>0</v>
      </c>
      <c r="P123" s="234">
        <f>'2.виды ремонта'!E110*1695000</f>
        <v>3390000</v>
      </c>
      <c r="Q123" s="234">
        <v>0</v>
      </c>
      <c r="R123" s="234">
        <f>N123-O123-P123-Q123</f>
        <v>926180</v>
      </c>
      <c r="S123" s="234">
        <f t="shared" si="9"/>
        <v>2158090</v>
      </c>
      <c r="T123" s="234">
        <v>2300000</v>
      </c>
      <c r="U123" s="154" t="s">
        <v>233</v>
      </c>
      <c r="V123" s="57"/>
      <c r="W123" s="50"/>
      <c r="X123" s="308"/>
      <c r="Y123" s="44"/>
      <c r="Z123" s="46"/>
      <c r="AA123" s="47"/>
      <c r="AB123" s="48"/>
      <c r="AC123" s="48"/>
    </row>
    <row r="124" spans="1:30" s="49" customFormat="1" ht="37.5" customHeight="1">
      <c r="A124" s="238">
        <f t="shared" si="8"/>
        <v>17</v>
      </c>
      <c r="B124" s="227" t="s">
        <v>3858</v>
      </c>
      <c r="C124" s="237">
        <v>1981</v>
      </c>
      <c r="D124" s="227"/>
      <c r="E124" s="228" t="s">
        <v>222</v>
      </c>
      <c r="F124" s="260">
        <v>9</v>
      </c>
      <c r="G124" s="182">
        <v>4</v>
      </c>
      <c r="H124" s="234">
        <v>9266.6</v>
      </c>
      <c r="I124" s="230">
        <v>8641</v>
      </c>
      <c r="J124" s="230">
        <v>7060.9</v>
      </c>
      <c r="K124" s="232">
        <v>362</v>
      </c>
      <c r="L124" s="265">
        <f>'2.виды ремонта'!E111</f>
        <v>3</v>
      </c>
      <c r="M124" s="226" t="s">
        <v>220</v>
      </c>
      <c r="N124" s="162">
        <f>'2.виды ремонта'!C111</f>
        <v>6469720</v>
      </c>
      <c r="O124" s="234">
        <v>0</v>
      </c>
      <c r="P124" s="234">
        <f>'2.виды ремонта'!E111*1695000</f>
        <v>5085000</v>
      </c>
      <c r="Q124" s="234">
        <v>0</v>
      </c>
      <c r="R124" s="234">
        <f>N124-O124-P124-Q124</f>
        <v>1384720</v>
      </c>
      <c r="S124" s="234">
        <f t="shared" si="9"/>
        <v>2156573.3333333335</v>
      </c>
      <c r="T124" s="234">
        <v>2300000</v>
      </c>
      <c r="U124" s="154" t="s">
        <v>233</v>
      </c>
      <c r="V124" s="57"/>
      <c r="W124" s="50"/>
      <c r="X124" s="308"/>
      <c r="Y124" s="44"/>
      <c r="Z124" s="46"/>
      <c r="AA124" s="47"/>
      <c r="AB124" s="48"/>
      <c r="AC124" s="48"/>
    </row>
    <row r="125" spans="1:30" s="49" customFormat="1" ht="37.5" customHeight="1">
      <c r="A125" s="238">
        <f t="shared" si="8"/>
        <v>18</v>
      </c>
      <c r="B125" s="227" t="s">
        <v>3859</v>
      </c>
      <c r="C125" s="228">
        <v>1981</v>
      </c>
      <c r="D125" s="227"/>
      <c r="E125" s="228" t="s">
        <v>222</v>
      </c>
      <c r="F125" s="258">
        <v>9</v>
      </c>
      <c r="G125" s="183">
        <v>4</v>
      </c>
      <c r="H125" s="234">
        <v>9010.9</v>
      </c>
      <c r="I125" s="235">
        <v>8467.9</v>
      </c>
      <c r="J125" s="235">
        <v>7491.8</v>
      </c>
      <c r="K125" s="233">
        <v>363</v>
      </c>
      <c r="L125" s="265">
        <f>'2.виды ремонта'!E112</f>
        <v>2</v>
      </c>
      <c r="M125" s="226" t="s">
        <v>220</v>
      </c>
      <c r="N125" s="162">
        <f>'2.виды ремонта'!C112</f>
        <v>4319110</v>
      </c>
      <c r="O125" s="234">
        <v>0</v>
      </c>
      <c r="P125" s="234">
        <f>'2.виды ремонта'!E112*1695000</f>
        <v>3390000</v>
      </c>
      <c r="Q125" s="234">
        <v>0</v>
      </c>
      <c r="R125" s="234">
        <f>N125-O125-P125-Q125</f>
        <v>929110</v>
      </c>
      <c r="S125" s="234">
        <f t="shared" si="9"/>
        <v>2159555</v>
      </c>
      <c r="T125" s="234">
        <v>2300000</v>
      </c>
      <c r="U125" s="154" t="s">
        <v>233</v>
      </c>
      <c r="V125" s="57"/>
      <c r="W125" s="50"/>
      <c r="X125" s="308"/>
      <c r="Y125" s="44"/>
      <c r="Z125" s="46"/>
      <c r="AA125" s="47"/>
      <c r="AB125" s="48"/>
      <c r="AC125" s="48"/>
    </row>
    <row r="126" spans="1:30" s="49" customFormat="1" ht="37.5" customHeight="1">
      <c r="A126" s="238">
        <f t="shared" si="8"/>
        <v>19</v>
      </c>
      <c r="B126" s="227" t="s">
        <v>3122</v>
      </c>
      <c r="C126" s="237">
        <v>1987</v>
      </c>
      <c r="D126" s="227"/>
      <c r="E126" s="227" t="s">
        <v>222</v>
      </c>
      <c r="F126" s="260">
        <v>9</v>
      </c>
      <c r="G126" s="184">
        <v>7</v>
      </c>
      <c r="H126" s="225">
        <v>17051</v>
      </c>
      <c r="I126" s="230">
        <v>14694.3</v>
      </c>
      <c r="J126" s="230">
        <v>12206.3</v>
      </c>
      <c r="K126" s="232">
        <v>599</v>
      </c>
      <c r="L126" s="265">
        <f>'2.виды ремонта'!E113</f>
        <v>5</v>
      </c>
      <c r="M126" s="226" t="s">
        <v>220</v>
      </c>
      <c r="N126" s="162">
        <f>'2.виды ремонта'!C113</f>
        <v>10642760</v>
      </c>
      <c r="O126" s="234">
        <v>0</v>
      </c>
      <c r="P126" s="234">
        <f>'2.виды ремонта'!E113*1695000</f>
        <v>8475000</v>
      </c>
      <c r="Q126" s="234">
        <v>0</v>
      </c>
      <c r="R126" s="234">
        <f>N126-O126-P126-Q126</f>
        <v>2167760</v>
      </c>
      <c r="S126" s="234">
        <f>N126/L126</f>
        <v>2128552</v>
      </c>
      <c r="T126" s="234">
        <v>2300000</v>
      </c>
      <c r="U126" s="154" t="s">
        <v>233</v>
      </c>
      <c r="V126" s="57"/>
      <c r="W126" s="50"/>
      <c r="X126" s="308"/>
      <c r="Y126" s="44"/>
      <c r="Z126" s="46"/>
      <c r="AA126" s="47"/>
      <c r="AB126" s="48"/>
      <c r="AC126" s="48"/>
    </row>
    <row r="127" spans="1:30" s="50" customFormat="1" ht="27" customHeight="1">
      <c r="A127" s="238"/>
      <c r="B127" s="227" t="s">
        <v>3953</v>
      </c>
      <c r="C127" s="229" t="s">
        <v>28</v>
      </c>
      <c r="D127" s="229" t="s">
        <v>28</v>
      </c>
      <c r="E127" s="227" t="s">
        <v>28</v>
      </c>
      <c r="F127" s="259" t="s">
        <v>28</v>
      </c>
      <c r="G127" s="259" t="s">
        <v>28</v>
      </c>
      <c r="H127" s="234">
        <f>SUM(H106:H126)</f>
        <v>188773.2</v>
      </c>
      <c r="I127" s="235">
        <f>SUM(I106:I126)</f>
        <v>159166.12999999998</v>
      </c>
      <c r="J127" s="235">
        <f>SUM(J106:J126)</f>
        <v>146244.79999999999</v>
      </c>
      <c r="K127" s="233">
        <f>SUM(K106:K126)</f>
        <v>7631</v>
      </c>
      <c r="L127" s="233" t="s">
        <v>28</v>
      </c>
      <c r="M127" s="238" t="s">
        <v>28</v>
      </c>
      <c r="N127" s="234">
        <f>SUM(N106:N126)</f>
        <v>138124956</v>
      </c>
      <c r="O127" s="234">
        <f>SUM(O106:O126)</f>
        <v>0</v>
      </c>
      <c r="P127" s="234">
        <f>SUM(P106:P126)</f>
        <v>103395000</v>
      </c>
      <c r="Q127" s="234">
        <f>SUM(Q106:Q126)</f>
        <v>0</v>
      </c>
      <c r="R127" s="234">
        <f>SUM(R106:R126)</f>
        <v>34729956</v>
      </c>
      <c r="S127" s="234" t="s">
        <v>28</v>
      </c>
      <c r="T127" s="234" t="s">
        <v>28</v>
      </c>
      <c r="U127" s="259" t="s">
        <v>233</v>
      </c>
      <c r="W127" s="58"/>
      <c r="Y127" s="44"/>
      <c r="Z127" s="46"/>
      <c r="AA127" s="47"/>
      <c r="AB127" s="48"/>
      <c r="AC127" s="48"/>
      <c r="AD127" s="274"/>
    </row>
    <row r="128" spans="1:30" s="50" customFormat="1" ht="37.5" customHeight="1">
      <c r="A128" s="238">
        <v>20</v>
      </c>
      <c r="B128" s="227" t="s">
        <v>2140</v>
      </c>
      <c r="C128" s="228">
        <v>1961</v>
      </c>
      <c r="D128" s="263"/>
      <c r="E128" s="231" t="s">
        <v>222</v>
      </c>
      <c r="F128" s="233">
        <v>5</v>
      </c>
      <c r="G128" s="233">
        <v>4</v>
      </c>
      <c r="H128" s="234">
        <v>2557</v>
      </c>
      <c r="I128" s="235">
        <v>1720</v>
      </c>
      <c r="J128" s="235">
        <v>1720</v>
      </c>
      <c r="K128" s="265">
        <v>150</v>
      </c>
      <c r="L128" s="233">
        <f>H128-I128</f>
        <v>837</v>
      </c>
      <c r="M128" s="264" t="s">
        <v>225</v>
      </c>
      <c r="N128" s="162">
        <f>'2.виды ремонта'!C114</f>
        <v>1462125.6600000001</v>
      </c>
      <c r="O128" s="234">
        <v>0</v>
      </c>
      <c r="P128" s="234">
        <v>0</v>
      </c>
      <c r="Q128" s="234">
        <v>0</v>
      </c>
      <c r="R128" s="234">
        <f t="shared" ref="R128:R182" si="10">N128</f>
        <v>1462125.6600000001</v>
      </c>
      <c r="S128" s="234">
        <f>N128/L128</f>
        <v>1746.8645878136203</v>
      </c>
      <c r="T128" s="234">
        <v>3654.29</v>
      </c>
      <c r="U128" s="154" t="s">
        <v>233</v>
      </c>
      <c r="W128" s="58"/>
      <c r="Y128" s="44"/>
      <c r="Z128" s="46"/>
      <c r="AA128" s="47"/>
      <c r="AB128" s="48"/>
      <c r="AC128" s="48"/>
      <c r="AD128" s="274"/>
    </row>
    <row r="129" spans="1:30" s="50" customFormat="1" ht="37.5" customHeight="1">
      <c r="A129" s="238">
        <f t="shared" ref="A129:A184" si="11">A128+1</f>
        <v>21</v>
      </c>
      <c r="B129" s="185" t="s">
        <v>1228</v>
      </c>
      <c r="C129" s="228">
        <v>1969</v>
      </c>
      <c r="D129" s="228"/>
      <c r="E129" s="228" t="s">
        <v>222</v>
      </c>
      <c r="F129" s="258">
        <v>5</v>
      </c>
      <c r="G129" s="258">
        <v>2</v>
      </c>
      <c r="H129" s="234">
        <v>1892</v>
      </c>
      <c r="I129" s="235">
        <v>1782</v>
      </c>
      <c r="J129" s="235">
        <v>1356</v>
      </c>
      <c r="K129" s="233">
        <v>61</v>
      </c>
      <c r="L129" s="233">
        <f>'2.виды ремонта'!O115</f>
        <v>1235</v>
      </c>
      <c r="M129" s="238" t="s">
        <v>227</v>
      </c>
      <c r="N129" s="162">
        <f>'2.виды ремонта'!C115</f>
        <v>3319856</v>
      </c>
      <c r="O129" s="161">
        <v>0</v>
      </c>
      <c r="P129" s="161">
        <v>0</v>
      </c>
      <c r="Q129" s="161">
        <v>0</v>
      </c>
      <c r="R129" s="234">
        <f t="shared" si="10"/>
        <v>3319856</v>
      </c>
      <c r="S129" s="234">
        <f>N129/L129</f>
        <v>2688.1425101214577</v>
      </c>
      <c r="T129" s="234">
        <v>3659.53</v>
      </c>
      <c r="U129" s="154" t="s">
        <v>233</v>
      </c>
      <c r="Y129" s="44"/>
      <c r="Z129" s="46"/>
      <c r="AA129" s="47"/>
      <c r="AB129" s="48"/>
      <c r="AC129" s="48"/>
      <c r="AD129" s="274"/>
    </row>
    <row r="130" spans="1:30" s="50" customFormat="1" ht="37.5" customHeight="1">
      <c r="A130" s="238">
        <f t="shared" si="11"/>
        <v>22</v>
      </c>
      <c r="B130" s="228" t="s">
        <v>2141</v>
      </c>
      <c r="C130" s="228">
        <v>1995</v>
      </c>
      <c r="D130" s="228"/>
      <c r="E130" s="227" t="s">
        <v>222</v>
      </c>
      <c r="F130" s="258">
        <v>5</v>
      </c>
      <c r="G130" s="258">
        <v>2</v>
      </c>
      <c r="H130" s="234">
        <v>1393</v>
      </c>
      <c r="I130" s="235">
        <v>1114.4000000000001</v>
      </c>
      <c r="J130" s="235">
        <v>1114.4000000000001</v>
      </c>
      <c r="K130" s="233">
        <v>75</v>
      </c>
      <c r="L130" s="233">
        <f>'2.виды ремонта'!G116</f>
        <v>870</v>
      </c>
      <c r="M130" s="226" t="s">
        <v>33</v>
      </c>
      <c r="N130" s="162">
        <f>'2.виды ремонта'!C116</f>
        <v>993601</v>
      </c>
      <c r="O130" s="161">
        <v>0</v>
      </c>
      <c r="P130" s="161">
        <v>0</v>
      </c>
      <c r="Q130" s="161">
        <v>0</v>
      </c>
      <c r="R130" s="234">
        <f t="shared" si="10"/>
        <v>993601</v>
      </c>
      <c r="S130" s="257">
        <f t="shared" ref="S130:S135" si="12">N130/L130</f>
        <v>1142.0701149425288</v>
      </c>
      <c r="T130" s="234">
        <v>3564.43</v>
      </c>
      <c r="U130" s="154" t="s">
        <v>233</v>
      </c>
      <c r="W130" s="54"/>
      <c r="Y130" s="44"/>
      <c r="Z130" s="46"/>
      <c r="AA130" s="47"/>
      <c r="AB130" s="48"/>
      <c r="AC130" s="48"/>
      <c r="AD130" s="274"/>
    </row>
    <row r="131" spans="1:30" s="50" customFormat="1" ht="37.5" customHeight="1">
      <c r="A131" s="238">
        <f t="shared" si="11"/>
        <v>23</v>
      </c>
      <c r="B131" s="227" t="s">
        <v>2142</v>
      </c>
      <c r="C131" s="228">
        <v>1967</v>
      </c>
      <c r="D131" s="263"/>
      <c r="E131" s="231" t="s">
        <v>222</v>
      </c>
      <c r="F131" s="233">
        <v>5</v>
      </c>
      <c r="G131" s="233">
        <v>8</v>
      </c>
      <c r="H131" s="234">
        <v>5069</v>
      </c>
      <c r="I131" s="235">
        <v>4188</v>
      </c>
      <c r="J131" s="268">
        <v>4188</v>
      </c>
      <c r="K131" s="265">
        <v>303</v>
      </c>
      <c r="L131" s="233">
        <f>'2.виды ремонта'!G117</f>
        <v>1760</v>
      </c>
      <c r="M131" s="264" t="s">
        <v>33</v>
      </c>
      <c r="N131" s="162">
        <f>'2.виды ремонта'!C117</f>
        <v>4268972</v>
      </c>
      <c r="O131" s="234">
        <v>0</v>
      </c>
      <c r="P131" s="234">
        <v>0</v>
      </c>
      <c r="Q131" s="234">
        <v>0</v>
      </c>
      <c r="R131" s="234">
        <f t="shared" si="10"/>
        <v>4268972</v>
      </c>
      <c r="S131" s="257">
        <f t="shared" si="12"/>
        <v>2425.5522727272728</v>
      </c>
      <c r="T131" s="234">
        <v>3564.43</v>
      </c>
      <c r="U131" s="154" t="s">
        <v>233</v>
      </c>
      <c r="W131" s="54"/>
      <c r="Y131" s="44"/>
      <c r="Z131" s="46"/>
      <c r="AA131" s="47"/>
      <c r="AB131" s="48"/>
      <c r="AC131" s="48"/>
      <c r="AD131" s="274"/>
    </row>
    <row r="132" spans="1:30" s="50" customFormat="1" ht="37.5" customHeight="1">
      <c r="A132" s="238">
        <f t="shared" si="11"/>
        <v>24</v>
      </c>
      <c r="B132" s="227" t="s">
        <v>2143</v>
      </c>
      <c r="C132" s="228">
        <v>1992</v>
      </c>
      <c r="D132" s="263"/>
      <c r="E132" s="231" t="s">
        <v>222</v>
      </c>
      <c r="F132" s="233">
        <v>5</v>
      </c>
      <c r="G132" s="233">
        <v>6</v>
      </c>
      <c r="H132" s="234">
        <v>4832</v>
      </c>
      <c r="I132" s="235">
        <v>4341</v>
      </c>
      <c r="J132" s="268">
        <v>4341</v>
      </c>
      <c r="K132" s="265">
        <v>202</v>
      </c>
      <c r="L132" s="233">
        <f>'2.виды ремонта'!G118</f>
        <v>1392</v>
      </c>
      <c r="M132" s="264" t="s">
        <v>33</v>
      </c>
      <c r="N132" s="162">
        <f>'2.виды ремонта'!C118</f>
        <v>3382705</v>
      </c>
      <c r="O132" s="234">
        <v>0</v>
      </c>
      <c r="P132" s="234">
        <v>0</v>
      </c>
      <c r="Q132" s="234">
        <v>0</v>
      </c>
      <c r="R132" s="234">
        <f t="shared" si="10"/>
        <v>3382705</v>
      </c>
      <c r="S132" s="257">
        <f t="shared" si="12"/>
        <v>2430.1041666666665</v>
      </c>
      <c r="T132" s="234">
        <v>3564.43</v>
      </c>
      <c r="U132" s="154" t="s">
        <v>233</v>
      </c>
      <c r="W132" s="54"/>
      <c r="Y132" s="44"/>
      <c r="Z132" s="46"/>
      <c r="AA132" s="47"/>
      <c r="AB132" s="48"/>
      <c r="AC132" s="48"/>
      <c r="AD132" s="274"/>
    </row>
    <row r="133" spans="1:30" s="50" customFormat="1" ht="37.5" customHeight="1">
      <c r="A133" s="238">
        <f t="shared" si="11"/>
        <v>25</v>
      </c>
      <c r="B133" s="227" t="s">
        <v>2144</v>
      </c>
      <c r="C133" s="228">
        <v>1969</v>
      </c>
      <c r="D133" s="263"/>
      <c r="E133" s="231" t="s">
        <v>222</v>
      </c>
      <c r="F133" s="233">
        <v>5</v>
      </c>
      <c r="G133" s="233">
        <v>4</v>
      </c>
      <c r="H133" s="234">
        <v>3426</v>
      </c>
      <c r="I133" s="235">
        <v>3143</v>
      </c>
      <c r="J133" s="268">
        <v>3016</v>
      </c>
      <c r="K133" s="265">
        <v>160</v>
      </c>
      <c r="L133" s="233">
        <f>'2.виды ремонта'!G119</f>
        <v>972</v>
      </c>
      <c r="M133" s="264" t="s">
        <v>33</v>
      </c>
      <c r="N133" s="162">
        <f>'2.виды ремонта'!C119</f>
        <v>2211884</v>
      </c>
      <c r="O133" s="234">
        <v>0</v>
      </c>
      <c r="P133" s="234">
        <v>0</v>
      </c>
      <c r="Q133" s="234">
        <v>0</v>
      </c>
      <c r="R133" s="234">
        <f t="shared" si="10"/>
        <v>2211884</v>
      </c>
      <c r="S133" s="257">
        <f t="shared" si="12"/>
        <v>2275.6008230452676</v>
      </c>
      <c r="T133" s="234">
        <v>3564.43</v>
      </c>
      <c r="U133" s="154" t="s">
        <v>233</v>
      </c>
      <c r="W133" s="54"/>
      <c r="Y133" s="44"/>
      <c r="Z133" s="46"/>
      <c r="AA133" s="47"/>
      <c r="AB133" s="48"/>
      <c r="AC133" s="48"/>
      <c r="AD133" s="274"/>
    </row>
    <row r="134" spans="1:30" s="50" customFormat="1" ht="37.5" customHeight="1">
      <c r="A134" s="238">
        <f t="shared" si="11"/>
        <v>26</v>
      </c>
      <c r="B134" s="227" t="s">
        <v>2146</v>
      </c>
      <c r="C134" s="228">
        <v>1993</v>
      </c>
      <c r="D134" s="263"/>
      <c r="E134" s="231" t="s">
        <v>222</v>
      </c>
      <c r="F134" s="233">
        <v>5</v>
      </c>
      <c r="G134" s="233">
        <v>4</v>
      </c>
      <c r="H134" s="234">
        <v>3010</v>
      </c>
      <c r="I134" s="235">
        <v>2698</v>
      </c>
      <c r="J134" s="268">
        <v>2636</v>
      </c>
      <c r="K134" s="265">
        <v>131</v>
      </c>
      <c r="L134" s="233">
        <f>'2.виды ремонта'!G120</f>
        <v>900</v>
      </c>
      <c r="M134" s="264" t="s">
        <v>33</v>
      </c>
      <c r="N134" s="162">
        <f>'2.виды ремонта'!C120</f>
        <v>1954692</v>
      </c>
      <c r="O134" s="234">
        <v>0</v>
      </c>
      <c r="P134" s="234">
        <v>0</v>
      </c>
      <c r="Q134" s="234">
        <v>0</v>
      </c>
      <c r="R134" s="234">
        <f t="shared" si="10"/>
        <v>1954692</v>
      </c>
      <c r="S134" s="257">
        <f t="shared" si="12"/>
        <v>2171.88</v>
      </c>
      <c r="T134" s="234">
        <v>3564.43</v>
      </c>
      <c r="U134" s="154" t="s">
        <v>233</v>
      </c>
      <c r="W134" s="54"/>
      <c r="Y134" s="44"/>
      <c r="Z134" s="46"/>
      <c r="AA134" s="47"/>
      <c r="AB134" s="48"/>
      <c r="AC134" s="48"/>
      <c r="AD134" s="274"/>
    </row>
    <row r="135" spans="1:30" s="50" customFormat="1" ht="37.5" customHeight="1">
      <c r="A135" s="238">
        <f t="shared" si="11"/>
        <v>27</v>
      </c>
      <c r="B135" s="227" t="s">
        <v>2147</v>
      </c>
      <c r="C135" s="228">
        <v>1999</v>
      </c>
      <c r="D135" s="263"/>
      <c r="E135" s="228" t="s">
        <v>218</v>
      </c>
      <c r="F135" s="233">
        <v>9</v>
      </c>
      <c r="G135" s="233">
        <v>2</v>
      </c>
      <c r="H135" s="234">
        <v>4868</v>
      </c>
      <c r="I135" s="235">
        <v>4180</v>
      </c>
      <c r="J135" s="268">
        <v>3816</v>
      </c>
      <c r="K135" s="265">
        <v>238</v>
      </c>
      <c r="L135" s="233">
        <f>'2.виды ремонта'!G121</f>
        <v>638</v>
      </c>
      <c r="M135" s="264" t="s">
        <v>33</v>
      </c>
      <c r="N135" s="162">
        <f>'2.виды ремонта'!C121</f>
        <v>1554198</v>
      </c>
      <c r="O135" s="234">
        <v>0</v>
      </c>
      <c r="P135" s="234">
        <v>0</v>
      </c>
      <c r="Q135" s="234">
        <v>0</v>
      </c>
      <c r="R135" s="234">
        <f t="shared" si="10"/>
        <v>1554198</v>
      </c>
      <c r="S135" s="257">
        <f t="shared" si="12"/>
        <v>2436.0470219435738</v>
      </c>
      <c r="T135" s="234">
        <v>3564.43</v>
      </c>
      <c r="U135" s="154" t="s">
        <v>233</v>
      </c>
      <c r="W135" s="54"/>
      <c r="Y135" s="44"/>
      <c r="Z135" s="46"/>
      <c r="AA135" s="47"/>
      <c r="AB135" s="48"/>
      <c r="AC135" s="48"/>
      <c r="AD135" s="274"/>
    </row>
    <row r="136" spans="1:30" s="50" customFormat="1" ht="37.5" customHeight="1">
      <c r="A136" s="238">
        <f t="shared" si="11"/>
        <v>28</v>
      </c>
      <c r="B136" s="227" t="s">
        <v>2148</v>
      </c>
      <c r="C136" s="228">
        <v>2006</v>
      </c>
      <c r="D136" s="263"/>
      <c r="E136" s="231" t="s">
        <v>222</v>
      </c>
      <c r="F136" s="233">
        <v>9</v>
      </c>
      <c r="G136" s="233">
        <v>3</v>
      </c>
      <c r="H136" s="234">
        <v>7147</v>
      </c>
      <c r="I136" s="235">
        <v>6550</v>
      </c>
      <c r="J136" s="268">
        <v>5398</v>
      </c>
      <c r="K136" s="265">
        <v>198</v>
      </c>
      <c r="L136" s="265">
        <f>'2.виды ремонта'!O122</f>
        <v>1576</v>
      </c>
      <c r="M136" s="264" t="s">
        <v>227</v>
      </c>
      <c r="N136" s="162">
        <f>'2.виды ремонта'!C122</f>
        <v>5648500.6500000004</v>
      </c>
      <c r="O136" s="234">
        <v>0</v>
      </c>
      <c r="P136" s="234">
        <v>0</v>
      </c>
      <c r="Q136" s="234">
        <v>0</v>
      </c>
      <c r="R136" s="234">
        <f t="shared" si="10"/>
        <v>5648500.6500000004</v>
      </c>
      <c r="S136" s="234">
        <f>N136/L136</f>
        <v>3584.0740164974623</v>
      </c>
      <c r="T136" s="234">
        <v>3659.53</v>
      </c>
      <c r="U136" s="154" t="s">
        <v>233</v>
      </c>
      <c r="W136" s="58"/>
      <c r="Y136" s="44"/>
      <c r="Z136" s="46"/>
      <c r="AA136" s="47"/>
      <c r="AB136" s="48"/>
      <c r="AC136" s="48"/>
      <c r="AD136" s="274"/>
    </row>
    <row r="137" spans="1:30" s="50" customFormat="1" ht="37.5" customHeight="1">
      <c r="A137" s="238">
        <f t="shared" si="11"/>
        <v>29</v>
      </c>
      <c r="B137" s="227" t="s">
        <v>2150</v>
      </c>
      <c r="C137" s="228">
        <v>1976</v>
      </c>
      <c r="D137" s="263"/>
      <c r="E137" s="231" t="s">
        <v>222</v>
      </c>
      <c r="F137" s="233">
        <v>5</v>
      </c>
      <c r="G137" s="233">
        <v>4</v>
      </c>
      <c r="H137" s="234">
        <v>5033</v>
      </c>
      <c r="I137" s="235">
        <v>2318.1999999999998</v>
      </c>
      <c r="J137" s="268">
        <v>2153.6</v>
      </c>
      <c r="K137" s="265">
        <v>180</v>
      </c>
      <c r="L137" s="233">
        <f>'2.виды ремонта'!G123</f>
        <v>934</v>
      </c>
      <c r="M137" s="264" t="s">
        <v>33</v>
      </c>
      <c r="N137" s="162">
        <f>'2.виды ремонта'!C123</f>
        <v>2434324</v>
      </c>
      <c r="O137" s="234">
        <v>0</v>
      </c>
      <c r="P137" s="234">
        <v>0</v>
      </c>
      <c r="Q137" s="234">
        <v>0</v>
      </c>
      <c r="R137" s="234">
        <f t="shared" si="10"/>
        <v>2434324</v>
      </c>
      <c r="S137" s="257">
        <f t="shared" ref="S137:S150" si="13">N137/L137</f>
        <v>2606.3426124197003</v>
      </c>
      <c r="T137" s="234">
        <v>3564.43</v>
      </c>
      <c r="U137" s="154" t="s">
        <v>233</v>
      </c>
      <c r="W137" s="54"/>
      <c r="Y137" s="44"/>
      <c r="Z137" s="46"/>
      <c r="AA137" s="47"/>
      <c r="AB137" s="48"/>
      <c r="AC137" s="48"/>
      <c r="AD137" s="274"/>
    </row>
    <row r="138" spans="1:30" s="50" customFormat="1" ht="37.5" customHeight="1">
      <c r="A138" s="238">
        <f t="shared" si="11"/>
        <v>30</v>
      </c>
      <c r="B138" s="227" t="s">
        <v>2151</v>
      </c>
      <c r="C138" s="228">
        <v>1991</v>
      </c>
      <c r="D138" s="263"/>
      <c r="E138" s="228" t="s">
        <v>218</v>
      </c>
      <c r="F138" s="233">
        <v>9</v>
      </c>
      <c r="G138" s="233">
        <v>3</v>
      </c>
      <c r="H138" s="234">
        <v>7045</v>
      </c>
      <c r="I138" s="235">
        <v>6047.3</v>
      </c>
      <c r="J138" s="268">
        <v>5715.8</v>
      </c>
      <c r="K138" s="265">
        <v>282</v>
      </c>
      <c r="L138" s="233">
        <f>'2.виды ремонта'!G124</f>
        <v>961</v>
      </c>
      <c r="M138" s="264" t="s">
        <v>33</v>
      </c>
      <c r="N138" s="162">
        <f>'2.виды ремонта'!C124</f>
        <v>2423345</v>
      </c>
      <c r="O138" s="234">
        <v>0</v>
      </c>
      <c r="P138" s="234">
        <v>0</v>
      </c>
      <c r="Q138" s="234">
        <v>0</v>
      </c>
      <c r="R138" s="234">
        <f t="shared" si="10"/>
        <v>2423345</v>
      </c>
      <c r="S138" s="257">
        <f t="shared" si="13"/>
        <v>2521.6909469302809</v>
      </c>
      <c r="T138" s="234">
        <v>3564.43</v>
      </c>
      <c r="U138" s="154" t="s">
        <v>233</v>
      </c>
      <c r="W138" s="54"/>
      <c r="Y138" s="44"/>
      <c r="Z138" s="46"/>
      <c r="AA138" s="47"/>
      <c r="AB138" s="48"/>
      <c r="AC138" s="48"/>
      <c r="AD138" s="274"/>
    </row>
    <row r="139" spans="1:30" s="50" customFormat="1" ht="37.5" customHeight="1">
      <c r="A139" s="238">
        <f t="shared" si="11"/>
        <v>31</v>
      </c>
      <c r="B139" s="227" t="s">
        <v>2152</v>
      </c>
      <c r="C139" s="228">
        <v>1992</v>
      </c>
      <c r="D139" s="263"/>
      <c r="E139" s="228" t="s">
        <v>218</v>
      </c>
      <c r="F139" s="233">
        <v>9</v>
      </c>
      <c r="G139" s="233">
        <v>3</v>
      </c>
      <c r="H139" s="234">
        <v>7152</v>
      </c>
      <c r="I139" s="235">
        <v>6304</v>
      </c>
      <c r="J139" s="268">
        <v>5951</v>
      </c>
      <c r="K139" s="265">
        <v>338</v>
      </c>
      <c r="L139" s="233">
        <f>'2.виды ремонта'!G125</f>
        <v>996</v>
      </c>
      <c r="M139" s="264" t="s">
        <v>33</v>
      </c>
      <c r="N139" s="162">
        <f>'2.виды ремонта'!C125</f>
        <v>2423410</v>
      </c>
      <c r="O139" s="234">
        <v>0</v>
      </c>
      <c r="P139" s="234">
        <v>0</v>
      </c>
      <c r="Q139" s="234">
        <v>0</v>
      </c>
      <c r="R139" s="234">
        <f t="shared" si="10"/>
        <v>2423410</v>
      </c>
      <c r="S139" s="257">
        <f t="shared" si="13"/>
        <v>2433.1425702811243</v>
      </c>
      <c r="T139" s="234">
        <v>3564.43</v>
      </c>
      <c r="U139" s="154" t="s">
        <v>233</v>
      </c>
      <c r="W139" s="54"/>
      <c r="Y139" s="44"/>
      <c r="Z139" s="46"/>
      <c r="AA139" s="47"/>
      <c r="AB139" s="48"/>
      <c r="AC139" s="48"/>
      <c r="AD139" s="274"/>
    </row>
    <row r="140" spans="1:30" s="50" customFormat="1" ht="37.5" customHeight="1">
      <c r="A140" s="238">
        <f t="shared" si="11"/>
        <v>32</v>
      </c>
      <c r="B140" s="227" t="s">
        <v>2153</v>
      </c>
      <c r="C140" s="228">
        <v>1970</v>
      </c>
      <c r="D140" s="263"/>
      <c r="E140" s="231" t="s">
        <v>222</v>
      </c>
      <c r="F140" s="233">
        <v>5</v>
      </c>
      <c r="G140" s="233">
        <v>4</v>
      </c>
      <c r="H140" s="234">
        <v>3087</v>
      </c>
      <c r="I140" s="235">
        <v>2817</v>
      </c>
      <c r="J140" s="268">
        <v>2817</v>
      </c>
      <c r="K140" s="265">
        <v>131</v>
      </c>
      <c r="L140" s="233">
        <f>'2.виды ремонта'!G126</f>
        <v>845</v>
      </c>
      <c r="M140" s="264" t="s">
        <v>33</v>
      </c>
      <c r="N140" s="162">
        <f>'2.виды ремонта'!C126</f>
        <v>2174446</v>
      </c>
      <c r="O140" s="234">
        <v>0</v>
      </c>
      <c r="P140" s="234">
        <v>0</v>
      </c>
      <c r="Q140" s="234">
        <v>0</v>
      </c>
      <c r="R140" s="234">
        <f t="shared" si="10"/>
        <v>2174446</v>
      </c>
      <c r="S140" s="257">
        <f t="shared" si="13"/>
        <v>2573.3088757396449</v>
      </c>
      <c r="T140" s="234">
        <v>3564.43</v>
      </c>
      <c r="U140" s="154" t="s">
        <v>233</v>
      </c>
      <c r="W140" s="54"/>
      <c r="Y140" s="44"/>
      <c r="Z140" s="46"/>
      <c r="AA140" s="47"/>
      <c r="AB140" s="48"/>
      <c r="AC140" s="48"/>
      <c r="AD140" s="274"/>
    </row>
    <row r="141" spans="1:30" s="50" customFormat="1" ht="37.5" customHeight="1">
      <c r="A141" s="238">
        <f t="shared" si="11"/>
        <v>33</v>
      </c>
      <c r="B141" s="227" t="s">
        <v>2154</v>
      </c>
      <c r="C141" s="228">
        <v>1975</v>
      </c>
      <c r="D141" s="263"/>
      <c r="E141" s="231" t="s">
        <v>222</v>
      </c>
      <c r="F141" s="233">
        <v>5</v>
      </c>
      <c r="G141" s="233">
        <v>4</v>
      </c>
      <c r="H141" s="234">
        <v>3617</v>
      </c>
      <c r="I141" s="235">
        <v>3357</v>
      </c>
      <c r="J141" s="268">
        <v>3185.1</v>
      </c>
      <c r="K141" s="265">
        <v>178</v>
      </c>
      <c r="L141" s="233">
        <f>'2.виды ремонта'!G127</f>
        <v>929</v>
      </c>
      <c r="M141" s="264" t="s">
        <v>33</v>
      </c>
      <c r="N141" s="162">
        <f>'2.виды ремонта'!C127</f>
        <v>2366139</v>
      </c>
      <c r="O141" s="234">
        <v>0</v>
      </c>
      <c r="P141" s="234">
        <v>0</v>
      </c>
      <c r="Q141" s="234">
        <v>0</v>
      </c>
      <c r="R141" s="234">
        <f t="shared" si="10"/>
        <v>2366139</v>
      </c>
      <c r="S141" s="257">
        <f t="shared" si="13"/>
        <v>2546.974165769645</v>
      </c>
      <c r="T141" s="234">
        <v>3564.43</v>
      </c>
      <c r="U141" s="154" t="s">
        <v>233</v>
      </c>
      <c r="W141" s="54"/>
      <c r="Y141" s="44"/>
      <c r="Z141" s="46"/>
      <c r="AA141" s="47"/>
      <c r="AB141" s="48"/>
      <c r="AC141" s="48"/>
      <c r="AD141" s="274"/>
    </row>
    <row r="142" spans="1:30" s="50" customFormat="1" ht="37.5" customHeight="1">
      <c r="A142" s="238">
        <f t="shared" si="11"/>
        <v>34</v>
      </c>
      <c r="B142" s="227" t="s">
        <v>2155</v>
      </c>
      <c r="C142" s="228">
        <v>1985</v>
      </c>
      <c r="D142" s="263"/>
      <c r="E142" s="231" t="s">
        <v>222</v>
      </c>
      <c r="F142" s="233">
        <v>5</v>
      </c>
      <c r="G142" s="233">
        <v>5</v>
      </c>
      <c r="H142" s="234">
        <v>3774</v>
      </c>
      <c r="I142" s="235">
        <v>3489.3</v>
      </c>
      <c r="J142" s="268">
        <v>3489.3</v>
      </c>
      <c r="K142" s="265">
        <v>194</v>
      </c>
      <c r="L142" s="233">
        <f>'2.виды ремонта'!G128</f>
        <v>1100</v>
      </c>
      <c r="M142" s="264" t="s">
        <v>33</v>
      </c>
      <c r="N142" s="162">
        <f>'2.виды ремонта'!C128</f>
        <v>2441667</v>
      </c>
      <c r="O142" s="234">
        <v>0</v>
      </c>
      <c r="P142" s="234">
        <v>0</v>
      </c>
      <c r="Q142" s="234">
        <v>0</v>
      </c>
      <c r="R142" s="234">
        <f t="shared" si="10"/>
        <v>2441667</v>
      </c>
      <c r="S142" s="257">
        <f t="shared" si="13"/>
        <v>2219.6972727272728</v>
      </c>
      <c r="T142" s="234">
        <v>3564.43</v>
      </c>
      <c r="U142" s="154" t="s">
        <v>233</v>
      </c>
      <c r="W142" s="54"/>
      <c r="Y142" s="44"/>
      <c r="Z142" s="46"/>
      <c r="AA142" s="47"/>
      <c r="AB142" s="48"/>
      <c r="AC142" s="48"/>
      <c r="AD142" s="274"/>
    </row>
    <row r="143" spans="1:30" s="50" customFormat="1" ht="37.5" customHeight="1">
      <c r="A143" s="238">
        <f t="shared" si="11"/>
        <v>35</v>
      </c>
      <c r="B143" s="227" t="s">
        <v>2156</v>
      </c>
      <c r="C143" s="228">
        <v>1986</v>
      </c>
      <c r="D143" s="263"/>
      <c r="E143" s="231" t="s">
        <v>222</v>
      </c>
      <c r="F143" s="233">
        <v>9</v>
      </c>
      <c r="G143" s="233">
        <v>1</v>
      </c>
      <c r="H143" s="234">
        <v>3605</v>
      </c>
      <c r="I143" s="235">
        <v>3272.9</v>
      </c>
      <c r="J143" s="268">
        <v>3171.8</v>
      </c>
      <c r="K143" s="265">
        <v>139</v>
      </c>
      <c r="L143" s="233">
        <f>'2.виды ремонта'!G129</f>
        <v>500</v>
      </c>
      <c r="M143" s="264" t="s">
        <v>33</v>
      </c>
      <c r="N143" s="162">
        <f>'2.виды ремонта'!C129</f>
        <v>1252846</v>
      </c>
      <c r="O143" s="234">
        <v>0</v>
      </c>
      <c r="P143" s="234">
        <v>0</v>
      </c>
      <c r="Q143" s="234">
        <v>0</v>
      </c>
      <c r="R143" s="234">
        <f t="shared" si="10"/>
        <v>1252846</v>
      </c>
      <c r="S143" s="257">
        <f t="shared" si="13"/>
        <v>2505.692</v>
      </c>
      <c r="T143" s="234">
        <v>3564.43</v>
      </c>
      <c r="U143" s="154" t="s">
        <v>233</v>
      </c>
      <c r="W143" s="54"/>
      <c r="Y143" s="44"/>
      <c r="Z143" s="46"/>
      <c r="AA143" s="47"/>
      <c r="AB143" s="48"/>
      <c r="AC143" s="48"/>
      <c r="AD143" s="274"/>
    </row>
    <row r="144" spans="1:30" s="50" customFormat="1" ht="37.5" customHeight="1">
      <c r="A144" s="238">
        <f t="shared" si="11"/>
        <v>36</v>
      </c>
      <c r="B144" s="227" t="s">
        <v>2159</v>
      </c>
      <c r="C144" s="228">
        <v>1978</v>
      </c>
      <c r="D144" s="263"/>
      <c r="E144" s="231" t="s">
        <v>222</v>
      </c>
      <c r="F144" s="233">
        <v>5</v>
      </c>
      <c r="G144" s="233">
        <v>4</v>
      </c>
      <c r="H144" s="234">
        <v>3912</v>
      </c>
      <c r="I144" s="235">
        <v>3498.2</v>
      </c>
      <c r="J144" s="268">
        <v>2967.1</v>
      </c>
      <c r="K144" s="265">
        <v>174</v>
      </c>
      <c r="L144" s="233">
        <f>'2.виды ремонта'!G130</f>
        <v>996</v>
      </c>
      <c r="M144" s="264" t="s">
        <v>33</v>
      </c>
      <c r="N144" s="162">
        <f>'2.виды ремонта'!C130</f>
        <v>3141420</v>
      </c>
      <c r="O144" s="234">
        <v>0</v>
      </c>
      <c r="P144" s="234">
        <v>0</v>
      </c>
      <c r="Q144" s="234">
        <v>0</v>
      </c>
      <c r="R144" s="234">
        <f t="shared" si="10"/>
        <v>3141420</v>
      </c>
      <c r="S144" s="257">
        <f t="shared" si="13"/>
        <v>3154.0361445783133</v>
      </c>
      <c r="T144" s="234">
        <v>3564.43</v>
      </c>
      <c r="U144" s="154" t="s">
        <v>233</v>
      </c>
      <c r="W144" s="54"/>
      <c r="Y144" s="44"/>
      <c r="Z144" s="46"/>
      <c r="AA144" s="47"/>
      <c r="AB144" s="48"/>
      <c r="AC144" s="48"/>
      <c r="AD144" s="274"/>
    </row>
    <row r="145" spans="1:30" s="50" customFormat="1" ht="37.5" customHeight="1">
      <c r="A145" s="238">
        <f t="shared" si="11"/>
        <v>37</v>
      </c>
      <c r="B145" s="227" t="s">
        <v>2160</v>
      </c>
      <c r="C145" s="228">
        <v>1977</v>
      </c>
      <c r="D145" s="263"/>
      <c r="E145" s="231" t="s">
        <v>222</v>
      </c>
      <c r="F145" s="233">
        <v>5</v>
      </c>
      <c r="G145" s="233">
        <v>4</v>
      </c>
      <c r="H145" s="234">
        <v>3880</v>
      </c>
      <c r="I145" s="235">
        <v>3563.9</v>
      </c>
      <c r="J145" s="268">
        <v>3050.2</v>
      </c>
      <c r="K145" s="265">
        <v>183</v>
      </c>
      <c r="L145" s="233">
        <f>'2.виды ремонта'!G131</f>
        <v>962</v>
      </c>
      <c r="M145" s="264" t="s">
        <v>33</v>
      </c>
      <c r="N145" s="162">
        <f>'2.виды ремонта'!C131</f>
        <v>3074893</v>
      </c>
      <c r="O145" s="234">
        <v>0</v>
      </c>
      <c r="P145" s="234">
        <v>0</v>
      </c>
      <c r="Q145" s="234">
        <v>0</v>
      </c>
      <c r="R145" s="234">
        <f t="shared" si="10"/>
        <v>3074893</v>
      </c>
      <c r="S145" s="257">
        <f t="shared" si="13"/>
        <v>3196.3544698544697</v>
      </c>
      <c r="T145" s="234">
        <v>3564.43</v>
      </c>
      <c r="U145" s="154" t="s">
        <v>233</v>
      </c>
      <c r="W145" s="54"/>
      <c r="Y145" s="44"/>
      <c r="Z145" s="46"/>
      <c r="AA145" s="47"/>
      <c r="AB145" s="48"/>
      <c r="AC145" s="48"/>
      <c r="AD145" s="274"/>
    </row>
    <row r="146" spans="1:30" s="50" customFormat="1" ht="37.5" customHeight="1">
      <c r="A146" s="238">
        <f t="shared" si="11"/>
        <v>38</v>
      </c>
      <c r="B146" s="227" t="s">
        <v>2161</v>
      </c>
      <c r="C146" s="228">
        <v>1977</v>
      </c>
      <c r="D146" s="263"/>
      <c r="E146" s="231" t="s">
        <v>222</v>
      </c>
      <c r="F146" s="233">
        <v>5</v>
      </c>
      <c r="G146" s="233">
        <v>4</v>
      </c>
      <c r="H146" s="234">
        <v>3828</v>
      </c>
      <c r="I146" s="235">
        <v>3512.9</v>
      </c>
      <c r="J146" s="268">
        <v>3170.3</v>
      </c>
      <c r="K146" s="265">
        <v>164</v>
      </c>
      <c r="L146" s="233">
        <f>'2.виды ремонта'!G132</f>
        <v>971</v>
      </c>
      <c r="M146" s="264" t="s">
        <v>33</v>
      </c>
      <c r="N146" s="162">
        <f>'2.виды ремонта'!C132</f>
        <v>3065560</v>
      </c>
      <c r="O146" s="234">
        <v>0</v>
      </c>
      <c r="P146" s="234">
        <v>0</v>
      </c>
      <c r="Q146" s="234">
        <v>0</v>
      </c>
      <c r="R146" s="234">
        <f t="shared" si="10"/>
        <v>3065560</v>
      </c>
      <c r="S146" s="257">
        <f t="shared" si="13"/>
        <v>3157.1163748712665</v>
      </c>
      <c r="T146" s="234">
        <v>3564.43</v>
      </c>
      <c r="U146" s="154" t="s">
        <v>233</v>
      </c>
      <c r="W146" s="54"/>
      <c r="Y146" s="44"/>
      <c r="Z146" s="46"/>
      <c r="AA146" s="47"/>
      <c r="AB146" s="48"/>
      <c r="AC146" s="48"/>
      <c r="AD146" s="274"/>
    </row>
    <row r="147" spans="1:30" s="50" customFormat="1" ht="37.5" customHeight="1">
      <c r="A147" s="238">
        <f t="shared" si="11"/>
        <v>39</v>
      </c>
      <c r="B147" s="227" t="s">
        <v>2162</v>
      </c>
      <c r="C147" s="228">
        <v>1993</v>
      </c>
      <c r="D147" s="263"/>
      <c r="E147" s="228" t="s">
        <v>218</v>
      </c>
      <c r="F147" s="233">
        <v>10</v>
      </c>
      <c r="G147" s="233">
        <v>5</v>
      </c>
      <c r="H147" s="234">
        <v>12554</v>
      </c>
      <c r="I147" s="235">
        <v>10630</v>
      </c>
      <c r="J147" s="268">
        <v>9560</v>
      </c>
      <c r="K147" s="265">
        <v>532</v>
      </c>
      <c r="L147" s="233">
        <f>'2.виды ремонта'!G133</f>
        <v>1520</v>
      </c>
      <c r="M147" s="264" t="s">
        <v>33</v>
      </c>
      <c r="N147" s="162">
        <f>'2.виды ремонта'!C133</f>
        <v>3698272</v>
      </c>
      <c r="O147" s="234">
        <v>0</v>
      </c>
      <c r="P147" s="234">
        <v>0</v>
      </c>
      <c r="Q147" s="234">
        <v>0</v>
      </c>
      <c r="R147" s="234">
        <f t="shared" si="10"/>
        <v>3698272</v>
      </c>
      <c r="S147" s="257">
        <f t="shared" si="13"/>
        <v>2433.0736842105262</v>
      </c>
      <c r="T147" s="234">
        <v>3564.43</v>
      </c>
      <c r="U147" s="154" t="s">
        <v>233</v>
      </c>
      <c r="W147" s="54"/>
      <c r="Y147" s="44"/>
      <c r="Z147" s="46"/>
      <c r="AA147" s="47"/>
      <c r="AB147" s="48"/>
      <c r="AC147" s="48"/>
      <c r="AD147" s="274"/>
    </row>
    <row r="148" spans="1:30" s="50" customFormat="1" ht="37.5" customHeight="1">
      <c r="A148" s="238">
        <f t="shared" si="11"/>
        <v>40</v>
      </c>
      <c r="B148" s="227" t="s">
        <v>2163</v>
      </c>
      <c r="C148" s="228">
        <v>2004</v>
      </c>
      <c r="D148" s="263"/>
      <c r="E148" s="231" t="s">
        <v>222</v>
      </c>
      <c r="F148" s="233">
        <v>5</v>
      </c>
      <c r="G148" s="233">
        <v>2</v>
      </c>
      <c r="H148" s="234">
        <v>4786</v>
      </c>
      <c r="I148" s="235">
        <v>3238</v>
      </c>
      <c r="J148" s="268">
        <v>3238</v>
      </c>
      <c r="K148" s="265">
        <v>183</v>
      </c>
      <c r="L148" s="233">
        <f>'2.виды ремонта'!G134</f>
        <v>890</v>
      </c>
      <c r="M148" s="264" t="s">
        <v>33</v>
      </c>
      <c r="N148" s="162">
        <f>'2.виды ремонта'!C134</f>
        <v>2247930.75</v>
      </c>
      <c r="O148" s="234">
        <v>0</v>
      </c>
      <c r="P148" s="234">
        <v>0</v>
      </c>
      <c r="Q148" s="234">
        <v>0</v>
      </c>
      <c r="R148" s="234">
        <f t="shared" si="10"/>
        <v>2247930.75</v>
      </c>
      <c r="S148" s="257">
        <f t="shared" si="13"/>
        <v>2525.7648876404496</v>
      </c>
      <c r="T148" s="234">
        <v>3564.43</v>
      </c>
      <c r="U148" s="154" t="s">
        <v>233</v>
      </c>
      <c r="W148" s="54"/>
      <c r="Y148" s="44"/>
      <c r="Z148" s="46"/>
      <c r="AA148" s="47"/>
      <c r="AB148" s="48"/>
      <c r="AC148" s="48"/>
      <c r="AD148" s="274"/>
    </row>
    <row r="149" spans="1:30" s="50" customFormat="1" ht="37.5" customHeight="1">
      <c r="A149" s="238">
        <f t="shared" si="11"/>
        <v>41</v>
      </c>
      <c r="B149" s="227" t="s">
        <v>2164</v>
      </c>
      <c r="C149" s="228">
        <v>1960</v>
      </c>
      <c r="D149" s="227"/>
      <c r="E149" s="227" t="s">
        <v>222</v>
      </c>
      <c r="F149" s="233">
        <v>2</v>
      </c>
      <c r="G149" s="233">
        <v>1</v>
      </c>
      <c r="H149" s="234">
        <v>2513</v>
      </c>
      <c r="I149" s="235">
        <v>2440.8000000000002</v>
      </c>
      <c r="J149" s="235">
        <v>2440.8000000000002</v>
      </c>
      <c r="K149" s="233">
        <v>135</v>
      </c>
      <c r="L149" s="233">
        <f>'2.виды ремонта'!G135</f>
        <v>1168</v>
      </c>
      <c r="M149" s="238" t="s">
        <v>33</v>
      </c>
      <c r="N149" s="162">
        <f>'2.виды ремонта'!C135</f>
        <v>3332549.98</v>
      </c>
      <c r="O149" s="161">
        <v>0</v>
      </c>
      <c r="P149" s="161">
        <v>0</v>
      </c>
      <c r="Q149" s="161">
        <v>0</v>
      </c>
      <c r="R149" s="234">
        <f t="shared" si="10"/>
        <v>3332549.98</v>
      </c>
      <c r="S149" s="257">
        <f t="shared" si="13"/>
        <v>2853.2105993150685</v>
      </c>
      <c r="T149" s="234">
        <v>3564.43</v>
      </c>
      <c r="U149" s="154" t="s">
        <v>233</v>
      </c>
      <c r="W149" s="54"/>
      <c r="Y149" s="44"/>
      <c r="Z149" s="46"/>
      <c r="AA149" s="47"/>
      <c r="AB149" s="48"/>
      <c r="AC149" s="48"/>
      <c r="AD149" s="274"/>
    </row>
    <row r="150" spans="1:30" s="50" customFormat="1" ht="37.5" customHeight="1">
      <c r="A150" s="238">
        <f t="shared" si="11"/>
        <v>42</v>
      </c>
      <c r="B150" s="227" t="s">
        <v>2165</v>
      </c>
      <c r="C150" s="228">
        <v>1960</v>
      </c>
      <c r="D150" s="263"/>
      <c r="E150" s="231" t="s">
        <v>222</v>
      </c>
      <c r="F150" s="233">
        <v>4</v>
      </c>
      <c r="G150" s="233">
        <v>4</v>
      </c>
      <c r="H150" s="234">
        <v>3125</v>
      </c>
      <c r="I150" s="235">
        <v>2499.3000000000002</v>
      </c>
      <c r="J150" s="268">
        <v>2499.3000000000002</v>
      </c>
      <c r="K150" s="265">
        <v>126</v>
      </c>
      <c r="L150" s="233">
        <f>'2.виды ремонта'!G136</f>
        <v>1322</v>
      </c>
      <c r="M150" s="264" t="s">
        <v>33</v>
      </c>
      <c r="N150" s="162">
        <f>'2.виды ремонта'!C136</f>
        <v>2850626.37</v>
      </c>
      <c r="O150" s="234">
        <v>0</v>
      </c>
      <c r="P150" s="234">
        <v>0</v>
      </c>
      <c r="Q150" s="234">
        <v>0</v>
      </c>
      <c r="R150" s="234">
        <f t="shared" si="10"/>
        <v>2850626.37</v>
      </c>
      <c r="S150" s="257">
        <f t="shared" si="13"/>
        <v>2156.2983131618762</v>
      </c>
      <c r="T150" s="234">
        <v>3564.43</v>
      </c>
      <c r="U150" s="154" t="s">
        <v>233</v>
      </c>
      <c r="W150" s="54"/>
      <c r="Y150" s="44"/>
      <c r="Z150" s="46"/>
      <c r="AA150" s="47"/>
      <c r="AB150" s="48"/>
      <c r="AC150" s="48"/>
      <c r="AD150" s="274"/>
    </row>
    <row r="151" spans="1:30" s="50" customFormat="1" ht="37.5" customHeight="1">
      <c r="A151" s="238">
        <f t="shared" si="11"/>
        <v>43</v>
      </c>
      <c r="B151" s="227" t="s">
        <v>2167</v>
      </c>
      <c r="C151" s="228">
        <v>1989</v>
      </c>
      <c r="D151" s="263"/>
      <c r="E151" s="231" t="s">
        <v>222</v>
      </c>
      <c r="F151" s="233">
        <v>9</v>
      </c>
      <c r="G151" s="233">
        <v>2</v>
      </c>
      <c r="H151" s="234">
        <v>4215</v>
      </c>
      <c r="I151" s="235">
        <v>3678</v>
      </c>
      <c r="J151" s="268">
        <v>3539</v>
      </c>
      <c r="K151" s="265">
        <v>215</v>
      </c>
      <c r="L151" s="233">
        <f>'2.виды ремонта'!G137</f>
        <v>654</v>
      </c>
      <c r="M151" s="264" t="s">
        <v>33</v>
      </c>
      <c r="N151" s="162">
        <f>'2.виды ремонта'!C137</f>
        <v>1432442</v>
      </c>
      <c r="O151" s="234">
        <v>0</v>
      </c>
      <c r="P151" s="234">
        <v>0</v>
      </c>
      <c r="Q151" s="234">
        <v>0</v>
      </c>
      <c r="R151" s="234">
        <f t="shared" si="10"/>
        <v>1432442</v>
      </c>
      <c r="S151" s="257">
        <f t="shared" ref="S151:S162" si="14">N151/L151</f>
        <v>2190.2782874617737</v>
      </c>
      <c r="T151" s="234">
        <v>3564.43</v>
      </c>
      <c r="U151" s="154" t="s">
        <v>233</v>
      </c>
      <c r="W151" s="54"/>
      <c r="Y151" s="44"/>
      <c r="Z151" s="46"/>
      <c r="AA151" s="47"/>
      <c r="AB151" s="48"/>
      <c r="AC151" s="48"/>
      <c r="AD151" s="274"/>
    </row>
    <row r="152" spans="1:30" s="50" customFormat="1" ht="37.5" customHeight="1">
      <c r="A152" s="238">
        <f t="shared" si="11"/>
        <v>44</v>
      </c>
      <c r="B152" s="227" t="s">
        <v>2169</v>
      </c>
      <c r="C152" s="228">
        <v>1964</v>
      </c>
      <c r="D152" s="263"/>
      <c r="E152" s="231" t="s">
        <v>222</v>
      </c>
      <c r="F152" s="233">
        <v>5</v>
      </c>
      <c r="G152" s="233">
        <v>4</v>
      </c>
      <c r="H152" s="234">
        <v>3902</v>
      </c>
      <c r="I152" s="235">
        <v>3121.7</v>
      </c>
      <c r="J152" s="268">
        <v>3121.7</v>
      </c>
      <c r="K152" s="265">
        <v>187</v>
      </c>
      <c r="L152" s="233">
        <f>'2.виды ремонта'!G138</f>
        <v>952</v>
      </c>
      <c r="M152" s="264" t="s">
        <v>33</v>
      </c>
      <c r="N152" s="162">
        <f>'2.виды ремонта'!C138</f>
        <v>2298182</v>
      </c>
      <c r="O152" s="234">
        <v>0</v>
      </c>
      <c r="P152" s="234">
        <v>0</v>
      </c>
      <c r="Q152" s="234">
        <v>0</v>
      </c>
      <c r="R152" s="234">
        <f t="shared" si="10"/>
        <v>2298182</v>
      </c>
      <c r="S152" s="257">
        <f t="shared" si="14"/>
        <v>2414.0567226890757</v>
      </c>
      <c r="T152" s="234">
        <v>3564.43</v>
      </c>
      <c r="U152" s="154" t="s">
        <v>233</v>
      </c>
      <c r="W152" s="54"/>
      <c r="Y152" s="44"/>
      <c r="Z152" s="46"/>
      <c r="AA152" s="47"/>
      <c r="AB152" s="48"/>
      <c r="AC152" s="48"/>
      <c r="AD152" s="274"/>
    </row>
    <row r="153" spans="1:30" s="50" customFormat="1" ht="37.5" customHeight="1">
      <c r="A153" s="238">
        <f t="shared" si="11"/>
        <v>45</v>
      </c>
      <c r="B153" s="227" t="s">
        <v>2170</v>
      </c>
      <c r="C153" s="228">
        <v>1964</v>
      </c>
      <c r="D153" s="263"/>
      <c r="E153" s="231" t="s">
        <v>222</v>
      </c>
      <c r="F153" s="233">
        <v>5</v>
      </c>
      <c r="G153" s="233">
        <v>4</v>
      </c>
      <c r="H153" s="234">
        <v>3158</v>
      </c>
      <c r="I153" s="235">
        <v>3157.8</v>
      </c>
      <c r="J153" s="268">
        <v>3157.8</v>
      </c>
      <c r="K153" s="265">
        <v>185</v>
      </c>
      <c r="L153" s="233">
        <f>'2.виды ремонта'!G139</f>
        <v>951</v>
      </c>
      <c r="M153" s="264" t="s">
        <v>33</v>
      </c>
      <c r="N153" s="162">
        <f>'2.виды ремонта'!C139</f>
        <v>2323993</v>
      </c>
      <c r="O153" s="234">
        <v>0</v>
      </c>
      <c r="P153" s="234">
        <v>0</v>
      </c>
      <c r="Q153" s="234">
        <v>0</v>
      </c>
      <c r="R153" s="234">
        <f t="shared" si="10"/>
        <v>2323993</v>
      </c>
      <c r="S153" s="257">
        <f t="shared" si="14"/>
        <v>2443.7360672975815</v>
      </c>
      <c r="T153" s="234">
        <v>3564.43</v>
      </c>
      <c r="U153" s="154" t="s">
        <v>233</v>
      </c>
      <c r="W153" s="54"/>
      <c r="Y153" s="44"/>
      <c r="Z153" s="46"/>
      <c r="AA153" s="47"/>
      <c r="AB153" s="48"/>
      <c r="AC153" s="48"/>
      <c r="AD153" s="274"/>
    </row>
    <row r="154" spans="1:30" s="50" customFormat="1" ht="37.5" customHeight="1">
      <c r="A154" s="238">
        <f t="shared" si="11"/>
        <v>46</v>
      </c>
      <c r="B154" s="227" t="s">
        <v>2171</v>
      </c>
      <c r="C154" s="228">
        <v>1986</v>
      </c>
      <c r="D154" s="263"/>
      <c r="E154" s="231" t="s">
        <v>222</v>
      </c>
      <c r="F154" s="233">
        <v>5</v>
      </c>
      <c r="G154" s="233">
        <v>4</v>
      </c>
      <c r="H154" s="234">
        <v>2128</v>
      </c>
      <c r="I154" s="235">
        <v>2128</v>
      </c>
      <c r="J154" s="235">
        <v>2128</v>
      </c>
      <c r="K154" s="265">
        <v>147</v>
      </c>
      <c r="L154" s="233">
        <f>'2.виды ремонта'!G140</f>
        <v>938</v>
      </c>
      <c r="M154" s="264" t="s">
        <v>33</v>
      </c>
      <c r="N154" s="162">
        <f>'2.виды ремонта'!C140</f>
        <v>2292398</v>
      </c>
      <c r="O154" s="234">
        <v>0</v>
      </c>
      <c r="P154" s="234">
        <v>0</v>
      </c>
      <c r="Q154" s="234">
        <v>0</v>
      </c>
      <c r="R154" s="234">
        <f t="shared" si="10"/>
        <v>2292398</v>
      </c>
      <c r="S154" s="257">
        <f t="shared" si="14"/>
        <v>2443.9211087420044</v>
      </c>
      <c r="T154" s="234">
        <v>3564.43</v>
      </c>
      <c r="U154" s="154" t="s">
        <v>233</v>
      </c>
      <c r="W154" s="54"/>
      <c r="Y154" s="44"/>
      <c r="Z154" s="46"/>
      <c r="AA154" s="47"/>
      <c r="AB154" s="48"/>
      <c r="AC154" s="48"/>
      <c r="AD154" s="274"/>
    </row>
    <row r="155" spans="1:30" s="50" customFormat="1" ht="37.5" customHeight="1">
      <c r="A155" s="238">
        <f t="shared" si="11"/>
        <v>47</v>
      </c>
      <c r="B155" s="227" t="s">
        <v>2172</v>
      </c>
      <c r="C155" s="228">
        <v>1963</v>
      </c>
      <c r="D155" s="263"/>
      <c r="E155" s="231" t="s">
        <v>222</v>
      </c>
      <c r="F155" s="233">
        <v>5</v>
      </c>
      <c r="G155" s="233">
        <v>4</v>
      </c>
      <c r="H155" s="234">
        <v>2519</v>
      </c>
      <c r="I155" s="235">
        <v>2519</v>
      </c>
      <c r="J155" s="235">
        <v>2519</v>
      </c>
      <c r="K155" s="265">
        <v>133</v>
      </c>
      <c r="L155" s="233">
        <f>'2.виды ремонта'!G141</f>
        <v>954</v>
      </c>
      <c r="M155" s="264" t="s">
        <v>33</v>
      </c>
      <c r="N155" s="162">
        <f>'2.виды ремонта'!C141</f>
        <v>2320268</v>
      </c>
      <c r="O155" s="234">
        <v>0</v>
      </c>
      <c r="P155" s="234">
        <v>0</v>
      </c>
      <c r="Q155" s="234">
        <v>0</v>
      </c>
      <c r="R155" s="234">
        <f t="shared" si="10"/>
        <v>2320268</v>
      </c>
      <c r="S155" s="257">
        <f t="shared" si="14"/>
        <v>2432.1467505241089</v>
      </c>
      <c r="T155" s="234">
        <v>3564.43</v>
      </c>
      <c r="U155" s="154" t="s">
        <v>233</v>
      </c>
      <c r="W155" s="54"/>
      <c r="Y155" s="44"/>
      <c r="Z155" s="46"/>
      <c r="AA155" s="47"/>
      <c r="AB155" s="48"/>
      <c r="AC155" s="48"/>
      <c r="AD155" s="274"/>
    </row>
    <row r="156" spans="1:30" s="50" customFormat="1" ht="37.5" customHeight="1">
      <c r="A156" s="238">
        <f t="shared" si="11"/>
        <v>48</v>
      </c>
      <c r="B156" s="227" t="s">
        <v>2173</v>
      </c>
      <c r="C156" s="228">
        <v>1969</v>
      </c>
      <c r="D156" s="263"/>
      <c r="E156" s="231" t="s">
        <v>222</v>
      </c>
      <c r="F156" s="233">
        <v>5</v>
      </c>
      <c r="G156" s="233">
        <v>4</v>
      </c>
      <c r="H156" s="234">
        <v>3319</v>
      </c>
      <c r="I156" s="235">
        <v>3319</v>
      </c>
      <c r="J156" s="268">
        <v>3139.7</v>
      </c>
      <c r="K156" s="265">
        <v>180</v>
      </c>
      <c r="L156" s="233">
        <f>'2.виды ремонта'!G142</f>
        <v>1050</v>
      </c>
      <c r="M156" s="264" t="s">
        <v>33</v>
      </c>
      <c r="N156" s="162">
        <f>'2.виды ремонта'!C142</f>
        <v>2405506</v>
      </c>
      <c r="O156" s="234">
        <v>0</v>
      </c>
      <c r="P156" s="234">
        <v>0</v>
      </c>
      <c r="Q156" s="234">
        <v>0</v>
      </c>
      <c r="R156" s="234">
        <f t="shared" si="10"/>
        <v>2405506</v>
      </c>
      <c r="S156" s="257">
        <f t="shared" si="14"/>
        <v>2290.9580952380952</v>
      </c>
      <c r="T156" s="234">
        <v>3564.43</v>
      </c>
      <c r="U156" s="154" t="s">
        <v>233</v>
      </c>
      <c r="W156" s="54"/>
      <c r="Y156" s="44"/>
      <c r="Z156" s="46"/>
      <c r="AA156" s="47"/>
      <c r="AB156" s="48"/>
      <c r="AC156" s="48"/>
      <c r="AD156" s="274"/>
    </row>
    <row r="157" spans="1:30" s="50" customFormat="1" ht="37.5" customHeight="1">
      <c r="A157" s="238">
        <f t="shared" si="11"/>
        <v>49</v>
      </c>
      <c r="B157" s="186" t="s">
        <v>2175</v>
      </c>
      <c r="C157" s="236">
        <v>1979</v>
      </c>
      <c r="D157" s="227"/>
      <c r="E157" s="228" t="s">
        <v>222</v>
      </c>
      <c r="F157" s="214">
        <v>5</v>
      </c>
      <c r="G157" s="214">
        <v>6</v>
      </c>
      <c r="H157" s="225">
        <v>4705</v>
      </c>
      <c r="I157" s="230">
        <v>4330</v>
      </c>
      <c r="J157" s="230">
        <v>3763</v>
      </c>
      <c r="K157" s="232">
        <v>198</v>
      </c>
      <c r="L157" s="233">
        <f>'2.виды ремонта'!G143</f>
        <v>1377</v>
      </c>
      <c r="M157" s="226" t="s">
        <v>33</v>
      </c>
      <c r="N157" s="162">
        <f>'2.виды ремонта'!C143</f>
        <v>3208846</v>
      </c>
      <c r="O157" s="161">
        <v>0</v>
      </c>
      <c r="P157" s="161">
        <v>0</v>
      </c>
      <c r="Q157" s="161">
        <v>0</v>
      </c>
      <c r="R157" s="234">
        <f t="shared" si="10"/>
        <v>3208846</v>
      </c>
      <c r="S157" s="257">
        <f t="shared" si="14"/>
        <v>2330.316630355846</v>
      </c>
      <c r="T157" s="234">
        <v>3564.43</v>
      </c>
      <c r="U157" s="154" t="s">
        <v>233</v>
      </c>
      <c r="W157" s="54"/>
      <c r="Y157" s="44"/>
      <c r="Z157" s="46"/>
      <c r="AA157" s="47"/>
      <c r="AB157" s="48"/>
      <c r="AC157" s="48"/>
      <c r="AD157" s="274"/>
    </row>
    <row r="158" spans="1:30" s="50" customFormat="1" ht="37.5" customHeight="1">
      <c r="A158" s="238">
        <f t="shared" si="11"/>
        <v>50</v>
      </c>
      <c r="B158" s="227" t="s">
        <v>2176</v>
      </c>
      <c r="C158" s="228">
        <v>1971</v>
      </c>
      <c r="D158" s="263"/>
      <c r="E158" s="231" t="s">
        <v>222</v>
      </c>
      <c r="F158" s="233">
        <v>5</v>
      </c>
      <c r="G158" s="233">
        <v>6</v>
      </c>
      <c r="H158" s="234">
        <v>4964</v>
      </c>
      <c r="I158" s="235">
        <v>4475.5</v>
      </c>
      <c r="J158" s="268">
        <v>4261.2</v>
      </c>
      <c r="K158" s="265">
        <v>277</v>
      </c>
      <c r="L158" s="233">
        <f>'2.виды ремонта'!G144</f>
        <v>1240</v>
      </c>
      <c r="M158" s="264" t="s">
        <v>33</v>
      </c>
      <c r="N158" s="162">
        <f>'2.виды ремонта'!C144</f>
        <v>3018381</v>
      </c>
      <c r="O158" s="234">
        <v>0</v>
      </c>
      <c r="P158" s="234">
        <v>0</v>
      </c>
      <c r="Q158" s="234">
        <v>0</v>
      </c>
      <c r="R158" s="234">
        <f t="shared" si="10"/>
        <v>3018381</v>
      </c>
      <c r="S158" s="257">
        <f t="shared" si="14"/>
        <v>2434.1782258064518</v>
      </c>
      <c r="T158" s="234">
        <v>3564.43</v>
      </c>
      <c r="U158" s="154" t="s">
        <v>233</v>
      </c>
      <c r="W158" s="54"/>
      <c r="Y158" s="44"/>
      <c r="Z158" s="46"/>
      <c r="AA158" s="47"/>
      <c r="AB158" s="48"/>
      <c r="AC158" s="48"/>
      <c r="AD158" s="274"/>
    </row>
    <row r="159" spans="1:30" s="50" customFormat="1" ht="37.5" customHeight="1">
      <c r="A159" s="238">
        <f t="shared" si="11"/>
        <v>51</v>
      </c>
      <c r="B159" s="227" t="s">
        <v>2177</v>
      </c>
      <c r="C159" s="228">
        <v>1990</v>
      </c>
      <c r="D159" s="263"/>
      <c r="E159" s="231" t="s">
        <v>222</v>
      </c>
      <c r="F159" s="233">
        <v>5</v>
      </c>
      <c r="G159" s="233">
        <v>2</v>
      </c>
      <c r="H159" s="234">
        <v>1519</v>
      </c>
      <c r="I159" s="235">
        <v>1336.8</v>
      </c>
      <c r="J159" s="268">
        <v>1261.9000000000001</v>
      </c>
      <c r="K159" s="265">
        <v>47</v>
      </c>
      <c r="L159" s="233">
        <f>'2.виды ремонта'!G145</f>
        <v>442</v>
      </c>
      <c r="M159" s="264" t="s">
        <v>33</v>
      </c>
      <c r="N159" s="162">
        <f>'2.виды ремонта'!C145</f>
        <v>993328</v>
      </c>
      <c r="O159" s="234">
        <v>0</v>
      </c>
      <c r="P159" s="234">
        <v>0</v>
      </c>
      <c r="Q159" s="234">
        <v>0</v>
      </c>
      <c r="R159" s="234">
        <f t="shared" si="10"/>
        <v>993328</v>
      </c>
      <c r="S159" s="257">
        <f t="shared" si="14"/>
        <v>2247.3484162895929</v>
      </c>
      <c r="T159" s="234">
        <v>3564.43</v>
      </c>
      <c r="U159" s="154" t="s">
        <v>233</v>
      </c>
      <c r="W159" s="54"/>
      <c r="Y159" s="44"/>
      <c r="Z159" s="46"/>
      <c r="AA159" s="47"/>
      <c r="AB159" s="48"/>
      <c r="AC159" s="48"/>
      <c r="AD159" s="274"/>
    </row>
    <row r="160" spans="1:30" s="50" customFormat="1" ht="37.5" customHeight="1">
      <c r="A160" s="238">
        <f t="shared" si="11"/>
        <v>52</v>
      </c>
      <c r="B160" s="227" t="s">
        <v>2178</v>
      </c>
      <c r="C160" s="228">
        <v>1999</v>
      </c>
      <c r="D160" s="263"/>
      <c r="E160" s="231" t="s">
        <v>222</v>
      </c>
      <c r="F160" s="233">
        <v>5</v>
      </c>
      <c r="G160" s="233">
        <v>2</v>
      </c>
      <c r="H160" s="234">
        <v>3922</v>
      </c>
      <c r="I160" s="235">
        <v>3509.4</v>
      </c>
      <c r="J160" s="268">
        <v>3311.8</v>
      </c>
      <c r="K160" s="265">
        <v>121</v>
      </c>
      <c r="L160" s="233">
        <f>'2.виды ремонта'!G146</f>
        <v>1042</v>
      </c>
      <c r="M160" s="264" t="s">
        <v>33</v>
      </c>
      <c r="N160" s="162">
        <f>'2.виды ремонта'!C146</f>
        <v>2316717</v>
      </c>
      <c r="O160" s="234">
        <v>0</v>
      </c>
      <c r="P160" s="234">
        <v>0</v>
      </c>
      <c r="Q160" s="234">
        <v>0</v>
      </c>
      <c r="R160" s="234">
        <f t="shared" si="10"/>
        <v>2316717</v>
      </c>
      <c r="S160" s="257">
        <f t="shared" si="14"/>
        <v>2223.3368522072938</v>
      </c>
      <c r="T160" s="234">
        <v>3564.43</v>
      </c>
      <c r="U160" s="154" t="s">
        <v>233</v>
      </c>
      <c r="W160" s="54"/>
      <c r="Y160" s="44"/>
      <c r="Z160" s="46"/>
      <c r="AA160" s="47"/>
      <c r="AB160" s="48"/>
      <c r="AC160" s="48"/>
      <c r="AD160" s="274"/>
    </row>
    <row r="161" spans="1:30" s="50" customFormat="1" ht="37.5" customHeight="1">
      <c r="A161" s="238">
        <f t="shared" si="11"/>
        <v>53</v>
      </c>
      <c r="B161" s="227" t="s">
        <v>2179</v>
      </c>
      <c r="C161" s="228">
        <v>1960</v>
      </c>
      <c r="D161" s="263"/>
      <c r="E161" s="231" t="s">
        <v>222</v>
      </c>
      <c r="F161" s="233">
        <v>3</v>
      </c>
      <c r="G161" s="233">
        <v>1</v>
      </c>
      <c r="H161" s="234">
        <v>476</v>
      </c>
      <c r="I161" s="235">
        <v>421.2</v>
      </c>
      <c r="J161" s="268">
        <v>351</v>
      </c>
      <c r="K161" s="265">
        <v>26</v>
      </c>
      <c r="L161" s="233">
        <f>'2.виды ремонта'!G147</f>
        <v>209</v>
      </c>
      <c r="M161" s="264" t="s">
        <v>33</v>
      </c>
      <c r="N161" s="162">
        <f>'2.виды ремонта'!C147</f>
        <v>733593.61</v>
      </c>
      <c r="O161" s="234">
        <v>0</v>
      </c>
      <c r="P161" s="234">
        <v>0</v>
      </c>
      <c r="Q161" s="234">
        <v>0</v>
      </c>
      <c r="R161" s="234">
        <f t="shared" si="10"/>
        <v>733593.61</v>
      </c>
      <c r="S161" s="257">
        <f t="shared" si="14"/>
        <v>3510.0172727272725</v>
      </c>
      <c r="T161" s="234">
        <v>3564.43</v>
      </c>
      <c r="U161" s="154" t="s">
        <v>233</v>
      </c>
      <c r="W161" s="54"/>
      <c r="Y161" s="44"/>
      <c r="Z161" s="46"/>
      <c r="AA161" s="47"/>
      <c r="AB161" s="48"/>
      <c r="AC161" s="48"/>
      <c r="AD161" s="274"/>
    </row>
    <row r="162" spans="1:30" s="50" customFormat="1" ht="37.5" customHeight="1">
      <c r="A162" s="238">
        <f t="shared" si="11"/>
        <v>54</v>
      </c>
      <c r="B162" s="227" t="s">
        <v>2180</v>
      </c>
      <c r="C162" s="228">
        <v>1997</v>
      </c>
      <c r="D162" s="263"/>
      <c r="E162" s="231" t="s">
        <v>222</v>
      </c>
      <c r="F162" s="233">
        <v>9</v>
      </c>
      <c r="G162" s="233">
        <v>2</v>
      </c>
      <c r="H162" s="234">
        <v>4856</v>
      </c>
      <c r="I162" s="235">
        <v>4172</v>
      </c>
      <c r="J162" s="268">
        <v>4122</v>
      </c>
      <c r="K162" s="265">
        <v>203</v>
      </c>
      <c r="L162" s="233">
        <f>'2.виды ремонта'!G148</f>
        <v>638</v>
      </c>
      <c r="M162" s="264" t="s">
        <v>33</v>
      </c>
      <c r="N162" s="162">
        <f>'2.виды ремонта'!C148</f>
        <v>1586456</v>
      </c>
      <c r="O162" s="234">
        <v>0</v>
      </c>
      <c r="P162" s="234">
        <v>0</v>
      </c>
      <c r="Q162" s="234">
        <v>0</v>
      </c>
      <c r="R162" s="234">
        <f t="shared" si="10"/>
        <v>1586456</v>
      </c>
      <c r="S162" s="257">
        <f t="shared" si="14"/>
        <v>2486.6081504702192</v>
      </c>
      <c r="T162" s="234">
        <v>3564.43</v>
      </c>
      <c r="U162" s="154" t="s">
        <v>233</v>
      </c>
      <c r="W162" s="54"/>
      <c r="Y162" s="44"/>
      <c r="Z162" s="46"/>
      <c r="AA162" s="47"/>
      <c r="AB162" s="48"/>
      <c r="AC162" s="48"/>
      <c r="AD162" s="274"/>
    </row>
    <row r="163" spans="1:30" s="50" customFormat="1" ht="37.5" customHeight="1">
      <c r="A163" s="238">
        <f t="shared" si="11"/>
        <v>55</v>
      </c>
      <c r="B163" s="227" t="s">
        <v>2181</v>
      </c>
      <c r="C163" s="228">
        <v>1973</v>
      </c>
      <c r="D163" s="263"/>
      <c r="E163" s="231" t="s">
        <v>222</v>
      </c>
      <c r="F163" s="233">
        <v>5</v>
      </c>
      <c r="G163" s="233">
        <v>4</v>
      </c>
      <c r="H163" s="234">
        <v>3403</v>
      </c>
      <c r="I163" s="235">
        <v>2270.6</v>
      </c>
      <c r="J163" s="268">
        <v>2199.8000000000002</v>
      </c>
      <c r="K163" s="265">
        <v>179</v>
      </c>
      <c r="L163" s="233">
        <f>H163-I163</f>
        <v>1132.4000000000001</v>
      </c>
      <c r="M163" s="264" t="s">
        <v>225</v>
      </c>
      <c r="N163" s="162">
        <f>'2.виды ремонта'!C149</f>
        <v>1585525.23</v>
      </c>
      <c r="O163" s="234">
        <v>0</v>
      </c>
      <c r="P163" s="234">
        <v>0</v>
      </c>
      <c r="Q163" s="234">
        <v>0</v>
      </c>
      <c r="R163" s="234">
        <f t="shared" si="10"/>
        <v>1585525.23</v>
      </c>
      <c r="S163" s="234">
        <f>N163/L163</f>
        <v>1400.1459113387493</v>
      </c>
      <c r="T163" s="234">
        <v>3654.29</v>
      </c>
      <c r="U163" s="154" t="s">
        <v>233</v>
      </c>
      <c r="W163" s="58"/>
      <c r="Y163" s="44"/>
      <c r="Z163" s="46"/>
      <c r="AA163" s="47"/>
      <c r="AB163" s="48"/>
      <c r="AC163" s="48"/>
      <c r="AD163" s="274"/>
    </row>
    <row r="164" spans="1:30" s="50" customFormat="1" ht="37.5" customHeight="1">
      <c r="A164" s="238">
        <f t="shared" si="11"/>
        <v>56</v>
      </c>
      <c r="B164" s="227" t="s">
        <v>2182</v>
      </c>
      <c r="C164" s="228">
        <v>1987</v>
      </c>
      <c r="D164" s="263"/>
      <c r="E164" s="231" t="s">
        <v>222</v>
      </c>
      <c r="F164" s="233">
        <v>5</v>
      </c>
      <c r="G164" s="233">
        <v>4</v>
      </c>
      <c r="H164" s="234">
        <v>3050</v>
      </c>
      <c r="I164" s="235">
        <v>2750.1</v>
      </c>
      <c r="J164" s="268">
        <v>2594.6</v>
      </c>
      <c r="K164" s="265">
        <v>157</v>
      </c>
      <c r="L164" s="233">
        <f>'2.виды ремонта'!G150</f>
        <v>757</v>
      </c>
      <c r="M164" s="264" t="s">
        <v>33</v>
      </c>
      <c r="N164" s="162">
        <f>'2.виды ремонта'!C150</f>
        <v>1955131</v>
      </c>
      <c r="O164" s="234">
        <v>0</v>
      </c>
      <c r="P164" s="234">
        <v>0</v>
      </c>
      <c r="Q164" s="234">
        <v>0</v>
      </c>
      <c r="R164" s="234">
        <f t="shared" si="10"/>
        <v>1955131</v>
      </c>
      <c r="S164" s="257">
        <f>N164/L164</f>
        <v>2582.7357992073976</v>
      </c>
      <c r="T164" s="234">
        <v>3564.43</v>
      </c>
      <c r="U164" s="154" t="s">
        <v>233</v>
      </c>
      <c r="W164" s="54"/>
      <c r="Y164" s="44"/>
      <c r="Z164" s="46"/>
      <c r="AA164" s="47"/>
      <c r="AB164" s="48"/>
      <c r="AC164" s="48"/>
      <c r="AD164" s="274"/>
    </row>
    <row r="165" spans="1:30" s="50" customFormat="1" ht="37.5" customHeight="1">
      <c r="A165" s="238">
        <f t="shared" si="11"/>
        <v>57</v>
      </c>
      <c r="B165" s="227" t="s">
        <v>2183</v>
      </c>
      <c r="C165" s="228">
        <v>1967</v>
      </c>
      <c r="D165" s="263"/>
      <c r="E165" s="231" t="s">
        <v>222</v>
      </c>
      <c r="F165" s="233">
        <v>5</v>
      </c>
      <c r="G165" s="233">
        <v>4</v>
      </c>
      <c r="H165" s="234">
        <v>2853</v>
      </c>
      <c r="I165" s="235">
        <v>2619</v>
      </c>
      <c r="J165" s="268">
        <v>2619</v>
      </c>
      <c r="K165" s="265">
        <v>125</v>
      </c>
      <c r="L165" s="265">
        <f>'2.виды ремонта'!O151</f>
        <v>1391</v>
      </c>
      <c r="M165" s="264" t="s">
        <v>227</v>
      </c>
      <c r="N165" s="162">
        <f>'2.виды ремонта'!C151</f>
        <v>5081462</v>
      </c>
      <c r="O165" s="234">
        <v>0</v>
      </c>
      <c r="P165" s="234">
        <v>0</v>
      </c>
      <c r="Q165" s="234">
        <v>0</v>
      </c>
      <c r="R165" s="234">
        <f t="shared" si="10"/>
        <v>5081462</v>
      </c>
      <c r="S165" s="234">
        <f>N165/L165</f>
        <v>3653.0999281092741</v>
      </c>
      <c r="T165" s="234">
        <v>3659.53</v>
      </c>
      <c r="U165" s="154" t="s">
        <v>233</v>
      </c>
      <c r="W165" s="58"/>
      <c r="Y165" s="44"/>
      <c r="Z165" s="46"/>
      <c r="AA165" s="47"/>
      <c r="AB165" s="48"/>
      <c r="AC165" s="48"/>
      <c r="AD165" s="274"/>
    </row>
    <row r="166" spans="1:30" s="50" customFormat="1" ht="37.5" customHeight="1">
      <c r="A166" s="238">
        <f t="shared" si="11"/>
        <v>58</v>
      </c>
      <c r="B166" s="227" t="s">
        <v>2186</v>
      </c>
      <c r="C166" s="228">
        <v>1974</v>
      </c>
      <c r="D166" s="263"/>
      <c r="E166" s="231" t="s">
        <v>222</v>
      </c>
      <c r="F166" s="233">
        <v>5</v>
      </c>
      <c r="G166" s="233">
        <v>4</v>
      </c>
      <c r="H166" s="234">
        <v>2892</v>
      </c>
      <c r="I166" s="235">
        <v>2615</v>
      </c>
      <c r="J166" s="268">
        <v>2507</v>
      </c>
      <c r="K166" s="265">
        <v>134</v>
      </c>
      <c r="L166" s="265">
        <f>'2.виды ремонта'!G152</f>
        <v>900</v>
      </c>
      <c r="M166" s="264" t="s">
        <v>33</v>
      </c>
      <c r="N166" s="162">
        <f>'2.виды ремонта'!C152</f>
        <v>2432625</v>
      </c>
      <c r="O166" s="234">
        <v>0</v>
      </c>
      <c r="P166" s="234">
        <v>0</v>
      </c>
      <c r="Q166" s="234">
        <v>0</v>
      </c>
      <c r="R166" s="234">
        <f t="shared" si="10"/>
        <v>2432625</v>
      </c>
      <c r="S166" s="257">
        <f t="shared" ref="S166:S175" si="15">N166/L166</f>
        <v>2702.9166666666665</v>
      </c>
      <c r="T166" s="234">
        <v>3564.43</v>
      </c>
      <c r="U166" s="154" t="s">
        <v>233</v>
      </c>
      <c r="W166" s="54"/>
      <c r="Y166" s="44"/>
      <c r="Z166" s="46"/>
      <c r="AA166" s="47"/>
      <c r="AB166" s="48"/>
      <c r="AC166" s="48"/>
      <c r="AD166" s="274"/>
    </row>
    <row r="167" spans="1:30" s="50" customFormat="1" ht="37.5" customHeight="1">
      <c r="A167" s="238">
        <f t="shared" si="11"/>
        <v>59</v>
      </c>
      <c r="B167" s="227" t="s">
        <v>2187</v>
      </c>
      <c r="C167" s="228">
        <v>1997</v>
      </c>
      <c r="D167" s="263"/>
      <c r="E167" s="231" t="s">
        <v>222</v>
      </c>
      <c r="F167" s="233">
        <v>9</v>
      </c>
      <c r="G167" s="233">
        <v>8</v>
      </c>
      <c r="H167" s="234">
        <v>19696</v>
      </c>
      <c r="I167" s="235">
        <v>17276.599999999999</v>
      </c>
      <c r="J167" s="268">
        <v>14152.9</v>
      </c>
      <c r="K167" s="265">
        <v>636</v>
      </c>
      <c r="L167" s="265">
        <f>'2.виды ремонта'!G153</f>
        <v>2014</v>
      </c>
      <c r="M167" s="264" t="s">
        <v>33</v>
      </c>
      <c r="N167" s="162">
        <f>'2.виды ремонта'!C153</f>
        <v>5927135</v>
      </c>
      <c r="O167" s="234">
        <v>0</v>
      </c>
      <c r="P167" s="234">
        <v>0</v>
      </c>
      <c r="Q167" s="234">
        <v>0</v>
      </c>
      <c r="R167" s="234">
        <f t="shared" si="10"/>
        <v>5927135</v>
      </c>
      <c r="S167" s="257">
        <f t="shared" si="15"/>
        <v>2942.9667328699106</v>
      </c>
      <c r="T167" s="234">
        <v>3564.43</v>
      </c>
      <c r="U167" s="154" t="s">
        <v>233</v>
      </c>
      <c r="W167" s="54"/>
      <c r="Y167" s="44"/>
      <c r="Z167" s="46"/>
      <c r="AA167" s="47"/>
      <c r="AB167" s="48"/>
      <c r="AC167" s="48"/>
      <c r="AD167" s="274"/>
    </row>
    <row r="168" spans="1:30" s="50" customFormat="1" ht="37.5" customHeight="1">
      <c r="A168" s="238">
        <f t="shared" si="11"/>
        <v>60</v>
      </c>
      <c r="B168" s="227" t="s">
        <v>2188</v>
      </c>
      <c r="C168" s="228">
        <v>1995</v>
      </c>
      <c r="D168" s="263"/>
      <c r="E168" s="228" t="s">
        <v>218</v>
      </c>
      <c r="F168" s="233">
        <v>9</v>
      </c>
      <c r="G168" s="233">
        <v>2</v>
      </c>
      <c r="H168" s="234">
        <v>4531</v>
      </c>
      <c r="I168" s="235">
        <v>3887</v>
      </c>
      <c r="J168" s="268">
        <v>3686</v>
      </c>
      <c r="K168" s="265">
        <v>221</v>
      </c>
      <c r="L168" s="265">
        <f>'2.виды ремонта'!G154</f>
        <v>638</v>
      </c>
      <c r="M168" s="264" t="s">
        <v>33</v>
      </c>
      <c r="N168" s="162">
        <f>'2.виды ремонта'!C154</f>
        <v>1499459</v>
      </c>
      <c r="O168" s="234">
        <v>0</v>
      </c>
      <c r="P168" s="234">
        <v>0</v>
      </c>
      <c r="Q168" s="234">
        <v>0</v>
      </c>
      <c r="R168" s="234">
        <f t="shared" si="10"/>
        <v>1499459</v>
      </c>
      <c r="S168" s="257">
        <f t="shared" si="15"/>
        <v>2350.2492163009406</v>
      </c>
      <c r="T168" s="234">
        <v>3564.43</v>
      </c>
      <c r="U168" s="154" t="s">
        <v>233</v>
      </c>
      <c r="W168" s="54"/>
      <c r="Y168" s="44"/>
      <c r="Z168" s="46"/>
      <c r="AA168" s="47"/>
      <c r="AB168" s="48"/>
      <c r="AC168" s="48"/>
      <c r="AD168" s="274"/>
    </row>
    <row r="169" spans="1:30" s="50" customFormat="1" ht="37.5" customHeight="1">
      <c r="A169" s="238">
        <f t="shared" si="11"/>
        <v>61</v>
      </c>
      <c r="B169" s="185" t="s">
        <v>2189</v>
      </c>
      <c r="C169" s="228">
        <v>1957</v>
      </c>
      <c r="D169" s="228"/>
      <c r="E169" s="227" t="s">
        <v>222</v>
      </c>
      <c r="F169" s="233">
        <v>2</v>
      </c>
      <c r="G169" s="233">
        <v>1</v>
      </c>
      <c r="H169" s="234">
        <v>693</v>
      </c>
      <c r="I169" s="235">
        <v>553.79999999999995</v>
      </c>
      <c r="J169" s="235">
        <v>337.8</v>
      </c>
      <c r="K169" s="233">
        <v>71</v>
      </c>
      <c r="L169" s="265">
        <f>'2.виды ремонта'!G155</f>
        <v>675.2</v>
      </c>
      <c r="M169" s="238" t="s">
        <v>33</v>
      </c>
      <c r="N169" s="162">
        <f>'2.виды ремонта'!C155</f>
        <v>2003248.82</v>
      </c>
      <c r="O169" s="161">
        <v>0</v>
      </c>
      <c r="P169" s="161">
        <v>0</v>
      </c>
      <c r="Q169" s="161">
        <v>0</v>
      </c>
      <c r="R169" s="234">
        <f t="shared" si="10"/>
        <v>2003248.82</v>
      </c>
      <c r="S169" s="257">
        <f t="shared" si="15"/>
        <v>2966.8969490521326</v>
      </c>
      <c r="T169" s="234">
        <v>3564.43</v>
      </c>
      <c r="U169" s="154" t="s">
        <v>233</v>
      </c>
      <c r="W169" s="54"/>
      <c r="Y169" s="44"/>
      <c r="Z169" s="46"/>
      <c r="AA169" s="47"/>
      <c r="AB169" s="48"/>
      <c r="AC169" s="48"/>
      <c r="AD169" s="274"/>
    </row>
    <row r="170" spans="1:30" s="50" customFormat="1" ht="37.5" customHeight="1">
      <c r="A170" s="238">
        <f t="shared" si="11"/>
        <v>62</v>
      </c>
      <c r="B170" s="227" t="s">
        <v>2190</v>
      </c>
      <c r="C170" s="228">
        <v>1969</v>
      </c>
      <c r="D170" s="263"/>
      <c r="E170" s="231" t="s">
        <v>222</v>
      </c>
      <c r="F170" s="233">
        <v>5</v>
      </c>
      <c r="G170" s="233">
        <v>4</v>
      </c>
      <c r="H170" s="234">
        <v>3590</v>
      </c>
      <c r="I170" s="235">
        <v>3357</v>
      </c>
      <c r="J170" s="268">
        <v>2427</v>
      </c>
      <c r="K170" s="265">
        <v>147</v>
      </c>
      <c r="L170" s="265">
        <f>'2.виды ремонта'!G156</f>
        <v>928</v>
      </c>
      <c r="M170" s="264" t="s">
        <v>33</v>
      </c>
      <c r="N170" s="162">
        <f>'2.виды ремонта'!C156</f>
        <v>2298843</v>
      </c>
      <c r="O170" s="234">
        <v>0</v>
      </c>
      <c r="P170" s="234">
        <v>0</v>
      </c>
      <c r="Q170" s="234">
        <v>0</v>
      </c>
      <c r="R170" s="234">
        <f t="shared" si="10"/>
        <v>2298843</v>
      </c>
      <c r="S170" s="257">
        <f t="shared" si="15"/>
        <v>2477.2015086206898</v>
      </c>
      <c r="T170" s="234">
        <v>3564.43</v>
      </c>
      <c r="U170" s="154" t="s">
        <v>233</v>
      </c>
      <c r="W170" s="54"/>
      <c r="Y170" s="44"/>
      <c r="Z170" s="46"/>
      <c r="AA170" s="47"/>
      <c r="AB170" s="48"/>
      <c r="AC170" s="48"/>
      <c r="AD170" s="274"/>
    </row>
    <row r="171" spans="1:30" s="50" customFormat="1" ht="37.5" customHeight="1">
      <c r="A171" s="238">
        <f t="shared" si="11"/>
        <v>63</v>
      </c>
      <c r="B171" s="227" t="s">
        <v>2191</v>
      </c>
      <c r="C171" s="228">
        <v>1966</v>
      </c>
      <c r="D171" s="263"/>
      <c r="E171" s="231" t="s">
        <v>222</v>
      </c>
      <c r="F171" s="233">
        <v>5</v>
      </c>
      <c r="G171" s="233">
        <v>4</v>
      </c>
      <c r="H171" s="234">
        <v>3626</v>
      </c>
      <c r="I171" s="235">
        <v>3376</v>
      </c>
      <c r="J171" s="268">
        <v>2461</v>
      </c>
      <c r="K171" s="265">
        <v>151</v>
      </c>
      <c r="L171" s="265">
        <f>'2.виды ремонта'!G157</f>
        <v>941</v>
      </c>
      <c r="M171" s="264" t="s">
        <v>33</v>
      </c>
      <c r="N171" s="162">
        <f>'2.виды ремонта'!C157</f>
        <v>2352358</v>
      </c>
      <c r="O171" s="234">
        <v>0</v>
      </c>
      <c r="P171" s="234">
        <v>0</v>
      </c>
      <c r="Q171" s="234">
        <v>0</v>
      </c>
      <c r="R171" s="234">
        <f t="shared" si="10"/>
        <v>2352358</v>
      </c>
      <c r="S171" s="257">
        <f t="shared" si="15"/>
        <v>2499.8490967056323</v>
      </c>
      <c r="T171" s="234">
        <v>3564.43</v>
      </c>
      <c r="U171" s="154" t="s">
        <v>233</v>
      </c>
      <c r="W171" s="54"/>
      <c r="Y171" s="44"/>
      <c r="Z171" s="46"/>
      <c r="AA171" s="47"/>
      <c r="AB171" s="48"/>
      <c r="AC171" s="48"/>
      <c r="AD171" s="274"/>
    </row>
    <row r="172" spans="1:30" s="50" customFormat="1" ht="37.5" customHeight="1">
      <c r="A172" s="238">
        <f t="shared" si="11"/>
        <v>64</v>
      </c>
      <c r="B172" s="185" t="s">
        <v>2192</v>
      </c>
      <c r="C172" s="228">
        <v>1959</v>
      </c>
      <c r="D172" s="227"/>
      <c r="E172" s="228" t="s">
        <v>222</v>
      </c>
      <c r="F172" s="258">
        <v>4</v>
      </c>
      <c r="G172" s="258">
        <v>4</v>
      </c>
      <c r="H172" s="234">
        <v>3104</v>
      </c>
      <c r="I172" s="235">
        <v>2482.5</v>
      </c>
      <c r="J172" s="235">
        <v>1342.6</v>
      </c>
      <c r="K172" s="233">
        <v>153</v>
      </c>
      <c r="L172" s="265">
        <f>'2.виды ремонта'!G158</f>
        <v>1147</v>
      </c>
      <c r="M172" s="239" t="s">
        <v>33</v>
      </c>
      <c r="N172" s="162">
        <f>'2.виды ремонта'!C158</f>
        <v>3331142</v>
      </c>
      <c r="O172" s="161">
        <v>0</v>
      </c>
      <c r="P172" s="161">
        <v>0</v>
      </c>
      <c r="Q172" s="161">
        <v>0</v>
      </c>
      <c r="R172" s="234">
        <f t="shared" si="10"/>
        <v>3331142</v>
      </c>
      <c r="S172" s="257">
        <f t="shared" si="15"/>
        <v>2904.2214472537053</v>
      </c>
      <c r="T172" s="234">
        <v>3564.43</v>
      </c>
      <c r="U172" s="154" t="s">
        <v>233</v>
      </c>
      <c r="W172" s="54"/>
      <c r="Y172" s="44"/>
      <c r="Z172" s="46"/>
      <c r="AA172" s="47"/>
      <c r="AB172" s="48"/>
      <c r="AC172" s="48"/>
      <c r="AD172" s="274"/>
    </row>
    <row r="173" spans="1:30" s="50" customFormat="1" ht="37.5" customHeight="1">
      <c r="A173" s="238">
        <f t="shared" si="11"/>
        <v>65</v>
      </c>
      <c r="B173" s="227" t="s">
        <v>2193</v>
      </c>
      <c r="C173" s="228">
        <v>1982</v>
      </c>
      <c r="D173" s="263"/>
      <c r="E173" s="231" t="s">
        <v>222</v>
      </c>
      <c r="F173" s="233">
        <v>5</v>
      </c>
      <c r="G173" s="233">
        <v>6</v>
      </c>
      <c r="H173" s="234">
        <v>4183</v>
      </c>
      <c r="I173" s="235">
        <v>4183</v>
      </c>
      <c r="J173" s="268">
        <v>3931.3</v>
      </c>
      <c r="K173" s="265">
        <v>205</v>
      </c>
      <c r="L173" s="265">
        <f>'2.виды ремонта'!G159</f>
        <v>1400</v>
      </c>
      <c r="M173" s="264" t="s">
        <v>33</v>
      </c>
      <c r="N173" s="162">
        <f>'2.виды ремонта'!C159</f>
        <v>3030401</v>
      </c>
      <c r="O173" s="234">
        <v>0</v>
      </c>
      <c r="P173" s="234">
        <v>0</v>
      </c>
      <c r="Q173" s="234">
        <v>0</v>
      </c>
      <c r="R173" s="234">
        <f t="shared" si="10"/>
        <v>3030401</v>
      </c>
      <c r="S173" s="257">
        <f t="shared" si="15"/>
        <v>2164.5721428571428</v>
      </c>
      <c r="T173" s="234">
        <v>3564.43</v>
      </c>
      <c r="U173" s="154" t="s">
        <v>233</v>
      </c>
      <c r="W173" s="54"/>
      <c r="Y173" s="44"/>
      <c r="Z173" s="46"/>
      <c r="AA173" s="47"/>
      <c r="AB173" s="48"/>
      <c r="AC173" s="48"/>
      <c r="AD173" s="274"/>
    </row>
    <row r="174" spans="1:30" s="50" customFormat="1" ht="37.5" customHeight="1">
      <c r="A174" s="238">
        <f t="shared" si="11"/>
        <v>66</v>
      </c>
      <c r="B174" s="227" t="s">
        <v>2194</v>
      </c>
      <c r="C174" s="228">
        <v>1972</v>
      </c>
      <c r="D174" s="263"/>
      <c r="E174" s="231" t="s">
        <v>222</v>
      </c>
      <c r="F174" s="233">
        <v>2</v>
      </c>
      <c r="G174" s="233">
        <v>2</v>
      </c>
      <c r="H174" s="234">
        <v>849</v>
      </c>
      <c r="I174" s="235">
        <v>775.7</v>
      </c>
      <c r="J174" s="268">
        <v>713.4</v>
      </c>
      <c r="K174" s="265">
        <v>52</v>
      </c>
      <c r="L174" s="265">
        <f>'2.виды ремонта'!G160</f>
        <v>536</v>
      </c>
      <c r="M174" s="264" t="s">
        <v>33</v>
      </c>
      <c r="N174" s="162">
        <f>'2.виды ремонта'!C160</f>
        <v>1427797.35</v>
      </c>
      <c r="O174" s="234">
        <v>0</v>
      </c>
      <c r="P174" s="234">
        <v>0</v>
      </c>
      <c r="Q174" s="234">
        <v>0</v>
      </c>
      <c r="R174" s="234">
        <f t="shared" si="10"/>
        <v>1427797.35</v>
      </c>
      <c r="S174" s="257">
        <f t="shared" si="15"/>
        <v>2663.8010261194031</v>
      </c>
      <c r="T174" s="234">
        <v>3564.43</v>
      </c>
      <c r="U174" s="154" t="s">
        <v>233</v>
      </c>
      <c r="W174" s="54"/>
      <c r="Y174" s="44"/>
      <c r="Z174" s="46"/>
      <c r="AA174" s="47"/>
      <c r="AB174" s="48"/>
      <c r="AC174" s="48"/>
      <c r="AD174" s="274"/>
    </row>
    <row r="175" spans="1:30" s="50" customFormat="1" ht="37.5" customHeight="1">
      <c r="A175" s="238">
        <f t="shared" si="11"/>
        <v>67</v>
      </c>
      <c r="B175" s="227" t="s">
        <v>2195</v>
      </c>
      <c r="C175" s="228">
        <v>1972</v>
      </c>
      <c r="D175" s="263"/>
      <c r="E175" s="231" t="s">
        <v>222</v>
      </c>
      <c r="F175" s="233">
        <v>2</v>
      </c>
      <c r="G175" s="233">
        <v>2</v>
      </c>
      <c r="H175" s="234">
        <v>798</v>
      </c>
      <c r="I175" s="235">
        <v>734</v>
      </c>
      <c r="J175" s="268">
        <v>599</v>
      </c>
      <c r="K175" s="265">
        <v>32</v>
      </c>
      <c r="L175" s="265">
        <f>'2.виды ремонта'!G161</f>
        <v>517</v>
      </c>
      <c r="M175" s="264" t="s">
        <v>33</v>
      </c>
      <c r="N175" s="162">
        <f>'2.виды ремонта'!C161</f>
        <v>1079861.1000000001</v>
      </c>
      <c r="O175" s="234">
        <v>0</v>
      </c>
      <c r="P175" s="234">
        <v>0</v>
      </c>
      <c r="Q175" s="234">
        <v>0</v>
      </c>
      <c r="R175" s="234">
        <f t="shared" si="10"/>
        <v>1079861.1000000001</v>
      </c>
      <c r="S175" s="257">
        <f t="shared" si="15"/>
        <v>2088.706189555126</v>
      </c>
      <c r="T175" s="234">
        <v>3564.43</v>
      </c>
      <c r="U175" s="154" t="s">
        <v>233</v>
      </c>
      <c r="W175" s="54"/>
      <c r="Y175" s="44"/>
      <c r="Z175" s="46"/>
      <c r="AA175" s="47"/>
      <c r="AB175" s="48"/>
      <c r="AC175" s="48"/>
      <c r="AD175" s="274"/>
    </row>
    <row r="176" spans="1:30" s="50" customFormat="1" ht="37.5" customHeight="1">
      <c r="A176" s="238">
        <f t="shared" si="11"/>
        <v>68</v>
      </c>
      <c r="B176" s="187" t="s">
        <v>2196</v>
      </c>
      <c r="C176" s="181">
        <v>1982</v>
      </c>
      <c r="D176" s="188"/>
      <c r="E176" s="227" t="s">
        <v>222</v>
      </c>
      <c r="F176" s="189">
        <v>5</v>
      </c>
      <c r="G176" s="189">
        <v>6</v>
      </c>
      <c r="H176" s="212">
        <v>4633</v>
      </c>
      <c r="I176" s="190">
        <v>3611.3</v>
      </c>
      <c r="J176" s="190">
        <v>4276.5</v>
      </c>
      <c r="K176" s="233">
        <v>251</v>
      </c>
      <c r="L176" s="233">
        <f>H176-I176</f>
        <v>1021.6999999999998</v>
      </c>
      <c r="M176" s="226" t="s">
        <v>225</v>
      </c>
      <c r="N176" s="162">
        <f>'2.виды ремонта'!C162</f>
        <v>1848473.41</v>
      </c>
      <c r="O176" s="161">
        <v>0</v>
      </c>
      <c r="P176" s="161">
        <v>0</v>
      </c>
      <c r="Q176" s="161">
        <v>0</v>
      </c>
      <c r="R176" s="234">
        <f t="shared" si="10"/>
        <v>1848473.41</v>
      </c>
      <c r="S176" s="234">
        <f>N176/L176</f>
        <v>1809.2134775374379</v>
      </c>
      <c r="T176" s="234">
        <v>3654.29</v>
      </c>
      <c r="U176" s="154" t="s">
        <v>233</v>
      </c>
      <c r="Y176" s="44"/>
      <c r="Z176" s="46"/>
      <c r="AA176" s="47"/>
      <c r="AB176" s="48"/>
      <c r="AC176" s="48"/>
      <c r="AD176" s="274"/>
    </row>
    <row r="177" spans="1:30" s="50" customFormat="1" ht="37.5" customHeight="1">
      <c r="A177" s="238">
        <f t="shared" si="11"/>
        <v>69</v>
      </c>
      <c r="B177" s="227" t="s">
        <v>2197</v>
      </c>
      <c r="C177" s="228">
        <v>1960</v>
      </c>
      <c r="D177" s="263"/>
      <c r="E177" s="231" t="s">
        <v>222</v>
      </c>
      <c r="F177" s="233">
        <v>3</v>
      </c>
      <c r="G177" s="233">
        <v>3</v>
      </c>
      <c r="H177" s="234">
        <v>1506</v>
      </c>
      <c r="I177" s="235">
        <v>1506</v>
      </c>
      <c r="J177" s="235">
        <v>1506</v>
      </c>
      <c r="K177" s="265">
        <v>72</v>
      </c>
      <c r="L177" s="265">
        <f>'2.виды ремонта'!G163</f>
        <v>892</v>
      </c>
      <c r="M177" s="264" t="s">
        <v>33</v>
      </c>
      <c r="N177" s="162">
        <f>'2.виды ремонта'!C163</f>
        <v>2492198.94</v>
      </c>
      <c r="O177" s="234">
        <v>0</v>
      </c>
      <c r="P177" s="234">
        <v>0</v>
      </c>
      <c r="Q177" s="234">
        <v>0</v>
      </c>
      <c r="R177" s="234">
        <f t="shared" si="10"/>
        <v>2492198.94</v>
      </c>
      <c r="S177" s="257">
        <f t="shared" ref="S177:S183" si="16">N177/L177</f>
        <v>2793.9450000000002</v>
      </c>
      <c r="T177" s="234">
        <v>3564.43</v>
      </c>
      <c r="U177" s="154" t="s">
        <v>233</v>
      </c>
      <c r="W177" s="54"/>
      <c r="Y177" s="44"/>
      <c r="Z177" s="46"/>
      <c r="AA177" s="47"/>
      <c r="AB177" s="48"/>
      <c r="AC177" s="48"/>
      <c r="AD177" s="274"/>
    </row>
    <row r="178" spans="1:30" s="50" customFormat="1" ht="37.5" customHeight="1">
      <c r="A178" s="238">
        <f t="shared" si="11"/>
        <v>70</v>
      </c>
      <c r="B178" s="227" t="s">
        <v>2198</v>
      </c>
      <c r="C178" s="228">
        <v>1959</v>
      </c>
      <c r="D178" s="263"/>
      <c r="E178" s="231" t="s">
        <v>222</v>
      </c>
      <c r="F178" s="233">
        <v>5</v>
      </c>
      <c r="G178" s="233">
        <v>4</v>
      </c>
      <c r="H178" s="234">
        <v>3844</v>
      </c>
      <c r="I178" s="235">
        <v>3075.9</v>
      </c>
      <c r="J178" s="268">
        <v>2982.1</v>
      </c>
      <c r="K178" s="265">
        <v>165</v>
      </c>
      <c r="L178" s="265">
        <f>'2.виды ремонта'!G164</f>
        <v>1136</v>
      </c>
      <c r="M178" s="264" t="s">
        <v>33</v>
      </c>
      <c r="N178" s="162">
        <f>'2.виды ремонта'!C164</f>
        <v>3313532.95</v>
      </c>
      <c r="O178" s="234">
        <v>0</v>
      </c>
      <c r="P178" s="234">
        <v>0</v>
      </c>
      <c r="Q178" s="234">
        <v>0</v>
      </c>
      <c r="R178" s="234">
        <f t="shared" si="10"/>
        <v>3313532.95</v>
      </c>
      <c r="S178" s="257">
        <f t="shared" si="16"/>
        <v>2916.8423855633805</v>
      </c>
      <c r="T178" s="234">
        <v>3564.43</v>
      </c>
      <c r="U178" s="154" t="s">
        <v>233</v>
      </c>
      <c r="W178" s="54"/>
      <c r="Y178" s="44"/>
      <c r="Z178" s="46"/>
      <c r="AA178" s="47"/>
      <c r="AB178" s="48"/>
      <c r="AC178" s="48"/>
      <c r="AD178" s="274"/>
    </row>
    <row r="179" spans="1:30" s="50" customFormat="1" ht="37.5" customHeight="1">
      <c r="A179" s="238">
        <f t="shared" si="11"/>
        <v>71</v>
      </c>
      <c r="B179" s="227" t="s">
        <v>2199</v>
      </c>
      <c r="C179" s="228">
        <v>1960</v>
      </c>
      <c r="D179" s="263"/>
      <c r="E179" s="231" t="s">
        <v>222</v>
      </c>
      <c r="F179" s="233">
        <v>5</v>
      </c>
      <c r="G179" s="233">
        <v>4</v>
      </c>
      <c r="H179" s="234">
        <v>3105</v>
      </c>
      <c r="I179" s="235">
        <v>3105</v>
      </c>
      <c r="J179" s="268">
        <v>2940.9</v>
      </c>
      <c r="K179" s="265">
        <v>180</v>
      </c>
      <c r="L179" s="265">
        <f>'2.виды ремонта'!G165</f>
        <v>1050</v>
      </c>
      <c r="M179" s="264" t="s">
        <v>33</v>
      </c>
      <c r="N179" s="162">
        <f>'2.виды ремонта'!C165</f>
        <v>2246453</v>
      </c>
      <c r="O179" s="234">
        <v>0</v>
      </c>
      <c r="P179" s="234">
        <v>0</v>
      </c>
      <c r="Q179" s="234">
        <v>0</v>
      </c>
      <c r="R179" s="234">
        <f t="shared" si="10"/>
        <v>2246453</v>
      </c>
      <c r="S179" s="257">
        <f t="shared" si="16"/>
        <v>2139.4790476190478</v>
      </c>
      <c r="T179" s="234">
        <v>3564.43</v>
      </c>
      <c r="U179" s="154" t="s">
        <v>233</v>
      </c>
      <c r="W179" s="54"/>
      <c r="Y179" s="44"/>
      <c r="Z179" s="46"/>
      <c r="AA179" s="47"/>
      <c r="AB179" s="48"/>
      <c r="AC179" s="48"/>
      <c r="AD179" s="274"/>
    </row>
    <row r="180" spans="1:30" s="50" customFormat="1" ht="37.5" customHeight="1">
      <c r="A180" s="238">
        <f t="shared" si="11"/>
        <v>72</v>
      </c>
      <c r="B180" s="227" t="s">
        <v>2200</v>
      </c>
      <c r="C180" s="228">
        <v>1960</v>
      </c>
      <c r="D180" s="263"/>
      <c r="E180" s="231" t="s">
        <v>222</v>
      </c>
      <c r="F180" s="233">
        <v>5</v>
      </c>
      <c r="G180" s="233">
        <v>4</v>
      </c>
      <c r="H180" s="234">
        <v>3908</v>
      </c>
      <c r="I180" s="235">
        <v>3123.3</v>
      </c>
      <c r="J180" s="268">
        <v>2926.6</v>
      </c>
      <c r="K180" s="265">
        <v>165</v>
      </c>
      <c r="L180" s="265">
        <f>'2.виды ремонта'!G166</f>
        <v>1050</v>
      </c>
      <c r="M180" s="264" t="s">
        <v>33</v>
      </c>
      <c r="N180" s="162">
        <f>'2.виды ремонта'!C166</f>
        <v>2246453</v>
      </c>
      <c r="O180" s="234">
        <v>0</v>
      </c>
      <c r="P180" s="234">
        <v>0</v>
      </c>
      <c r="Q180" s="234">
        <v>0</v>
      </c>
      <c r="R180" s="234">
        <f t="shared" si="10"/>
        <v>2246453</v>
      </c>
      <c r="S180" s="257">
        <f t="shared" si="16"/>
        <v>2139.4790476190478</v>
      </c>
      <c r="T180" s="234">
        <v>3564.43</v>
      </c>
      <c r="U180" s="154" t="s">
        <v>233</v>
      </c>
      <c r="W180" s="54"/>
      <c r="Y180" s="44"/>
      <c r="Z180" s="46"/>
      <c r="AA180" s="47"/>
      <c r="AB180" s="48"/>
      <c r="AC180" s="48"/>
      <c r="AD180" s="274"/>
    </row>
    <row r="181" spans="1:30" s="50" customFormat="1" ht="37.5" customHeight="1">
      <c r="A181" s="238">
        <f t="shared" si="11"/>
        <v>73</v>
      </c>
      <c r="B181" s="228" t="s">
        <v>2201</v>
      </c>
      <c r="C181" s="228">
        <v>1958</v>
      </c>
      <c r="D181" s="227"/>
      <c r="E181" s="227" t="s">
        <v>222</v>
      </c>
      <c r="F181" s="233">
        <v>3</v>
      </c>
      <c r="G181" s="233">
        <v>3</v>
      </c>
      <c r="H181" s="234">
        <v>1774</v>
      </c>
      <c r="I181" s="235">
        <v>1419</v>
      </c>
      <c r="J181" s="235">
        <v>1210.0999999999999</v>
      </c>
      <c r="K181" s="233">
        <v>63</v>
      </c>
      <c r="L181" s="265">
        <f>'2.виды ремонта'!G167</f>
        <v>1310</v>
      </c>
      <c r="M181" s="191" t="s">
        <v>33</v>
      </c>
      <c r="N181" s="162">
        <f>'2.виды ремонта'!C167</f>
        <v>2309628.3499999996</v>
      </c>
      <c r="O181" s="161">
        <v>0</v>
      </c>
      <c r="P181" s="161">
        <v>0</v>
      </c>
      <c r="Q181" s="161">
        <v>0</v>
      </c>
      <c r="R181" s="234">
        <f t="shared" si="10"/>
        <v>2309628.3499999996</v>
      </c>
      <c r="S181" s="257">
        <f t="shared" si="16"/>
        <v>1763.0750763358776</v>
      </c>
      <c r="T181" s="234">
        <v>3564.43</v>
      </c>
      <c r="U181" s="154" t="s">
        <v>233</v>
      </c>
      <c r="W181" s="54"/>
      <c r="Y181" s="44"/>
      <c r="Z181" s="46"/>
      <c r="AA181" s="47"/>
      <c r="AB181" s="48"/>
      <c r="AC181" s="48"/>
      <c r="AD181" s="274"/>
    </row>
    <row r="182" spans="1:30" s="50" customFormat="1" ht="37.5" customHeight="1">
      <c r="A182" s="238">
        <f t="shared" si="11"/>
        <v>74</v>
      </c>
      <c r="B182" s="227" t="s">
        <v>2202</v>
      </c>
      <c r="C182" s="228">
        <v>1990</v>
      </c>
      <c r="D182" s="263"/>
      <c r="E182" s="231" t="s">
        <v>222</v>
      </c>
      <c r="F182" s="233">
        <v>5</v>
      </c>
      <c r="G182" s="233">
        <v>4</v>
      </c>
      <c r="H182" s="234">
        <v>2655</v>
      </c>
      <c r="I182" s="235">
        <v>2655</v>
      </c>
      <c r="J182" s="268">
        <v>2563.6999999999998</v>
      </c>
      <c r="K182" s="265">
        <v>129</v>
      </c>
      <c r="L182" s="265">
        <f>'2.виды ремонта'!G168</f>
        <v>1050</v>
      </c>
      <c r="M182" s="264" t="s">
        <v>33</v>
      </c>
      <c r="N182" s="162">
        <f>'2.виды ремонта'!C168</f>
        <v>2122844</v>
      </c>
      <c r="O182" s="234">
        <v>0</v>
      </c>
      <c r="P182" s="234">
        <v>0</v>
      </c>
      <c r="Q182" s="234">
        <v>0</v>
      </c>
      <c r="R182" s="234">
        <f t="shared" si="10"/>
        <v>2122844</v>
      </c>
      <c r="S182" s="257">
        <f t="shared" si="16"/>
        <v>2021.7561904761906</v>
      </c>
      <c r="T182" s="234">
        <v>3564.43</v>
      </c>
      <c r="U182" s="154" t="s">
        <v>233</v>
      </c>
      <c r="W182" s="54"/>
      <c r="Y182" s="44"/>
      <c r="Z182" s="46"/>
      <c r="AA182" s="47"/>
      <c r="AB182" s="48"/>
      <c r="AC182" s="48"/>
      <c r="AD182" s="274"/>
    </row>
    <row r="183" spans="1:30" s="50" customFormat="1" ht="37.5" customHeight="1">
      <c r="A183" s="238">
        <f t="shared" si="11"/>
        <v>75</v>
      </c>
      <c r="B183" s="227" t="s">
        <v>2207</v>
      </c>
      <c r="C183" s="228">
        <v>1990</v>
      </c>
      <c r="D183" s="263"/>
      <c r="E183" s="228" t="s">
        <v>218</v>
      </c>
      <c r="F183" s="233">
        <v>9</v>
      </c>
      <c r="G183" s="233">
        <v>4</v>
      </c>
      <c r="H183" s="234">
        <v>8795</v>
      </c>
      <c r="I183" s="235">
        <v>7768.5</v>
      </c>
      <c r="J183" s="268">
        <v>7512.4</v>
      </c>
      <c r="K183" s="265">
        <v>448</v>
      </c>
      <c r="L183" s="265">
        <f>'2.виды ремонта'!G169</f>
        <v>1269</v>
      </c>
      <c r="M183" s="264" t="s">
        <v>33</v>
      </c>
      <c r="N183" s="162">
        <f>'2.виды ремонта'!C169</f>
        <v>2882961</v>
      </c>
      <c r="O183" s="234">
        <v>0</v>
      </c>
      <c r="P183" s="234">
        <v>0</v>
      </c>
      <c r="Q183" s="234">
        <v>0</v>
      </c>
      <c r="R183" s="234">
        <f t="shared" ref="R183:R204" si="17">N183</f>
        <v>2882961</v>
      </c>
      <c r="S183" s="257">
        <f t="shared" si="16"/>
        <v>2271.8368794326243</v>
      </c>
      <c r="T183" s="234">
        <v>3564.43</v>
      </c>
      <c r="U183" s="154" t="s">
        <v>233</v>
      </c>
      <c r="W183" s="54"/>
      <c r="Y183" s="44"/>
      <c r="Z183" s="46"/>
      <c r="AA183" s="47"/>
      <c r="AB183" s="48"/>
      <c r="AC183" s="48"/>
      <c r="AD183" s="274"/>
    </row>
    <row r="184" spans="1:30" s="50" customFormat="1" ht="37.5" customHeight="1">
      <c r="A184" s="238">
        <f t="shared" si="11"/>
        <v>76</v>
      </c>
      <c r="B184" s="227" t="s">
        <v>2208</v>
      </c>
      <c r="C184" s="228">
        <v>1959</v>
      </c>
      <c r="D184" s="263"/>
      <c r="E184" s="231" t="s">
        <v>222</v>
      </c>
      <c r="F184" s="233">
        <v>4</v>
      </c>
      <c r="G184" s="233">
        <v>4</v>
      </c>
      <c r="H184" s="234">
        <v>2558</v>
      </c>
      <c r="I184" s="235">
        <v>2047.8</v>
      </c>
      <c r="J184" s="268">
        <v>2047.8</v>
      </c>
      <c r="K184" s="265">
        <v>66</v>
      </c>
      <c r="L184" s="233">
        <f>'2.виды ремонта'!K170</f>
        <v>1862</v>
      </c>
      <c r="M184" s="264" t="s">
        <v>247</v>
      </c>
      <c r="N184" s="162">
        <f>'2.виды ремонта'!C170</f>
        <v>3073024</v>
      </c>
      <c r="O184" s="234">
        <v>0</v>
      </c>
      <c r="P184" s="234">
        <v>0</v>
      </c>
      <c r="Q184" s="234">
        <v>0</v>
      </c>
      <c r="R184" s="234">
        <f t="shared" si="17"/>
        <v>3073024</v>
      </c>
      <c r="S184" s="234">
        <f t="shared" ref="S184:S200" si="18">N184/L184</f>
        <v>1650.388829215897</v>
      </c>
      <c r="T184" s="234">
        <v>1698.74</v>
      </c>
      <c r="U184" s="154" t="s">
        <v>233</v>
      </c>
      <c r="W184" s="58"/>
      <c r="Y184" s="44"/>
      <c r="Z184" s="46"/>
      <c r="AA184" s="47"/>
      <c r="AB184" s="48"/>
      <c r="AC184" s="48"/>
      <c r="AD184" s="274"/>
    </row>
    <row r="185" spans="1:30" s="50" customFormat="1" ht="37.5" customHeight="1">
      <c r="A185" s="238">
        <f t="shared" ref="A185:A207" si="19">A184+1</f>
        <v>77</v>
      </c>
      <c r="B185" s="227" t="s">
        <v>2209</v>
      </c>
      <c r="C185" s="228">
        <v>1958</v>
      </c>
      <c r="D185" s="263"/>
      <c r="E185" s="231" t="s">
        <v>222</v>
      </c>
      <c r="F185" s="233">
        <v>5</v>
      </c>
      <c r="G185" s="233">
        <v>4</v>
      </c>
      <c r="H185" s="234">
        <v>3106</v>
      </c>
      <c r="I185" s="235">
        <v>2484.4</v>
      </c>
      <c r="J185" s="268">
        <v>2484.4</v>
      </c>
      <c r="K185" s="265">
        <v>98</v>
      </c>
      <c r="L185" s="265">
        <f>'2.виды ремонта'!G171</f>
        <v>1366</v>
      </c>
      <c r="M185" s="264" t="s">
        <v>33</v>
      </c>
      <c r="N185" s="162">
        <f>'2.виды ремонта'!C171</f>
        <v>3757871.28</v>
      </c>
      <c r="O185" s="234">
        <v>0</v>
      </c>
      <c r="P185" s="234">
        <v>0</v>
      </c>
      <c r="Q185" s="234">
        <v>0</v>
      </c>
      <c r="R185" s="234">
        <f t="shared" si="17"/>
        <v>3757871.28</v>
      </c>
      <c r="S185" s="257">
        <f t="shared" si="18"/>
        <v>2751.0038653001461</v>
      </c>
      <c r="T185" s="234">
        <v>3564.43</v>
      </c>
      <c r="U185" s="154" t="s">
        <v>233</v>
      </c>
      <c r="W185" s="54"/>
      <c r="Y185" s="44"/>
      <c r="Z185" s="46"/>
      <c r="AA185" s="47"/>
      <c r="AB185" s="48"/>
      <c r="AC185" s="48"/>
      <c r="AD185" s="274"/>
    </row>
    <row r="186" spans="1:30" s="50" customFormat="1" ht="37.5" customHeight="1">
      <c r="A186" s="238">
        <f t="shared" si="19"/>
        <v>78</v>
      </c>
      <c r="B186" s="228" t="s">
        <v>2212</v>
      </c>
      <c r="C186" s="228">
        <v>1999</v>
      </c>
      <c r="D186" s="228"/>
      <c r="E186" s="227" t="s">
        <v>222</v>
      </c>
      <c r="F186" s="233">
        <v>5</v>
      </c>
      <c r="G186" s="233">
        <v>4</v>
      </c>
      <c r="H186" s="234">
        <v>6415</v>
      </c>
      <c r="I186" s="235">
        <v>4908.5</v>
      </c>
      <c r="J186" s="235">
        <v>4908.5</v>
      </c>
      <c r="K186" s="233">
        <v>179</v>
      </c>
      <c r="L186" s="265">
        <f>'2.виды ремонта'!G172</f>
        <v>1015.9</v>
      </c>
      <c r="M186" s="238" t="s">
        <v>33</v>
      </c>
      <c r="N186" s="162">
        <f>'2.виды ремонта'!C172</f>
        <v>2434417</v>
      </c>
      <c r="O186" s="161">
        <v>0</v>
      </c>
      <c r="P186" s="161">
        <v>0</v>
      </c>
      <c r="Q186" s="161">
        <v>0</v>
      </c>
      <c r="R186" s="234">
        <f t="shared" si="17"/>
        <v>2434417</v>
      </c>
      <c r="S186" s="257">
        <f t="shared" si="18"/>
        <v>2396.3155822423469</v>
      </c>
      <c r="T186" s="234">
        <v>3564.43</v>
      </c>
      <c r="U186" s="154" t="s">
        <v>233</v>
      </c>
      <c r="W186" s="54"/>
      <c r="Y186" s="44"/>
      <c r="Z186" s="46"/>
      <c r="AA186" s="47"/>
      <c r="AB186" s="48"/>
      <c r="AC186" s="48"/>
      <c r="AD186" s="274"/>
    </row>
    <row r="187" spans="1:30" s="50" customFormat="1" ht="37.5" customHeight="1">
      <c r="A187" s="238">
        <f t="shared" si="19"/>
        <v>79</v>
      </c>
      <c r="B187" s="227" t="s">
        <v>2214</v>
      </c>
      <c r="C187" s="228">
        <v>1957</v>
      </c>
      <c r="D187" s="263"/>
      <c r="E187" s="231" t="s">
        <v>222</v>
      </c>
      <c r="F187" s="233">
        <v>3</v>
      </c>
      <c r="G187" s="233">
        <v>3</v>
      </c>
      <c r="H187" s="234">
        <v>1449</v>
      </c>
      <c r="I187" s="235">
        <v>1159</v>
      </c>
      <c r="J187" s="268">
        <v>1159</v>
      </c>
      <c r="K187" s="265">
        <v>47</v>
      </c>
      <c r="L187" s="233">
        <f>G187*(96.8*3)</f>
        <v>871.19999999999993</v>
      </c>
      <c r="M187" s="264" t="s">
        <v>239</v>
      </c>
      <c r="N187" s="162">
        <f>'2.виды ремонта'!C173</f>
        <v>926158.17999999993</v>
      </c>
      <c r="O187" s="234">
        <v>0</v>
      </c>
      <c r="P187" s="234">
        <v>0</v>
      </c>
      <c r="Q187" s="234">
        <v>0</v>
      </c>
      <c r="R187" s="234">
        <f t="shared" si="17"/>
        <v>926158.17999999993</v>
      </c>
      <c r="S187" s="234">
        <f t="shared" si="18"/>
        <v>1063.0833103764921</v>
      </c>
      <c r="T187" s="234">
        <v>3014.16</v>
      </c>
      <c r="U187" s="154" t="s">
        <v>233</v>
      </c>
      <c r="W187" s="58"/>
      <c r="Y187" s="44"/>
      <c r="Z187" s="46"/>
      <c r="AA187" s="47"/>
      <c r="AB187" s="48"/>
      <c r="AC187" s="48"/>
      <c r="AD187" s="274"/>
    </row>
    <row r="188" spans="1:30" s="50" customFormat="1" ht="37.5" customHeight="1">
      <c r="A188" s="238">
        <f t="shared" si="19"/>
        <v>80</v>
      </c>
      <c r="B188" s="227" t="s">
        <v>2215</v>
      </c>
      <c r="C188" s="228">
        <v>1983</v>
      </c>
      <c r="D188" s="263"/>
      <c r="E188" s="231" t="s">
        <v>222</v>
      </c>
      <c r="F188" s="233">
        <v>5</v>
      </c>
      <c r="G188" s="233">
        <v>6</v>
      </c>
      <c r="H188" s="234">
        <v>6352</v>
      </c>
      <c r="I188" s="235">
        <v>6342.1</v>
      </c>
      <c r="J188" s="268">
        <v>5921.6</v>
      </c>
      <c r="K188" s="265">
        <v>296</v>
      </c>
      <c r="L188" s="265">
        <f>'2.виды ремонта'!G174</f>
        <v>1781</v>
      </c>
      <c r="M188" s="264" t="s">
        <v>33</v>
      </c>
      <c r="N188" s="162">
        <f>'2.виды ремонта'!C174</f>
        <v>4320446</v>
      </c>
      <c r="O188" s="234">
        <v>0</v>
      </c>
      <c r="P188" s="234">
        <v>0</v>
      </c>
      <c r="Q188" s="234">
        <v>0</v>
      </c>
      <c r="R188" s="234">
        <f t="shared" si="17"/>
        <v>4320446</v>
      </c>
      <c r="S188" s="257">
        <f t="shared" si="18"/>
        <v>2425.8540145985403</v>
      </c>
      <c r="T188" s="234">
        <v>3564.43</v>
      </c>
      <c r="U188" s="154" t="s">
        <v>233</v>
      </c>
      <c r="W188" s="54"/>
      <c r="Y188" s="44"/>
      <c r="Z188" s="46"/>
      <c r="AA188" s="47"/>
      <c r="AB188" s="48"/>
      <c r="AC188" s="48"/>
      <c r="AD188" s="274"/>
    </row>
    <row r="189" spans="1:30" s="50" customFormat="1" ht="37.5" customHeight="1">
      <c r="A189" s="238">
        <f t="shared" si="19"/>
        <v>81</v>
      </c>
      <c r="B189" s="227" t="s">
        <v>2217</v>
      </c>
      <c r="C189" s="228">
        <v>1987</v>
      </c>
      <c r="D189" s="263"/>
      <c r="E189" s="231" t="s">
        <v>222</v>
      </c>
      <c r="F189" s="233">
        <v>5</v>
      </c>
      <c r="G189" s="233">
        <v>3</v>
      </c>
      <c r="H189" s="234">
        <v>2418</v>
      </c>
      <c r="I189" s="235">
        <v>2149.8000000000002</v>
      </c>
      <c r="J189" s="268">
        <v>1930.2</v>
      </c>
      <c r="K189" s="265">
        <v>110</v>
      </c>
      <c r="L189" s="265">
        <f>'2.виды ремонта'!G175</f>
        <v>684</v>
      </c>
      <c r="M189" s="264" t="s">
        <v>33</v>
      </c>
      <c r="N189" s="162">
        <f>'2.виды ремонта'!C175</f>
        <v>1615369</v>
      </c>
      <c r="O189" s="234">
        <v>0</v>
      </c>
      <c r="P189" s="234">
        <v>0</v>
      </c>
      <c r="Q189" s="234">
        <v>0</v>
      </c>
      <c r="R189" s="234">
        <f t="shared" si="17"/>
        <v>1615369</v>
      </c>
      <c r="S189" s="257">
        <f t="shared" si="18"/>
        <v>2361.6505847953217</v>
      </c>
      <c r="T189" s="234">
        <v>3564.43</v>
      </c>
      <c r="U189" s="154" t="s">
        <v>233</v>
      </c>
      <c r="W189" s="54"/>
      <c r="Y189" s="44"/>
      <c r="Z189" s="46"/>
      <c r="AA189" s="47"/>
      <c r="AB189" s="48"/>
      <c r="AC189" s="48"/>
      <c r="AD189" s="274"/>
    </row>
    <row r="190" spans="1:30" s="50" customFormat="1" ht="37.5" customHeight="1">
      <c r="A190" s="238">
        <f t="shared" si="19"/>
        <v>82</v>
      </c>
      <c r="B190" s="227" t="s">
        <v>2219</v>
      </c>
      <c r="C190" s="228">
        <v>1959</v>
      </c>
      <c r="D190" s="263"/>
      <c r="E190" s="231" t="s">
        <v>222</v>
      </c>
      <c r="F190" s="233">
        <v>2</v>
      </c>
      <c r="G190" s="233">
        <v>2</v>
      </c>
      <c r="H190" s="234">
        <v>781</v>
      </c>
      <c r="I190" s="235">
        <v>617.70000000000005</v>
      </c>
      <c r="J190" s="268">
        <v>617.70000000000005</v>
      </c>
      <c r="K190" s="265">
        <v>38</v>
      </c>
      <c r="L190" s="265">
        <f>'2.виды ремонта'!G176</f>
        <v>532.5</v>
      </c>
      <c r="M190" s="264" t="s">
        <v>33</v>
      </c>
      <c r="N190" s="162">
        <f>'2.виды ремонта'!C176</f>
        <v>1586686.43</v>
      </c>
      <c r="O190" s="234">
        <v>0</v>
      </c>
      <c r="P190" s="234">
        <v>0</v>
      </c>
      <c r="Q190" s="234">
        <v>0</v>
      </c>
      <c r="R190" s="234">
        <f t="shared" si="17"/>
        <v>1586686.43</v>
      </c>
      <c r="S190" s="257">
        <f t="shared" si="18"/>
        <v>2979.6928262910797</v>
      </c>
      <c r="T190" s="234">
        <v>3564.43</v>
      </c>
      <c r="U190" s="154" t="s">
        <v>233</v>
      </c>
      <c r="W190" s="54"/>
      <c r="Y190" s="44"/>
      <c r="Z190" s="46"/>
      <c r="AA190" s="47"/>
      <c r="AB190" s="48"/>
      <c r="AC190" s="48"/>
      <c r="AD190" s="274"/>
    </row>
    <row r="191" spans="1:30" s="50" customFormat="1" ht="37.5" customHeight="1">
      <c r="A191" s="238">
        <f t="shared" si="19"/>
        <v>83</v>
      </c>
      <c r="B191" s="192" t="s">
        <v>2220</v>
      </c>
      <c r="C191" s="228">
        <v>1957</v>
      </c>
      <c r="D191" s="228"/>
      <c r="E191" s="227" t="s">
        <v>222</v>
      </c>
      <c r="F191" s="233">
        <v>2</v>
      </c>
      <c r="G191" s="233">
        <v>1</v>
      </c>
      <c r="H191" s="234">
        <v>763</v>
      </c>
      <c r="I191" s="235">
        <v>555.9</v>
      </c>
      <c r="J191" s="235">
        <v>555.9</v>
      </c>
      <c r="K191" s="233">
        <v>56</v>
      </c>
      <c r="L191" s="265">
        <f>'2.виды ремонта'!G177</f>
        <v>675</v>
      </c>
      <c r="M191" s="238" t="s">
        <v>33</v>
      </c>
      <c r="N191" s="162">
        <f>'2.виды ремонта'!C177</f>
        <v>2296444.5199999996</v>
      </c>
      <c r="O191" s="161">
        <v>0</v>
      </c>
      <c r="P191" s="161">
        <v>0</v>
      </c>
      <c r="Q191" s="161">
        <v>0</v>
      </c>
      <c r="R191" s="234">
        <f t="shared" si="17"/>
        <v>2296444.5199999996</v>
      </c>
      <c r="S191" s="257">
        <f t="shared" si="18"/>
        <v>3402.1400296296288</v>
      </c>
      <c r="T191" s="234">
        <v>3564.43</v>
      </c>
      <c r="U191" s="154" t="s">
        <v>233</v>
      </c>
      <c r="W191" s="54"/>
      <c r="Y191" s="44"/>
      <c r="Z191" s="46"/>
      <c r="AA191" s="47"/>
      <c r="AB191" s="48"/>
      <c r="AC191" s="48"/>
      <c r="AD191" s="274"/>
    </row>
    <row r="192" spans="1:30" s="50" customFormat="1" ht="37.5" customHeight="1">
      <c r="A192" s="238">
        <f t="shared" si="19"/>
        <v>84</v>
      </c>
      <c r="B192" s="227" t="s">
        <v>2221</v>
      </c>
      <c r="C192" s="228">
        <v>1984</v>
      </c>
      <c r="D192" s="263"/>
      <c r="E192" s="231" t="s">
        <v>222</v>
      </c>
      <c r="F192" s="233">
        <v>5</v>
      </c>
      <c r="G192" s="233">
        <v>9</v>
      </c>
      <c r="H192" s="234">
        <v>5567</v>
      </c>
      <c r="I192" s="235">
        <v>5391.3</v>
      </c>
      <c r="J192" s="268">
        <v>5391.3</v>
      </c>
      <c r="K192" s="265">
        <v>282</v>
      </c>
      <c r="L192" s="232">
        <f>G192*322</f>
        <v>2898</v>
      </c>
      <c r="M192" s="264" t="s">
        <v>239</v>
      </c>
      <c r="N192" s="162">
        <f>'2.виды ремонта'!C178</f>
        <v>3614286.3600000003</v>
      </c>
      <c r="O192" s="161">
        <v>0</v>
      </c>
      <c r="P192" s="161">
        <v>0</v>
      </c>
      <c r="Q192" s="161">
        <v>0</v>
      </c>
      <c r="R192" s="234">
        <f>N192</f>
        <v>3614286.3600000003</v>
      </c>
      <c r="S192" s="234">
        <f t="shared" si="18"/>
        <v>1247.1657556935818</v>
      </c>
      <c r="T192" s="234">
        <v>3014.16</v>
      </c>
      <c r="U192" s="154" t="s">
        <v>233</v>
      </c>
      <c r="W192" s="58"/>
      <c r="Y192" s="44"/>
      <c r="Z192" s="46"/>
      <c r="AA192" s="47"/>
      <c r="AB192" s="48"/>
      <c r="AC192" s="48"/>
      <c r="AD192" s="274"/>
    </row>
    <row r="193" spans="1:30" s="50" customFormat="1" ht="37.5" customHeight="1">
      <c r="A193" s="238">
        <f t="shared" si="19"/>
        <v>85</v>
      </c>
      <c r="B193" s="227" t="s">
        <v>2222</v>
      </c>
      <c r="C193" s="228">
        <v>1962</v>
      </c>
      <c r="D193" s="263"/>
      <c r="E193" s="231" t="s">
        <v>222</v>
      </c>
      <c r="F193" s="233">
        <v>5</v>
      </c>
      <c r="G193" s="233">
        <v>2</v>
      </c>
      <c r="H193" s="234">
        <v>1581</v>
      </c>
      <c r="I193" s="235">
        <v>1581</v>
      </c>
      <c r="J193" s="235">
        <v>1581</v>
      </c>
      <c r="K193" s="265">
        <v>123</v>
      </c>
      <c r="L193" s="265">
        <f>'2.виды ремонта'!G179</f>
        <v>476</v>
      </c>
      <c r="M193" s="264" t="s">
        <v>33</v>
      </c>
      <c r="N193" s="162">
        <f>'2.виды ремонта'!C179</f>
        <v>1182315.6200000001</v>
      </c>
      <c r="O193" s="161">
        <v>0</v>
      </c>
      <c r="P193" s="161">
        <v>0</v>
      </c>
      <c r="Q193" s="161">
        <v>0</v>
      </c>
      <c r="R193" s="234">
        <f>N193</f>
        <v>1182315.6200000001</v>
      </c>
      <c r="S193" s="257">
        <f t="shared" si="18"/>
        <v>2483.8563445378154</v>
      </c>
      <c r="T193" s="234">
        <v>3564.43</v>
      </c>
      <c r="U193" s="154" t="s">
        <v>233</v>
      </c>
      <c r="W193" s="54"/>
      <c r="Y193" s="44"/>
      <c r="Z193" s="46"/>
      <c r="AA193" s="47"/>
      <c r="AB193" s="48"/>
      <c r="AC193" s="48"/>
      <c r="AD193" s="274"/>
    </row>
    <row r="194" spans="1:30" s="50" customFormat="1" ht="37.5" customHeight="1">
      <c r="A194" s="238">
        <f t="shared" si="19"/>
        <v>86</v>
      </c>
      <c r="B194" s="227" t="s">
        <v>2236</v>
      </c>
      <c r="C194" s="228">
        <v>1978</v>
      </c>
      <c r="D194" s="227"/>
      <c r="E194" s="227" t="s">
        <v>222</v>
      </c>
      <c r="F194" s="233">
        <v>5</v>
      </c>
      <c r="G194" s="233">
        <v>6</v>
      </c>
      <c r="H194" s="234">
        <v>4532</v>
      </c>
      <c r="I194" s="235">
        <v>4193</v>
      </c>
      <c r="J194" s="235">
        <v>4193</v>
      </c>
      <c r="K194" s="233">
        <v>238</v>
      </c>
      <c r="L194" s="160">
        <f>G194*322</f>
        <v>1932</v>
      </c>
      <c r="M194" s="238" t="s">
        <v>30</v>
      </c>
      <c r="N194" s="162">
        <f>'2.виды ремонта'!C180</f>
        <v>3055465</v>
      </c>
      <c r="O194" s="161">
        <v>0</v>
      </c>
      <c r="P194" s="161">
        <v>0</v>
      </c>
      <c r="Q194" s="161">
        <v>0</v>
      </c>
      <c r="R194" s="234">
        <f>N194</f>
        <v>3055465</v>
      </c>
      <c r="S194" s="234">
        <f t="shared" si="18"/>
        <v>1581.5036231884058</v>
      </c>
      <c r="T194" s="234">
        <v>3014.16</v>
      </c>
      <c r="U194" s="154" t="s">
        <v>233</v>
      </c>
      <c r="Y194" s="44"/>
      <c r="Z194" s="46"/>
      <c r="AA194" s="47"/>
      <c r="AB194" s="48"/>
      <c r="AC194" s="48"/>
      <c r="AD194" s="274"/>
    </row>
    <row r="195" spans="1:30" s="50" customFormat="1" ht="37.5" customHeight="1">
      <c r="A195" s="238">
        <f t="shared" si="19"/>
        <v>87</v>
      </c>
      <c r="B195" s="227" t="s">
        <v>2225</v>
      </c>
      <c r="C195" s="228">
        <v>1966</v>
      </c>
      <c r="D195" s="263"/>
      <c r="E195" s="231" t="s">
        <v>222</v>
      </c>
      <c r="F195" s="233">
        <v>5</v>
      </c>
      <c r="G195" s="233">
        <v>6</v>
      </c>
      <c r="H195" s="234">
        <v>4490</v>
      </c>
      <c r="I195" s="235">
        <v>4487.2</v>
      </c>
      <c r="J195" s="268">
        <v>4203.8</v>
      </c>
      <c r="K195" s="265">
        <v>250</v>
      </c>
      <c r="L195" s="160">
        <f>G195*322</f>
        <v>1932</v>
      </c>
      <c r="M195" s="264" t="s">
        <v>30</v>
      </c>
      <c r="N195" s="162">
        <f>'2.виды ремонта'!C181</f>
        <v>3055245</v>
      </c>
      <c r="O195" s="161">
        <v>0</v>
      </c>
      <c r="P195" s="161">
        <v>0</v>
      </c>
      <c r="Q195" s="161">
        <v>0</v>
      </c>
      <c r="R195" s="234">
        <f>N195</f>
        <v>3055245</v>
      </c>
      <c r="S195" s="234">
        <f t="shared" si="18"/>
        <v>1581.3897515527951</v>
      </c>
      <c r="T195" s="234">
        <v>3014.16</v>
      </c>
      <c r="U195" s="154" t="s">
        <v>233</v>
      </c>
      <c r="W195" s="58"/>
      <c r="Y195" s="44"/>
      <c r="Z195" s="46"/>
      <c r="AA195" s="47"/>
      <c r="AB195" s="48"/>
      <c r="AC195" s="48"/>
      <c r="AD195" s="274"/>
    </row>
    <row r="196" spans="1:30" s="50" customFormat="1" ht="37.5" customHeight="1">
      <c r="A196" s="238">
        <f t="shared" si="19"/>
        <v>88</v>
      </c>
      <c r="B196" s="227" t="s">
        <v>2226</v>
      </c>
      <c r="C196" s="228">
        <v>1965</v>
      </c>
      <c r="D196" s="263"/>
      <c r="E196" s="231" t="s">
        <v>222</v>
      </c>
      <c r="F196" s="233">
        <v>5</v>
      </c>
      <c r="G196" s="233">
        <v>4</v>
      </c>
      <c r="H196" s="234">
        <v>3381</v>
      </c>
      <c r="I196" s="235">
        <v>3126</v>
      </c>
      <c r="J196" s="268">
        <v>2860</v>
      </c>
      <c r="K196" s="265">
        <v>180</v>
      </c>
      <c r="L196" s="265">
        <f>'2.виды ремонта'!G182</f>
        <v>972</v>
      </c>
      <c r="M196" s="264" t="s">
        <v>33</v>
      </c>
      <c r="N196" s="162">
        <f>'2.виды ремонта'!C182</f>
        <v>2314280</v>
      </c>
      <c r="O196" s="161">
        <v>0</v>
      </c>
      <c r="P196" s="161">
        <v>0</v>
      </c>
      <c r="Q196" s="161">
        <v>0</v>
      </c>
      <c r="R196" s="234">
        <f>N196</f>
        <v>2314280</v>
      </c>
      <c r="S196" s="257">
        <f t="shared" si="18"/>
        <v>2380.9465020576131</v>
      </c>
      <c r="T196" s="234">
        <v>3564.43</v>
      </c>
      <c r="U196" s="154" t="s">
        <v>233</v>
      </c>
      <c r="W196" s="54"/>
      <c r="Y196" s="44"/>
      <c r="Z196" s="46"/>
      <c r="AA196" s="47"/>
      <c r="AB196" s="48"/>
      <c r="AC196" s="48"/>
      <c r="AD196" s="274"/>
    </row>
    <row r="197" spans="1:30" s="50" customFormat="1" ht="37.5" customHeight="1">
      <c r="A197" s="238">
        <f t="shared" si="19"/>
        <v>89</v>
      </c>
      <c r="B197" s="227" t="s">
        <v>2227</v>
      </c>
      <c r="C197" s="228">
        <v>1964</v>
      </c>
      <c r="D197" s="263"/>
      <c r="E197" s="228" t="s">
        <v>218</v>
      </c>
      <c r="F197" s="233">
        <v>5</v>
      </c>
      <c r="G197" s="233">
        <v>4</v>
      </c>
      <c r="H197" s="234">
        <v>4530</v>
      </c>
      <c r="I197" s="235">
        <v>3443.1</v>
      </c>
      <c r="J197" s="268">
        <v>3443.1</v>
      </c>
      <c r="K197" s="265">
        <v>192</v>
      </c>
      <c r="L197" s="265">
        <f>'2.виды ремонта'!G183</f>
        <v>1050</v>
      </c>
      <c r="M197" s="264" t="s">
        <v>33</v>
      </c>
      <c r="N197" s="162">
        <f>'2.виды ремонта'!C183</f>
        <v>2562319</v>
      </c>
      <c r="O197" s="234">
        <v>0</v>
      </c>
      <c r="P197" s="234">
        <v>0</v>
      </c>
      <c r="Q197" s="234">
        <v>0</v>
      </c>
      <c r="R197" s="234">
        <f t="shared" si="17"/>
        <v>2562319</v>
      </c>
      <c r="S197" s="257">
        <f t="shared" si="18"/>
        <v>2440.3038095238094</v>
      </c>
      <c r="T197" s="234">
        <v>3564.43</v>
      </c>
      <c r="U197" s="154" t="s">
        <v>233</v>
      </c>
      <c r="W197" s="54"/>
      <c r="Y197" s="44"/>
      <c r="Z197" s="46"/>
      <c r="AA197" s="47"/>
      <c r="AB197" s="48"/>
      <c r="AC197" s="48"/>
      <c r="AD197" s="274"/>
    </row>
    <row r="198" spans="1:30" s="50" customFormat="1" ht="37.5" customHeight="1">
      <c r="A198" s="238">
        <f t="shared" si="19"/>
        <v>90</v>
      </c>
      <c r="B198" s="227" t="s">
        <v>2228</v>
      </c>
      <c r="C198" s="228">
        <v>1994</v>
      </c>
      <c r="D198" s="263"/>
      <c r="E198" s="231" t="s">
        <v>222</v>
      </c>
      <c r="F198" s="233">
        <v>5</v>
      </c>
      <c r="G198" s="233">
        <v>1</v>
      </c>
      <c r="H198" s="234">
        <v>1622</v>
      </c>
      <c r="I198" s="235">
        <v>888</v>
      </c>
      <c r="J198" s="268">
        <v>853</v>
      </c>
      <c r="K198" s="265">
        <v>61</v>
      </c>
      <c r="L198" s="265">
        <f>'2.виды ремонта'!G184</f>
        <v>446</v>
      </c>
      <c r="M198" s="264" t="s">
        <v>33</v>
      </c>
      <c r="N198" s="162">
        <f>'2.виды ремонта'!C184</f>
        <v>1173386</v>
      </c>
      <c r="O198" s="234">
        <v>0</v>
      </c>
      <c r="P198" s="234">
        <v>0</v>
      </c>
      <c r="Q198" s="234">
        <v>0</v>
      </c>
      <c r="R198" s="234">
        <f t="shared" si="17"/>
        <v>1173386</v>
      </c>
      <c r="S198" s="257">
        <f t="shared" si="18"/>
        <v>2630.9103139013455</v>
      </c>
      <c r="T198" s="234">
        <v>3564.43</v>
      </c>
      <c r="U198" s="154" t="s">
        <v>233</v>
      </c>
      <c r="W198" s="54"/>
      <c r="Y198" s="44"/>
      <c r="Z198" s="46"/>
      <c r="AA198" s="47"/>
      <c r="AB198" s="48"/>
      <c r="AC198" s="48"/>
      <c r="AD198" s="274"/>
    </row>
    <row r="199" spans="1:30" s="50" customFormat="1" ht="37.5" customHeight="1">
      <c r="A199" s="238">
        <f t="shared" si="19"/>
        <v>91</v>
      </c>
      <c r="B199" s="227" t="s">
        <v>2235</v>
      </c>
      <c r="C199" s="228">
        <v>2000</v>
      </c>
      <c r="D199" s="263"/>
      <c r="E199" s="231" t="s">
        <v>222</v>
      </c>
      <c r="F199" s="233">
        <v>5</v>
      </c>
      <c r="G199" s="233">
        <v>2</v>
      </c>
      <c r="H199" s="234">
        <v>4047</v>
      </c>
      <c r="I199" s="235">
        <v>3101.6</v>
      </c>
      <c r="J199" s="268">
        <v>3101.6</v>
      </c>
      <c r="K199" s="265">
        <v>70</v>
      </c>
      <c r="L199" s="265">
        <f>'2.виды ремонта'!G185</f>
        <v>848.5</v>
      </c>
      <c r="M199" s="264" t="s">
        <v>33</v>
      </c>
      <c r="N199" s="162">
        <f>'2.виды ремонта'!C185</f>
        <v>3017182</v>
      </c>
      <c r="O199" s="234">
        <v>0</v>
      </c>
      <c r="P199" s="234">
        <v>0</v>
      </c>
      <c r="Q199" s="234">
        <v>0</v>
      </c>
      <c r="R199" s="234">
        <f t="shared" si="17"/>
        <v>3017182</v>
      </c>
      <c r="S199" s="257">
        <f t="shared" si="18"/>
        <v>3555.9010017678256</v>
      </c>
      <c r="T199" s="234">
        <v>3564.43</v>
      </c>
      <c r="U199" s="154" t="s">
        <v>233</v>
      </c>
      <c r="W199" s="54"/>
      <c r="Y199" s="44"/>
      <c r="Z199" s="46"/>
      <c r="AA199" s="47"/>
      <c r="AB199" s="48"/>
      <c r="AC199" s="48"/>
      <c r="AD199" s="274"/>
    </row>
    <row r="200" spans="1:30" s="50" customFormat="1" ht="37.5" customHeight="1">
      <c r="A200" s="238">
        <f t="shared" si="19"/>
        <v>92</v>
      </c>
      <c r="B200" s="227" t="s">
        <v>2237</v>
      </c>
      <c r="C200" s="228">
        <v>1960</v>
      </c>
      <c r="D200" s="263"/>
      <c r="E200" s="231" t="s">
        <v>222</v>
      </c>
      <c r="F200" s="233">
        <v>4</v>
      </c>
      <c r="G200" s="233">
        <v>3</v>
      </c>
      <c r="H200" s="234">
        <v>3084</v>
      </c>
      <c r="I200" s="235">
        <v>2884.5</v>
      </c>
      <c r="J200" s="235">
        <v>2884.5</v>
      </c>
      <c r="K200" s="265">
        <v>103</v>
      </c>
      <c r="L200" s="233">
        <v>295</v>
      </c>
      <c r="M200" s="264" t="s">
        <v>225</v>
      </c>
      <c r="N200" s="162">
        <f>'2.виды ремонта'!C186</f>
        <v>762077.55</v>
      </c>
      <c r="O200" s="234">
        <v>0</v>
      </c>
      <c r="P200" s="234">
        <v>0</v>
      </c>
      <c r="Q200" s="234">
        <v>0</v>
      </c>
      <c r="R200" s="234">
        <f t="shared" si="17"/>
        <v>762077.55</v>
      </c>
      <c r="S200" s="234">
        <f t="shared" si="18"/>
        <v>2583.3137288135595</v>
      </c>
      <c r="T200" s="234">
        <v>3654.29</v>
      </c>
      <c r="U200" s="154" t="s">
        <v>233</v>
      </c>
      <c r="W200" s="58"/>
      <c r="Y200" s="44"/>
      <c r="Z200" s="46"/>
      <c r="AA200" s="47"/>
      <c r="AB200" s="48"/>
      <c r="AC200" s="48"/>
      <c r="AD200" s="274"/>
    </row>
    <row r="201" spans="1:30" s="50" customFormat="1" ht="37.5" customHeight="1">
      <c r="A201" s="238">
        <f t="shared" si="19"/>
        <v>93</v>
      </c>
      <c r="B201" s="227" t="s">
        <v>2239</v>
      </c>
      <c r="C201" s="228">
        <v>1962</v>
      </c>
      <c r="D201" s="227"/>
      <c r="E201" s="227" t="s">
        <v>222</v>
      </c>
      <c r="F201" s="233">
        <v>5</v>
      </c>
      <c r="G201" s="233">
        <v>4</v>
      </c>
      <c r="H201" s="234">
        <v>3131</v>
      </c>
      <c r="I201" s="235">
        <v>3131</v>
      </c>
      <c r="J201" s="235">
        <v>2946.9</v>
      </c>
      <c r="K201" s="233">
        <v>166</v>
      </c>
      <c r="L201" s="265">
        <f>'2.виды ремонта'!G187</f>
        <v>1050</v>
      </c>
      <c r="M201" s="238" t="s">
        <v>33</v>
      </c>
      <c r="N201" s="162">
        <f>'2.виды ремонта'!C187</f>
        <v>3079582.92</v>
      </c>
      <c r="O201" s="161">
        <v>0</v>
      </c>
      <c r="P201" s="161">
        <v>0</v>
      </c>
      <c r="Q201" s="161">
        <v>0</v>
      </c>
      <c r="R201" s="234">
        <f t="shared" si="17"/>
        <v>3079582.92</v>
      </c>
      <c r="S201" s="257">
        <f t="shared" ref="S201:S206" si="20">N201/L201</f>
        <v>2932.9361142857142</v>
      </c>
      <c r="T201" s="234">
        <v>3564.43</v>
      </c>
      <c r="U201" s="154" t="s">
        <v>233</v>
      </c>
      <c r="W201" s="54"/>
      <c r="Y201" s="44"/>
      <c r="Z201" s="46"/>
      <c r="AA201" s="47"/>
      <c r="AB201" s="48"/>
      <c r="AC201" s="48"/>
      <c r="AD201" s="274"/>
    </row>
    <row r="202" spans="1:30" s="50" customFormat="1" ht="37.5" customHeight="1">
      <c r="A202" s="238">
        <f t="shared" si="19"/>
        <v>94</v>
      </c>
      <c r="B202" s="227" t="s">
        <v>2240</v>
      </c>
      <c r="C202" s="228">
        <v>1984</v>
      </c>
      <c r="D202" s="263"/>
      <c r="E202" s="231" t="s">
        <v>222</v>
      </c>
      <c r="F202" s="233">
        <v>5</v>
      </c>
      <c r="G202" s="233">
        <v>9</v>
      </c>
      <c r="H202" s="234">
        <v>7725</v>
      </c>
      <c r="I202" s="235">
        <v>6178</v>
      </c>
      <c r="J202" s="268">
        <v>5934</v>
      </c>
      <c r="K202" s="265">
        <v>305</v>
      </c>
      <c r="L202" s="265">
        <f>'2.виды ремонта'!G188</f>
        <v>1550</v>
      </c>
      <c r="M202" s="264" t="s">
        <v>33</v>
      </c>
      <c r="N202" s="162">
        <f>'2.виды ремонта'!C188</f>
        <v>4221806</v>
      </c>
      <c r="O202" s="234">
        <v>0</v>
      </c>
      <c r="P202" s="234">
        <v>0</v>
      </c>
      <c r="Q202" s="234">
        <v>0</v>
      </c>
      <c r="R202" s="234">
        <f t="shared" si="17"/>
        <v>4221806</v>
      </c>
      <c r="S202" s="257">
        <f t="shared" si="20"/>
        <v>2723.7458064516127</v>
      </c>
      <c r="T202" s="234">
        <v>3564.43</v>
      </c>
      <c r="U202" s="154" t="s">
        <v>233</v>
      </c>
      <c r="W202" s="54"/>
      <c r="Y202" s="44"/>
      <c r="Z202" s="46"/>
      <c r="AA202" s="47"/>
      <c r="AB202" s="48"/>
      <c r="AC202" s="48"/>
      <c r="AD202" s="274"/>
    </row>
    <row r="203" spans="1:30" s="50" customFormat="1" ht="37.5" customHeight="1">
      <c r="A203" s="238">
        <f t="shared" si="19"/>
        <v>95</v>
      </c>
      <c r="B203" s="227" t="s">
        <v>2241</v>
      </c>
      <c r="C203" s="228">
        <v>1967</v>
      </c>
      <c r="D203" s="263"/>
      <c r="E203" s="231" t="s">
        <v>222</v>
      </c>
      <c r="F203" s="233">
        <v>5</v>
      </c>
      <c r="G203" s="233">
        <v>2</v>
      </c>
      <c r="H203" s="234">
        <v>4247</v>
      </c>
      <c r="I203" s="235">
        <v>3397.6</v>
      </c>
      <c r="J203" s="268">
        <v>3397.6</v>
      </c>
      <c r="K203" s="265">
        <v>247</v>
      </c>
      <c r="L203" s="265">
        <f>'2.виды ремонта'!G189</f>
        <v>996</v>
      </c>
      <c r="M203" s="264" t="s">
        <v>33</v>
      </c>
      <c r="N203" s="162">
        <f>'2.виды ремонта'!C189</f>
        <v>2164080</v>
      </c>
      <c r="O203" s="234">
        <v>0</v>
      </c>
      <c r="P203" s="234">
        <v>0</v>
      </c>
      <c r="Q203" s="234">
        <v>0</v>
      </c>
      <c r="R203" s="234">
        <f t="shared" si="17"/>
        <v>2164080</v>
      </c>
      <c r="S203" s="257">
        <f t="shared" si="20"/>
        <v>2172.7710843373493</v>
      </c>
      <c r="T203" s="234">
        <v>3564.43</v>
      </c>
      <c r="U203" s="154" t="s">
        <v>233</v>
      </c>
      <c r="W203" s="54"/>
      <c r="Y203" s="44"/>
      <c r="Z203" s="46"/>
      <c r="AA203" s="47"/>
      <c r="AB203" s="48"/>
      <c r="AC203" s="48"/>
      <c r="AD203" s="274"/>
    </row>
    <row r="204" spans="1:30" s="50" customFormat="1" ht="37.5" customHeight="1">
      <c r="A204" s="238">
        <f t="shared" si="19"/>
        <v>96</v>
      </c>
      <c r="B204" s="227" t="s">
        <v>2242</v>
      </c>
      <c r="C204" s="228">
        <v>1980</v>
      </c>
      <c r="D204" s="263"/>
      <c r="E204" s="231" t="s">
        <v>222</v>
      </c>
      <c r="F204" s="233">
        <v>5</v>
      </c>
      <c r="G204" s="233">
        <v>12</v>
      </c>
      <c r="H204" s="234">
        <v>9452</v>
      </c>
      <c r="I204" s="235">
        <v>8508</v>
      </c>
      <c r="J204" s="268">
        <v>8105</v>
      </c>
      <c r="K204" s="265">
        <v>406</v>
      </c>
      <c r="L204" s="265">
        <f>'2.виды ремонта'!G190</f>
        <v>1862</v>
      </c>
      <c r="M204" s="264" t="s">
        <v>33</v>
      </c>
      <c r="N204" s="162">
        <f>'2.виды ремонта'!C190</f>
        <v>5837776</v>
      </c>
      <c r="O204" s="234">
        <v>0</v>
      </c>
      <c r="P204" s="234">
        <v>0</v>
      </c>
      <c r="Q204" s="234">
        <v>0</v>
      </c>
      <c r="R204" s="234">
        <f t="shared" si="17"/>
        <v>5837776</v>
      </c>
      <c r="S204" s="257">
        <f t="shared" si="20"/>
        <v>3135.218045112782</v>
      </c>
      <c r="T204" s="234">
        <v>3564.43</v>
      </c>
      <c r="U204" s="154" t="s">
        <v>233</v>
      </c>
      <c r="W204" s="54"/>
      <c r="Y204" s="44"/>
      <c r="Z204" s="46"/>
      <c r="AA204" s="47"/>
      <c r="AB204" s="48"/>
      <c r="AC204" s="48"/>
      <c r="AD204" s="274"/>
    </row>
    <row r="205" spans="1:30" s="50" customFormat="1" ht="37.5" customHeight="1">
      <c r="A205" s="238">
        <f t="shared" si="19"/>
        <v>97</v>
      </c>
      <c r="B205" s="227" t="s">
        <v>2244</v>
      </c>
      <c r="C205" s="228">
        <v>1965</v>
      </c>
      <c r="D205" s="263"/>
      <c r="E205" s="231" t="s">
        <v>222</v>
      </c>
      <c r="F205" s="233">
        <v>5</v>
      </c>
      <c r="G205" s="233">
        <v>4</v>
      </c>
      <c r="H205" s="234">
        <v>3405</v>
      </c>
      <c r="I205" s="235">
        <v>3145.3</v>
      </c>
      <c r="J205" s="268">
        <v>2918.4</v>
      </c>
      <c r="K205" s="265">
        <v>186</v>
      </c>
      <c r="L205" s="265">
        <f>'2.виды ремонта'!G191</f>
        <v>972</v>
      </c>
      <c r="M205" s="264" t="s">
        <v>33</v>
      </c>
      <c r="N205" s="162">
        <f>'2.виды ремонта'!C191</f>
        <v>2373650</v>
      </c>
      <c r="O205" s="234">
        <v>0</v>
      </c>
      <c r="P205" s="234">
        <v>0</v>
      </c>
      <c r="Q205" s="234">
        <v>0</v>
      </c>
      <c r="R205" s="234">
        <f>N205</f>
        <v>2373650</v>
      </c>
      <c r="S205" s="257">
        <f t="shared" si="20"/>
        <v>2442.0267489711932</v>
      </c>
      <c r="T205" s="234">
        <v>3564.43</v>
      </c>
      <c r="U205" s="154" t="s">
        <v>233</v>
      </c>
      <c r="W205" s="54"/>
      <c r="Y205" s="44"/>
      <c r="Z205" s="46"/>
      <c r="AA205" s="47"/>
      <c r="AB205" s="48"/>
      <c r="AC205" s="48"/>
      <c r="AD205" s="274"/>
    </row>
    <row r="206" spans="1:30" s="50" customFormat="1" ht="37.5" customHeight="1">
      <c r="A206" s="238">
        <f t="shared" si="19"/>
        <v>98</v>
      </c>
      <c r="B206" s="185" t="s">
        <v>1237</v>
      </c>
      <c r="C206" s="228">
        <v>1954</v>
      </c>
      <c r="D206" s="228"/>
      <c r="E206" s="228" t="s">
        <v>222</v>
      </c>
      <c r="F206" s="258">
        <v>2</v>
      </c>
      <c r="G206" s="258">
        <v>2</v>
      </c>
      <c r="H206" s="234">
        <v>713</v>
      </c>
      <c r="I206" s="235">
        <v>693.3</v>
      </c>
      <c r="J206" s="235">
        <v>648.20000000000005</v>
      </c>
      <c r="K206" s="233">
        <v>44</v>
      </c>
      <c r="L206" s="265">
        <f>'2.виды ремонта'!G192</f>
        <v>700</v>
      </c>
      <c r="M206" s="239" t="s">
        <v>33</v>
      </c>
      <c r="N206" s="162">
        <f>'2.виды ремонта'!C192</f>
        <v>1989470</v>
      </c>
      <c r="O206" s="234">
        <v>0</v>
      </c>
      <c r="P206" s="234">
        <v>0</v>
      </c>
      <c r="Q206" s="234">
        <v>0</v>
      </c>
      <c r="R206" s="234">
        <f>N206</f>
        <v>1989470</v>
      </c>
      <c r="S206" s="257">
        <f t="shared" si="20"/>
        <v>2842.1</v>
      </c>
      <c r="T206" s="234">
        <v>3564.43</v>
      </c>
      <c r="U206" s="154" t="s">
        <v>233</v>
      </c>
      <c r="W206" s="54"/>
      <c r="Y206" s="44"/>
      <c r="Z206" s="46"/>
      <c r="AA206" s="47"/>
      <c r="AB206" s="48"/>
      <c r="AC206" s="48"/>
      <c r="AD206" s="274"/>
    </row>
    <row r="207" spans="1:30" s="50" customFormat="1" ht="37.5" customHeight="1">
      <c r="A207" s="238">
        <f t="shared" si="19"/>
        <v>99</v>
      </c>
      <c r="B207" s="228" t="s">
        <v>2203</v>
      </c>
      <c r="C207" s="228">
        <v>1957</v>
      </c>
      <c r="D207" s="188"/>
      <c r="E207" s="227" t="s">
        <v>222</v>
      </c>
      <c r="F207" s="233">
        <v>2</v>
      </c>
      <c r="G207" s="233">
        <v>2</v>
      </c>
      <c r="H207" s="234">
        <v>677</v>
      </c>
      <c r="I207" s="235">
        <v>501.1</v>
      </c>
      <c r="J207" s="235">
        <v>501.1</v>
      </c>
      <c r="K207" s="233">
        <v>28</v>
      </c>
      <c r="L207" s="265">
        <f>'2.виды ремонта'!G193</f>
        <v>693</v>
      </c>
      <c r="M207" s="226" t="s">
        <v>33</v>
      </c>
      <c r="N207" s="162">
        <f>'2.виды ремонта'!C193</f>
        <v>2449330.84</v>
      </c>
      <c r="O207" s="234">
        <v>0</v>
      </c>
      <c r="P207" s="234">
        <v>0</v>
      </c>
      <c r="Q207" s="234">
        <v>0</v>
      </c>
      <c r="R207" s="234">
        <f>N207</f>
        <v>2449330.84</v>
      </c>
      <c r="S207" s="257">
        <f t="shared" ref="S207" si="21">N207/L207</f>
        <v>3534.3879365079365</v>
      </c>
      <c r="T207" s="234">
        <v>3564.43</v>
      </c>
      <c r="U207" s="154" t="s">
        <v>233</v>
      </c>
      <c r="W207" s="54"/>
      <c r="Y207" s="44"/>
      <c r="Z207" s="46"/>
      <c r="AA207" s="47"/>
      <c r="AB207" s="48"/>
      <c r="AC207" s="48"/>
      <c r="AD207" s="274"/>
    </row>
    <row r="208" spans="1:30" s="49" customFormat="1" ht="55.5" customHeight="1">
      <c r="A208" s="238"/>
      <c r="B208" s="227" t="s">
        <v>3953</v>
      </c>
      <c r="C208" s="229" t="s">
        <v>28</v>
      </c>
      <c r="D208" s="229" t="s">
        <v>28</v>
      </c>
      <c r="E208" s="228" t="s">
        <v>28</v>
      </c>
      <c r="F208" s="260" t="s">
        <v>28</v>
      </c>
      <c r="G208" s="260" t="s">
        <v>28</v>
      </c>
      <c r="H208" s="225">
        <f>SUM(H128:H207)</f>
        <v>311302</v>
      </c>
      <c r="I208" s="230">
        <f>SUM(I128:I207)</f>
        <v>270933.09999999998</v>
      </c>
      <c r="J208" s="230">
        <f>SUM(J128:J207)</f>
        <v>253748.1</v>
      </c>
      <c r="K208" s="232">
        <f>SUM(K128:K207)</f>
        <v>13883</v>
      </c>
      <c r="L208" s="232" t="s">
        <v>28</v>
      </c>
      <c r="M208" s="226" t="s">
        <v>28</v>
      </c>
      <c r="N208" s="193">
        <f>SUM(N128:N207)</f>
        <v>202984275.87000003</v>
      </c>
      <c r="O208" s="193">
        <f>SUM(O128:O207)</f>
        <v>0</v>
      </c>
      <c r="P208" s="193">
        <f>SUM(P128:P207)</f>
        <v>0</v>
      </c>
      <c r="Q208" s="193">
        <f>SUM(Q128:Q207)</f>
        <v>0</v>
      </c>
      <c r="R208" s="193">
        <f>SUM(R128:R207)</f>
        <v>202984275.87000003</v>
      </c>
      <c r="S208" s="234" t="s">
        <v>28</v>
      </c>
      <c r="T208" s="234" t="s">
        <v>28</v>
      </c>
      <c r="U208" s="154" t="s">
        <v>233</v>
      </c>
      <c r="V208" s="57"/>
      <c r="W208" s="43"/>
      <c r="X208" s="43"/>
      <c r="Y208" s="44"/>
      <c r="Z208" s="46"/>
      <c r="AA208" s="47"/>
      <c r="AB208" s="48"/>
      <c r="AC208" s="48"/>
    </row>
    <row r="209" spans="1:30" s="49" customFormat="1" ht="90" customHeight="1">
      <c r="A209" s="1011">
        <v>100</v>
      </c>
      <c r="B209" s="1016" t="s">
        <v>2157</v>
      </c>
      <c r="C209" s="1013">
        <v>1986</v>
      </c>
      <c r="D209" s="1013"/>
      <c r="E209" s="1024" t="s">
        <v>222</v>
      </c>
      <c r="F209" s="1026">
        <v>9</v>
      </c>
      <c r="G209" s="1026">
        <v>5</v>
      </c>
      <c r="H209" s="1018">
        <v>3519</v>
      </c>
      <c r="I209" s="1020">
        <v>3245.5</v>
      </c>
      <c r="J209" s="1020">
        <v>3004.78</v>
      </c>
      <c r="K209" s="1022">
        <v>154</v>
      </c>
      <c r="L209" s="158" t="s">
        <v>28</v>
      </c>
      <c r="M209" s="271" t="s">
        <v>4383</v>
      </c>
      <c r="N209" s="156">
        <f>'.'!M2747+'.'!N2747+'.'!O2747+'.'!Q2747</f>
        <v>19881</v>
      </c>
      <c r="O209" s="156">
        <v>0</v>
      </c>
      <c r="P209" s="156">
        <v>0</v>
      </c>
      <c r="Q209" s="156">
        <v>0</v>
      </c>
      <c r="R209" s="234">
        <f t="shared" ref="R209:R220" si="22">N209</f>
        <v>19881</v>
      </c>
      <c r="S209" s="157" t="s">
        <v>28</v>
      </c>
      <c r="T209" s="157" t="s">
        <v>28</v>
      </c>
      <c r="U209" s="211" t="s">
        <v>233</v>
      </c>
      <c r="V209" s="57"/>
      <c r="W209" s="43"/>
      <c r="X209" s="43"/>
      <c r="Y209" s="44"/>
      <c r="Z209" s="46"/>
      <c r="AA209" s="47"/>
      <c r="AB209" s="48"/>
      <c r="AC209" s="48"/>
    </row>
    <row r="210" spans="1:30" s="49" customFormat="1" ht="90" customHeight="1">
      <c r="A210" s="1012"/>
      <c r="B210" s="1017"/>
      <c r="C210" s="1014"/>
      <c r="D210" s="1014"/>
      <c r="E210" s="1025"/>
      <c r="F210" s="1027"/>
      <c r="G210" s="1027"/>
      <c r="H210" s="1019"/>
      <c r="I210" s="1021"/>
      <c r="J210" s="1021"/>
      <c r="K210" s="1023"/>
      <c r="L210" s="158" t="s">
        <v>28</v>
      </c>
      <c r="M210" s="271" t="s">
        <v>4370</v>
      </c>
      <c r="N210" s="156">
        <f>'.'!M2748+'.'!N2748+'.'!O2748+'.'!Q2748</f>
        <v>34318.94</v>
      </c>
      <c r="O210" s="156">
        <v>0</v>
      </c>
      <c r="P210" s="156">
        <v>0</v>
      </c>
      <c r="Q210" s="156">
        <v>0</v>
      </c>
      <c r="R210" s="234">
        <f t="shared" si="22"/>
        <v>34318.94</v>
      </c>
      <c r="S210" s="157" t="s">
        <v>28</v>
      </c>
      <c r="T210" s="157" t="s">
        <v>28</v>
      </c>
      <c r="U210" s="211" t="s">
        <v>233</v>
      </c>
      <c r="V210" s="57"/>
      <c r="W210" s="43"/>
      <c r="X210" s="43"/>
      <c r="Y210" s="44"/>
      <c r="Z210" s="46"/>
      <c r="AA210" s="47"/>
      <c r="AB210" s="48"/>
      <c r="AC210" s="48"/>
    </row>
    <row r="211" spans="1:30" s="49" customFormat="1" ht="90" customHeight="1">
      <c r="A211" s="1011">
        <f>A209+1</f>
        <v>101</v>
      </c>
      <c r="B211" s="1016" t="s">
        <v>2158</v>
      </c>
      <c r="C211" s="1013">
        <v>1978</v>
      </c>
      <c r="D211" s="1013"/>
      <c r="E211" s="1024" t="s">
        <v>222</v>
      </c>
      <c r="F211" s="1026">
        <v>5</v>
      </c>
      <c r="G211" s="1026">
        <v>2</v>
      </c>
      <c r="H211" s="1018">
        <v>3605</v>
      </c>
      <c r="I211" s="1020">
        <v>3190.4</v>
      </c>
      <c r="J211" s="1020">
        <v>2947.3</v>
      </c>
      <c r="K211" s="1022">
        <v>195</v>
      </c>
      <c r="L211" s="158" t="s">
        <v>28</v>
      </c>
      <c r="M211" s="271" t="s">
        <v>4383</v>
      </c>
      <c r="N211" s="156">
        <f>'.'!M2749+'.'!N2749+'.'!O2749+'.'!Q2749</f>
        <v>15022</v>
      </c>
      <c r="O211" s="156">
        <v>0</v>
      </c>
      <c r="P211" s="156">
        <v>0</v>
      </c>
      <c r="Q211" s="156">
        <v>0</v>
      </c>
      <c r="R211" s="234">
        <f t="shared" si="22"/>
        <v>15022</v>
      </c>
      <c r="S211" s="157" t="s">
        <v>28</v>
      </c>
      <c r="T211" s="157" t="s">
        <v>28</v>
      </c>
      <c r="U211" s="211" t="s">
        <v>233</v>
      </c>
      <c r="V211" s="57"/>
      <c r="W211" s="43"/>
      <c r="X211" s="43"/>
      <c r="Y211" s="44"/>
      <c r="Z211" s="46"/>
      <c r="AA211" s="47"/>
      <c r="AB211" s="48"/>
      <c r="AC211" s="48"/>
    </row>
    <row r="212" spans="1:30" s="49" customFormat="1" ht="90" customHeight="1">
      <c r="A212" s="1012"/>
      <c r="B212" s="1017"/>
      <c r="C212" s="1014"/>
      <c r="D212" s="1014"/>
      <c r="E212" s="1025"/>
      <c r="F212" s="1027"/>
      <c r="G212" s="1027"/>
      <c r="H212" s="1019"/>
      <c r="I212" s="1021"/>
      <c r="J212" s="1021"/>
      <c r="K212" s="1023"/>
      <c r="L212" s="158" t="s">
        <v>28</v>
      </c>
      <c r="M212" s="271" t="s">
        <v>4370</v>
      </c>
      <c r="N212" s="156">
        <f>'.'!M2750+'.'!N2750+'.'!O2750+'.'!Q2750</f>
        <v>34318.94</v>
      </c>
      <c r="O212" s="156">
        <v>0</v>
      </c>
      <c r="P212" s="156">
        <v>0</v>
      </c>
      <c r="Q212" s="156">
        <v>0</v>
      </c>
      <c r="R212" s="234">
        <f t="shared" si="22"/>
        <v>34318.94</v>
      </c>
      <c r="S212" s="157" t="s">
        <v>28</v>
      </c>
      <c r="T212" s="157" t="s">
        <v>28</v>
      </c>
      <c r="U212" s="211" t="s">
        <v>233</v>
      </c>
      <c r="V212" s="57"/>
      <c r="W212" s="43"/>
      <c r="X212" s="43"/>
      <c r="Y212" s="44"/>
      <c r="Z212" s="46"/>
      <c r="AA212" s="47"/>
      <c r="AB212" s="48"/>
      <c r="AC212" s="48"/>
    </row>
    <row r="213" spans="1:30" s="49" customFormat="1" ht="90" customHeight="1">
      <c r="A213" s="1011">
        <f t="shared" ref="A213" si="23">A211+1</f>
        <v>102</v>
      </c>
      <c r="B213" s="1016" t="s">
        <v>2204</v>
      </c>
      <c r="C213" s="1013">
        <v>1994</v>
      </c>
      <c r="D213" s="1013"/>
      <c r="E213" s="1024" t="s">
        <v>222</v>
      </c>
      <c r="F213" s="1026">
        <v>9</v>
      </c>
      <c r="G213" s="1026">
        <v>1</v>
      </c>
      <c r="H213" s="1018">
        <v>2370</v>
      </c>
      <c r="I213" s="1020">
        <v>2021.5</v>
      </c>
      <c r="J213" s="1020">
        <v>1946.7</v>
      </c>
      <c r="K213" s="1022">
        <v>145</v>
      </c>
      <c r="L213" s="158" t="s">
        <v>28</v>
      </c>
      <c r="M213" s="271" t="s">
        <v>4383</v>
      </c>
      <c r="N213" s="156">
        <f>'.'!M2751+'.'!N2751+'.'!O2751+'.'!Q2751</f>
        <v>20049</v>
      </c>
      <c r="O213" s="156">
        <v>0</v>
      </c>
      <c r="P213" s="156">
        <v>0</v>
      </c>
      <c r="Q213" s="156">
        <v>0</v>
      </c>
      <c r="R213" s="234">
        <f t="shared" si="22"/>
        <v>20049</v>
      </c>
      <c r="S213" s="157" t="s">
        <v>28</v>
      </c>
      <c r="T213" s="157" t="s">
        <v>28</v>
      </c>
      <c r="U213" s="211" t="s">
        <v>233</v>
      </c>
      <c r="V213" s="57"/>
      <c r="W213" s="43"/>
      <c r="X213" s="43"/>
      <c r="Y213" s="44"/>
      <c r="Z213" s="46"/>
      <c r="AA213" s="47"/>
      <c r="AB213" s="48"/>
      <c r="AC213" s="48"/>
    </row>
    <row r="214" spans="1:30" s="49" customFormat="1" ht="90" customHeight="1">
      <c r="A214" s="1012"/>
      <c r="B214" s="1017"/>
      <c r="C214" s="1014"/>
      <c r="D214" s="1014"/>
      <c r="E214" s="1025"/>
      <c r="F214" s="1027"/>
      <c r="G214" s="1027"/>
      <c r="H214" s="1019"/>
      <c r="I214" s="1021"/>
      <c r="J214" s="1021"/>
      <c r="K214" s="1023"/>
      <c r="L214" s="158" t="s">
        <v>28</v>
      </c>
      <c r="M214" s="271" t="s">
        <v>4370</v>
      </c>
      <c r="N214" s="156">
        <f>'.'!M2752+'.'!N2752+'.'!O2752+'.'!Q2752</f>
        <v>34318.94</v>
      </c>
      <c r="O214" s="156">
        <v>0</v>
      </c>
      <c r="P214" s="156">
        <v>0</v>
      </c>
      <c r="Q214" s="156">
        <v>0</v>
      </c>
      <c r="R214" s="234">
        <f t="shared" si="22"/>
        <v>34318.94</v>
      </c>
      <c r="S214" s="157" t="s">
        <v>28</v>
      </c>
      <c r="T214" s="157" t="s">
        <v>28</v>
      </c>
      <c r="U214" s="211" t="s">
        <v>233</v>
      </c>
      <c r="V214" s="57"/>
      <c r="W214" s="43"/>
      <c r="X214" s="43"/>
      <c r="Y214" s="44"/>
      <c r="Z214" s="46"/>
      <c r="AA214" s="47"/>
      <c r="AB214" s="48"/>
      <c r="AC214" s="48"/>
    </row>
    <row r="215" spans="1:30" s="49" customFormat="1" ht="90" customHeight="1">
      <c r="A215" s="1011">
        <f t="shared" ref="A215" si="24">A213+1</f>
        <v>103</v>
      </c>
      <c r="B215" s="1016" t="s">
        <v>2206</v>
      </c>
      <c r="C215" s="1013">
        <v>1991</v>
      </c>
      <c r="D215" s="1013"/>
      <c r="E215" s="1024" t="s">
        <v>218</v>
      </c>
      <c r="F215" s="1026">
        <v>9</v>
      </c>
      <c r="G215" s="1026">
        <v>3</v>
      </c>
      <c r="H215" s="1018">
        <v>6710</v>
      </c>
      <c r="I215" s="1020">
        <v>5810.7</v>
      </c>
      <c r="J215" s="1020">
        <v>5301.8</v>
      </c>
      <c r="K215" s="1022">
        <v>328</v>
      </c>
      <c r="L215" s="158" t="s">
        <v>28</v>
      </c>
      <c r="M215" s="271" t="s">
        <v>4383</v>
      </c>
      <c r="N215" s="156">
        <f>'.'!M2753+'.'!N2753+'.'!O2753+'.'!Q2753</f>
        <v>21154</v>
      </c>
      <c r="O215" s="156">
        <v>0</v>
      </c>
      <c r="P215" s="156">
        <v>0</v>
      </c>
      <c r="Q215" s="156">
        <v>0</v>
      </c>
      <c r="R215" s="234">
        <f t="shared" si="22"/>
        <v>21154</v>
      </c>
      <c r="S215" s="157" t="s">
        <v>28</v>
      </c>
      <c r="T215" s="157" t="s">
        <v>28</v>
      </c>
      <c r="U215" s="211" t="s">
        <v>233</v>
      </c>
      <c r="V215" s="57"/>
      <c r="W215" s="43"/>
      <c r="X215" s="43"/>
      <c r="Y215" s="44"/>
      <c r="Z215" s="46"/>
      <c r="AA215" s="47"/>
      <c r="AB215" s="48"/>
      <c r="AC215" s="48"/>
    </row>
    <row r="216" spans="1:30" s="49" customFormat="1" ht="90" customHeight="1">
      <c r="A216" s="1012"/>
      <c r="B216" s="1017"/>
      <c r="C216" s="1014"/>
      <c r="D216" s="1014"/>
      <c r="E216" s="1025"/>
      <c r="F216" s="1027"/>
      <c r="G216" s="1027"/>
      <c r="H216" s="1019"/>
      <c r="I216" s="1021"/>
      <c r="J216" s="1021"/>
      <c r="K216" s="1023"/>
      <c r="L216" s="158" t="s">
        <v>28</v>
      </c>
      <c r="M216" s="271" t="s">
        <v>4370</v>
      </c>
      <c r="N216" s="156">
        <f>'.'!M2754+'.'!N2754+'.'!O2754+'.'!Q2754</f>
        <v>39800</v>
      </c>
      <c r="O216" s="156">
        <v>0</v>
      </c>
      <c r="P216" s="156">
        <v>0</v>
      </c>
      <c r="Q216" s="156">
        <v>0</v>
      </c>
      <c r="R216" s="234">
        <f t="shared" si="22"/>
        <v>39800</v>
      </c>
      <c r="S216" s="157" t="s">
        <v>28</v>
      </c>
      <c r="T216" s="157" t="s">
        <v>28</v>
      </c>
      <c r="U216" s="211" t="s">
        <v>233</v>
      </c>
      <c r="V216" s="57"/>
      <c r="W216" s="43"/>
      <c r="X216" s="43"/>
      <c r="Y216" s="44"/>
      <c r="Z216" s="46"/>
      <c r="AA216" s="47"/>
      <c r="AB216" s="48"/>
      <c r="AC216" s="48"/>
    </row>
    <row r="217" spans="1:30" s="49" customFormat="1" ht="90" customHeight="1">
      <c r="A217" s="1011">
        <f t="shared" ref="A217" si="25">A215+1</f>
        <v>104</v>
      </c>
      <c r="B217" s="1024" t="s">
        <v>2223</v>
      </c>
      <c r="C217" s="1013">
        <v>1966</v>
      </c>
      <c r="D217" s="1013"/>
      <c r="E217" s="1024" t="s">
        <v>222</v>
      </c>
      <c r="F217" s="1026">
        <v>5</v>
      </c>
      <c r="G217" s="1026">
        <v>6</v>
      </c>
      <c r="H217" s="1018">
        <v>4874</v>
      </c>
      <c r="I217" s="1020">
        <v>4470.1000000000004</v>
      </c>
      <c r="J217" s="1020">
        <v>4084.4</v>
      </c>
      <c r="K217" s="1022">
        <v>204</v>
      </c>
      <c r="L217" s="158" t="s">
        <v>28</v>
      </c>
      <c r="M217" s="271" t="s">
        <v>4383</v>
      </c>
      <c r="N217" s="156">
        <f>'.'!M2755+'.'!N2755+'.'!O2755+'.'!Q2755</f>
        <v>15445</v>
      </c>
      <c r="O217" s="156">
        <v>0</v>
      </c>
      <c r="P217" s="156">
        <v>0</v>
      </c>
      <c r="Q217" s="156">
        <v>0</v>
      </c>
      <c r="R217" s="234">
        <f t="shared" si="22"/>
        <v>15445</v>
      </c>
      <c r="S217" s="157" t="s">
        <v>28</v>
      </c>
      <c r="T217" s="157" t="s">
        <v>28</v>
      </c>
      <c r="U217" s="211" t="s">
        <v>233</v>
      </c>
      <c r="V217" s="57"/>
      <c r="W217" s="43"/>
      <c r="X217" s="43"/>
      <c r="Y217" s="44"/>
      <c r="Z217" s="46"/>
      <c r="AA217" s="47"/>
      <c r="AB217" s="48"/>
      <c r="AC217" s="48"/>
    </row>
    <row r="218" spans="1:30" s="49" customFormat="1" ht="90" customHeight="1">
      <c r="A218" s="1012"/>
      <c r="B218" s="1025"/>
      <c r="C218" s="1014"/>
      <c r="D218" s="1014"/>
      <c r="E218" s="1025"/>
      <c r="F218" s="1027"/>
      <c r="G218" s="1027"/>
      <c r="H218" s="1019"/>
      <c r="I218" s="1021"/>
      <c r="J218" s="1021"/>
      <c r="K218" s="1023"/>
      <c r="L218" s="158" t="s">
        <v>28</v>
      </c>
      <c r="M218" s="271" t="s">
        <v>4370</v>
      </c>
      <c r="N218" s="156">
        <f>'.'!M2756+'.'!N2756+'.'!O2756+'.'!Q2756</f>
        <v>39800</v>
      </c>
      <c r="O218" s="156">
        <v>0</v>
      </c>
      <c r="P218" s="156">
        <v>0</v>
      </c>
      <c r="Q218" s="156">
        <v>0</v>
      </c>
      <c r="R218" s="234">
        <f t="shared" si="22"/>
        <v>39800</v>
      </c>
      <c r="S218" s="157" t="s">
        <v>28</v>
      </c>
      <c r="T218" s="157" t="s">
        <v>28</v>
      </c>
      <c r="U218" s="211" t="s">
        <v>233</v>
      </c>
      <c r="V218" s="57"/>
      <c r="W218" s="43"/>
      <c r="X218" s="43"/>
      <c r="Y218" s="44"/>
      <c r="Z218" s="46"/>
      <c r="AA218" s="47"/>
      <c r="AB218" s="48"/>
      <c r="AC218" s="48"/>
    </row>
    <row r="219" spans="1:30" s="49" customFormat="1" ht="90" customHeight="1">
      <c r="A219" s="1011">
        <f t="shared" ref="A219" si="26">A217+1</f>
        <v>105</v>
      </c>
      <c r="B219" s="1016" t="s">
        <v>2238</v>
      </c>
      <c r="C219" s="1013">
        <v>1987</v>
      </c>
      <c r="D219" s="1013"/>
      <c r="E219" s="1024" t="s">
        <v>222</v>
      </c>
      <c r="F219" s="1026">
        <v>5</v>
      </c>
      <c r="G219" s="1026">
        <v>8</v>
      </c>
      <c r="H219" s="1018">
        <v>6331</v>
      </c>
      <c r="I219" s="1020">
        <v>5586</v>
      </c>
      <c r="J219" s="1020">
        <v>5348</v>
      </c>
      <c r="K219" s="1022">
        <v>298</v>
      </c>
      <c r="L219" s="158" t="s">
        <v>28</v>
      </c>
      <c r="M219" s="271" t="s">
        <v>4383</v>
      </c>
      <c r="N219" s="156">
        <f>'.'!M2757+'.'!N2757+'.'!O2757+'.'!Q2757</f>
        <v>16680</v>
      </c>
      <c r="O219" s="156">
        <v>0</v>
      </c>
      <c r="P219" s="156">
        <v>0</v>
      </c>
      <c r="Q219" s="156">
        <v>0</v>
      </c>
      <c r="R219" s="234">
        <f t="shared" si="22"/>
        <v>16680</v>
      </c>
      <c r="S219" s="157" t="s">
        <v>28</v>
      </c>
      <c r="T219" s="157" t="s">
        <v>28</v>
      </c>
      <c r="U219" s="211" t="s">
        <v>233</v>
      </c>
      <c r="V219" s="57"/>
      <c r="W219" s="43"/>
      <c r="X219" s="43"/>
      <c r="Y219" s="44"/>
      <c r="Z219" s="46"/>
      <c r="AA219" s="47"/>
      <c r="AB219" s="48"/>
      <c r="AC219" s="48"/>
    </row>
    <row r="220" spans="1:30" s="49" customFormat="1" ht="90" customHeight="1">
      <c r="A220" s="1012"/>
      <c r="B220" s="1017"/>
      <c r="C220" s="1014"/>
      <c r="D220" s="1014"/>
      <c r="E220" s="1025"/>
      <c r="F220" s="1027"/>
      <c r="G220" s="1027"/>
      <c r="H220" s="1019"/>
      <c r="I220" s="1021"/>
      <c r="J220" s="1021"/>
      <c r="K220" s="1023"/>
      <c r="L220" s="158" t="s">
        <v>28</v>
      </c>
      <c r="M220" s="271" t="s">
        <v>4370</v>
      </c>
      <c r="N220" s="156">
        <f>'.'!M2758+'.'!N2758+'.'!O2758+'.'!Q2758</f>
        <v>39800</v>
      </c>
      <c r="O220" s="156">
        <v>0</v>
      </c>
      <c r="P220" s="156">
        <v>0</v>
      </c>
      <c r="Q220" s="156">
        <v>0</v>
      </c>
      <c r="R220" s="234">
        <f t="shared" si="22"/>
        <v>39800</v>
      </c>
      <c r="S220" s="157" t="s">
        <v>28</v>
      </c>
      <c r="T220" s="157" t="s">
        <v>28</v>
      </c>
      <c r="U220" s="211" t="s">
        <v>233</v>
      </c>
      <c r="V220" s="57"/>
      <c r="W220" s="43"/>
      <c r="X220" s="43"/>
      <c r="Y220" s="44"/>
      <c r="Z220" s="46"/>
      <c r="AA220" s="47"/>
      <c r="AB220" s="48"/>
      <c r="AC220" s="48"/>
    </row>
    <row r="221" spans="1:30" s="49" customFormat="1" ht="37.5" customHeight="1">
      <c r="A221" s="273"/>
      <c r="B221" s="227" t="s">
        <v>3953</v>
      </c>
      <c r="C221" s="229" t="s">
        <v>28</v>
      </c>
      <c r="D221" s="229" t="s">
        <v>28</v>
      </c>
      <c r="E221" s="228" t="s">
        <v>28</v>
      </c>
      <c r="F221" s="260" t="s">
        <v>28</v>
      </c>
      <c r="G221" s="260" t="s">
        <v>28</v>
      </c>
      <c r="H221" s="156">
        <f>SUM(H209:H220)</f>
        <v>27409</v>
      </c>
      <c r="I221" s="156">
        <f t="shared" ref="I221:K221" si="27">SUM(I209:I220)</f>
        <v>24324.199999999997</v>
      </c>
      <c r="J221" s="156">
        <f t="shared" si="27"/>
        <v>22632.98</v>
      </c>
      <c r="K221" s="156">
        <f t="shared" si="27"/>
        <v>1324</v>
      </c>
      <c r="L221" s="158" t="s">
        <v>28</v>
      </c>
      <c r="M221" s="271" t="s">
        <v>28</v>
      </c>
      <c r="N221" s="156">
        <f t="shared" ref="N221:R221" si="28">SUM(N209:N220)</f>
        <v>330587.82</v>
      </c>
      <c r="O221" s="156">
        <f t="shared" si="28"/>
        <v>0</v>
      </c>
      <c r="P221" s="156">
        <f t="shared" si="28"/>
        <v>0</v>
      </c>
      <c r="Q221" s="156">
        <f t="shared" si="28"/>
        <v>0</v>
      </c>
      <c r="R221" s="156">
        <f t="shared" si="28"/>
        <v>330587.82</v>
      </c>
      <c r="S221" s="157" t="s">
        <v>28</v>
      </c>
      <c r="T221" s="157" t="s">
        <v>28</v>
      </c>
      <c r="U221" s="211" t="s">
        <v>233</v>
      </c>
      <c r="V221" s="57"/>
      <c r="W221" s="43"/>
      <c r="X221" s="43"/>
      <c r="Y221" s="44"/>
      <c r="Z221" s="46"/>
      <c r="AA221" s="47"/>
      <c r="AB221" s="48"/>
      <c r="AC221" s="48"/>
    </row>
    <row r="222" spans="1:30" s="50" customFormat="1" ht="41.25" customHeight="1">
      <c r="A222" s="1030" t="s">
        <v>146</v>
      </c>
      <c r="B222" s="1030"/>
      <c r="C222" s="1030"/>
      <c r="D222" s="1030"/>
      <c r="E222" s="229" t="s">
        <v>28</v>
      </c>
      <c r="F222" s="233" t="s">
        <v>28</v>
      </c>
      <c r="G222" s="233" t="s">
        <v>28</v>
      </c>
      <c r="H222" s="234">
        <f>H127+H208+H221</f>
        <v>527484.19999999995</v>
      </c>
      <c r="I222" s="234">
        <f t="shared" ref="I222:K222" si="29">I127+I208+I221</f>
        <v>454423.43</v>
      </c>
      <c r="J222" s="234">
        <f t="shared" si="29"/>
        <v>422625.88</v>
      </c>
      <c r="K222" s="234">
        <f t="shared" si="29"/>
        <v>22838</v>
      </c>
      <c r="L222" s="233" t="s">
        <v>28</v>
      </c>
      <c r="M222" s="238" t="s">
        <v>28</v>
      </c>
      <c r="N222" s="234">
        <f t="shared" ref="N222:R222" si="30">N127+N208+N221</f>
        <v>341439819.69</v>
      </c>
      <c r="O222" s="234">
        <f t="shared" si="30"/>
        <v>0</v>
      </c>
      <c r="P222" s="234">
        <f t="shared" si="30"/>
        <v>103395000</v>
      </c>
      <c r="Q222" s="234">
        <f t="shared" si="30"/>
        <v>0</v>
      </c>
      <c r="R222" s="234">
        <f t="shared" si="30"/>
        <v>238044819.69000003</v>
      </c>
      <c r="S222" s="234" t="s">
        <v>28</v>
      </c>
      <c r="T222" s="234" t="s">
        <v>28</v>
      </c>
      <c r="U222" s="154" t="s">
        <v>233</v>
      </c>
      <c r="V222" s="43"/>
      <c r="W222" s="43"/>
      <c r="X222" s="43"/>
      <c r="Y222" s="44"/>
      <c r="Z222" s="46"/>
      <c r="AA222" s="47"/>
      <c r="AD222" s="274"/>
    </row>
    <row r="223" spans="1:30" s="68" customFormat="1" ht="41.25" customHeight="1">
      <c r="A223" s="1033" t="s">
        <v>145</v>
      </c>
      <c r="B223" s="1033"/>
      <c r="C223" s="1033"/>
      <c r="D223" s="1033"/>
      <c r="E223" s="1033"/>
      <c r="F223" s="1033"/>
      <c r="G223" s="1033"/>
      <c r="H223" s="1033"/>
      <c r="I223" s="1033"/>
      <c r="J223" s="1033"/>
      <c r="K223" s="1033"/>
      <c r="L223" s="1033"/>
      <c r="M223" s="1033"/>
      <c r="N223" s="1033"/>
      <c r="O223" s="1033"/>
      <c r="P223" s="1033"/>
      <c r="Q223" s="1033"/>
      <c r="R223" s="1033"/>
      <c r="S223" s="1033"/>
      <c r="T223" s="1033"/>
      <c r="U223" s="1033"/>
      <c r="W223" s="74"/>
      <c r="Y223" s="63"/>
      <c r="AA223" s="309"/>
      <c r="AD223" s="64"/>
    </row>
    <row r="224" spans="1:30" s="68" customFormat="1" ht="37.5" customHeight="1">
      <c r="A224" s="215">
        <v>1</v>
      </c>
      <c r="B224" s="167" t="s">
        <v>3068</v>
      </c>
      <c r="C224" s="167">
        <v>1988</v>
      </c>
      <c r="D224" s="217"/>
      <c r="E224" s="217" t="s">
        <v>222</v>
      </c>
      <c r="F224" s="240">
        <v>9</v>
      </c>
      <c r="G224" s="240">
        <v>3</v>
      </c>
      <c r="H224" s="241">
        <v>8275</v>
      </c>
      <c r="I224" s="242">
        <v>7185.7</v>
      </c>
      <c r="J224" s="242">
        <v>6726.1</v>
      </c>
      <c r="K224" s="240">
        <v>303</v>
      </c>
      <c r="L224" s="240">
        <f>'2.виды ремонта'!E202</f>
        <v>3</v>
      </c>
      <c r="M224" s="255" t="s">
        <v>220</v>
      </c>
      <c r="N224" s="241">
        <f>'2.виды ремонта'!C202</f>
        <v>6127500</v>
      </c>
      <c r="O224" s="241">
        <v>0</v>
      </c>
      <c r="P224" s="241">
        <v>1200000</v>
      </c>
      <c r="Q224" s="241">
        <v>0</v>
      </c>
      <c r="R224" s="164">
        <f t="shared" ref="R224:R241" si="31">N224-O224-P224-Q224</f>
        <v>4927500</v>
      </c>
      <c r="S224" s="241">
        <f t="shared" ref="S224:S231" si="32">N224/L224</f>
        <v>2042500</v>
      </c>
      <c r="T224" s="241">
        <v>2300000</v>
      </c>
      <c r="U224" s="165" t="s">
        <v>271</v>
      </c>
      <c r="X224" s="310"/>
      <c r="Y224" s="63"/>
      <c r="Z224" s="66"/>
      <c r="AA224" s="309"/>
      <c r="AB224" s="67"/>
      <c r="AC224" s="67"/>
      <c r="AD224" s="64"/>
    </row>
    <row r="225" spans="1:30" s="68" customFormat="1" ht="37.5" customHeight="1">
      <c r="A225" s="215">
        <f>A224+1</f>
        <v>2</v>
      </c>
      <c r="B225" s="167" t="s">
        <v>3069</v>
      </c>
      <c r="C225" s="167">
        <v>1988</v>
      </c>
      <c r="D225" s="217"/>
      <c r="E225" s="217" t="s">
        <v>222</v>
      </c>
      <c r="F225" s="240">
        <v>9</v>
      </c>
      <c r="G225" s="240">
        <v>3</v>
      </c>
      <c r="H225" s="241">
        <v>8253</v>
      </c>
      <c r="I225" s="242">
        <v>7156.9</v>
      </c>
      <c r="J225" s="242">
        <v>6745.4</v>
      </c>
      <c r="K225" s="240">
        <v>304</v>
      </c>
      <c r="L225" s="240">
        <f>'2.виды ремонта'!E203</f>
        <v>3</v>
      </c>
      <c r="M225" s="255" t="s">
        <v>220</v>
      </c>
      <c r="N225" s="241">
        <f>'2.виды ремонта'!C203</f>
        <v>6127500</v>
      </c>
      <c r="O225" s="241">
        <v>0</v>
      </c>
      <c r="P225" s="241">
        <v>1200000</v>
      </c>
      <c r="Q225" s="241">
        <v>0</v>
      </c>
      <c r="R225" s="164">
        <f t="shared" si="31"/>
        <v>4927500</v>
      </c>
      <c r="S225" s="241">
        <f t="shared" si="32"/>
        <v>2042500</v>
      </c>
      <c r="T225" s="241">
        <v>2300000</v>
      </c>
      <c r="U225" s="165" t="s">
        <v>271</v>
      </c>
      <c r="X225" s="310"/>
      <c r="Y225" s="63"/>
      <c r="Z225" s="66"/>
      <c r="AA225" s="309"/>
      <c r="AB225" s="67"/>
      <c r="AC225" s="67"/>
      <c r="AD225" s="64"/>
    </row>
    <row r="226" spans="1:30" s="68" customFormat="1" ht="37.5" customHeight="1">
      <c r="A226" s="215">
        <f t="shared" ref="A226:A251" si="33">A225+1</f>
        <v>3</v>
      </c>
      <c r="B226" s="217" t="s">
        <v>3070</v>
      </c>
      <c r="C226" s="216">
        <v>1988</v>
      </c>
      <c r="D226" s="217"/>
      <c r="E226" s="217" t="s">
        <v>222</v>
      </c>
      <c r="F226" s="240">
        <v>9</v>
      </c>
      <c r="G226" s="240">
        <v>3</v>
      </c>
      <c r="H226" s="241">
        <v>8325</v>
      </c>
      <c r="I226" s="242">
        <v>7184.8</v>
      </c>
      <c r="J226" s="242">
        <v>6829.6</v>
      </c>
      <c r="K226" s="240">
        <v>339</v>
      </c>
      <c r="L226" s="240">
        <f>'2.виды ремонта'!E204</f>
        <v>3</v>
      </c>
      <c r="M226" s="255" t="s">
        <v>220</v>
      </c>
      <c r="N226" s="241">
        <f>'2.виды ремонта'!C204</f>
        <v>6127500</v>
      </c>
      <c r="O226" s="241">
        <v>0</v>
      </c>
      <c r="P226" s="241">
        <v>1200000</v>
      </c>
      <c r="Q226" s="241">
        <v>0</v>
      </c>
      <c r="R226" s="164">
        <f t="shared" si="31"/>
        <v>4927500</v>
      </c>
      <c r="S226" s="241">
        <f t="shared" si="32"/>
        <v>2042500</v>
      </c>
      <c r="T226" s="241">
        <v>2300000</v>
      </c>
      <c r="U226" s="165" t="s">
        <v>271</v>
      </c>
      <c r="X226" s="310"/>
      <c r="Y226" s="63"/>
      <c r="Z226" s="66"/>
      <c r="AA226" s="309"/>
      <c r="AB226" s="67"/>
      <c r="AC226" s="67"/>
      <c r="AD226" s="64"/>
    </row>
    <row r="227" spans="1:30" s="68" customFormat="1" ht="37.5" customHeight="1">
      <c r="A227" s="215">
        <f t="shared" si="33"/>
        <v>4</v>
      </c>
      <c r="B227" s="217" t="s">
        <v>2156</v>
      </c>
      <c r="C227" s="216">
        <v>1986</v>
      </c>
      <c r="D227" s="217"/>
      <c r="E227" s="217" t="s">
        <v>222</v>
      </c>
      <c r="F227" s="240">
        <v>9</v>
      </c>
      <c r="G227" s="240">
        <v>1</v>
      </c>
      <c r="H227" s="241">
        <v>3605</v>
      </c>
      <c r="I227" s="242">
        <v>3272.9</v>
      </c>
      <c r="J227" s="242">
        <v>3171.8</v>
      </c>
      <c r="K227" s="240">
        <v>139</v>
      </c>
      <c r="L227" s="240">
        <f>'2.виды ремонта'!E205</f>
        <v>1</v>
      </c>
      <c r="M227" s="255" t="s">
        <v>220</v>
      </c>
      <c r="N227" s="241">
        <f>'2.виды ремонта'!C205</f>
        <v>2085000</v>
      </c>
      <c r="O227" s="241">
        <v>0</v>
      </c>
      <c r="P227" s="241">
        <v>400000</v>
      </c>
      <c r="Q227" s="241">
        <v>0</v>
      </c>
      <c r="R227" s="164">
        <f t="shared" si="31"/>
        <v>1685000</v>
      </c>
      <c r="S227" s="241">
        <f t="shared" si="32"/>
        <v>2085000</v>
      </c>
      <c r="T227" s="241">
        <v>2300000</v>
      </c>
      <c r="U227" s="165" t="s">
        <v>271</v>
      </c>
      <c r="X227" s="310"/>
      <c r="Y227" s="63"/>
      <c r="Z227" s="66"/>
      <c r="AA227" s="309"/>
      <c r="AB227" s="67"/>
      <c r="AC227" s="67"/>
      <c r="AD227" s="64"/>
    </row>
    <row r="228" spans="1:30" s="68" customFormat="1" ht="37.5" customHeight="1">
      <c r="A228" s="215">
        <f t="shared" si="33"/>
        <v>5</v>
      </c>
      <c r="B228" s="217" t="s">
        <v>3081</v>
      </c>
      <c r="C228" s="216">
        <v>1989</v>
      </c>
      <c r="D228" s="217"/>
      <c r="E228" s="217" t="s">
        <v>222</v>
      </c>
      <c r="F228" s="240">
        <v>9</v>
      </c>
      <c r="G228" s="240">
        <v>2</v>
      </c>
      <c r="H228" s="241">
        <v>4517</v>
      </c>
      <c r="I228" s="242">
        <v>3939.7</v>
      </c>
      <c r="J228" s="242">
        <v>3627.8</v>
      </c>
      <c r="K228" s="240">
        <v>236</v>
      </c>
      <c r="L228" s="240">
        <f>'2.виды ремонта'!E206</f>
        <v>2</v>
      </c>
      <c r="M228" s="255" t="s">
        <v>220</v>
      </c>
      <c r="N228" s="241">
        <f>'2.виды ремонта'!C206</f>
        <v>4106250</v>
      </c>
      <c r="O228" s="241">
        <v>0</v>
      </c>
      <c r="P228" s="241">
        <v>800000</v>
      </c>
      <c r="Q228" s="241">
        <v>0</v>
      </c>
      <c r="R228" s="164">
        <f t="shared" si="31"/>
        <v>3306250</v>
      </c>
      <c r="S228" s="241">
        <f t="shared" si="32"/>
        <v>2053125</v>
      </c>
      <c r="T228" s="241">
        <v>2300000</v>
      </c>
      <c r="U228" s="165" t="s">
        <v>271</v>
      </c>
      <c r="X228" s="310"/>
      <c r="Y228" s="63"/>
      <c r="Z228" s="66"/>
      <c r="AA228" s="309"/>
      <c r="AB228" s="67"/>
      <c r="AC228" s="67"/>
      <c r="AD228" s="64"/>
    </row>
    <row r="229" spans="1:30" s="68" customFormat="1" ht="37.5" customHeight="1">
      <c r="A229" s="215">
        <f t="shared" si="33"/>
        <v>6</v>
      </c>
      <c r="B229" s="217" t="s">
        <v>2167</v>
      </c>
      <c r="C229" s="216">
        <v>1989</v>
      </c>
      <c r="D229" s="217"/>
      <c r="E229" s="217" t="s">
        <v>222</v>
      </c>
      <c r="F229" s="240">
        <v>9</v>
      </c>
      <c r="G229" s="240">
        <v>2</v>
      </c>
      <c r="H229" s="241">
        <v>4215</v>
      </c>
      <c r="I229" s="242">
        <v>3678</v>
      </c>
      <c r="J229" s="242">
        <v>3539</v>
      </c>
      <c r="K229" s="240">
        <v>215</v>
      </c>
      <c r="L229" s="240">
        <f>'2.виды ремонта'!E207</f>
        <v>2</v>
      </c>
      <c r="M229" s="255" t="s">
        <v>220</v>
      </c>
      <c r="N229" s="241">
        <f>'2.виды ремонта'!C207</f>
        <v>4106250</v>
      </c>
      <c r="O229" s="241">
        <v>0</v>
      </c>
      <c r="P229" s="241">
        <v>800000</v>
      </c>
      <c r="Q229" s="241">
        <v>0</v>
      </c>
      <c r="R229" s="164">
        <f t="shared" si="31"/>
        <v>3306250</v>
      </c>
      <c r="S229" s="241">
        <f t="shared" si="32"/>
        <v>2053125</v>
      </c>
      <c r="T229" s="241">
        <v>2300000</v>
      </c>
      <c r="U229" s="165" t="s">
        <v>271</v>
      </c>
      <c r="X229" s="310"/>
      <c r="Y229" s="63"/>
      <c r="Z229" s="66"/>
      <c r="AA229" s="309"/>
      <c r="AB229" s="67"/>
      <c r="AC229" s="67"/>
      <c r="AD229" s="64"/>
    </row>
    <row r="230" spans="1:30" s="68" customFormat="1" ht="37.5" customHeight="1">
      <c r="A230" s="215">
        <f t="shared" si="33"/>
        <v>7</v>
      </c>
      <c r="B230" s="217" t="s">
        <v>3082</v>
      </c>
      <c r="C230" s="216">
        <v>1988</v>
      </c>
      <c r="D230" s="217"/>
      <c r="E230" s="217" t="s">
        <v>222</v>
      </c>
      <c r="F230" s="240">
        <v>9</v>
      </c>
      <c r="G230" s="240">
        <v>2</v>
      </c>
      <c r="H230" s="241">
        <v>4463</v>
      </c>
      <c r="I230" s="242">
        <v>3904.3</v>
      </c>
      <c r="J230" s="242">
        <v>3655.1</v>
      </c>
      <c r="K230" s="240">
        <v>239</v>
      </c>
      <c r="L230" s="240">
        <f>'2.виды ремонта'!E208</f>
        <v>2</v>
      </c>
      <c r="M230" s="255" t="s">
        <v>220</v>
      </c>
      <c r="N230" s="241">
        <f>'2.виды ремонта'!C208</f>
        <v>4106250</v>
      </c>
      <c r="O230" s="241">
        <v>0</v>
      </c>
      <c r="P230" s="241">
        <v>800000</v>
      </c>
      <c r="Q230" s="241">
        <v>0</v>
      </c>
      <c r="R230" s="164">
        <f t="shared" si="31"/>
        <v>3306250</v>
      </c>
      <c r="S230" s="241">
        <f t="shared" si="32"/>
        <v>2053125</v>
      </c>
      <c r="T230" s="241">
        <v>2300000</v>
      </c>
      <c r="U230" s="165" t="s">
        <v>271</v>
      </c>
      <c r="X230" s="310"/>
      <c r="Y230" s="63"/>
      <c r="Z230" s="66"/>
      <c r="AA230" s="309"/>
      <c r="AB230" s="67"/>
      <c r="AC230" s="67"/>
      <c r="AD230" s="64"/>
    </row>
    <row r="231" spans="1:30" s="71" customFormat="1" ht="46.5" customHeight="1">
      <c r="A231" s="215">
        <v>8</v>
      </c>
      <c r="B231" s="217" t="s">
        <v>3083</v>
      </c>
      <c r="C231" s="216">
        <v>1987</v>
      </c>
      <c r="D231" s="217"/>
      <c r="E231" s="217" t="s">
        <v>222</v>
      </c>
      <c r="F231" s="221">
        <v>9</v>
      </c>
      <c r="G231" s="221">
        <v>2</v>
      </c>
      <c r="H231" s="219">
        <v>4449</v>
      </c>
      <c r="I231" s="220">
        <v>3869.8</v>
      </c>
      <c r="J231" s="220">
        <v>3869.8</v>
      </c>
      <c r="K231" s="221">
        <v>354</v>
      </c>
      <c r="L231" s="240">
        <f>'2.виды ремонта'!E208</f>
        <v>2</v>
      </c>
      <c r="M231" s="255" t="s">
        <v>220</v>
      </c>
      <c r="N231" s="241">
        <f>'2.виды ремонта'!F209</f>
        <v>4106250</v>
      </c>
      <c r="O231" s="241">
        <v>0</v>
      </c>
      <c r="P231" s="241">
        <v>800000</v>
      </c>
      <c r="Q231" s="241">
        <v>0</v>
      </c>
      <c r="R231" s="164">
        <f>N231-O231-P231-Q231</f>
        <v>3306250</v>
      </c>
      <c r="S231" s="241">
        <f t="shared" si="32"/>
        <v>2053125</v>
      </c>
      <c r="T231" s="241">
        <v>2300000</v>
      </c>
      <c r="U231" s="165" t="s">
        <v>271</v>
      </c>
      <c r="W231" s="68"/>
      <c r="X231" s="310"/>
      <c r="Y231" s="63"/>
      <c r="Z231" s="69"/>
      <c r="AA231" s="309"/>
      <c r="AB231" s="70"/>
      <c r="AC231" s="70"/>
      <c r="AD231" s="65"/>
    </row>
    <row r="232" spans="1:30" s="68" customFormat="1" ht="37.5" customHeight="1">
      <c r="A232" s="215">
        <v>9</v>
      </c>
      <c r="B232" s="217" t="s">
        <v>3084</v>
      </c>
      <c r="C232" s="216">
        <v>1988</v>
      </c>
      <c r="D232" s="217"/>
      <c r="E232" s="217" t="s">
        <v>222</v>
      </c>
      <c r="F232" s="240">
        <v>9</v>
      </c>
      <c r="G232" s="240">
        <v>1</v>
      </c>
      <c r="H232" s="241">
        <v>3683</v>
      </c>
      <c r="I232" s="242">
        <v>3531.43</v>
      </c>
      <c r="J232" s="242">
        <v>3531.43</v>
      </c>
      <c r="K232" s="240">
        <v>233</v>
      </c>
      <c r="L232" s="240">
        <f>'2.виды ремонта'!E210</f>
        <v>1</v>
      </c>
      <c r="M232" s="255" t="s">
        <v>220</v>
      </c>
      <c r="N232" s="241">
        <f>'2.виды ремонта'!C210</f>
        <v>2085000</v>
      </c>
      <c r="O232" s="241">
        <v>0</v>
      </c>
      <c r="P232" s="241">
        <v>400000</v>
      </c>
      <c r="Q232" s="241">
        <v>0</v>
      </c>
      <c r="R232" s="164">
        <f t="shared" si="31"/>
        <v>1685000</v>
      </c>
      <c r="S232" s="241">
        <f t="shared" ref="S232:S241" si="34">N232/L232</f>
        <v>2085000</v>
      </c>
      <c r="T232" s="241">
        <v>2300000</v>
      </c>
      <c r="U232" s="165" t="s">
        <v>271</v>
      </c>
      <c r="X232" s="310"/>
      <c r="Y232" s="63"/>
      <c r="Z232" s="66"/>
      <c r="AA232" s="309"/>
      <c r="AB232" s="67"/>
      <c r="AC232" s="67"/>
      <c r="AD232" s="64"/>
    </row>
    <row r="233" spans="1:30" s="68" customFormat="1" ht="37.5" customHeight="1">
      <c r="A233" s="215">
        <f t="shared" si="33"/>
        <v>10</v>
      </c>
      <c r="B233" s="217" t="s">
        <v>3110</v>
      </c>
      <c r="C233" s="216">
        <v>1985</v>
      </c>
      <c r="D233" s="217"/>
      <c r="E233" s="217" t="s">
        <v>222</v>
      </c>
      <c r="F233" s="240">
        <v>9</v>
      </c>
      <c r="G233" s="240">
        <v>3</v>
      </c>
      <c r="H233" s="241">
        <v>6638</v>
      </c>
      <c r="I233" s="242">
        <v>5924.6</v>
      </c>
      <c r="J233" s="242">
        <v>5609.2</v>
      </c>
      <c r="K233" s="240">
        <v>297</v>
      </c>
      <c r="L233" s="240">
        <f>'2.виды ремонта'!E211</f>
        <v>3</v>
      </c>
      <c r="M233" s="255" t="s">
        <v>220</v>
      </c>
      <c r="N233" s="241">
        <f>'2.виды ремонта'!C211</f>
        <v>6127500</v>
      </c>
      <c r="O233" s="241">
        <v>0</v>
      </c>
      <c r="P233" s="241">
        <v>1200000</v>
      </c>
      <c r="Q233" s="241">
        <v>0</v>
      </c>
      <c r="R233" s="164">
        <f t="shared" si="31"/>
        <v>4927500</v>
      </c>
      <c r="S233" s="241">
        <f t="shared" si="34"/>
        <v>2042500</v>
      </c>
      <c r="T233" s="241">
        <v>2300000</v>
      </c>
      <c r="U233" s="165" t="s">
        <v>271</v>
      </c>
      <c r="X233" s="310"/>
      <c r="Y233" s="63"/>
      <c r="Z233" s="66"/>
      <c r="AA233" s="309"/>
      <c r="AB233" s="67"/>
      <c r="AC233" s="67"/>
      <c r="AD233" s="64"/>
    </row>
    <row r="234" spans="1:30" s="68" customFormat="1" ht="37.5" customHeight="1">
      <c r="A234" s="215">
        <f t="shared" si="33"/>
        <v>11</v>
      </c>
      <c r="B234" s="217" t="s">
        <v>3860</v>
      </c>
      <c r="C234" s="216">
        <v>1987</v>
      </c>
      <c r="D234" s="217"/>
      <c r="E234" s="217" t="s">
        <v>222</v>
      </c>
      <c r="F234" s="240">
        <v>9</v>
      </c>
      <c r="G234" s="240">
        <v>5</v>
      </c>
      <c r="H234" s="241">
        <v>12078.1</v>
      </c>
      <c r="I234" s="242">
        <v>10653.4</v>
      </c>
      <c r="J234" s="242">
        <v>10252</v>
      </c>
      <c r="K234" s="240">
        <v>542</v>
      </c>
      <c r="L234" s="240">
        <f>'2.виды ремонта'!E212</f>
        <v>5</v>
      </c>
      <c r="M234" s="255" t="s">
        <v>220</v>
      </c>
      <c r="N234" s="241">
        <f>'2.виды ремонта'!C212</f>
        <v>10170000</v>
      </c>
      <c r="O234" s="241">
        <v>0</v>
      </c>
      <c r="P234" s="241">
        <v>2000000</v>
      </c>
      <c r="Q234" s="241">
        <v>0</v>
      </c>
      <c r="R234" s="164">
        <f t="shared" si="31"/>
        <v>8170000</v>
      </c>
      <c r="S234" s="241">
        <f t="shared" si="34"/>
        <v>2034000</v>
      </c>
      <c r="T234" s="241">
        <v>2300000</v>
      </c>
      <c r="U234" s="165" t="s">
        <v>271</v>
      </c>
      <c r="X234" s="310"/>
      <c r="Y234" s="63"/>
      <c r="Z234" s="66"/>
      <c r="AA234" s="309"/>
      <c r="AB234" s="67"/>
      <c r="AC234" s="67"/>
      <c r="AD234" s="64"/>
    </row>
    <row r="235" spans="1:30" s="68" customFormat="1" ht="37.5" customHeight="1">
      <c r="A235" s="215">
        <f t="shared" si="33"/>
        <v>12</v>
      </c>
      <c r="B235" s="217" t="s">
        <v>2185</v>
      </c>
      <c r="C235" s="216">
        <v>1993</v>
      </c>
      <c r="D235" s="217"/>
      <c r="E235" s="217" t="s">
        <v>222</v>
      </c>
      <c r="F235" s="240">
        <v>5</v>
      </c>
      <c r="G235" s="240">
        <v>2</v>
      </c>
      <c r="H235" s="241">
        <v>4288</v>
      </c>
      <c r="I235" s="242">
        <v>3828.5</v>
      </c>
      <c r="J235" s="242">
        <v>3828.5</v>
      </c>
      <c r="K235" s="240">
        <v>150</v>
      </c>
      <c r="L235" s="240">
        <f>'2.виды ремонта'!E213</f>
        <v>2</v>
      </c>
      <c r="M235" s="255" t="s">
        <v>220</v>
      </c>
      <c r="N235" s="241">
        <f>'2.виды ремонта'!C213</f>
        <v>4106250</v>
      </c>
      <c r="O235" s="241">
        <v>0</v>
      </c>
      <c r="P235" s="241">
        <v>800000</v>
      </c>
      <c r="Q235" s="241">
        <v>0</v>
      </c>
      <c r="R235" s="164">
        <f t="shared" si="31"/>
        <v>3306250</v>
      </c>
      <c r="S235" s="241">
        <f t="shared" si="34"/>
        <v>2053125</v>
      </c>
      <c r="T235" s="241">
        <v>2300000</v>
      </c>
      <c r="U235" s="165" t="s">
        <v>271</v>
      </c>
      <c r="X235" s="310"/>
      <c r="Y235" s="63"/>
      <c r="Z235" s="66"/>
      <c r="AA235" s="309"/>
      <c r="AB235" s="67"/>
      <c r="AC235" s="67"/>
      <c r="AD235" s="64"/>
    </row>
    <row r="236" spans="1:30" s="68" customFormat="1" ht="37.5" customHeight="1">
      <c r="A236" s="215">
        <f t="shared" si="33"/>
        <v>13</v>
      </c>
      <c r="B236" s="217" t="s">
        <v>3129</v>
      </c>
      <c r="C236" s="216">
        <v>1987</v>
      </c>
      <c r="D236" s="217"/>
      <c r="E236" s="217" t="s">
        <v>222</v>
      </c>
      <c r="F236" s="240">
        <v>9</v>
      </c>
      <c r="G236" s="240">
        <v>1</v>
      </c>
      <c r="H236" s="241">
        <v>2539</v>
      </c>
      <c r="I236" s="242">
        <v>2349.1999999999998</v>
      </c>
      <c r="J236" s="242">
        <v>1596</v>
      </c>
      <c r="K236" s="240">
        <v>94</v>
      </c>
      <c r="L236" s="240">
        <f>'2.виды ремонта'!E214</f>
        <v>1</v>
      </c>
      <c r="M236" s="255" t="s">
        <v>220</v>
      </c>
      <c r="N236" s="241">
        <f>'2.виды ремонта'!C214</f>
        <v>2085000</v>
      </c>
      <c r="O236" s="241">
        <v>0</v>
      </c>
      <c r="P236" s="241">
        <v>400000</v>
      </c>
      <c r="Q236" s="241">
        <v>0</v>
      </c>
      <c r="R236" s="164">
        <f t="shared" si="31"/>
        <v>1685000</v>
      </c>
      <c r="S236" s="241">
        <f t="shared" si="34"/>
        <v>2085000</v>
      </c>
      <c r="T236" s="241">
        <v>2300000</v>
      </c>
      <c r="U236" s="165" t="s">
        <v>271</v>
      </c>
      <c r="X236" s="310"/>
      <c r="Y236" s="63"/>
      <c r="Z236" s="66"/>
      <c r="AA236" s="309"/>
      <c r="AB236" s="67"/>
      <c r="AC236" s="67"/>
      <c r="AD236" s="64"/>
    </row>
    <row r="237" spans="1:30" s="68" customFormat="1" ht="57.95" customHeight="1">
      <c r="A237" s="1033">
        <v>14</v>
      </c>
      <c r="B237" s="1032" t="s">
        <v>3130</v>
      </c>
      <c r="C237" s="1034">
        <v>1987</v>
      </c>
      <c r="D237" s="1032"/>
      <c r="E237" s="1032" t="s">
        <v>222</v>
      </c>
      <c r="F237" s="1035">
        <v>9</v>
      </c>
      <c r="G237" s="1035">
        <v>1</v>
      </c>
      <c r="H237" s="1036">
        <v>2574</v>
      </c>
      <c r="I237" s="1037">
        <v>2401.3000000000002</v>
      </c>
      <c r="J237" s="1037">
        <v>1677.3</v>
      </c>
      <c r="K237" s="1035">
        <v>90</v>
      </c>
      <c r="L237" s="240">
        <f>'2.виды ремонта'!E215</f>
        <v>1</v>
      </c>
      <c r="M237" s="255" t="s">
        <v>220</v>
      </c>
      <c r="N237" s="241">
        <f>'2.виды ремонта'!F215</f>
        <v>2085000</v>
      </c>
      <c r="O237" s="241">
        <v>0</v>
      </c>
      <c r="P237" s="241">
        <v>400000</v>
      </c>
      <c r="Q237" s="241">
        <v>0</v>
      </c>
      <c r="R237" s="164">
        <f>N237-O237-P237-Q237</f>
        <v>1685000</v>
      </c>
      <c r="S237" s="241">
        <f>N237/L237</f>
        <v>2085000</v>
      </c>
      <c r="T237" s="241">
        <v>2300000</v>
      </c>
      <c r="U237" s="165" t="s">
        <v>271</v>
      </c>
      <c r="X237" s="310"/>
      <c r="Y237" s="63"/>
      <c r="Z237" s="66"/>
      <c r="AA237" s="309"/>
      <c r="AB237" s="67"/>
      <c r="AC237" s="67"/>
      <c r="AD237" s="64"/>
    </row>
    <row r="238" spans="1:30" s="68" customFormat="1" ht="57.95" customHeight="1">
      <c r="A238" s="1033"/>
      <c r="B238" s="1032"/>
      <c r="C238" s="1034"/>
      <c r="D238" s="1032"/>
      <c r="E238" s="1032"/>
      <c r="F238" s="1035"/>
      <c r="G238" s="1035"/>
      <c r="H238" s="1036"/>
      <c r="I238" s="1037"/>
      <c r="J238" s="1037"/>
      <c r="K238" s="1035"/>
      <c r="L238" s="240">
        <f>'2.виды ремонта'!G215</f>
        <v>432</v>
      </c>
      <c r="M238" s="255" t="s">
        <v>33</v>
      </c>
      <c r="N238" s="241">
        <f>'2.виды ремонта'!H215</f>
        <v>1057284</v>
      </c>
      <c r="O238" s="241">
        <v>0</v>
      </c>
      <c r="P238" s="241">
        <v>0</v>
      </c>
      <c r="Q238" s="241">
        <v>0</v>
      </c>
      <c r="R238" s="164">
        <f t="shared" si="31"/>
        <v>1057284</v>
      </c>
      <c r="S238" s="241">
        <f>N238/L238</f>
        <v>2447.4166666666665</v>
      </c>
      <c r="T238" s="241">
        <v>3564.43</v>
      </c>
      <c r="U238" s="165" t="s">
        <v>271</v>
      </c>
      <c r="W238" s="74"/>
      <c r="Y238" s="63"/>
      <c r="Z238" s="66"/>
      <c r="AA238" s="309"/>
      <c r="AB238" s="67"/>
      <c r="AC238" s="67"/>
      <c r="AD238" s="64"/>
    </row>
    <row r="239" spans="1:30" s="68" customFormat="1" ht="37.5" customHeight="1">
      <c r="A239" s="215">
        <v>15</v>
      </c>
      <c r="B239" s="217" t="s">
        <v>3143</v>
      </c>
      <c r="C239" s="216">
        <v>1986</v>
      </c>
      <c r="D239" s="217"/>
      <c r="E239" s="217" t="s">
        <v>222</v>
      </c>
      <c r="F239" s="240">
        <v>9</v>
      </c>
      <c r="G239" s="240">
        <v>2</v>
      </c>
      <c r="H239" s="241">
        <v>4867</v>
      </c>
      <c r="I239" s="242">
        <v>4567.3999999999996</v>
      </c>
      <c r="J239" s="242">
        <v>3411.7</v>
      </c>
      <c r="K239" s="240">
        <v>158</v>
      </c>
      <c r="L239" s="240">
        <f>'2.виды ремонта'!E216</f>
        <v>2</v>
      </c>
      <c r="M239" s="255" t="s">
        <v>220</v>
      </c>
      <c r="N239" s="241">
        <f>'2.виды ремонта'!C216</f>
        <v>4106250</v>
      </c>
      <c r="O239" s="241">
        <v>0</v>
      </c>
      <c r="P239" s="241">
        <v>800000</v>
      </c>
      <c r="Q239" s="241">
        <v>0</v>
      </c>
      <c r="R239" s="164">
        <f t="shared" si="31"/>
        <v>3306250</v>
      </c>
      <c r="S239" s="241">
        <f t="shared" si="34"/>
        <v>2053125</v>
      </c>
      <c r="T239" s="241">
        <v>2300000</v>
      </c>
      <c r="U239" s="165" t="s">
        <v>271</v>
      </c>
      <c r="X239" s="310"/>
      <c r="Y239" s="63"/>
      <c r="Z239" s="66"/>
      <c r="AA239" s="309"/>
      <c r="AB239" s="67"/>
      <c r="AC239" s="67"/>
      <c r="AD239" s="64"/>
    </row>
    <row r="240" spans="1:30" s="71" customFormat="1" ht="45" customHeight="1">
      <c r="A240" s="1033">
        <v>16</v>
      </c>
      <c r="B240" s="1032" t="s">
        <v>3148</v>
      </c>
      <c r="C240" s="1034">
        <v>1987</v>
      </c>
      <c r="D240" s="1032"/>
      <c r="E240" s="1032" t="s">
        <v>222</v>
      </c>
      <c r="F240" s="1035">
        <v>9</v>
      </c>
      <c r="G240" s="1035">
        <v>2</v>
      </c>
      <c r="H240" s="1036">
        <v>5033</v>
      </c>
      <c r="I240" s="1037">
        <v>4643.2</v>
      </c>
      <c r="J240" s="1037">
        <v>3381.6</v>
      </c>
      <c r="K240" s="1035">
        <v>175</v>
      </c>
      <c r="L240" s="240">
        <f>'2.виды ремонта'!E217</f>
        <v>2</v>
      </c>
      <c r="M240" s="255" t="s">
        <v>220</v>
      </c>
      <c r="N240" s="241">
        <f>'2.виды ремонта'!F217</f>
        <v>4106250</v>
      </c>
      <c r="O240" s="241">
        <v>0</v>
      </c>
      <c r="P240" s="241">
        <v>800000</v>
      </c>
      <c r="Q240" s="241">
        <v>0</v>
      </c>
      <c r="R240" s="164">
        <f>N240-O240-P240-Q240</f>
        <v>3306250</v>
      </c>
      <c r="S240" s="241">
        <f t="shared" si="34"/>
        <v>2053125</v>
      </c>
      <c r="T240" s="241">
        <v>2300000</v>
      </c>
      <c r="U240" s="165" t="s">
        <v>271</v>
      </c>
      <c r="W240" s="68"/>
      <c r="X240" s="310"/>
      <c r="Y240" s="63"/>
      <c r="Z240" s="69"/>
      <c r="AA240" s="309"/>
      <c r="AB240" s="70"/>
      <c r="AC240" s="70"/>
      <c r="AD240" s="65"/>
    </row>
    <row r="241" spans="1:30" s="71" customFormat="1" ht="49.5" customHeight="1">
      <c r="A241" s="1033"/>
      <c r="B241" s="1032"/>
      <c r="C241" s="1034"/>
      <c r="D241" s="1032"/>
      <c r="E241" s="1032"/>
      <c r="F241" s="1035"/>
      <c r="G241" s="1035"/>
      <c r="H241" s="1036"/>
      <c r="I241" s="1037"/>
      <c r="J241" s="1037"/>
      <c r="K241" s="1035"/>
      <c r="L241" s="240">
        <f>G240*711.5</f>
        <v>1423</v>
      </c>
      <c r="M241" s="255" t="s">
        <v>30</v>
      </c>
      <c r="N241" s="241">
        <f>'2.виды ремонта'!D217</f>
        <v>1773184</v>
      </c>
      <c r="O241" s="241">
        <v>0</v>
      </c>
      <c r="P241" s="241">
        <v>0</v>
      </c>
      <c r="Q241" s="241">
        <v>0</v>
      </c>
      <c r="R241" s="164">
        <f t="shared" si="31"/>
        <v>1773184</v>
      </c>
      <c r="S241" s="241">
        <f t="shared" si="34"/>
        <v>1246.0885453267745</v>
      </c>
      <c r="T241" s="241">
        <v>3014.16</v>
      </c>
      <c r="U241" s="165" t="s">
        <v>271</v>
      </c>
      <c r="W241" s="73"/>
      <c r="Y241" s="63"/>
      <c r="Z241" s="69"/>
      <c r="AA241" s="309"/>
      <c r="AB241" s="70"/>
      <c r="AC241" s="70"/>
      <c r="AD241" s="65"/>
    </row>
    <row r="242" spans="1:30" s="68" customFormat="1" ht="37.5" customHeight="1">
      <c r="A242" s="215">
        <v>17</v>
      </c>
      <c r="B242" s="217" t="s">
        <v>3863</v>
      </c>
      <c r="C242" s="216">
        <v>1989</v>
      </c>
      <c r="D242" s="217"/>
      <c r="E242" s="217" t="s">
        <v>222</v>
      </c>
      <c r="F242" s="240">
        <v>9</v>
      </c>
      <c r="G242" s="240">
        <v>2</v>
      </c>
      <c r="H242" s="241">
        <v>4501.7</v>
      </c>
      <c r="I242" s="242">
        <v>3886.2</v>
      </c>
      <c r="J242" s="242">
        <v>3495.8</v>
      </c>
      <c r="K242" s="240">
        <v>254</v>
      </c>
      <c r="L242" s="240">
        <f>'2.виды ремонта'!E218</f>
        <v>2</v>
      </c>
      <c r="M242" s="255" t="s">
        <v>220</v>
      </c>
      <c r="N242" s="241">
        <f>'2.виды ремонта'!C218</f>
        <v>4106250</v>
      </c>
      <c r="O242" s="241">
        <v>0</v>
      </c>
      <c r="P242" s="241">
        <v>800000</v>
      </c>
      <c r="Q242" s="241">
        <v>0</v>
      </c>
      <c r="R242" s="164">
        <f t="shared" ref="R242:R251" si="35">N242-O242-P242-Q242</f>
        <v>3306250</v>
      </c>
      <c r="S242" s="241">
        <f t="shared" ref="S242:S251" si="36">N242/L242</f>
        <v>2053125</v>
      </c>
      <c r="T242" s="241">
        <v>2300000</v>
      </c>
      <c r="U242" s="165" t="s">
        <v>271</v>
      </c>
      <c r="X242" s="310"/>
      <c r="Y242" s="63"/>
      <c r="Z242" s="66"/>
      <c r="AA242" s="309"/>
      <c r="AB242" s="67"/>
      <c r="AC242" s="67"/>
      <c r="AD242" s="64"/>
    </row>
    <row r="243" spans="1:30" s="68" customFormat="1" ht="37.5" customHeight="1">
      <c r="A243" s="215">
        <f t="shared" si="33"/>
        <v>18</v>
      </c>
      <c r="B243" s="217" t="s">
        <v>3864</v>
      </c>
      <c r="C243" s="216">
        <v>1988</v>
      </c>
      <c r="D243" s="217"/>
      <c r="E243" s="217" t="s">
        <v>222</v>
      </c>
      <c r="F243" s="240">
        <v>9</v>
      </c>
      <c r="G243" s="240">
        <v>2</v>
      </c>
      <c r="H243" s="241">
        <v>4058.6</v>
      </c>
      <c r="I243" s="242">
        <v>3668.6</v>
      </c>
      <c r="J243" s="242">
        <v>3593.5</v>
      </c>
      <c r="K243" s="240">
        <v>205</v>
      </c>
      <c r="L243" s="240">
        <f>'2.виды ремонта'!E219</f>
        <v>2</v>
      </c>
      <c r="M243" s="255" t="s">
        <v>220</v>
      </c>
      <c r="N243" s="241">
        <f>'2.виды ремонта'!C219</f>
        <v>4106250</v>
      </c>
      <c r="O243" s="241">
        <v>0</v>
      </c>
      <c r="P243" s="241">
        <v>800000</v>
      </c>
      <c r="Q243" s="241">
        <v>0</v>
      </c>
      <c r="R243" s="164">
        <f t="shared" si="35"/>
        <v>3306250</v>
      </c>
      <c r="S243" s="241">
        <f t="shared" si="36"/>
        <v>2053125</v>
      </c>
      <c r="T243" s="241">
        <v>2300000</v>
      </c>
      <c r="U243" s="165" t="s">
        <v>271</v>
      </c>
      <c r="X243" s="310"/>
      <c r="Y243" s="63"/>
      <c r="Z243" s="66"/>
      <c r="AA243" s="309"/>
      <c r="AB243" s="67"/>
      <c r="AC243" s="67"/>
      <c r="AD243" s="64"/>
    </row>
    <row r="244" spans="1:30" s="68" customFormat="1" ht="37.5" customHeight="1">
      <c r="A244" s="215">
        <f t="shared" si="33"/>
        <v>19</v>
      </c>
      <c r="B244" s="217" t="s">
        <v>3865</v>
      </c>
      <c r="C244" s="216">
        <v>1988</v>
      </c>
      <c r="D244" s="217"/>
      <c r="E244" s="217" t="s">
        <v>222</v>
      </c>
      <c r="F244" s="240">
        <v>9</v>
      </c>
      <c r="G244" s="240">
        <v>3</v>
      </c>
      <c r="H244" s="241">
        <v>6309</v>
      </c>
      <c r="I244" s="242">
        <v>5792.4</v>
      </c>
      <c r="J244" s="242">
        <v>5615.7</v>
      </c>
      <c r="K244" s="240">
        <v>289</v>
      </c>
      <c r="L244" s="240">
        <f>'2.виды ремонта'!E220</f>
        <v>3</v>
      </c>
      <c r="M244" s="255" t="s">
        <v>220</v>
      </c>
      <c r="N244" s="241">
        <f>'2.виды ремонта'!C220</f>
        <v>6127500</v>
      </c>
      <c r="O244" s="241">
        <v>0</v>
      </c>
      <c r="P244" s="241">
        <v>1200000</v>
      </c>
      <c r="Q244" s="241">
        <v>0</v>
      </c>
      <c r="R244" s="164">
        <f t="shared" si="35"/>
        <v>4927500</v>
      </c>
      <c r="S244" s="241">
        <f t="shared" si="36"/>
        <v>2042500</v>
      </c>
      <c r="T244" s="241">
        <v>2300000</v>
      </c>
      <c r="U244" s="165" t="s">
        <v>271</v>
      </c>
      <c r="X244" s="310"/>
      <c r="Y244" s="63"/>
      <c r="Z244" s="66"/>
      <c r="AA244" s="309"/>
      <c r="AB244" s="67"/>
      <c r="AC244" s="67"/>
      <c r="AD244" s="64"/>
    </row>
    <row r="245" spans="1:30" s="68" customFormat="1" ht="37.5" customHeight="1">
      <c r="A245" s="215">
        <f t="shared" si="33"/>
        <v>20</v>
      </c>
      <c r="B245" s="217" t="s">
        <v>3866</v>
      </c>
      <c r="C245" s="216">
        <v>1988</v>
      </c>
      <c r="D245" s="217"/>
      <c r="E245" s="217" t="s">
        <v>222</v>
      </c>
      <c r="F245" s="240">
        <v>9</v>
      </c>
      <c r="G245" s="240">
        <v>2</v>
      </c>
      <c r="H245" s="241">
        <v>4272</v>
      </c>
      <c r="I245" s="242">
        <v>3673</v>
      </c>
      <c r="J245" s="242">
        <v>3545.3</v>
      </c>
      <c r="K245" s="240">
        <v>197</v>
      </c>
      <c r="L245" s="240">
        <f>'2.виды ремонта'!E221</f>
        <v>2</v>
      </c>
      <c r="M245" s="255" t="s">
        <v>220</v>
      </c>
      <c r="N245" s="241">
        <f>'2.виды ремонта'!C221</f>
        <v>4106250</v>
      </c>
      <c r="O245" s="241">
        <v>0</v>
      </c>
      <c r="P245" s="241">
        <v>800000</v>
      </c>
      <c r="Q245" s="241">
        <v>0</v>
      </c>
      <c r="R245" s="164">
        <f t="shared" si="35"/>
        <v>3306250</v>
      </c>
      <c r="S245" s="241">
        <f t="shared" si="36"/>
        <v>2053125</v>
      </c>
      <c r="T245" s="241">
        <v>2300000</v>
      </c>
      <c r="U245" s="165" t="s">
        <v>271</v>
      </c>
      <c r="X245" s="310"/>
      <c r="Y245" s="63"/>
      <c r="Z245" s="66"/>
      <c r="AA245" s="309"/>
      <c r="AB245" s="67"/>
      <c r="AC245" s="67"/>
      <c r="AD245" s="64"/>
    </row>
    <row r="246" spans="1:30" s="68" customFormat="1" ht="37.5" customHeight="1">
      <c r="A246" s="215">
        <f t="shared" si="33"/>
        <v>21</v>
      </c>
      <c r="B246" s="217" t="s">
        <v>3461</v>
      </c>
      <c r="C246" s="216">
        <v>1988</v>
      </c>
      <c r="D246" s="217"/>
      <c r="E246" s="217" t="s">
        <v>222</v>
      </c>
      <c r="F246" s="240">
        <v>9</v>
      </c>
      <c r="G246" s="240">
        <v>3</v>
      </c>
      <c r="H246" s="241">
        <v>6583.7</v>
      </c>
      <c r="I246" s="242">
        <v>5729.7</v>
      </c>
      <c r="J246" s="242">
        <v>5511.1</v>
      </c>
      <c r="K246" s="240">
        <v>274</v>
      </c>
      <c r="L246" s="240">
        <f>'2.виды ремонта'!E222</f>
        <v>3</v>
      </c>
      <c r="M246" s="255" t="s">
        <v>220</v>
      </c>
      <c r="N246" s="241">
        <f>'2.виды ремонта'!C222</f>
        <v>6127500</v>
      </c>
      <c r="O246" s="241">
        <v>0</v>
      </c>
      <c r="P246" s="241">
        <v>1200000</v>
      </c>
      <c r="Q246" s="241">
        <v>0</v>
      </c>
      <c r="R246" s="164">
        <f t="shared" si="35"/>
        <v>4927500</v>
      </c>
      <c r="S246" s="241">
        <f t="shared" si="36"/>
        <v>2042500</v>
      </c>
      <c r="T246" s="241">
        <v>2300000</v>
      </c>
      <c r="U246" s="165" t="s">
        <v>271</v>
      </c>
      <c r="X246" s="310"/>
      <c r="Y246" s="63"/>
      <c r="Z246" s="66"/>
      <c r="AA246" s="309"/>
      <c r="AB246" s="67"/>
      <c r="AC246" s="67"/>
      <c r="AD246" s="64"/>
    </row>
    <row r="247" spans="1:30" s="68" customFormat="1" ht="37.5" customHeight="1">
      <c r="A247" s="215">
        <f t="shared" si="33"/>
        <v>22</v>
      </c>
      <c r="B247" s="217" t="s">
        <v>3867</v>
      </c>
      <c r="C247" s="216">
        <v>1988</v>
      </c>
      <c r="D247" s="217"/>
      <c r="E247" s="217" t="s">
        <v>222</v>
      </c>
      <c r="F247" s="240">
        <v>9</v>
      </c>
      <c r="G247" s="240">
        <v>2</v>
      </c>
      <c r="H247" s="241">
        <v>4831.3999999999996</v>
      </c>
      <c r="I247" s="242">
        <v>4180.3999999999996</v>
      </c>
      <c r="J247" s="242">
        <v>3974.6</v>
      </c>
      <c r="K247" s="240">
        <v>218</v>
      </c>
      <c r="L247" s="240">
        <f>'2.виды ремонта'!E223</f>
        <v>2</v>
      </c>
      <c r="M247" s="255" t="s">
        <v>220</v>
      </c>
      <c r="N247" s="241">
        <f>'2.виды ремонта'!C223</f>
        <v>4106250</v>
      </c>
      <c r="O247" s="241">
        <v>0</v>
      </c>
      <c r="P247" s="241">
        <v>800000</v>
      </c>
      <c r="Q247" s="241">
        <v>0</v>
      </c>
      <c r="R247" s="164">
        <f t="shared" si="35"/>
        <v>3306250</v>
      </c>
      <c r="S247" s="241">
        <f t="shared" si="36"/>
        <v>2053125</v>
      </c>
      <c r="T247" s="241">
        <v>2300000</v>
      </c>
      <c r="U247" s="165" t="s">
        <v>271</v>
      </c>
      <c r="X247" s="310"/>
      <c r="Y247" s="63"/>
      <c r="Z247" s="66"/>
      <c r="AA247" s="309"/>
      <c r="AB247" s="67"/>
      <c r="AC247" s="67"/>
      <c r="AD247" s="64"/>
    </row>
    <row r="248" spans="1:30" s="68" customFormat="1" ht="37.5" customHeight="1">
      <c r="A248" s="215">
        <f t="shared" si="33"/>
        <v>23</v>
      </c>
      <c r="B248" s="217" t="s">
        <v>3868</v>
      </c>
      <c r="C248" s="216">
        <v>1989</v>
      </c>
      <c r="D248" s="217"/>
      <c r="E248" s="217" t="s">
        <v>222</v>
      </c>
      <c r="F248" s="240">
        <v>9</v>
      </c>
      <c r="G248" s="240">
        <v>2</v>
      </c>
      <c r="H248" s="241">
        <v>5104.5</v>
      </c>
      <c r="I248" s="242">
        <v>4161.1000000000004</v>
      </c>
      <c r="J248" s="242">
        <v>3709.6</v>
      </c>
      <c r="K248" s="240">
        <v>218</v>
      </c>
      <c r="L248" s="240">
        <f>'2.виды ремонта'!E224</f>
        <v>2</v>
      </c>
      <c r="M248" s="255" t="s">
        <v>220</v>
      </c>
      <c r="N248" s="241">
        <f>'2.виды ремонта'!C224</f>
        <v>4106250</v>
      </c>
      <c r="O248" s="241">
        <v>0</v>
      </c>
      <c r="P248" s="241">
        <v>800000</v>
      </c>
      <c r="Q248" s="241">
        <v>0</v>
      </c>
      <c r="R248" s="164">
        <f t="shared" si="35"/>
        <v>3306250</v>
      </c>
      <c r="S248" s="241">
        <f t="shared" si="36"/>
        <v>2053125</v>
      </c>
      <c r="T248" s="241">
        <v>2300000</v>
      </c>
      <c r="U248" s="165" t="s">
        <v>271</v>
      </c>
      <c r="X248" s="310"/>
      <c r="Y248" s="63"/>
      <c r="Z248" s="66"/>
      <c r="AA248" s="309"/>
      <c r="AB248" s="67"/>
      <c r="AC248" s="67"/>
      <c r="AD248" s="64"/>
    </row>
    <row r="249" spans="1:30" s="68" customFormat="1" ht="37.5" customHeight="1">
      <c r="A249" s="215">
        <f t="shared" si="33"/>
        <v>24</v>
      </c>
      <c r="B249" s="217" t="s">
        <v>3869</v>
      </c>
      <c r="C249" s="216">
        <v>1988</v>
      </c>
      <c r="D249" s="217"/>
      <c r="E249" s="217" t="s">
        <v>222</v>
      </c>
      <c r="F249" s="240">
        <v>9</v>
      </c>
      <c r="G249" s="240">
        <v>3</v>
      </c>
      <c r="H249" s="241">
        <v>6842.7000000000007</v>
      </c>
      <c r="I249" s="242">
        <v>5848.1</v>
      </c>
      <c r="J249" s="242">
        <v>5545.3</v>
      </c>
      <c r="K249" s="240">
        <v>305</v>
      </c>
      <c r="L249" s="240">
        <f>'2.виды ремонта'!E225</f>
        <v>3</v>
      </c>
      <c r="M249" s="255" t="s">
        <v>220</v>
      </c>
      <c r="N249" s="241">
        <f>'2.виды ремонта'!C225</f>
        <v>6127500</v>
      </c>
      <c r="O249" s="241">
        <v>0</v>
      </c>
      <c r="P249" s="241">
        <v>1200000</v>
      </c>
      <c r="Q249" s="241">
        <v>0</v>
      </c>
      <c r="R249" s="164">
        <f t="shared" si="35"/>
        <v>4927500</v>
      </c>
      <c r="S249" s="241">
        <f t="shared" si="36"/>
        <v>2042500</v>
      </c>
      <c r="T249" s="241">
        <v>2300000</v>
      </c>
      <c r="U249" s="165" t="s">
        <v>271</v>
      </c>
      <c r="X249" s="310"/>
      <c r="Y249" s="63"/>
      <c r="Z249" s="66"/>
      <c r="AA249" s="309"/>
      <c r="AB249" s="67"/>
      <c r="AC249" s="67"/>
      <c r="AD249" s="64"/>
    </row>
    <row r="250" spans="1:30" s="68" customFormat="1" ht="37.5" customHeight="1">
      <c r="A250" s="215">
        <f t="shared" si="33"/>
        <v>25</v>
      </c>
      <c r="B250" s="217" t="s">
        <v>3870</v>
      </c>
      <c r="C250" s="216">
        <v>1985</v>
      </c>
      <c r="D250" s="217"/>
      <c r="E250" s="217" t="s">
        <v>222</v>
      </c>
      <c r="F250" s="240">
        <v>9</v>
      </c>
      <c r="G250" s="240">
        <v>1</v>
      </c>
      <c r="H250" s="241">
        <v>2304.7000000000003</v>
      </c>
      <c r="I250" s="242">
        <v>2004.9</v>
      </c>
      <c r="J250" s="242">
        <v>1855</v>
      </c>
      <c r="K250" s="240">
        <v>77</v>
      </c>
      <c r="L250" s="240">
        <f>'2.виды ремонта'!E226</f>
        <v>1</v>
      </c>
      <c r="M250" s="255" t="s">
        <v>220</v>
      </c>
      <c r="N250" s="241">
        <f>'2.виды ремонта'!C226</f>
        <v>2085000</v>
      </c>
      <c r="O250" s="241">
        <v>0</v>
      </c>
      <c r="P250" s="241">
        <v>400000</v>
      </c>
      <c r="Q250" s="241">
        <v>0</v>
      </c>
      <c r="R250" s="164">
        <f t="shared" si="35"/>
        <v>1685000</v>
      </c>
      <c r="S250" s="241">
        <f t="shared" si="36"/>
        <v>2085000</v>
      </c>
      <c r="T250" s="241">
        <v>2300000</v>
      </c>
      <c r="U250" s="165" t="s">
        <v>271</v>
      </c>
      <c r="X250" s="310"/>
      <c r="Y250" s="63"/>
      <c r="Z250" s="66"/>
      <c r="AA250" s="309"/>
      <c r="AB250" s="67"/>
      <c r="AC250" s="67"/>
      <c r="AD250" s="64"/>
    </row>
    <row r="251" spans="1:30" s="68" customFormat="1" ht="37.5" customHeight="1">
      <c r="A251" s="215">
        <f t="shared" si="33"/>
        <v>26</v>
      </c>
      <c r="B251" s="217" t="s">
        <v>3871</v>
      </c>
      <c r="C251" s="216">
        <v>1990</v>
      </c>
      <c r="D251" s="217"/>
      <c r="E251" s="217" t="s">
        <v>218</v>
      </c>
      <c r="F251" s="240">
        <v>9</v>
      </c>
      <c r="G251" s="240">
        <v>2</v>
      </c>
      <c r="H251" s="241">
        <v>3636.4</v>
      </c>
      <c r="I251" s="242">
        <v>2013.7</v>
      </c>
      <c r="J251" s="242">
        <v>1911</v>
      </c>
      <c r="K251" s="240">
        <v>213</v>
      </c>
      <c r="L251" s="240">
        <f>'2.виды ремонта'!E227</f>
        <v>2</v>
      </c>
      <c r="M251" s="255" t="s">
        <v>220</v>
      </c>
      <c r="N251" s="241">
        <f>'2.виды ремонта'!C227</f>
        <v>4106250</v>
      </c>
      <c r="O251" s="241">
        <v>0</v>
      </c>
      <c r="P251" s="241">
        <v>800000</v>
      </c>
      <c r="Q251" s="241">
        <v>0</v>
      </c>
      <c r="R251" s="164">
        <f t="shared" si="35"/>
        <v>3306250</v>
      </c>
      <c r="S251" s="241">
        <f t="shared" si="36"/>
        <v>2053125</v>
      </c>
      <c r="T251" s="241">
        <v>2300000</v>
      </c>
      <c r="U251" s="165" t="s">
        <v>271</v>
      </c>
      <c r="X251" s="310"/>
      <c r="Y251" s="63"/>
      <c r="Z251" s="66"/>
      <c r="AA251" s="309"/>
      <c r="AB251" s="67"/>
      <c r="AC251" s="67"/>
      <c r="AD251" s="64"/>
    </row>
    <row r="252" spans="1:30" s="68" customFormat="1" ht="37.5" customHeight="1">
      <c r="A252" s="163"/>
      <c r="B252" s="262" t="s">
        <v>3953</v>
      </c>
      <c r="C252" s="262" t="s">
        <v>28</v>
      </c>
      <c r="D252" s="262" t="s">
        <v>28</v>
      </c>
      <c r="E252" s="262" t="s">
        <v>28</v>
      </c>
      <c r="F252" s="241" t="s">
        <v>28</v>
      </c>
      <c r="G252" s="241" t="s">
        <v>28</v>
      </c>
      <c r="H252" s="241">
        <f>SUM(H224:H251)</f>
        <v>136246.79999999999</v>
      </c>
      <c r="I252" s="241">
        <f>SUM(I224:I251)</f>
        <v>119049.23</v>
      </c>
      <c r="J252" s="241">
        <f>SUM(J224:J251)</f>
        <v>110209.23000000003</v>
      </c>
      <c r="K252" s="241">
        <f>SUM(K224:K251)</f>
        <v>6118</v>
      </c>
      <c r="L252" s="241" t="s">
        <v>28</v>
      </c>
      <c r="M252" s="163" t="s">
        <v>28</v>
      </c>
      <c r="N252" s="241">
        <f>SUM(N224:N251)</f>
        <v>119699218</v>
      </c>
      <c r="O252" s="241">
        <f>SUM(O224:O251)</f>
        <v>0</v>
      </c>
      <c r="P252" s="241">
        <f>SUM(P224:P251)</f>
        <v>22800000</v>
      </c>
      <c r="Q252" s="241">
        <f>SUM(Q224:Q251)</f>
        <v>0</v>
      </c>
      <c r="R252" s="241">
        <f>SUM(R224:R251)</f>
        <v>96899218</v>
      </c>
      <c r="S252" s="241" t="s">
        <v>28</v>
      </c>
      <c r="T252" s="241" t="s">
        <v>28</v>
      </c>
      <c r="U252" s="241" t="s">
        <v>271</v>
      </c>
      <c r="W252" s="74"/>
      <c r="Y252" s="63"/>
      <c r="Z252" s="66"/>
      <c r="AA252" s="309"/>
      <c r="AB252" s="67"/>
      <c r="AC252" s="67"/>
      <c r="AD252" s="64"/>
    </row>
    <row r="253" spans="1:30" s="68" customFormat="1" ht="37.5" customHeight="1">
      <c r="A253" s="215">
        <v>27</v>
      </c>
      <c r="B253" s="217" t="s">
        <v>3062</v>
      </c>
      <c r="C253" s="216">
        <v>1960</v>
      </c>
      <c r="D253" s="217"/>
      <c r="E253" s="217" t="s">
        <v>222</v>
      </c>
      <c r="F253" s="240">
        <v>5</v>
      </c>
      <c r="G253" s="240">
        <v>4</v>
      </c>
      <c r="H253" s="241">
        <v>3309</v>
      </c>
      <c r="I253" s="242">
        <v>2574.4</v>
      </c>
      <c r="J253" s="242">
        <v>2574.4</v>
      </c>
      <c r="K253" s="240">
        <v>126</v>
      </c>
      <c r="L253" s="240">
        <f>'2.виды ремонта'!G228</f>
        <v>1327</v>
      </c>
      <c r="M253" s="255" t="s">
        <v>33</v>
      </c>
      <c r="N253" s="241">
        <f>'2.виды ремонта'!C228</f>
        <v>3784905</v>
      </c>
      <c r="O253" s="241">
        <v>0</v>
      </c>
      <c r="P253" s="241">
        <v>0</v>
      </c>
      <c r="Q253" s="241">
        <v>0</v>
      </c>
      <c r="R253" s="241">
        <f>N253</f>
        <v>3784905</v>
      </c>
      <c r="S253" s="164">
        <f t="shared" ref="S253:S258" si="37">N253/L253</f>
        <v>2852.2268274302937</v>
      </c>
      <c r="T253" s="241">
        <v>3564.43</v>
      </c>
      <c r="U253" s="165" t="s">
        <v>271</v>
      </c>
      <c r="W253" s="74"/>
      <c r="Y253" s="63"/>
      <c r="Z253" s="66"/>
      <c r="AA253" s="309"/>
      <c r="AB253" s="67"/>
      <c r="AC253" s="67"/>
      <c r="AD253" s="64"/>
    </row>
    <row r="254" spans="1:30" s="68" customFormat="1" ht="37.5" customHeight="1">
      <c r="A254" s="215">
        <f>A253+1</f>
        <v>28</v>
      </c>
      <c r="B254" s="217" t="s">
        <v>3063</v>
      </c>
      <c r="C254" s="216">
        <v>1990</v>
      </c>
      <c r="D254" s="217"/>
      <c r="E254" s="217" t="s">
        <v>222</v>
      </c>
      <c r="F254" s="240">
        <v>5</v>
      </c>
      <c r="G254" s="240">
        <v>7</v>
      </c>
      <c r="H254" s="241">
        <v>4824</v>
      </c>
      <c r="I254" s="242">
        <v>4065.6</v>
      </c>
      <c r="J254" s="242">
        <v>4065.6</v>
      </c>
      <c r="K254" s="240">
        <v>292</v>
      </c>
      <c r="L254" s="240">
        <f>'2.виды ремонта'!G229</f>
        <v>1800</v>
      </c>
      <c r="M254" s="255" t="s">
        <v>33</v>
      </c>
      <c r="N254" s="241">
        <f>'2.виды ремонта'!C229</f>
        <v>4348031</v>
      </c>
      <c r="O254" s="241">
        <v>0</v>
      </c>
      <c r="P254" s="241">
        <v>0</v>
      </c>
      <c r="Q254" s="241">
        <v>0</v>
      </c>
      <c r="R254" s="241">
        <f t="shared" ref="R254:R304" si="38">N254</f>
        <v>4348031</v>
      </c>
      <c r="S254" s="164">
        <f t="shared" si="37"/>
        <v>2415.5727777777779</v>
      </c>
      <c r="T254" s="241">
        <v>3564.43</v>
      </c>
      <c r="U254" s="165" t="s">
        <v>271</v>
      </c>
      <c r="W254" s="74"/>
      <c r="Y254" s="63"/>
      <c r="Z254" s="66"/>
      <c r="AA254" s="309"/>
      <c r="AB254" s="67"/>
      <c r="AC254" s="67"/>
      <c r="AD254" s="64"/>
    </row>
    <row r="255" spans="1:30" s="68" customFormat="1" ht="37.5" customHeight="1">
      <c r="A255" s="215">
        <f t="shared" ref="A255:A315" si="39">A254+1</f>
        <v>29</v>
      </c>
      <c r="B255" s="217" t="s">
        <v>3064</v>
      </c>
      <c r="C255" s="216">
        <v>1965</v>
      </c>
      <c r="D255" s="217"/>
      <c r="E255" s="217" t="s">
        <v>222</v>
      </c>
      <c r="F255" s="240">
        <v>5</v>
      </c>
      <c r="G255" s="240">
        <v>6</v>
      </c>
      <c r="H255" s="241">
        <v>5072</v>
      </c>
      <c r="I255" s="242">
        <v>4684</v>
      </c>
      <c r="J255" s="242">
        <v>4367.2</v>
      </c>
      <c r="K255" s="240">
        <v>291</v>
      </c>
      <c r="L255" s="240">
        <f>'2.виды ремонта'!G230</f>
        <v>1463</v>
      </c>
      <c r="M255" s="255" t="s">
        <v>33</v>
      </c>
      <c r="N255" s="241">
        <f>'2.виды ремонта'!C230</f>
        <v>3537728</v>
      </c>
      <c r="O255" s="241">
        <v>0</v>
      </c>
      <c r="P255" s="241">
        <v>0</v>
      </c>
      <c r="Q255" s="241">
        <v>0</v>
      </c>
      <c r="R255" s="241">
        <f t="shared" si="38"/>
        <v>3537728</v>
      </c>
      <c r="S255" s="164">
        <f t="shared" si="37"/>
        <v>2418.1326042378673</v>
      </c>
      <c r="T255" s="241">
        <v>3564.43</v>
      </c>
      <c r="U255" s="165" t="s">
        <v>271</v>
      </c>
      <c r="W255" s="74"/>
      <c r="Y255" s="63"/>
      <c r="Z255" s="66"/>
      <c r="AA255" s="309"/>
      <c r="AB255" s="67"/>
      <c r="AC255" s="67"/>
      <c r="AD255" s="64"/>
    </row>
    <row r="256" spans="1:30" s="68" customFormat="1" ht="37.5" customHeight="1">
      <c r="A256" s="215">
        <f t="shared" si="39"/>
        <v>30</v>
      </c>
      <c r="B256" s="217" t="s">
        <v>3065</v>
      </c>
      <c r="C256" s="216">
        <v>1964</v>
      </c>
      <c r="D256" s="217"/>
      <c r="E256" s="217" t="s">
        <v>222</v>
      </c>
      <c r="F256" s="240">
        <v>5</v>
      </c>
      <c r="G256" s="240">
        <v>4</v>
      </c>
      <c r="H256" s="241">
        <v>3369</v>
      </c>
      <c r="I256" s="242">
        <v>3114.4</v>
      </c>
      <c r="J256" s="242">
        <v>2987.8</v>
      </c>
      <c r="K256" s="240">
        <v>151</v>
      </c>
      <c r="L256" s="240">
        <f>'2.виды ремонта'!G231</f>
        <v>938</v>
      </c>
      <c r="M256" s="255" t="s">
        <v>33</v>
      </c>
      <c r="N256" s="241">
        <f>'2.виды ремонта'!C231</f>
        <v>2275385</v>
      </c>
      <c r="O256" s="241">
        <v>0</v>
      </c>
      <c r="P256" s="241">
        <v>0</v>
      </c>
      <c r="Q256" s="241">
        <v>0</v>
      </c>
      <c r="R256" s="241">
        <f t="shared" si="38"/>
        <v>2275385</v>
      </c>
      <c r="S256" s="164">
        <f t="shared" si="37"/>
        <v>2425.7835820895521</v>
      </c>
      <c r="T256" s="241">
        <v>3564.43</v>
      </c>
      <c r="U256" s="165" t="s">
        <v>271</v>
      </c>
      <c r="W256" s="74"/>
      <c r="Y256" s="63"/>
      <c r="Z256" s="66"/>
      <c r="AA256" s="309"/>
      <c r="AB256" s="67"/>
      <c r="AC256" s="67"/>
      <c r="AD256" s="64"/>
    </row>
    <row r="257" spans="1:30" s="68" customFormat="1" ht="37.5" customHeight="1">
      <c r="A257" s="215">
        <f t="shared" si="39"/>
        <v>31</v>
      </c>
      <c r="B257" s="217" t="s">
        <v>3066</v>
      </c>
      <c r="C257" s="216">
        <v>1965</v>
      </c>
      <c r="D257" s="217"/>
      <c r="E257" s="217" t="s">
        <v>222</v>
      </c>
      <c r="F257" s="240">
        <v>5</v>
      </c>
      <c r="G257" s="240">
        <v>6</v>
      </c>
      <c r="H257" s="241">
        <v>5122</v>
      </c>
      <c r="I257" s="242">
        <v>4725.5</v>
      </c>
      <c r="J257" s="242">
        <v>4070.6</v>
      </c>
      <c r="K257" s="240">
        <v>221</v>
      </c>
      <c r="L257" s="240">
        <f>'2.виды ремонта'!G232</f>
        <v>1442</v>
      </c>
      <c r="M257" s="255" t="s">
        <v>33</v>
      </c>
      <c r="N257" s="241">
        <f>'2.виды ремонта'!C232</f>
        <v>3487234</v>
      </c>
      <c r="O257" s="241">
        <v>0</v>
      </c>
      <c r="P257" s="241">
        <v>0</v>
      </c>
      <c r="Q257" s="241">
        <v>0</v>
      </c>
      <c r="R257" s="241">
        <f t="shared" si="38"/>
        <v>3487234</v>
      </c>
      <c r="S257" s="164">
        <f t="shared" si="37"/>
        <v>2418.3314840499306</v>
      </c>
      <c r="T257" s="241">
        <v>3564.43</v>
      </c>
      <c r="U257" s="165" t="s">
        <v>271</v>
      </c>
      <c r="W257" s="74"/>
      <c r="Y257" s="63"/>
      <c r="Z257" s="66"/>
      <c r="AA257" s="309"/>
      <c r="AB257" s="67"/>
      <c r="AC257" s="67"/>
      <c r="AD257" s="64"/>
    </row>
    <row r="258" spans="1:30" s="68" customFormat="1" ht="37.5" customHeight="1">
      <c r="A258" s="215">
        <f t="shared" si="39"/>
        <v>32</v>
      </c>
      <c r="B258" s="217" t="s">
        <v>3067</v>
      </c>
      <c r="C258" s="216">
        <v>1968</v>
      </c>
      <c r="D258" s="217"/>
      <c r="E258" s="217" t="s">
        <v>222</v>
      </c>
      <c r="F258" s="240">
        <v>5</v>
      </c>
      <c r="G258" s="240">
        <v>6</v>
      </c>
      <c r="H258" s="241">
        <v>4878</v>
      </c>
      <c r="I258" s="242">
        <v>4508.8999999999996</v>
      </c>
      <c r="J258" s="242">
        <v>4248.3</v>
      </c>
      <c r="K258" s="240">
        <v>228</v>
      </c>
      <c r="L258" s="256">
        <f>G258*322</f>
        <v>1932</v>
      </c>
      <c r="M258" s="255" t="s">
        <v>239</v>
      </c>
      <c r="N258" s="241">
        <f>'2.виды ремонта'!C233</f>
        <v>3363070</v>
      </c>
      <c r="O258" s="241">
        <v>0</v>
      </c>
      <c r="P258" s="241">
        <v>0</v>
      </c>
      <c r="Q258" s="241">
        <v>0</v>
      </c>
      <c r="R258" s="241">
        <f t="shared" si="38"/>
        <v>3363070</v>
      </c>
      <c r="S258" s="241">
        <f t="shared" si="37"/>
        <v>1740.7194616977226</v>
      </c>
      <c r="T258" s="241">
        <v>3014.16</v>
      </c>
      <c r="U258" s="165" t="s">
        <v>271</v>
      </c>
      <c r="W258" s="74"/>
      <c r="Y258" s="63"/>
      <c r="Z258" s="66"/>
      <c r="AA258" s="309"/>
      <c r="AB258" s="67"/>
      <c r="AC258" s="67"/>
      <c r="AD258" s="64"/>
    </row>
    <row r="259" spans="1:30" s="68" customFormat="1" ht="37.5" customHeight="1">
      <c r="A259" s="215">
        <f t="shared" si="39"/>
        <v>33</v>
      </c>
      <c r="B259" s="217" t="s">
        <v>3071</v>
      </c>
      <c r="C259" s="216">
        <v>1994</v>
      </c>
      <c r="D259" s="217"/>
      <c r="E259" s="217" t="s">
        <v>218</v>
      </c>
      <c r="F259" s="240">
        <v>9</v>
      </c>
      <c r="G259" s="240">
        <v>2</v>
      </c>
      <c r="H259" s="241">
        <v>4835</v>
      </c>
      <c r="I259" s="242">
        <v>4088.3</v>
      </c>
      <c r="J259" s="242">
        <v>3910.7</v>
      </c>
      <c r="K259" s="240">
        <v>230</v>
      </c>
      <c r="L259" s="240">
        <f>'2.виды ремонта'!G234</f>
        <v>638</v>
      </c>
      <c r="M259" s="255" t="s">
        <v>33</v>
      </c>
      <c r="N259" s="241">
        <f>'2.виды ремонта'!C234</f>
        <v>1554046</v>
      </c>
      <c r="O259" s="241">
        <v>0</v>
      </c>
      <c r="P259" s="241">
        <v>0</v>
      </c>
      <c r="Q259" s="241">
        <v>0</v>
      </c>
      <c r="R259" s="241">
        <f t="shared" si="38"/>
        <v>1554046</v>
      </c>
      <c r="S259" s="164">
        <f t="shared" ref="S259:S266" si="40">N259/L259</f>
        <v>2435.8087774294672</v>
      </c>
      <c r="T259" s="241">
        <v>3564.43</v>
      </c>
      <c r="U259" s="165" t="s">
        <v>271</v>
      </c>
      <c r="W259" s="74"/>
      <c r="Y259" s="63"/>
      <c r="Z259" s="66"/>
      <c r="AA259" s="309"/>
      <c r="AB259" s="67"/>
      <c r="AC259" s="67"/>
      <c r="AD259" s="64"/>
    </row>
    <row r="260" spans="1:30" s="68" customFormat="1" ht="37.5" customHeight="1">
      <c r="A260" s="215">
        <f t="shared" si="39"/>
        <v>34</v>
      </c>
      <c r="B260" s="217" t="s">
        <v>3072</v>
      </c>
      <c r="C260" s="216">
        <v>2004</v>
      </c>
      <c r="D260" s="217"/>
      <c r="E260" s="217" t="s">
        <v>222</v>
      </c>
      <c r="F260" s="240">
        <v>9</v>
      </c>
      <c r="G260" s="240">
        <v>4</v>
      </c>
      <c r="H260" s="241">
        <v>9430</v>
      </c>
      <c r="I260" s="242">
        <v>7268</v>
      </c>
      <c r="J260" s="242">
        <v>7268</v>
      </c>
      <c r="K260" s="240">
        <v>248</v>
      </c>
      <c r="L260" s="240">
        <f>'2.виды ремонта'!G235</f>
        <v>1129</v>
      </c>
      <c r="M260" s="255" t="s">
        <v>33</v>
      </c>
      <c r="N260" s="241">
        <f>'2.виды ремонта'!C235</f>
        <v>2734638</v>
      </c>
      <c r="O260" s="241">
        <v>0</v>
      </c>
      <c r="P260" s="241">
        <v>0</v>
      </c>
      <c r="Q260" s="241">
        <v>0</v>
      </c>
      <c r="R260" s="241">
        <f t="shared" si="38"/>
        <v>2734638</v>
      </c>
      <c r="S260" s="164">
        <f t="shared" si="40"/>
        <v>2422.1771479185118</v>
      </c>
      <c r="T260" s="241">
        <v>3564.43</v>
      </c>
      <c r="U260" s="165" t="s">
        <v>271</v>
      </c>
      <c r="W260" s="74"/>
      <c r="Y260" s="63"/>
      <c r="Z260" s="66"/>
      <c r="AA260" s="309"/>
      <c r="AB260" s="67"/>
      <c r="AC260" s="67"/>
      <c r="AD260" s="64"/>
    </row>
    <row r="261" spans="1:30" s="68" customFormat="1" ht="37.5" customHeight="1">
      <c r="A261" s="215">
        <f t="shared" si="39"/>
        <v>35</v>
      </c>
      <c r="B261" s="217" t="s">
        <v>3073</v>
      </c>
      <c r="C261" s="216">
        <v>1991</v>
      </c>
      <c r="D261" s="217"/>
      <c r="E261" s="217" t="s">
        <v>218</v>
      </c>
      <c r="F261" s="240">
        <v>9</v>
      </c>
      <c r="G261" s="240">
        <v>3</v>
      </c>
      <c r="H261" s="241">
        <v>6784</v>
      </c>
      <c r="I261" s="242">
        <v>5961</v>
      </c>
      <c r="J261" s="242">
        <v>5833</v>
      </c>
      <c r="K261" s="240">
        <v>342</v>
      </c>
      <c r="L261" s="240">
        <f>'2.виды ремонта'!G236</f>
        <v>956</v>
      </c>
      <c r="M261" s="255" t="s">
        <v>33</v>
      </c>
      <c r="N261" s="241">
        <f>'2.виды ремонта'!C236</f>
        <v>2318665</v>
      </c>
      <c r="O261" s="241">
        <v>0</v>
      </c>
      <c r="P261" s="241">
        <v>0</v>
      </c>
      <c r="Q261" s="241">
        <v>0</v>
      </c>
      <c r="R261" s="241">
        <f t="shared" si="38"/>
        <v>2318665</v>
      </c>
      <c r="S261" s="164">
        <f t="shared" si="40"/>
        <v>2425.3817991631799</v>
      </c>
      <c r="T261" s="241">
        <v>3564.43</v>
      </c>
      <c r="U261" s="165" t="s">
        <v>271</v>
      </c>
      <c r="W261" s="74"/>
      <c r="Y261" s="63"/>
      <c r="Z261" s="66"/>
      <c r="AA261" s="309"/>
      <c r="AB261" s="67"/>
      <c r="AC261" s="67"/>
      <c r="AD261" s="64"/>
    </row>
    <row r="262" spans="1:30" s="68" customFormat="1" ht="37.5" customHeight="1">
      <c r="A262" s="215">
        <f t="shared" si="39"/>
        <v>36</v>
      </c>
      <c r="B262" s="217" t="s">
        <v>3074</v>
      </c>
      <c r="C262" s="216">
        <v>1974</v>
      </c>
      <c r="D262" s="217"/>
      <c r="E262" s="217" t="s">
        <v>222</v>
      </c>
      <c r="F262" s="240">
        <v>5</v>
      </c>
      <c r="G262" s="240">
        <v>4</v>
      </c>
      <c r="H262" s="241">
        <v>3408</v>
      </c>
      <c r="I262" s="242">
        <v>3158.9</v>
      </c>
      <c r="J262" s="242">
        <v>2589.4</v>
      </c>
      <c r="K262" s="240">
        <v>130</v>
      </c>
      <c r="L262" s="240">
        <f>'2.виды ремонта'!G237</f>
        <v>918</v>
      </c>
      <c r="M262" s="255" t="s">
        <v>33</v>
      </c>
      <c r="N262" s="241">
        <f>'2.виды ремонта'!C237</f>
        <v>2227296</v>
      </c>
      <c r="O262" s="241">
        <v>0</v>
      </c>
      <c r="P262" s="241">
        <v>0</v>
      </c>
      <c r="Q262" s="241">
        <v>0</v>
      </c>
      <c r="R262" s="241">
        <f t="shared" si="38"/>
        <v>2227296</v>
      </c>
      <c r="S262" s="164">
        <f t="shared" si="40"/>
        <v>2426.248366013072</v>
      </c>
      <c r="T262" s="241">
        <v>3564.43</v>
      </c>
      <c r="U262" s="165" t="s">
        <v>271</v>
      </c>
      <c r="W262" s="74"/>
      <c r="Y262" s="63"/>
      <c r="Z262" s="66"/>
      <c r="AA262" s="309"/>
      <c r="AB262" s="67"/>
      <c r="AC262" s="67"/>
      <c r="AD262" s="64"/>
    </row>
    <row r="263" spans="1:30" s="68" customFormat="1" ht="37.5" customHeight="1">
      <c r="A263" s="215">
        <f t="shared" si="39"/>
        <v>37</v>
      </c>
      <c r="B263" s="217" t="s">
        <v>3075</v>
      </c>
      <c r="C263" s="216">
        <v>1975</v>
      </c>
      <c r="D263" s="217"/>
      <c r="E263" s="217" t="s">
        <v>222</v>
      </c>
      <c r="F263" s="240">
        <v>5</v>
      </c>
      <c r="G263" s="240">
        <v>4</v>
      </c>
      <c r="H263" s="241">
        <v>3626</v>
      </c>
      <c r="I263" s="242">
        <v>3354.3</v>
      </c>
      <c r="J263" s="242">
        <v>3241</v>
      </c>
      <c r="K263" s="240">
        <v>171</v>
      </c>
      <c r="L263" s="240">
        <f>'2.виды ремонта'!G238</f>
        <v>918</v>
      </c>
      <c r="M263" s="255" t="s">
        <v>33</v>
      </c>
      <c r="N263" s="241">
        <f>'2.виды ремонта'!C238</f>
        <v>2227296</v>
      </c>
      <c r="O263" s="241">
        <v>0</v>
      </c>
      <c r="P263" s="241">
        <v>0</v>
      </c>
      <c r="Q263" s="241">
        <v>0</v>
      </c>
      <c r="R263" s="241">
        <f t="shared" si="38"/>
        <v>2227296</v>
      </c>
      <c r="S263" s="164">
        <f t="shared" si="40"/>
        <v>2426.248366013072</v>
      </c>
      <c r="T263" s="241">
        <v>3564.43</v>
      </c>
      <c r="U263" s="165" t="s">
        <v>271</v>
      </c>
      <c r="W263" s="74"/>
      <c r="Y263" s="63"/>
      <c r="Z263" s="66"/>
      <c r="AA263" s="309"/>
      <c r="AB263" s="67"/>
      <c r="AC263" s="67"/>
      <c r="AD263" s="64"/>
    </row>
    <row r="264" spans="1:30" s="68" customFormat="1" ht="37.5" customHeight="1">
      <c r="A264" s="215">
        <f t="shared" si="39"/>
        <v>38</v>
      </c>
      <c r="B264" s="217" t="s">
        <v>3076</v>
      </c>
      <c r="C264" s="216">
        <v>1970</v>
      </c>
      <c r="D264" s="217"/>
      <c r="E264" s="217" t="s">
        <v>222</v>
      </c>
      <c r="F264" s="240">
        <v>5</v>
      </c>
      <c r="G264" s="240">
        <v>4</v>
      </c>
      <c r="H264" s="241">
        <v>3072</v>
      </c>
      <c r="I264" s="242">
        <v>2811.3</v>
      </c>
      <c r="J264" s="242">
        <v>2811.3</v>
      </c>
      <c r="K264" s="240">
        <v>140</v>
      </c>
      <c r="L264" s="240">
        <f>'2.виды ремонта'!G239</f>
        <v>845</v>
      </c>
      <c r="M264" s="255" t="s">
        <v>33</v>
      </c>
      <c r="N264" s="241">
        <f>'2.виды ремонта'!C239</f>
        <v>2051770</v>
      </c>
      <c r="O264" s="241">
        <v>0</v>
      </c>
      <c r="P264" s="241">
        <v>0</v>
      </c>
      <c r="Q264" s="241">
        <v>0</v>
      </c>
      <c r="R264" s="241">
        <f t="shared" si="38"/>
        <v>2051770</v>
      </c>
      <c r="S264" s="164">
        <f t="shared" si="40"/>
        <v>2428.1301775147931</v>
      </c>
      <c r="T264" s="241">
        <v>3564.43</v>
      </c>
      <c r="U264" s="165" t="s">
        <v>271</v>
      </c>
      <c r="W264" s="74"/>
      <c r="Y264" s="63"/>
      <c r="Z264" s="66"/>
      <c r="AA264" s="309"/>
      <c r="AB264" s="67"/>
      <c r="AC264" s="67"/>
      <c r="AD264" s="64"/>
    </row>
    <row r="265" spans="1:30" s="68" customFormat="1" ht="37.5" customHeight="1">
      <c r="A265" s="215">
        <f t="shared" si="39"/>
        <v>39</v>
      </c>
      <c r="B265" s="217" t="s">
        <v>3077</v>
      </c>
      <c r="C265" s="216">
        <v>1973</v>
      </c>
      <c r="D265" s="217"/>
      <c r="E265" s="217" t="s">
        <v>222</v>
      </c>
      <c r="F265" s="240">
        <v>5</v>
      </c>
      <c r="G265" s="240">
        <v>4</v>
      </c>
      <c r="H265" s="241">
        <v>3644</v>
      </c>
      <c r="I265" s="242">
        <v>3366.6</v>
      </c>
      <c r="J265" s="242">
        <v>3366.6</v>
      </c>
      <c r="K265" s="240">
        <v>175</v>
      </c>
      <c r="L265" s="240">
        <f>'2.виды ремонта'!G240</f>
        <v>994</v>
      </c>
      <c r="M265" s="255" t="s">
        <v>33</v>
      </c>
      <c r="N265" s="241">
        <f>'2.виды ремонта'!C240</f>
        <v>2410035</v>
      </c>
      <c r="O265" s="241">
        <v>0</v>
      </c>
      <c r="P265" s="241">
        <v>0</v>
      </c>
      <c r="Q265" s="241">
        <v>0</v>
      </c>
      <c r="R265" s="241">
        <f t="shared" si="38"/>
        <v>2410035</v>
      </c>
      <c r="S265" s="164">
        <f t="shared" si="40"/>
        <v>2424.582494969819</v>
      </c>
      <c r="T265" s="241">
        <v>3564.43</v>
      </c>
      <c r="U265" s="165" t="s">
        <v>271</v>
      </c>
      <c r="W265" s="74"/>
      <c r="Y265" s="63"/>
      <c r="Z265" s="66"/>
      <c r="AA265" s="309"/>
      <c r="AB265" s="67"/>
      <c r="AC265" s="67"/>
      <c r="AD265" s="64"/>
    </row>
    <row r="266" spans="1:30" s="68" customFormat="1" ht="37.5" customHeight="1">
      <c r="A266" s="215">
        <f t="shared" si="39"/>
        <v>40</v>
      </c>
      <c r="B266" s="217" t="s">
        <v>3078</v>
      </c>
      <c r="C266" s="216">
        <v>1957</v>
      </c>
      <c r="D266" s="217"/>
      <c r="E266" s="217" t="s">
        <v>222</v>
      </c>
      <c r="F266" s="240">
        <v>2</v>
      </c>
      <c r="G266" s="240">
        <v>2</v>
      </c>
      <c r="H266" s="241">
        <v>937</v>
      </c>
      <c r="I266" s="242">
        <v>667.8</v>
      </c>
      <c r="J266" s="242">
        <v>667.8</v>
      </c>
      <c r="K266" s="240">
        <v>45</v>
      </c>
      <c r="L266" s="240">
        <f>'2.виды ремонта'!G241</f>
        <v>741.2</v>
      </c>
      <c r="M266" s="255" t="s">
        <v>33</v>
      </c>
      <c r="N266" s="241">
        <f>'2.виды ремонта'!C241</f>
        <v>2125096</v>
      </c>
      <c r="O266" s="241">
        <v>0</v>
      </c>
      <c r="P266" s="241">
        <v>0</v>
      </c>
      <c r="Q266" s="241">
        <v>0</v>
      </c>
      <c r="R266" s="241">
        <f t="shared" si="38"/>
        <v>2125096</v>
      </c>
      <c r="S266" s="164">
        <f t="shared" si="40"/>
        <v>2867.1019967620073</v>
      </c>
      <c r="T266" s="241">
        <v>3564.43</v>
      </c>
      <c r="U266" s="165" t="s">
        <v>271</v>
      </c>
      <c r="W266" s="74"/>
      <c r="Y266" s="63"/>
      <c r="Z266" s="66"/>
      <c r="AA266" s="309"/>
      <c r="AB266" s="67"/>
      <c r="AC266" s="67"/>
      <c r="AD266" s="64"/>
    </row>
    <row r="267" spans="1:30" s="68" customFormat="1" ht="37.5" customHeight="1">
      <c r="A267" s="215">
        <f t="shared" si="39"/>
        <v>41</v>
      </c>
      <c r="B267" s="217" t="s">
        <v>3079</v>
      </c>
      <c r="C267" s="216">
        <v>1983</v>
      </c>
      <c r="D267" s="217"/>
      <c r="E267" s="217" t="s">
        <v>222</v>
      </c>
      <c r="F267" s="240">
        <v>5</v>
      </c>
      <c r="G267" s="240">
        <v>7</v>
      </c>
      <c r="H267" s="241">
        <v>4612</v>
      </c>
      <c r="I267" s="242">
        <v>3936.9</v>
      </c>
      <c r="J267" s="242">
        <v>3936.9</v>
      </c>
      <c r="K267" s="240">
        <v>251</v>
      </c>
      <c r="L267" s="240">
        <f>'2.виды ремонта'!G242</f>
        <v>1508</v>
      </c>
      <c r="M267" s="255" t="s">
        <v>33</v>
      </c>
      <c r="N267" s="241">
        <f>'2.виды ремонта'!C242</f>
        <v>3645928</v>
      </c>
      <c r="O267" s="241">
        <v>0</v>
      </c>
      <c r="P267" s="241">
        <v>0</v>
      </c>
      <c r="Q267" s="241">
        <v>0</v>
      </c>
      <c r="R267" s="241">
        <f t="shared" si="38"/>
        <v>3645928</v>
      </c>
      <c r="S267" s="164">
        <f>N267/L267</f>
        <v>2417.7241379310344</v>
      </c>
      <c r="T267" s="241">
        <v>3564.43</v>
      </c>
      <c r="U267" s="165" t="s">
        <v>271</v>
      </c>
      <c r="W267" s="74"/>
      <c r="Y267" s="63"/>
      <c r="Z267" s="66"/>
      <c r="AA267" s="309"/>
      <c r="AB267" s="67"/>
      <c r="AC267" s="67"/>
      <c r="AD267" s="64"/>
    </row>
    <row r="268" spans="1:30" s="68" customFormat="1" ht="37.5" customHeight="1">
      <c r="A268" s="215">
        <f t="shared" si="39"/>
        <v>42</v>
      </c>
      <c r="B268" s="217" t="s">
        <v>3080</v>
      </c>
      <c r="C268" s="216">
        <v>1990</v>
      </c>
      <c r="D268" s="217"/>
      <c r="E268" s="217" t="s">
        <v>222</v>
      </c>
      <c r="F268" s="240">
        <v>9</v>
      </c>
      <c r="G268" s="240">
        <v>2</v>
      </c>
      <c r="H268" s="241">
        <v>4273</v>
      </c>
      <c r="I268" s="242">
        <v>3680</v>
      </c>
      <c r="J268" s="242">
        <v>3452</v>
      </c>
      <c r="K268" s="240">
        <v>189</v>
      </c>
      <c r="L268" s="240">
        <f>G268*711.5</f>
        <v>1423</v>
      </c>
      <c r="M268" s="255" t="s">
        <v>30</v>
      </c>
      <c r="N268" s="241">
        <f>'2.виды ремонта'!C243</f>
        <v>2206480</v>
      </c>
      <c r="O268" s="241">
        <v>0</v>
      </c>
      <c r="P268" s="241">
        <v>0</v>
      </c>
      <c r="Q268" s="241">
        <v>0</v>
      </c>
      <c r="R268" s="241">
        <f t="shared" si="38"/>
        <v>2206480</v>
      </c>
      <c r="S268" s="241">
        <f>N268/L268</f>
        <v>1550.5832747716092</v>
      </c>
      <c r="T268" s="241">
        <v>3014.16</v>
      </c>
      <c r="U268" s="165" t="s">
        <v>271</v>
      </c>
      <c r="W268" s="74"/>
      <c r="Y268" s="63"/>
      <c r="Z268" s="66"/>
      <c r="AA268" s="309"/>
      <c r="AB268" s="67"/>
      <c r="AC268" s="67"/>
      <c r="AD268" s="64"/>
    </row>
    <row r="269" spans="1:30" s="68" customFormat="1" ht="37.5" customHeight="1">
      <c r="A269" s="215">
        <f t="shared" si="39"/>
        <v>43</v>
      </c>
      <c r="B269" s="217" t="s">
        <v>3085</v>
      </c>
      <c r="C269" s="216">
        <v>2000</v>
      </c>
      <c r="D269" s="217"/>
      <c r="E269" s="217" t="s">
        <v>222</v>
      </c>
      <c r="F269" s="240">
        <v>9</v>
      </c>
      <c r="G269" s="240">
        <v>2</v>
      </c>
      <c r="H269" s="241">
        <v>4533</v>
      </c>
      <c r="I269" s="242">
        <v>4025.1</v>
      </c>
      <c r="J269" s="242">
        <v>3665.4</v>
      </c>
      <c r="K269" s="240">
        <v>191</v>
      </c>
      <c r="L269" s="240">
        <f>'2.виды ремонта'!G244</f>
        <v>705</v>
      </c>
      <c r="M269" s="255" t="s">
        <v>33</v>
      </c>
      <c r="N269" s="241">
        <f>'2.виды ремонта'!C244</f>
        <v>1715145</v>
      </c>
      <c r="O269" s="241">
        <v>0</v>
      </c>
      <c r="P269" s="241">
        <v>0</v>
      </c>
      <c r="Q269" s="241">
        <v>0</v>
      </c>
      <c r="R269" s="241">
        <f t="shared" si="38"/>
        <v>1715145</v>
      </c>
      <c r="S269" s="164">
        <f t="shared" ref="S269:S278" si="41">N269/L269</f>
        <v>2432.8297872340427</v>
      </c>
      <c r="T269" s="241">
        <v>3564.43</v>
      </c>
      <c r="U269" s="165" t="s">
        <v>271</v>
      </c>
      <c r="W269" s="74"/>
      <c r="Y269" s="63"/>
      <c r="Z269" s="66"/>
      <c r="AA269" s="309"/>
      <c r="AB269" s="67"/>
      <c r="AC269" s="67"/>
      <c r="AD269" s="64"/>
    </row>
    <row r="270" spans="1:30" s="68" customFormat="1" ht="37.5" customHeight="1">
      <c r="A270" s="215">
        <f t="shared" si="39"/>
        <v>44</v>
      </c>
      <c r="B270" s="217" t="s">
        <v>3086</v>
      </c>
      <c r="C270" s="216">
        <v>2001</v>
      </c>
      <c r="D270" s="217"/>
      <c r="E270" s="217" t="s">
        <v>222</v>
      </c>
      <c r="F270" s="240">
        <v>9</v>
      </c>
      <c r="G270" s="240">
        <v>2</v>
      </c>
      <c r="H270" s="241">
        <v>4312</v>
      </c>
      <c r="I270" s="242">
        <v>3835.9</v>
      </c>
      <c r="J270" s="242">
        <v>3658.9</v>
      </c>
      <c r="K270" s="240">
        <v>198</v>
      </c>
      <c r="L270" s="240">
        <f>'2.виды ремонта'!G245</f>
        <v>703</v>
      </c>
      <c r="M270" s="255" t="s">
        <v>33</v>
      </c>
      <c r="N270" s="241">
        <f>'2.виды ремонта'!C245</f>
        <v>1710337</v>
      </c>
      <c r="O270" s="241">
        <v>0</v>
      </c>
      <c r="P270" s="241">
        <v>0</v>
      </c>
      <c r="Q270" s="241">
        <v>0</v>
      </c>
      <c r="R270" s="241">
        <f t="shared" si="38"/>
        <v>1710337</v>
      </c>
      <c r="S270" s="164">
        <f t="shared" si="41"/>
        <v>2432.9118065433854</v>
      </c>
      <c r="T270" s="241">
        <v>3564.43</v>
      </c>
      <c r="U270" s="165" t="s">
        <v>271</v>
      </c>
      <c r="W270" s="74"/>
      <c r="Y270" s="63"/>
      <c r="Z270" s="66"/>
      <c r="AA270" s="309"/>
      <c r="AB270" s="67"/>
      <c r="AC270" s="67"/>
      <c r="AD270" s="64"/>
    </row>
    <row r="271" spans="1:30" s="68" customFormat="1" ht="37.5" customHeight="1">
      <c r="A271" s="215">
        <f t="shared" si="39"/>
        <v>45</v>
      </c>
      <c r="B271" s="217" t="s">
        <v>3087</v>
      </c>
      <c r="C271" s="216">
        <v>1963</v>
      </c>
      <c r="D271" s="217"/>
      <c r="E271" s="217" t="s">
        <v>222</v>
      </c>
      <c r="F271" s="240">
        <v>5</v>
      </c>
      <c r="G271" s="240">
        <v>4</v>
      </c>
      <c r="H271" s="241">
        <v>4017</v>
      </c>
      <c r="I271" s="242">
        <v>3004.5</v>
      </c>
      <c r="J271" s="242">
        <v>3004.5</v>
      </c>
      <c r="K271" s="240">
        <v>165</v>
      </c>
      <c r="L271" s="240">
        <f>'2.виды ремонта'!G246</f>
        <v>1325</v>
      </c>
      <c r="M271" s="255" t="s">
        <v>33</v>
      </c>
      <c r="N271" s="241">
        <f>'2.виды ремонта'!C246</f>
        <v>3775148</v>
      </c>
      <c r="O271" s="241">
        <v>0</v>
      </c>
      <c r="P271" s="241">
        <v>0</v>
      </c>
      <c r="Q271" s="241">
        <v>0</v>
      </c>
      <c r="R271" s="241">
        <f t="shared" si="38"/>
        <v>3775148</v>
      </c>
      <c r="S271" s="164">
        <f t="shared" si="41"/>
        <v>2849.1683018867925</v>
      </c>
      <c r="T271" s="241">
        <v>3564.43</v>
      </c>
      <c r="U271" s="165" t="s">
        <v>271</v>
      </c>
      <c r="W271" s="74"/>
      <c r="Y271" s="63"/>
      <c r="Z271" s="66"/>
      <c r="AA271" s="309"/>
      <c r="AB271" s="67"/>
      <c r="AC271" s="67"/>
      <c r="AD271" s="64"/>
    </row>
    <row r="272" spans="1:30" s="68" customFormat="1" ht="37.5" customHeight="1">
      <c r="A272" s="215">
        <f t="shared" si="39"/>
        <v>46</v>
      </c>
      <c r="B272" s="217" t="s">
        <v>3088</v>
      </c>
      <c r="C272" s="216">
        <v>1960</v>
      </c>
      <c r="D272" s="217"/>
      <c r="E272" s="217" t="s">
        <v>222</v>
      </c>
      <c r="F272" s="240">
        <v>3</v>
      </c>
      <c r="G272" s="240">
        <v>3</v>
      </c>
      <c r="H272" s="241">
        <v>1804</v>
      </c>
      <c r="I272" s="242">
        <v>1241.8</v>
      </c>
      <c r="J272" s="242">
        <v>1241.8</v>
      </c>
      <c r="K272" s="240">
        <v>87</v>
      </c>
      <c r="L272" s="240">
        <f>'2.виды ремонта'!G247</f>
        <v>890</v>
      </c>
      <c r="M272" s="255" t="s">
        <v>33</v>
      </c>
      <c r="N272" s="241">
        <f>'2.виды ремонта'!C247</f>
        <v>2541766</v>
      </c>
      <c r="O272" s="241">
        <v>0</v>
      </c>
      <c r="P272" s="241">
        <v>0</v>
      </c>
      <c r="Q272" s="241">
        <v>0</v>
      </c>
      <c r="R272" s="241">
        <f t="shared" si="38"/>
        <v>2541766</v>
      </c>
      <c r="S272" s="164">
        <f t="shared" si="41"/>
        <v>2855.9168539325842</v>
      </c>
      <c r="T272" s="241">
        <v>3564.43</v>
      </c>
      <c r="U272" s="165" t="s">
        <v>271</v>
      </c>
      <c r="W272" s="74"/>
      <c r="Y272" s="63"/>
      <c r="Z272" s="66"/>
      <c r="AA272" s="309"/>
      <c r="AB272" s="67"/>
      <c r="AC272" s="67"/>
      <c r="AD272" s="64"/>
    </row>
    <row r="273" spans="1:30" s="68" customFormat="1" ht="37.5" customHeight="1">
      <c r="A273" s="215">
        <f t="shared" si="39"/>
        <v>47</v>
      </c>
      <c r="B273" s="217" t="s">
        <v>3089</v>
      </c>
      <c r="C273" s="216">
        <v>1995</v>
      </c>
      <c r="D273" s="217"/>
      <c r="E273" s="217" t="s">
        <v>222</v>
      </c>
      <c r="F273" s="240">
        <v>5</v>
      </c>
      <c r="G273" s="240">
        <v>5</v>
      </c>
      <c r="H273" s="241">
        <v>3475</v>
      </c>
      <c r="I273" s="242">
        <v>3475</v>
      </c>
      <c r="J273" s="242">
        <v>3145.5</v>
      </c>
      <c r="K273" s="240">
        <v>193</v>
      </c>
      <c r="L273" s="240">
        <f>'2.виды ремонта'!G248</f>
        <v>1312</v>
      </c>
      <c r="M273" s="255" t="s">
        <v>33</v>
      </c>
      <c r="N273" s="241">
        <f>'2.виды ремонта'!C248</f>
        <v>3174654</v>
      </c>
      <c r="O273" s="241">
        <v>0</v>
      </c>
      <c r="P273" s="241">
        <v>0</v>
      </c>
      <c r="Q273" s="241">
        <v>0</v>
      </c>
      <c r="R273" s="241">
        <f t="shared" si="38"/>
        <v>3174654</v>
      </c>
      <c r="S273" s="164">
        <f t="shared" si="41"/>
        <v>2419.705792682927</v>
      </c>
      <c r="T273" s="241">
        <v>3564.43</v>
      </c>
      <c r="U273" s="165" t="s">
        <v>271</v>
      </c>
      <c r="W273" s="74"/>
      <c r="Y273" s="63"/>
      <c r="Z273" s="66"/>
      <c r="AA273" s="309"/>
      <c r="AB273" s="67"/>
      <c r="AC273" s="67"/>
      <c r="AD273" s="64"/>
    </row>
    <row r="274" spans="1:30" s="68" customFormat="1" ht="37.5" customHeight="1">
      <c r="A274" s="215">
        <f t="shared" si="39"/>
        <v>48</v>
      </c>
      <c r="B274" s="217" t="s">
        <v>3090</v>
      </c>
      <c r="C274" s="216">
        <v>1963</v>
      </c>
      <c r="D274" s="217"/>
      <c r="E274" s="217" t="s">
        <v>222</v>
      </c>
      <c r="F274" s="240">
        <v>5</v>
      </c>
      <c r="G274" s="240">
        <v>4</v>
      </c>
      <c r="H274" s="241">
        <v>3015</v>
      </c>
      <c r="I274" s="242">
        <v>2858.4</v>
      </c>
      <c r="J274" s="242">
        <v>2858.4</v>
      </c>
      <c r="K274" s="240">
        <v>158</v>
      </c>
      <c r="L274" s="240">
        <f>'2.виды ремонта'!G249</f>
        <v>1325</v>
      </c>
      <c r="M274" s="255" t="s">
        <v>33</v>
      </c>
      <c r="N274" s="241">
        <f>'2.виды ремонта'!C249</f>
        <v>3775167</v>
      </c>
      <c r="O274" s="241">
        <v>0</v>
      </c>
      <c r="P274" s="241">
        <v>0</v>
      </c>
      <c r="Q274" s="241">
        <v>0</v>
      </c>
      <c r="R274" s="241">
        <f t="shared" si="38"/>
        <v>3775167</v>
      </c>
      <c r="S274" s="164">
        <f t="shared" si="41"/>
        <v>2849.1826415094338</v>
      </c>
      <c r="T274" s="241">
        <v>3564.43</v>
      </c>
      <c r="U274" s="165" t="s">
        <v>271</v>
      </c>
      <c r="W274" s="74"/>
      <c r="Y274" s="63"/>
      <c r="Z274" s="66"/>
      <c r="AA274" s="309"/>
      <c r="AB274" s="67"/>
      <c r="AC274" s="67"/>
      <c r="AD274" s="64"/>
    </row>
    <row r="275" spans="1:30" s="68" customFormat="1" ht="37.5" customHeight="1">
      <c r="A275" s="215">
        <f t="shared" si="39"/>
        <v>49</v>
      </c>
      <c r="B275" s="217" t="s">
        <v>3091</v>
      </c>
      <c r="C275" s="216">
        <v>1963</v>
      </c>
      <c r="D275" s="217"/>
      <c r="E275" s="217" t="s">
        <v>222</v>
      </c>
      <c r="F275" s="240">
        <v>5</v>
      </c>
      <c r="G275" s="240">
        <v>8</v>
      </c>
      <c r="H275" s="241">
        <v>6223</v>
      </c>
      <c r="I275" s="242">
        <v>6223</v>
      </c>
      <c r="J275" s="242">
        <v>5753.2</v>
      </c>
      <c r="K275" s="240">
        <v>347</v>
      </c>
      <c r="L275" s="240">
        <f>'2.виды ремонта'!G250</f>
        <v>2100</v>
      </c>
      <c r="M275" s="255" t="s">
        <v>33</v>
      </c>
      <c r="N275" s="241">
        <f>'2.виды ремонта'!C250</f>
        <v>5069370</v>
      </c>
      <c r="O275" s="241">
        <v>0</v>
      </c>
      <c r="P275" s="241">
        <v>0</v>
      </c>
      <c r="Q275" s="241">
        <v>0</v>
      </c>
      <c r="R275" s="241">
        <f t="shared" si="38"/>
        <v>5069370</v>
      </c>
      <c r="S275" s="164">
        <f t="shared" si="41"/>
        <v>2413.9857142857145</v>
      </c>
      <c r="T275" s="241">
        <v>3564.43</v>
      </c>
      <c r="U275" s="165" t="s">
        <v>271</v>
      </c>
      <c r="W275" s="74"/>
      <c r="Y275" s="63"/>
      <c r="Z275" s="66"/>
      <c r="AA275" s="309"/>
      <c r="AB275" s="67"/>
      <c r="AC275" s="67"/>
      <c r="AD275" s="64"/>
    </row>
    <row r="276" spans="1:30" s="68" customFormat="1" ht="37.5" customHeight="1">
      <c r="A276" s="215">
        <f t="shared" si="39"/>
        <v>50</v>
      </c>
      <c r="B276" s="217" t="s">
        <v>3092</v>
      </c>
      <c r="C276" s="216">
        <v>1989</v>
      </c>
      <c r="D276" s="217"/>
      <c r="E276" s="217" t="s">
        <v>222</v>
      </c>
      <c r="F276" s="240">
        <v>5</v>
      </c>
      <c r="G276" s="240">
        <v>1</v>
      </c>
      <c r="H276" s="241">
        <v>996</v>
      </c>
      <c r="I276" s="242">
        <v>906</v>
      </c>
      <c r="J276" s="242">
        <v>906</v>
      </c>
      <c r="K276" s="240">
        <v>54</v>
      </c>
      <c r="L276" s="166">
        <f>G276*322</f>
        <v>322</v>
      </c>
      <c r="M276" s="255" t="s">
        <v>30</v>
      </c>
      <c r="N276" s="241">
        <f>'2.виды ремонта'!C251</f>
        <v>623458</v>
      </c>
      <c r="O276" s="241">
        <v>0</v>
      </c>
      <c r="P276" s="241">
        <v>0</v>
      </c>
      <c r="Q276" s="241">
        <v>0</v>
      </c>
      <c r="R276" s="241">
        <f t="shared" si="38"/>
        <v>623458</v>
      </c>
      <c r="S276" s="241">
        <f t="shared" si="41"/>
        <v>1936.2049689440994</v>
      </c>
      <c r="T276" s="241">
        <v>3014.16</v>
      </c>
      <c r="U276" s="165" t="s">
        <v>271</v>
      </c>
      <c r="W276" s="74"/>
      <c r="Y276" s="63"/>
      <c r="Z276" s="66"/>
      <c r="AA276" s="309"/>
      <c r="AB276" s="67"/>
      <c r="AC276" s="67"/>
      <c r="AD276" s="64"/>
    </row>
    <row r="277" spans="1:30" s="68" customFormat="1" ht="37.5" customHeight="1">
      <c r="A277" s="215">
        <f t="shared" si="39"/>
        <v>51</v>
      </c>
      <c r="B277" s="217" t="s">
        <v>3093</v>
      </c>
      <c r="C277" s="216">
        <v>1988</v>
      </c>
      <c r="D277" s="217"/>
      <c r="E277" s="217" t="s">
        <v>222</v>
      </c>
      <c r="F277" s="240">
        <v>5.0999999999999996</v>
      </c>
      <c r="G277" s="240">
        <v>1</v>
      </c>
      <c r="H277" s="241">
        <v>999</v>
      </c>
      <c r="I277" s="242">
        <v>995.4</v>
      </c>
      <c r="J277" s="242">
        <v>995.4</v>
      </c>
      <c r="K277" s="240">
        <v>63</v>
      </c>
      <c r="L277" s="166">
        <f>G277*322</f>
        <v>322</v>
      </c>
      <c r="M277" s="255" t="s">
        <v>30</v>
      </c>
      <c r="N277" s="241">
        <f>'2.виды ремонта'!C252</f>
        <v>623458</v>
      </c>
      <c r="O277" s="241">
        <v>0</v>
      </c>
      <c r="P277" s="241">
        <v>0</v>
      </c>
      <c r="Q277" s="241">
        <v>0</v>
      </c>
      <c r="R277" s="241">
        <f t="shared" si="38"/>
        <v>623458</v>
      </c>
      <c r="S277" s="241">
        <f t="shared" si="41"/>
        <v>1936.2049689440994</v>
      </c>
      <c r="T277" s="241">
        <v>3014.16</v>
      </c>
      <c r="U277" s="165" t="s">
        <v>271</v>
      </c>
      <c r="W277" s="74"/>
      <c r="Y277" s="63"/>
      <c r="Z277" s="66"/>
      <c r="AA277" s="309"/>
      <c r="AB277" s="67"/>
      <c r="AC277" s="67"/>
      <c r="AD277" s="64"/>
    </row>
    <row r="278" spans="1:30" s="68" customFormat="1" ht="37.5" customHeight="1">
      <c r="A278" s="215">
        <f t="shared" si="39"/>
        <v>52</v>
      </c>
      <c r="B278" s="217" t="s">
        <v>3094</v>
      </c>
      <c r="C278" s="216">
        <v>1989</v>
      </c>
      <c r="D278" s="217"/>
      <c r="E278" s="217" t="s">
        <v>222</v>
      </c>
      <c r="F278" s="240">
        <v>5</v>
      </c>
      <c r="G278" s="240">
        <v>1</v>
      </c>
      <c r="H278" s="241">
        <v>994</v>
      </c>
      <c r="I278" s="242">
        <v>990.9</v>
      </c>
      <c r="J278" s="242">
        <v>990.9</v>
      </c>
      <c r="K278" s="240">
        <v>63</v>
      </c>
      <c r="L278" s="166">
        <f>G278*322</f>
        <v>322</v>
      </c>
      <c r="M278" s="255" t="s">
        <v>30</v>
      </c>
      <c r="N278" s="241">
        <f>'2.виды ремонта'!C253</f>
        <v>623458</v>
      </c>
      <c r="O278" s="241">
        <v>0</v>
      </c>
      <c r="P278" s="241">
        <v>0</v>
      </c>
      <c r="Q278" s="241">
        <v>0</v>
      </c>
      <c r="R278" s="241">
        <f t="shared" si="38"/>
        <v>623458</v>
      </c>
      <c r="S278" s="241">
        <f t="shared" si="41"/>
        <v>1936.2049689440994</v>
      </c>
      <c r="T278" s="241">
        <v>3014.16</v>
      </c>
      <c r="U278" s="165" t="s">
        <v>271</v>
      </c>
      <c r="W278" s="74"/>
      <c r="Y278" s="63"/>
      <c r="Z278" s="66"/>
      <c r="AA278" s="309"/>
      <c r="AB278" s="67"/>
      <c r="AC278" s="67"/>
      <c r="AD278" s="64"/>
    </row>
    <row r="279" spans="1:30" s="68" customFormat="1" ht="37.5" customHeight="1">
      <c r="A279" s="215">
        <f t="shared" si="39"/>
        <v>53</v>
      </c>
      <c r="B279" s="217" t="s">
        <v>3095</v>
      </c>
      <c r="C279" s="216">
        <v>1964</v>
      </c>
      <c r="D279" s="217"/>
      <c r="E279" s="217" t="s">
        <v>222</v>
      </c>
      <c r="F279" s="240">
        <v>5</v>
      </c>
      <c r="G279" s="240">
        <v>4</v>
      </c>
      <c r="H279" s="241">
        <v>3935</v>
      </c>
      <c r="I279" s="242">
        <v>3147.8</v>
      </c>
      <c r="J279" s="242">
        <v>3147.8</v>
      </c>
      <c r="K279" s="240">
        <v>190</v>
      </c>
      <c r="L279" s="240">
        <f>'2.виды ремонта'!G254</f>
        <v>953</v>
      </c>
      <c r="M279" s="255" t="s">
        <v>33</v>
      </c>
      <c r="N279" s="241">
        <f>'2.виды ремонта'!C254</f>
        <v>2311452</v>
      </c>
      <c r="O279" s="241">
        <v>0</v>
      </c>
      <c r="P279" s="241">
        <v>0</v>
      </c>
      <c r="Q279" s="241">
        <v>0</v>
      </c>
      <c r="R279" s="241">
        <f t="shared" si="38"/>
        <v>2311452</v>
      </c>
      <c r="S279" s="164">
        <f>N279/L279</f>
        <v>2425.448058761805</v>
      </c>
      <c r="T279" s="241">
        <v>3564.43</v>
      </c>
      <c r="U279" s="165" t="s">
        <v>271</v>
      </c>
      <c r="W279" s="74"/>
      <c r="Y279" s="63"/>
      <c r="Z279" s="66"/>
      <c r="AA279" s="309"/>
      <c r="AB279" s="67"/>
      <c r="AC279" s="67"/>
      <c r="AD279" s="64"/>
    </row>
    <row r="280" spans="1:30" s="68" customFormat="1" ht="37.5" customHeight="1">
      <c r="A280" s="215">
        <f t="shared" si="39"/>
        <v>54</v>
      </c>
      <c r="B280" s="217" t="s">
        <v>3096</v>
      </c>
      <c r="C280" s="216">
        <v>1965</v>
      </c>
      <c r="D280" s="217"/>
      <c r="E280" s="217" t="s">
        <v>222</v>
      </c>
      <c r="F280" s="240">
        <v>5</v>
      </c>
      <c r="G280" s="240">
        <v>6</v>
      </c>
      <c r="H280" s="241">
        <v>4792</v>
      </c>
      <c r="I280" s="242">
        <v>4379.5</v>
      </c>
      <c r="J280" s="242">
        <v>4379.5</v>
      </c>
      <c r="K280" s="240">
        <v>270</v>
      </c>
      <c r="L280" s="240">
        <f>'2.виды ремонта'!G255</f>
        <v>1317.9</v>
      </c>
      <c r="M280" s="255" t="s">
        <v>33</v>
      </c>
      <c r="N280" s="241">
        <f>'2.виды ремонта'!C255</f>
        <v>3188840</v>
      </c>
      <c r="O280" s="241">
        <v>0</v>
      </c>
      <c r="P280" s="241">
        <v>0</v>
      </c>
      <c r="Q280" s="241">
        <v>0</v>
      </c>
      <c r="R280" s="241">
        <f t="shared" si="38"/>
        <v>3188840</v>
      </c>
      <c r="S280" s="164">
        <f t="shared" ref="S280:S288" si="42">N280/L280</f>
        <v>2419.6373017679639</v>
      </c>
      <c r="T280" s="241">
        <v>3564.43</v>
      </c>
      <c r="U280" s="165" t="s">
        <v>271</v>
      </c>
      <c r="W280" s="74"/>
      <c r="Y280" s="63"/>
      <c r="Z280" s="66"/>
      <c r="AA280" s="309"/>
      <c r="AB280" s="67"/>
      <c r="AC280" s="67"/>
      <c r="AD280" s="64"/>
    </row>
    <row r="281" spans="1:30" s="68" customFormat="1" ht="37.5" customHeight="1">
      <c r="A281" s="215">
        <f t="shared" si="39"/>
        <v>55</v>
      </c>
      <c r="B281" s="217" t="s">
        <v>3097</v>
      </c>
      <c r="C281" s="216">
        <v>1965</v>
      </c>
      <c r="D281" s="217"/>
      <c r="E281" s="217" t="s">
        <v>222</v>
      </c>
      <c r="F281" s="240">
        <v>5</v>
      </c>
      <c r="G281" s="240">
        <v>6</v>
      </c>
      <c r="H281" s="241">
        <v>4748</v>
      </c>
      <c r="I281" s="242">
        <v>4706.8</v>
      </c>
      <c r="J281" s="242">
        <v>4642</v>
      </c>
      <c r="K281" s="240">
        <v>235</v>
      </c>
      <c r="L281" s="240">
        <f>'2.виды ремонта'!G256</f>
        <v>1318.4</v>
      </c>
      <c r="M281" s="255" t="s">
        <v>33</v>
      </c>
      <c r="N281" s="241">
        <f>'2.виды ремонта'!C256</f>
        <v>3190043</v>
      </c>
      <c r="O281" s="241">
        <v>0</v>
      </c>
      <c r="P281" s="241">
        <v>0</v>
      </c>
      <c r="Q281" s="241">
        <v>0</v>
      </c>
      <c r="R281" s="241">
        <f t="shared" si="38"/>
        <v>3190043</v>
      </c>
      <c r="S281" s="164">
        <f t="shared" si="42"/>
        <v>2419.6321298543689</v>
      </c>
      <c r="T281" s="241">
        <v>3564.43</v>
      </c>
      <c r="U281" s="165" t="s">
        <v>271</v>
      </c>
      <c r="W281" s="74"/>
      <c r="Y281" s="63"/>
      <c r="Z281" s="66"/>
      <c r="AA281" s="309"/>
      <c r="AB281" s="67"/>
      <c r="AC281" s="67"/>
      <c r="AD281" s="64"/>
    </row>
    <row r="282" spans="1:30" s="68" customFormat="1" ht="37.5" customHeight="1">
      <c r="A282" s="215">
        <f t="shared" si="39"/>
        <v>56</v>
      </c>
      <c r="B282" s="217" t="s">
        <v>3098</v>
      </c>
      <c r="C282" s="216">
        <v>1970</v>
      </c>
      <c r="D282" s="217"/>
      <c r="E282" s="217" t="s">
        <v>222</v>
      </c>
      <c r="F282" s="240">
        <v>5</v>
      </c>
      <c r="G282" s="240">
        <v>3</v>
      </c>
      <c r="H282" s="241">
        <v>3298</v>
      </c>
      <c r="I282" s="242">
        <v>2638.4</v>
      </c>
      <c r="J282" s="242">
        <v>2638.4</v>
      </c>
      <c r="K282" s="240">
        <v>129</v>
      </c>
      <c r="L282" s="240">
        <f>'2.виды ремонта'!G257</f>
        <v>742.4</v>
      </c>
      <c r="M282" s="255" t="s">
        <v>33</v>
      </c>
      <c r="N282" s="241">
        <f>'2.виды ремонта'!C257</f>
        <v>1805072</v>
      </c>
      <c r="O282" s="241">
        <v>0</v>
      </c>
      <c r="P282" s="241">
        <v>0</v>
      </c>
      <c r="Q282" s="241">
        <v>0</v>
      </c>
      <c r="R282" s="241">
        <f t="shared" si="38"/>
        <v>1805072</v>
      </c>
      <c r="S282" s="164">
        <f t="shared" si="42"/>
        <v>2431.4008620689656</v>
      </c>
      <c r="T282" s="241">
        <v>3564.43</v>
      </c>
      <c r="U282" s="165" t="s">
        <v>271</v>
      </c>
      <c r="W282" s="74"/>
      <c r="Y282" s="63"/>
      <c r="Z282" s="66"/>
      <c r="AA282" s="309"/>
      <c r="AB282" s="67"/>
      <c r="AC282" s="67"/>
      <c r="AD282" s="64"/>
    </row>
    <row r="283" spans="1:30" s="68" customFormat="1" ht="37.5" customHeight="1">
      <c r="A283" s="215">
        <f t="shared" si="39"/>
        <v>57</v>
      </c>
      <c r="B283" s="217" t="s">
        <v>3099</v>
      </c>
      <c r="C283" s="216">
        <v>1969</v>
      </c>
      <c r="D283" s="217"/>
      <c r="E283" s="217" t="s">
        <v>222</v>
      </c>
      <c r="F283" s="240">
        <v>5</v>
      </c>
      <c r="G283" s="240">
        <v>6</v>
      </c>
      <c r="H283" s="241">
        <v>4442</v>
      </c>
      <c r="I283" s="242">
        <v>4440.3999999999996</v>
      </c>
      <c r="J283" s="242">
        <v>4440.3999999999996</v>
      </c>
      <c r="K283" s="240">
        <v>299</v>
      </c>
      <c r="L283" s="240">
        <f>'2.виды ремонта'!G258</f>
        <v>1253</v>
      </c>
      <c r="M283" s="255" t="s">
        <v>33</v>
      </c>
      <c r="N283" s="241">
        <f>'2.виды ремонта'!C258</f>
        <v>3032790</v>
      </c>
      <c r="O283" s="241">
        <v>0</v>
      </c>
      <c r="P283" s="241">
        <v>0</v>
      </c>
      <c r="Q283" s="241">
        <v>0</v>
      </c>
      <c r="R283" s="241">
        <f t="shared" si="38"/>
        <v>3032790</v>
      </c>
      <c r="S283" s="164">
        <f t="shared" si="42"/>
        <v>2420.4229848363925</v>
      </c>
      <c r="T283" s="241">
        <v>3564.43</v>
      </c>
      <c r="U283" s="165" t="s">
        <v>271</v>
      </c>
      <c r="W283" s="74"/>
      <c r="Y283" s="63"/>
      <c r="Z283" s="66"/>
      <c r="AA283" s="309"/>
      <c r="AB283" s="67"/>
      <c r="AC283" s="67"/>
      <c r="AD283" s="64"/>
    </row>
    <row r="284" spans="1:30" s="68" customFormat="1" ht="37.5" customHeight="1">
      <c r="A284" s="215">
        <f t="shared" si="39"/>
        <v>58</v>
      </c>
      <c r="B284" s="217" t="s">
        <v>3100</v>
      </c>
      <c r="C284" s="216">
        <v>1957</v>
      </c>
      <c r="D284" s="217"/>
      <c r="E284" s="217" t="s">
        <v>222</v>
      </c>
      <c r="F284" s="240">
        <v>3</v>
      </c>
      <c r="G284" s="240">
        <v>2</v>
      </c>
      <c r="H284" s="241">
        <v>1073</v>
      </c>
      <c r="I284" s="242">
        <v>1073</v>
      </c>
      <c r="J284" s="242">
        <v>1073</v>
      </c>
      <c r="K284" s="240">
        <v>57</v>
      </c>
      <c r="L284" s="240">
        <f>'2.виды ремонта'!G259</f>
        <v>863</v>
      </c>
      <c r="M284" s="255" t="s">
        <v>33</v>
      </c>
      <c r="N284" s="241">
        <f>'2.виды ремонта'!C259</f>
        <v>2462817</v>
      </c>
      <c r="O284" s="241">
        <v>0</v>
      </c>
      <c r="P284" s="241">
        <v>0</v>
      </c>
      <c r="Q284" s="241">
        <v>0</v>
      </c>
      <c r="R284" s="241">
        <f t="shared" si="38"/>
        <v>2462817</v>
      </c>
      <c r="S284" s="164">
        <f t="shared" si="42"/>
        <v>2853.7856315179606</v>
      </c>
      <c r="T284" s="241">
        <v>3564.43</v>
      </c>
      <c r="U284" s="165" t="s">
        <v>271</v>
      </c>
      <c r="W284" s="74"/>
      <c r="Y284" s="63"/>
      <c r="Z284" s="66"/>
      <c r="AA284" s="309"/>
      <c r="AB284" s="67"/>
      <c r="AC284" s="67"/>
      <c r="AD284" s="64"/>
    </row>
    <row r="285" spans="1:30" s="68" customFormat="1" ht="37.5" customHeight="1">
      <c r="A285" s="215">
        <f t="shared" si="39"/>
        <v>59</v>
      </c>
      <c r="B285" s="217" t="s">
        <v>3101</v>
      </c>
      <c r="C285" s="216">
        <v>1973</v>
      </c>
      <c r="D285" s="217"/>
      <c r="E285" s="217" t="s">
        <v>222</v>
      </c>
      <c r="F285" s="240">
        <v>5</v>
      </c>
      <c r="G285" s="240">
        <v>4</v>
      </c>
      <c r="H285" s="241">
        <v>3526</v>
      </c>
      <c r="I285" s="242">
        <v>3315.8</v>
      </c>
      <c r="J285" s="242">
        <v>3016.1</v>
      </c>
      <c r="K285" s="240">
        <v>187</v>
      </c>
      <c r="L285" s="240">
        <f>'2.виды ремонта'!G260</f>
        <v>962</v>
      </c>
      <c r="M285" s="255" t="s">
        <v>33</v>
      </c>
      <c r="N285" s="241">
        <f>'2.виды ремонта'!C260</f>
        <v>2333093</v>
      </c>
      <c r="O285" s="241">
        <v>0</v>
      </c>
      <c r="P285" s="241">
        <v>0</v>
      </c>
      <c r="Q285" s="241">
        <v>0</v>
      </c>
      <c r="R285" s="241">
        <f t="shared" si="38"/>
        <v>2333093</v>
      </c>
      <c r="S285" s="164">
        <f t="shared" si="42"/>
        <v>2425.2525987525987</v>
      </c>
      <c r="T285" s="241">
        <v>3564.43</v>
      </c>
      <c r="U285" s="165" t="s">
        <v>271</v>
      </c>
      <c r="W285" s="74"/>
      <c r="Y285" s="63"/>
      <c r="Z285" s="66"/>
      <c r="AA285" s="309"/>
      <c r="AB285" s="67"/>
      <c r="AC285" s="67"/>
      <c r="AD285" s="64"/>
    </row>
    <row r="286" spans="1:30" s="68" customFormat="1" ht="37.5" customHeight="1">
      <c r="A286" s="215">
        <f t="shared" si="39"/>
        <v>60</v>
      </c>
      <c r="B286" s="217" t="s">
        <v>3102</v>
      </c>
      <c r="C286" s="216">
        <v>2004</v>
      </c>
      <c r="D286" s="217"/>
      <c r="E286" s="217" t="s">
        <v>222</v>
      </c>
      <c r="F286" s="240">
        <v>9</v>
      </c>
      <c r="G286" s="240">
        <v>7</v>
      </c>
      <c r="H286" s="241">
        <v>25775</v>
      </c>
      <c r="I286" s="242">
        <v>18222.7</v>
      </c>
      <c r="J286" s="242">
        <v>18093.2</v>
      </c>
      <c r="K286" s="240">
        <v>378</v>
      </c>
      <c r="L286" s="240">
        <f>'2.виды ремонта'!O261</f>
        <v>1323</v>
      </c>
      <c r="M286" s="255" t="s">
        <v>227</v>
      </c>
      <c r="N286" s="241">
        <f>'2.виды ремонта'!C261</f>
        <v>3369016</v>
      </c>
      <c r="O286" s="241">
        <v>0</v>
      </c>
      <c r="P286" s="241">
        <v>0</v>
      </c>
      <c r="Q286" s="241">
        <v>0</v>
      </c>
      <c r="R286" s="241">
        <f t="shared" si="38"/>
        <v>3369016</v>
      </c>
      <c r="S286" s="241">
        <f t="shared" si="42"/>
        <v>2546.4973544973545</v>
      </c>
      <c r="T286" s="241">
        <v>3659.53</v>
      </c>
      <c r="U286" s="165" t="s">
        <v>271</v>
      </c>
      <c r="W286" s="74"/>
      <c r="Y286" s="63"/>
      <c r="Z286" s="66"/>
      <c r="AA286" s="309"/>
      <c r="AB286" s="67"/>
      <c r="AC286" s="67"/>
      <c r="AD286" s="64"/>
    </row>
    <row r="287" spans="1:30" s="68" customFormat="1" ht="37.5" customHeight="1">
      <c r="A287" s="215">
        <f t="shared" si="39"/>
        <v>61</v>
      </c>
      <c r="B287" s="217" t="s">
        <v>3103</v>
      </c>
      <c r="C287" s="216">
        <v>2004</v>
      </c>
      <c r="D287" s="217"/>
      <c r="E287" s="217" t="s">
        <v>222</v>
      </c>
      <c r="F287" s="240">
        <v>5</v>
      </c>
      <c r="G287" s="240">
        <v>4</v>
      </c>
      <c r="H287" s="241">
        <v>4701</v>
      </c>
      <c r="I287" s="242">
        <v>4041</v>
      </c>
      <c r="J287" s="242">
        <v>3238</v>
      </c>
      <c r="K287" s="240">
        <v>126</v>
      </c>
      <c r="L287" s="240">
        <f>'2.виды ремонта'!O262</f>
        <v>3492</v>
      </c>
      <c r="M287" s="255" t="s">
        <v>260</v>
      </c>
      <c r="N287" s="241">
        <f>'2.виды ремонта'!C262</f>
        <v>9149200</v>
      </c>
      <c r="O287" s="241">
        <v>0</v>
      </c>
      <c r="P287" s="241">
        <v>0</v>
      </c>
      <c r="Q287" s="241">
        <v>0</v>
      </c>
      <c r="R287" s="241">
        <f t="shared" si="38"/>
        <v>9149200</v>
      </c>
      <c r="S287" s="241">
        <f t="shared" si="42"/>
        <v>2620.0458190148911</v>
      </c>
      <c r="T287" s="241">
        <v>3659.53</v>
      </c>
      <c r="U287" s="165" t="s">
        <v>271</v>
      </c>
      <c r="W287" s="74"/>
      <c r="Y287" s="63"/>
      <c r="Z287" s="66"/>
      <c r="AA287" s="309"/>
      <c r="AB287" s="67"/>
      <c r="AC287" s="67"/>
      <c r="AD287" s="64"/>
    </row>
    <row r="288" spans="1:30" s="68" customFormat="1" ht="37.5" customHeight="1">
      <c r="A288" s="215">
        <f t="shared" si="39"/>
        <v>62</v>
      </c>
      <c r="B288" s="251" t="s">
        <v>3104</v>
      </c>
      <c r="C288" s="216">
        <v>1980</v>
      </c>
      <c r="D288" s="217"/>
      <c r="E288" s="216" t="s">
        <v>222</v>
      </c>
      <c r="F288" s="252">
        <v>9</v>
      </c>
      <c r="G288" s="252">
        <v>4</v>
      </c>
      <c r="H288" s="241">
        <v>9393</v>
      </c>
      <c r="I288" s="242">
        <v>4756</v>
      </c>
      <c r="J288" s="242">
        <v>4297</v>
      </c>
      <c r="K288" s="240">
        <v>350</v>
      </c>
      <c r="L288" s="240">
        <f>G288*711.5</f>
        <v>2846</v>
      </c>
      <c r="M288" s="253" t="s">
        <v>30</v>
      </c>
      <c r="N288" s="241">
        <f>'2.виды ремонта'!C263</f>
        <v>3912583</v>
      </c>
      <c r="O288" s="241">
        <v>0</v>
      </c>
      <c r="P288" s="241">
        <v>0</v>
      </c>
      <c r="Q288" s="241">
        <v>0</v>
      </c>
      <c r="R288" s="241">
        <f t="shared" si="38"/>
        <v>3912583</v>
      </c>
      <c r="S288" s="241">
        <f t="shared" si="42"/>
        <v>1374.7656359803232</v>
      </c>
      <c r="T288" s="241">
        <v>3014.16</v>
      </c>
      <c r="U288" s="165" t="s">
        <v>271</v>
      </c>
      <c r="W288" s="74"/>
      <c r="Y288" s="63"/>
      <c r="Z288" s="66"/>
      <c r="AA288" s="309"/>
      <c r="AB288" s="67"/>
      <c r="AC288" s="67"/>
      <c r="AD288" s="64"/>
    </row>
    <row r="289" spans="1:30" s="68" customFormat="1" ht="37.5" customHeight="1">
      <c r="A289" s="215">
        <f t="shared" si="39"/>
        <v>63</v>
      </c>
      <c r="B289" s="217" t="s">
        <v>3105</v>
      </c>
      <c r="C289" s="216">
        <v>1958</v>
      </c>
      <c r="D289" s="217"/>
      <c r="E289" s="217" t="s">
        <v>222</v>
      </c>
      <c r="F289" s="240">
        <v>3</v>
      </c>
      <c r="G289" s="240">
        <v>2</v>
      </c>
      <c r="H289" s="241">
        <v>1302</v>
      </c>
      <c r="I289" s="242">
        <v>1022.3</v>
      </c>
      <c r="J289" s="242">
        <v>1022.3</v>
      </c>
      <c r="K289" s="240">
        <v>137</v>
      </c>
      <c r="L289" s="240">
        <f>'2.виды ремонта'!G264</f>
        <v>686</v>
      </c>
      <c r="M289" s="255" t="s">
        <v>33</v>
      </c>
      <c r="N289" s="241">
        <f>'2.виды ремонта'!C264</f>
        <v>1975032</v>
      </c>
      <c r="O289" s="241">
        <v>0</v>
      </c>
      <c r="P289" s="241">
        <v>0</v>
      </c>
      <c r="Q289" s="241">
        <v>0</v>
      </c>
      <c r="R289" s="241">
        <f t="shared" si="38"/>
        <v>1975032</v>
      </c>
      <c r="S289" s="164">
        <f>N289/L289</f>
        <v>2879.0553935860057</v>
      </c>
      <c r="T289" s="241">
        <v>3564.43</v>
      </c>
      <c r="U289" s="165" t="s">
        <v>271</v>
      </c>
      <c r="W289" s="74"/>
      <c r="Y289" s="63"/>
      <c r="Z289" s="66"/>
      <c r="AA289" s="309"/>
      <c r="AB289" s="67"/>
      <c r="AC289" s="67"/>
      <c r="AD289" s="64"/>
    </row>
    <row r="290" spans="1:30" s="68" customFormat="1" ht="37.5" customHeight="1">
      <c r="A290" s="215">
        <f t="shared" si="39"/>
        <v>64</v>
      </c>
      <c r="B290" s="217" t="s">
        <v>3106</v>
      </c>
      <c r="C290" s="216">
        <v>1963</v>
      </c>
      <c r="D290" s="217"/>
      <c r="E290" s="217" t="s">
        <v>222</v>
      </c>
      <c r="F290" s="240">
        <v>5</v>
      </c>
      <c r="G290" s="240">
        <v>4</v>
      </c>
      <c r="H290" s="241">
        <v>3168</v>
      </c>
      <c r="I290" s="242">
        <v>2690</v>
      </c>
      <c r="J290" s="242">
        <v>2690</v>
      </c>
      <c r="K290" s="240">
        <v>131</v>
      </c>
      <c r="L290" s="240">
        <f>G290*322</f>
        <v>1288</v>
      </c>
      <c r="M290" s="255" t="s">
        <v>30</v>
      </c>
      <c r="N290" s="241">
        <f>'2.виды ремонта'!C265</f>
        <v>3302441</v>
      </c>
      <c r="O290" s="241">
        <v>0</v>
      </c>
      <c r="P290" s="241">
        <v>0</v>
      </c>
      <c r="Q290" s="241">
        <v>0</v>
      </c>
      <c r="R290" s="241">
        <f t="shared" si="38"/>
        <v>3302441</v>
      </c>
      <c r="S290" s="164">
        <f t="shared" ref="S290:S295" si="43">N290/L290</f>
        <v>2564.0069875776398</v>
      </c>
      <c r="T290" s="241">
        <v>3014.16</v>
      </c>
      <c r="U290" s="165" t="s">
        <v>271</v>
      </c>
      <c r="W290" s="74"/>
      <c r="Y290" s="63"/>
      <c r="Z290" s="66"/>
      <c r="AA290" s="309"/>
      <c r="AB290" s="67"/>
      <c r="AC290" s="67"/>
      <c r="AD290" s="64"/>
    </row>
    <row r="291" spans="1:30" s="68" customFormat="1" ht="37.5" customHeight="1">
      <c r="A291" s="215">
        <f t="shared" si="39"/>
        <v>65</v>
      </c>
      <c r="B291" s="217" t="s">
        <v>3107</v>
      </c>
      <c r="C291" s="216">
        <v>1995</v>
      </c>
      <c r="D291" s="217"/>
      <c r="E291" s="217" t="s">
        <v>222</v>
      </c>
      <c r="F291" s="240">
        <v>5</v>
      </c>
      <c r="G291" s="240">
        <v>3</v>
      </c>
      <c r="H291" s="241">
        <v>3152</v>
      </c>
      <c r="I291" s="242">
        <v>2519.4</v>
      </c>
      <c r="J291" s="242">
        <v>2519.4</v>
      </c>
      <c r="K291" s="240">
        <v>97</v>
      </c>
      <c r="L291" s="240">
        <f>'2.виды ремонта'!G266</f>
        <v>890</v>
      </c>
      <c r="M291" s="255" t="s">
        <v>33</v>
      </c>
      <c r="N291" s="241">
        <f>'2.виды ремонта'!C266</f>
        <v>2159971</v>
      </c>
      <c r="O291" s="241">
        <v>0</v>
      </c>
      <c r="P291" s="241">
        <v>0</v>
      </c>
      <c r="Q291" s="241">
        <v>0</v>
      </c>
      <c r="R291" s="241">
        <f t="shared" si="38"/>
        <v>2159971</v>
      </c>
      <c r="S291" s="164">
        <f t="shared" si="43"/>
        <v>2426.9337078651683</v>
      </c>
      <c r="T291" s="241">
        <v>3564.43</v>
      </c>
      <c r="U291" s="165" t="s">
        <v>271</v>
      </c>
      <c r="W291" s="74"/>
      <c r="Y291" s="63"/>
      <c r="Z291" s="66"/>
      <c r="AA291" s="309"/>
      <c r="AB291" s="67"/>
      <c r="AC291" s="67"/>
      <c r="AD291" s="64"/>
    </row>
    <row r="292" spans="1:30" s="68" customFormat="1" ht="37.5" customHeight="1">
      <c r="A292" s="215">
        <f t="shared" si="39"/>
        <v>66</v>
      </c>
      <c r="B292" s="217" t="s">
        <v>3108</v>
      </c>
      <c r="C292" s="216">
        <v>1969</v>
      </c>
      <c r="D292" s="217"/>
      <c r="E292" s="217" t="s">
        <v>222</v>
      </c>
      <c r="F292" s="240">
        <v>5</v>
      </c>
      <c r="G292" s="240">
        <v>4</v>
      </c>
      <c r="H292" s="241">
        <v>3631</v>
      </c>
      <c r="I292" s="242">
        <v>3350.7</v>
      </c>
      <c r="J292" s="242">
        <v>3181.2</v>
      </c>
      <c r="K292" s="240">
        <v>167</v>
      </c>
      <c r="L292" s="240">
        <f>'2.виды ремонта'!G267</f>
        <v>928</v>
      </c>
      <c r="M292" s="255" t="s">
        <v>33</v>
      </c>
      <c r="N292" s="241">
        <f>'2.виды ремонта'!C267</f>
        <v>2251341</v>
      </c>
      <c r="O292" s="241">
        <v>0</v>
      </c>
      <c r="P292" s="241">
        <v>0</v>
      </c>
      <c r="Q292" s="241">
        <v>0</v>
      </c>
      <c r="R292" s="241">
        <f t="shared" si="38"/>
        <v>2251341</v>
      </c>
      <c r="S292" s="164">
        <f t="shared" si="43"/>
        <v>2426.0140086206898</v>
      </c>
      <c r="T292" s="241">
        <v>3564.43</v>
      </c>
      <c r="U292" s="165" t="s">
        <v>271</v>
      </c>
      <c r="W292" s="74"/>
      <c r="Y292" s="63"/>
      <c r="Z292" s="66"/>
      <c r="AA292" s="309"/>
      <c r="AB292" s="67"/>
      <c r="AC292" s="67"/>
      <c r="AD292" s="64"/>
    </row>
    <row r="293" spans="1:30" s="68" customFormat="1" ht="37.5" customHeight="1">
      <c r="A293" s="215">
        <f t="shared" si="39"/>
        <v>67</v>
      </c>
      <c r="B293" s="217" t="s">
        <v>3109</v>
      </c>
      <c r="C293" s="216">
        <v>1969</v>
      </c>
      <c r="D293" s="217"/>
      <c r="E293" s="217" t="s">
        <v>222</v>
      </c>
      <c r="F293" s="240">
        <v>5</v>
      </c>
      <c r="G293" s="240">
        <v>4</v>
      </c>
      <c r="H293" s="241">
        <v>3670</v>
      </c>
      <c r="I293" s="242">
        <v>3373.2</v>
      </c>
      <c r="J293" s="242">
        <v>3224.3</v>
      </c>
      <c r="K293" s="240">
        <v>175</v>
      </c>
      <c r="L293" s="240">
        <f>'2.виды ремонта'!G268</f>
        <v>938</v>
      </c>
      <c r="M293" s="255" t="s">
        <v>33</v>
      </c>
      <c r="N293" s="241">
        <f>'2.виды ремонта'!C268</f>
        <v>2275385</v>
      </c>
      <c r="O293" s="241">
        <v>0</v>
      </c>
      <c r="P293" s="241">
        <v>0</v>
      </c>
      <c r="Q293" s="241">
        <v>0</v>
      </c>
      <c r="R293" s="241">
        <f t="shared" si="38"/>
        <v>2275385</v>
      </c>
      <c r="S293" s="164">
        <f t="shared" si="43"/>
        <v>2425.7835820895521</v>
      </c>
      <c r="T293" s="241">
        <v>3564.43</v>
      </c>
      <c r="U293" s="165" t="s">
        <v>271</v>
      </c>
      <c r="W293" s="74"/>
      <c r="Y293" s="63"/>
      <c r="Z293" s="66"/>
      <c r="AA293" s="309"/>
      <c r="AB293" s="67"/>
      <c r="AC293" s="67"/>
      <c r="AD293" s="64"/>
    </row>
    <row r="294" spans="1:30" s="68" customFormat="1" ht="37.5" customHeight="1">
      <c r="A294" s="215">
        <f t="shared" si="39"/>
        <v>68</v>
      </c>
      <c r="B294" s="216" t="s">
        <v>3111</v>
      </c>
      <c r="C294" s="216">
        <v>1976</v>
      </c>
      <c r="D294" s="216"/>
      <c r="E294" s="217" t="s">
        <v>222</v>
      </c>
      <c r="F294" s="240">
        <v>9</v>
      </c>
      <c r="G294" s="240">
        <v>4</v>
      </c>
      <c r="H294" s="241">
        <v>11567</v>
      </c>
      <c r="I294" s="242">
        <v>10703</v>
      </c>
      <c r="J294" s="242">
        <v>8310</v>
      </c>
      <c r="K294" s="240">
        <v>414</v>
      </c>
      <c r="L294" s="240">
        <f>'2.виды ремонта'!G269</f>
        <v>1790</v>
      </c>
      <c r="M294" s="255" t="s">
        <v>33</v>
      </c>
      <c r="N294" s="241">
        <f>'2.виды ремонта'!C269</f>
        <v>4321867</v>
      </c>
      <c r="O294" s="241">
        <v>0</v>
      </c>
      <c r="P294" s="241">
        <v>0</v>
      </c>
      <c r="Q294" s="241">
        <v>0</v>
      </c>
      <c r="R294" s="241">
        <f t="shared" si="38"/>
        <v>4321867</v>
      </c>
      <c r="S294" s="164">
        <f t="shared" si="43"/>
        <v>2414.4508379888266</v>
      </c>
      <c r="T294" s="241">
        <v>3564.43</v>
      </c>
      <c r="U294" s="165" t="s">
        <v>271</v>
      </c>
      <c r="Y294" s="63"/>
      <c r="Z294" s="66"/>
      <c r="AA294" s="309"/>
      <c r="AB294" s="67"/>
      <c r="AC294" s="67"/>
      <c r="AD294" s="64"/>
    </row>
    <row r="295" spans="1:30" s="68" customFormat="1" ht="37.5" customHeight="1">
      <c r="A295" s="215">
        <f t="shared" si="39"/>
        <v>69</v>
      </c>
      <c r="B295" s="217" t="s">
        <v>3112</v>
      </c>
      <c r="C295" s="216">
        <v>1959</v>
      </c>
      <c r="D295" s="217"/>
      <c r="E295" s="217" t="s">
        <v>222</v>
      </c>
      <c r="F295" s="240">
        <v>4</v>
      </c>
      <c r="G295" s="240">
        <v>3</v>
      </c>
      <c r="H295" s="241">
        <v>3119</v>
      </c>
      <c r="I295" s="242">
        <v>2969.1</v>
      </c>
      <c r="J295" s="242">
        <v>2914.6</v>
      </c>
      <c r="K295" s="240">
        <v>106</v>
      </c>
      <c r="L295" s="240">
        <f>'2.виды ремонта'!G270</f>
        <v>927</v>
      </c>
      <c r="M295" s="255" t="s">
        <v>33</v>
      </c>
      <c r="N295" s="241">
        <f>'2.виды ремонта'!C270</f>
        <v>2655748</v>
      </c>
      <c r="O295" s="241">
        <v>0</v>
      </c>
      <c r="P295" s="241">
        <v>0</v>
      </c>
      <c r="Q295" s="241">
        <v>0</v>
      </c>
      <c r="R295" s="241">
        <f t="shared" si="38"/>
        <v>2655748</v>
      </c>
      <c r="S295" s="164">
        <f t="shared" si="43"/>
        <v>2864.8845738942828</v>
      </c>
      <c r="T295" s="241">
        <v>3564.43</v>
      </c>
      <c r="U295" s="165" t="s">
        <v>271</v>
      </c>
      <c r="W295" s="74"/>
      <c r="Y295" s="63"/>
      <c r="Z295" s="66"/>
      <c r="AA295" s="309"/>
      <c r="AB295" s="67"/>
      <c r="AC295" s="67"/>
      <c r="AD295" s="64"/>
    </row>
    <row r="296" spans="1:30" s="68" customFormat="1" ht="37.5" customHeight="1">
      <c r="A296" s="215">
        <f t="shared" si="39"/>
        <v>70</v>
      </c>
      <c r="B296" s="217" t="s">
        <v>3113</v>
      </c>
      <c r="C296" s="216">
        <v>1982</v>
      </c>
      <c r="D296" s="217"/>
      <c r="E296" s="217" t="s">
        <v>222</v>
      </c>
      <c r="F296" s="240">
        <v>5</v>
      </c>
      <c r="G296" s="240">
        <v>7</v>
      </c>
      <c r="H296" s="241">
        <v>4781</v>
      </c>
      <c r="I296" s="242">
        <v>4781</v>
      </c>
      <c r="J296" s="242">
        <v>4781</v>
      </c>
      <c r="K296" s="240">
        <v>241</v>
      </c>
      <c r="L296" s="256">
        <f>G296*322</f>
        <v>2254</v>
      </c>
      <c r="M296" s="255" t="s">
        <v>239</v>
      </c>
      <c r="N296" s="241">
        <f>'2.виды ремонта'!C271</f>
        <v>2950833</v>
      </c>
      <c r="O296" s="241">
        <v>0</v>
      </c>
      <c r="P296" s="241">
        <v>0</v>
      </c>
      <c r="Q296" s="241">
        <v>0</v>
      </c>
      <c r="R296" s="241">
        <f t="shared" si="38"/>
        <v>2950833</v>
      </c>
      <c r="S296" s="241">
        <f t="shared" ref="S296:S326" si="44">N296/L296</f>
        <v>1309.153948535936</v>
      </c>
      <c r="T296" s="241">
        <v>3014.16</v>
      </c>
      <c r="U296" s="165" t="s">
        <v>271</v>
      </c>
      <c r="W296" s="74"/>
      <c r="Y296" s="63"/>
      <c r="Z296" s="66"/>
      <c r="AA296" s="309"/>
      <c r="AB296" s="67"/>
      <c r="AC296" s="67"/>
      <c r="AD296" s="64"/>
    </row>
    <row r="297" spans="1:30" s="68" customFormat="1" ht="37.5" customHeight="1">
      <c r="A297" s="215">
        <f t="shared" si="39"/>
        <v>71</v>
      </c>
      <c r="B297" s="217" t="s">
        <v>3114</v>
      </c>
      <c r="C297" s="216">
        <v>1957</v>
      </c>
      <c r="D297" s="217"/>
      <c r="E297" s="217" t="s">
        <v>222</v>
      </c>
      <c r="F297" s="240">
        <v>2</v>
      </c>
      <c r="G297" s="240">
        <v>2</v>
      </c>
      <c r="H297" s="241">
        <v>689</v>
      </c>
      <c r="I297" s="242">
        <v>689</v>
      </c>
      <c r="J297" s="242">
        <v>689</v>
      </c>
      <c r="K297" s="240">
        <v>27</v>
      </c>
      <c r="L297" s="172">
        <f>G297*(96.8*2)</f>
        <v>387.2</v>
      </c>
      <c r="M297" s="255" t="s">
        <v>30</v>
      </c>
      <c r="N297" s="241">
        <f>'2.виды ремонта'!C272</f>
        <v>308618</v>
      </c>
      <c r="O297" s="241">
        <v>0</v>
      </c>
      <c r="P297" s="241">
        <v>0</v>
      </c>
      <c r="Q297" s="241">
        <v>0</v>
      </c>
      <c r="R297" s="241">
        <f t="shared" si="38"/>
        <v>308618</v>
      </c>
      <c r="S297" s="241">
        <f t="shared" si="44"/>
        <v>797.0506198347108</v>
      </c>
      <c r="T297" s="241">
        <v>3014.16</v>
      </c>
      <c r="U297" s="165" t="s">
        <v>271</v>
      </c>
      <c r="W297" s="74"/>
      <c r="Y297" s="63"/>
      <c r="Z297" s="66"/>
      <c r="AA297" s="309"/>
      <c r="AB297" s="67"/>
      <c r="AC297" s="67"/>
      <c r="AD297" s="64"/>
    </row>
    <row r="298" spans="1:30" s="68" customFormat="1" ht="37.5" customHeight="1">
      <c r="A298" s="215">
        <f t="shared" si="39"/>
        <v>72</v>
      </c>
      <c r="B298" s="217" t="s">
        <v>3115</v>
      </c>
      <c r="C298" s="216">
        <v>1958</v>
      </c>
      <c r="D298" s="217"/>
      <c r="E298" s="217" t="s">
        <v>222</v>
      </c>
      <c r="F298" s="240">
        <v>2</v>
      </c>
      <c r="G298" s="240">
        <v>2</v>
      </c>
      <c r="H298" s="241">
        <v>711.1</v>
      </c>
      <c r="I298" s="242">
        <v>498.1</v>
      </c>
      <c r="J298" s="242">
        <v>498.1</v>
      </c>
      <c r="K298" s="240">
        <v>40</v>
      </c>
      <c r="L298" s="240">
        <f>'2.виды ремонта'!G273</f>
        <v>820</v>
      </c>
      <c r="M298" s="255" t="s">
        <v>33</v>
      </c>
      <c r="N298" s="241">
        <f>'2.виды ремонта'!C273</f>
        <v>2366000</v>
      </c>
      <c r="O298" s="241">
        <v>0</v>
      </c>
      <c r="P298" s="241">
        <v>0</v>
      </c>
      <c r="Q298" s="241">
        <v>0</v>
      </c>
      <c r="R298" s="241">
        <f t="shared" si="38"/>
        <v>2366000</v>
      </c>
      <c r="S298" s="164">
        <f t="shared" si="44"/>
        <v>2885.3658536585367</v>
      </c>
      <c r="T298" s="241">
        <v>3564.43</v>
      </c>
      <c r="U298" s="165" t="s">
        <v>271</v>
      </c>
      <c r="W298" s="74"/>
      <c r="Y298" s="63"/>
      <c r="Z298" s="66"/>
      <c r="AA298" s="309"/>
      <c r="AB298" s="67"/>
      <c r="AC298" s="67"/>
      <c r="AD298" s="64"/>
    </row>
    <row r="299" spans="1:30" s="68" customFormat="1" ht="37.5" customHeight="1">
      <c r="A299" s="215">
        <f t="shared" si="39"/>
        <v>73</v>
      </c>
      <c r="B299" s="217" t="s">
        <v>3116</v>
      </c>
      <c r="C299" s="216">
        <v>1988</v>
      </c>
      <c r="D299" s="217"/>
      <c r="E299" s="217" t="s">
        <v>222</v>
      </c>
      <c r="F299" s="240">
        <v>5</v>
      </c>
      <c r="G299" s="240">
        <v>4</v>
      </c>
      <c r="H299" s="241">
        <v>2646</v>
      </c>
      <c r="I299" s="242">
        <v>2509.6999999999998</v>
      </c>
      <c r="J299" s="242">
        <v>2509.6999999999998</v>
      </c>
      <c r="K299" s="240">
        <v>149</v>
      </c>
      <c r="L299" s="240">
        <f>'2.виды ремонта'!G274</f>
        <v>723</v>
      </c>
      <c r="M299" s="255" t="s">
        <v>33</v>
      </c>
      <c r="N299" s="241">
        <f>'2.виды ремонта'!C274</f>
        <v>1758426</v>
      </c>
      <c r="O299" s="241">
        <v>0</v>
      </c>
      <c r="P299" s="241">
        <v>0</v>
      </c>
      <c r="Q299" s="241">
        <v>0</v>
      </c>
      <c r="R299" s="241">
        <f t="shared" si="38"/>
        <v>1758426</v>
      </c>
      <c r="S299" s="164">
        <f t="shared" si="44"/>
        <v>2432.1244813278008</v>
      </c>
      <c r="T299" s="241">
        <v>3564.43</v>
      </c>
      <c r="U299" s="165" t="s">
        <v>271</v>
      </c>
      <c r="W299" s="74"/>
      <c r="Y299" s="63"/>
      <c r="Z299" s="66"/>
      <c r="AA299" s="309"/>
      <c r="AB299" s="67"/>
      <c r="AC299" s="67"/>
      <c r="AD299" s="64"/>
    </row>
    <row r="300" spans="1:30" s="68" customFormat="1" ht="37.5" customHeight="1">
      <c r="A300" s="215">
        <f t="shared" si="39"/>
        <v>74</v>
      </c>
      <c r="B300" s="217" t="s">
        <v>3117</v>
      </c>
      <c r="C300" s="216">
        <v>1989</v>
      </c>
      <c r="D300" s="217"/>
      <c r="E300" s="217" t="s">
        <v>222</v>
      </c>
      <c r="F300" s="240">
        <v>9</v>
      </c>
      <c r="G300" s="240">
        <v>2</v>
      </c>
      <c r="H300" s="241">
        <v>4164</v>
      </c>
      <c r="I300" s="242">
        <v>3656.6</v>
      </c>
      <c r="J300" s="242">
        <v>3561</v>
      </c>
      <c r="K300" s="240">
        <v>196</v>
      </c>
      <c r="L300" s="240">
        <f>G300*711.5</f>
        <v>1423</v>
      </c>
      <c r="M300" s="255" t="s">
        <v>30</v>
      </c>
      <c r="N300" s="241">
        <f>'2.виды ремонта'!C275</f>
        <v>2206480</v>
      </c>
      <c r="O300" s="241">
        <v>0</v>
      </c>
      <c r="P300" s="241">
        <v>0</v>
      </c>
      <c r="Q300" s="241">
        <v>0</v>
      </c>
      <c r="R300" s="241">
        <f t="shared" si="38"/>
        <v>2206480</v>
      </c>
      <c r="S300" s="241">
        <f t="shared" si="44"/>
        <v>1550.5832747716092</v>
      </c>
      <c r="T300" s="241">
        <v>3014.16</v>
      </c>
      <c r="U300" s="165" t="s">
        <v>271</v>
      </c>
      <c r="W300" s="74"/>
      <c r="Y300" s="63"/>
      <c r="Z300" s="66"/>
      <c r="AA300" s="309"/>
      <c r="AB300" s="67"/>
      <c r="AC300" s="67"/>
      <c r="AD300" s="64"/>
    </row>
    <row r="301" spans="1:30" s="68" customFormat="1" ht="37.5" customHeight="1">
      <c r="A301" s="215">
        <f t="shared" si="39"/>
        <v>75</v>
      </c>
      <c r="B301" s="217" t="s">
        <v>3118</v>
      </c>
      <c r="C301" s="216">
        <v>1959</v>
      </c>
      <c r="D301" s="217"/>
      <c r="E301" s="217" t="s">
        <v>222</v>
      </c>
      <c r="F301" s="240">
        <v>4</v>
      </c>
      <c r="G301" s="240">
        <v>4</v>
      </c>
      <c r="H301" s="241">
        <v>2538</v>
      </c>
      <c r="I301" s="242">
        <v>2212.9</v>
      </c>
      <c r="J301" s="242">
        <v>2212.9</v>
      </c>
      <c r="K301" s="240">
        <v>127</v>
      </c>
      <c r="L301" s="172">
        <f>G301*(96.8*4)</f>
        <v>1548.8</v>
      </c>
      <c r="M301" s="255" t="s">
        <v>30</v>
      </c>
      <c r="N301" s="241">
        <f>'2.виды ремонта'!C276</f>
        <v>1311618</v>
      </c>
      <c r="O301" s="241">
        <v>0</v>
      </c>
      <c r="P301" s="241">
        <v>0</v>
      </c>
      <c r="Q301" s="241">
        <v>0</v>
      </c>
      <c r="R301" s="241">
        <f t="shared" si="38"/>
        <v>1311618</v>
      </c>
      <c r="S301" s="241">
        <f t="shared" si="44"/>
        <v>846.8607954545455</v>
      </c>
      <c r="T301" s="241">
        <v>3014.16</v>
      </c>
      <c r="U301" s="165" t="s">
        <v>271</v>
      </c>
      <c r="W301" s="74"/>
      <c r="Y301" s="63"/>
      <c r="Z301" s="66"/>
      <c r="AA301" s="309"/>
      <c r="AB301" s="67"/>
      <c r="AC301" s="67"/>
      <c r="AD301" s="64"/>
    </row>
    <row r="302" spans="1:30" s="68" customFormat="1" ht="37.5" customHeight="1">
      <c r="A302" s="215">
        <f t="shared" si="39"/>
        <v>76</v>
      </c>
      <c r="B302" s="217" t="s">
        <v>3119</v>
      </c>
      <c r="C302" s="216">
        <v>1985</v>
      </c>
      <c r="D302" s="217"/>
      <c r="E302" s="217" t="s">
        <v>222</v>
      </c>
      <c r="F302" s="240">
        <v>5</v>
      </c>
      <c r="G302" s="240">
        <v>4</v>
      </c>
      <c r="H302" s="241">
        <v>3051</v>
      </c>
      <c r="I302" s="242">
        <v>2710.2</v>
      </c>
      <c r="J302" s="242">
        <v>2373.8000000000002</v>
      </c>
      <c r="K302" s="240">
        <v>151</v>
      </c>
      <c r="L302" s="240">
        <f>'2.виды ремонта'!G277</f>
        <v>900</v>
      </c>
      <c r="M302" s="255" t="s">
        <v>33</v>
      </c>
      <c r="N302" s="241">
        <f>'2.виды ремонта'!C277</f>
        <v>2184016</v>
      </c>
      <c r="O302" s="241">
        <v>0</v>
      </c>
      <c r="P302" s="241">
        <v>0</v>
      </c>
      <c r="Q302" s="241">
        <v>0</v>
      </c>
      <c r="R302" s="241">
        <f t="shared" si="38"/>
        <v>2184016</v>
      </c>
      <c r="S302" s="164">
        <f t="shared" si="44"/>
        <v>2426.6844444444446</v>
      </c>
      <c r="T302" s="241">
        <v>3564.43</v>
      </c>
      <c r="U302" s="165" t="s">
        <v>271</v>
      </c>
      <c r="W302" s="74"/>
      <c r="Y302" s="63"/>
      <c r="Z302" s="66"/>
      <c r="AA302" s="309"/>
      <c r="AB302" s="67"/>
      <c r="AC302" s="67"/>
      <c r="AD302" s="64"/>
    </row>
    <row r="303" spans="1:30" s="68" customFormat="1" ht="37.5" customHeight="1">
      <c r="A303" s="215">
        <f t="shared" si="39"/>
        <v>77</v>
      </c>
      <c r="B303" s="217" t="s">
        <v>3120</v>
      </c>
      <c r="C303" s="216">
        <v>1985</v>
      </c>
      <c r="D303" s="217"/>
      <c r="E303" s="217" t="s">
        <v>222</v>
      </c>
      <c r="F303" s="240">
        <v>5</v>
      </c>
      <c r="G303" s="240">
        <v>5</v>
      </c>
      <c r="H303" s="241">
        <v>3904</v>
      </c>
      <c r="I303" s="242">
        <v>3472</v>
      </c>
      <c r="J303" s="242">
        <v>3234.8</v>
      </c>
      <c r="K303" s="240">
        <v>201</v>
      </c>
      <c r="L303" s="240">
        <f>'2.виды ремонта'!G278</f>
        <v>936</v>
      </c>
      <c r="M303" s="255" t="s">
        <v>33</v>
      </c>
      <c r="N303" s="241">
        <f>'2.виды ремонта'!C278</f>
        <v>2270577</v>
      </c>
      <c r="O303" s="241">
        <v>0</v>
      </c>
      <c r="P303" s="241">
        <v>0</v>
      </c>
      <c r="Q303" s="241">
        <v>0</v>
      </c>
      <c r="R303" s="241">
        <f t="shared" si="38"/>
        <v>2270577</v>
      </c>
      <c r="S303" s="164">
        <f t="shared" si="44"/>
        <v>2425.8301282051284</v>
      </c>
      <c r="T303" s="241">
        <v>3564.43</v>
      </c>
      <c r="U303" s="165" t="s">
        <v>271</v>
      </c>
      <c r="W303" s="74"/>
      <c r="Y303" s="63"/>
      <c r="Z303" s="66"/>
      <c r="AA303" s="309"/>
      <c r="AB303" s="67"/>
      <c r="AC303" s="67"/>
      <c r="AD303" s="64"/>
    </row>
    <row r="304" spans="1:30" s="68" customFormat="1" ht="37.5" customHeight="1">
      <c r="A304" s="215">
        <f t="shared" si="39"/>
        <v>78</v>
      </c>
      <c r="B304" s="217" t="s">
        <v>3121</v>
      </c>
      <c r="C304" s="216">
        <v>1978</v>
      </c>
      <c r="D304" s="217"/>
      <c r="E304" s="217" t="s">
        <v>222</v>
      </c>
      <c r="F304" s="240">
        <v>5</v>
      </c>
      <c r="G304" s="240">
        <v>8</v>
      </c>
      <c r="H304" s="241">
        <v>6384</v>
      </c>
      <c r="I304" s="242">
        <v>6384</v>
      </c>
      <c r="J304" s="242">
        <v>6384</v>
      </c>
      <c r="K304" s="240">
        <v>318</v>
      </c>
      <c r="L304" s="240">
        <f>'2.виды ремонта'!G279</f>
        <v>1880</v>
      </c>
      <c r="M304" s="255" t="s">
        <v>33</v>
      </c>
      <c r="N304" s="241">
        <f>'2.виды ремонта'!C279</f>
        <v>4540389</v>
      </c>
      <c r="O304" s="241">
        <v>0</v>
      </c>
      <c r="P304" s="241">
        <v>0</v>
      </c>
      <c r="Q304" s="241">
        <v>0</v>
      </c>
      <c r="R304" s="241">
        <f t="shared" si="38"/>
        <v>4540389</v>
      </c>
      <c r="S304" s="164">
        <f t="shared" si="44"/>
        <v>2415.1005319148935</v>
      </c>
      <c r="T304" s="241">
        <v>3564.43</v>
      </c>
      <c r="U304" s="165" t="s">
        <v>271</v>
      </c>
      <c r="W304" s="74"/>
      <c r="Y304" s="63"/>
      <c r="Z304" s="66"/>
      <c r="AA304" s="309"/>
      <c r="AB304" s="67"/>
      <c r="AC304" s="67"/>
      <c r="AD304" s="64"/>
    </row>
    <row r="305" spans="1:30" s="68" customFormat="1" ht="37.5" customHeight="1">
      <c r="A305" s="215">
        <f t="shared" si="39"/>
        <v>79</v>
      </c>
      <c r="B305" s="217" t="s">
        <v>3123</v>
      </c>
      <c r="C305" s="216">
        <v>1991</v>
      </c>
      <c r="D305" s="217"/>
      <c r="E305" s="217" t="s">
        <v>222</v>
      </c>
      <c r="F305" s="240">
        <v>5</v>
      </c>
      <c r="G305" s="240">
        <v>1</v>
      </c>
      <c r="H305" s="241">
        <v>1001</v>
      </c>
      <c r="I305" s="242">
        <v>948.3</v>
      </c>
      <c r="J305" s="242">
        <v>948.3</v>
      </c>
      <c r="K305" s="240">
        <v>56</v>
      </c>
      <c r="L305" s="240">
        <v>198</v>
      </c>
      <c r="M305" s="255" t="s">
        <v>225</v>
      </c>
      <c r="N305" s="241">
        <f>'2.виды ремонта'!C280</f>
        <v>474524</v>
      </c>
      <c r="O305" s="241">
        <v>0</v>
      </c>
      <c r="P305" s="241">
        <v>0</v>
      </c>
      <c r="Q305" s="241">
        <v>0</v>
      </c>
      <c r="R305" s="241">
        <f t="shared" ref="R305:R332" si="45">N305</f>
        <v>474524</v>
      </c>
      <c r="S305" s="241">
        <f t="shared" si="44"/>
        <v>2396.5858585858587</v>
      </c>
      <c r="T305" s="241">
        <v>3654.29</v>
      </c>
      <c r="U305" s="165" t="s">
        <v>271</v>
      </c>
      <c r="W305" s="74"/>
      <c r="Y305" s="63"/>
      <c r="Z305" s="66"/>
      <c r="AA305" s="309"/>
      <c r="AB305" s="67"/>
      <c r="AC305" s="67"/>
      <c r="AD305" s="64"/>
    </row>
    <row r="306" spans="1:30" s="68" customFormat="1" ht="37.5" customHeight="1">
      <c r="A306" s="215">
        <f t="shared" si="39"/>
        <v>80</v>
      </c>
      <c r="B306" s="217" t="s">
        <v>3124</v>
      </c>
      <c r="C306" s="216">
        <v>1986</v>
      </c>
      <c r="D306" s="217"/>
      <c r="E306" s="217" t="s">
        <v>222</v>
      </c>
      <c r="F306" s="240">
        <v>5</v>
      </c>
      <c r="G306" s="240">
        <v>1</v>
      </c>
      <c r="H306" s="241">
        <v>2440</v>
      </c>
      <c r="I306" s="242">
        <v>2208</v>
      </c>
      <c r="J306" s="242">
        <v>2208</v>
      </c>
      <c r="K306" s="240">
        <v>140</v>
      </c>
      <c r="L306" s="240">
        <f>'2.виды ремонта'!G281</f>
        <v>600</v>
      </c>
      <c r="M306" s="255" t="s">
        <v>33</v>
      </c>
      <c r="N306" s="241">
        <f>'2.виды ремонта'!C281</f>
        <v>1462677</v>
      </c>
      <c r="O306" s="241">
        <v>0</v>
      </c>
      <c r="P306" s="241">
        <v>0</v>
      </c>
      <c r="Q306" s="241">
        <v>0</v>
      </c>
      <c r="R306" s="241">
        <f t="shared" si="45"/>
        <v>1462677</v>
      </c>
      <c r="S306" s="164">
        <f t="shared" si="44"/>
        <v>2437.7950000000001</v>
      </c>
      <c r="T306" s="241">
        <v>3564.43</v>
      </c>
      <c r="U306" s="165" t="s">
        <v>271</v>
      </c>
      <c r="W306" s="74"/>
      <c r="Y306" s="63"/>
      <c r="Z306" s="66"/>
      <c r="AA306" s="309"/>
      <c r="AB306" s="67"/>
      <c r="AC306" s="67"/>
      <c r="AD306" s="64"/>
    </row>
    <row r="307" spans="1:30" s="68" customFormat="1" ht="37.5" customHeight="1">
      <c r="A307" s="215">
        <f t="shared" si="39"/>
        <v>81</v>
      </c>
      <c r="B307" s="217" t="s">
        <v>2213</v>
      </c>
      <c r="C307" s="216">
        <v>1986</v>
      </c>
      <c r="D307" s="254"/>
      <c r="E307" s="218" t="s">
        <v>222</v>
      </c>
      <c r="F307" s="240">
        <v>9</v>
      </c>
      <c r="G307" s="240">
        <v>1</v>
      </c>
      <c r="H307" s="241">
        <v>3615</v>
      </c>
      <c r="I307" s="242">
        <v>3288.1</v>
      </c>
      <c r="J307" s="242">
        <v>2960.6</v>
      </c>
      <c r="K307" s="240">
        <v>148</v>
      </c>
      <c r="L307" s="240">
        <f>G307*729</f>
        <v>729</v>
      </c>
      <c r="M307" s="255" t="s">
        <v>30</v>
      </c>
      <c r="N307" s="241">
        <f>'2.виды ремонта'!C282</f>
        <v>2171231</v>
      </c>
      <c r="O307" s="241">
        <v>0</v>
      </c>
      <c r="P307" s="241">
        <v>0</v>
      </c>
      <c r="Q307" s="241">
        <v>0</v>
      </c>
      <c r="R307" s="241">
        <f t="shared" si="45"/>
        <v>2171231</v>
      </c>
      <c r="S307" s="241">
        <f t="shared" si="44"/>
        <v>2978.3689986282579</v>
      </c>
      <c r="T307" s="241">
        <v>3014.16</v>
      </c>
      <c r="U307" s="165" t="s">
        <v>271</v>
      </c>
      <c r="W307" s="74"/>
      <c r="Y307" s="63"/>
      <c r="Z307" s="66"/>
      <c r="AA307" s="309"/>
      <c r="AB307" s="67"/>
      <c r="AC307" s="67"/>
      <c r="AD307" s="64"/>
    </row>
    <row r="308" spans="1:30" s="68" customFormat="1" ht="37.5" customHeight="1">
      <c r="A308" s="215">
        <f t="shared" si="39"/>
        <v>82</v>
      </c>
      <c r="B308" s="217" t="s">
        <v>3125</v>
      </c>
      <c r="C308" s="216">
        <v>1960</v>
      </c>
      <c r="D308" s="217"/>
      <c r="E308" s="217" t="s">
        <v>222</v>
      </c>
      <c r="F308" s="240">
        <v>5</v>
      </c>
      <c r="G308" s="240">
        <v>4</v>
      </c>
      <c r="H308" s="241">
        <v>3161</v>
      </c>
      <c r="I308" s="242">
        <v>3151.9</v>
      </c>
      <c r="J308" s="242">
        <v>3151.9</v>
      </c>
      <c r="K308" s="240">
        <v>240</v>
      </c>
      <c r="L308" s="256">
        <f>G308*322</f>
        <v>1288</v>
      </c>
      <c r="M308" s="255" t="s">
        <v>239</v>
      </c>
      <c r="N308" s="241">
        <f>'2.виды ремонта'!C283</f>
        <v>2753833</v>
      </c>
      <c r="O308" s="241">
        <v>0</v>
      </c>
      <c r="P308" s="241">
        <v>0</v>
      </c>
      <c r="Q308" s="241">
        <v>0</v>
      </c>
      <c r="R308" s="241">
        <f t="shared" si="45"/>
        <v>2753833</v>
      </c>
      <c r="S308" s="241">
        <f t="shared" si="44"/>
        <v>2138.0690993788821</v>
      </c>
      <c r="T308" s="241">
        <v>3014.16</v>
      </c>
      <c r="U308" s="165" t="s">
        <v>271</v>
      </c>
      <c r="W308" s="74"/>
      <c r="Y308" s="63"/>
      <c r="Z308" s="66"/>
      <c r="AA308" s="309"/>
      <c r="AB308" s="67"/>
      <c r="AC308" s="67"/>
      <c r="AD308" s="64"/>
    </row>
    <row r="309" spans="1:30" s="68" customFormat="1" ht="37.5" customHeight="1">
      <c r="A309" s="215">
        <f t="shared" si="39"/>
        <v>83</v>
      </c>
      <c r="B309" s="217" t="s">
        <v>3126</v>
      </c>
      <c r="C309" s="216">
        <v>1960</v>
      </c>
      <c r="D309" s="217"/>
      <c r="E309" s="217" t="s">
        <v>222</v>
      </c>
      <c r="F309" s="240">
        <v>5</v>
      </c>
      <c r="G309" s="240">
        <v>2</v>
      </c>
      <c r="H309" s="241">
        <v>1561</v>
      </c>
      <c r="I309" s="242">
        <v>1561</v>
      </c>
      <c r="J309" s="242">
        <v>1561</v>
      </c>
      <c r="K309" s="240">
        <v>61</v>
      </c>
      <c r="L309" s="256">
        <f>G309*322</f>
        <v>644</v>
      </c>
      <c r="M309" s="255" t="s">
        <v>239</v>
      </c>
      <c r="N309" s="241">
        <f>'2.виды ремонта'!C284</f>
        <v>1545537</v>
      </c>
      <c r="O309" s="241">
        <v>0</v>
      </c>
      <c r="P309" s="241">
        <v>0</v>
      </c>
      <c r="Q309" s="241">
        <v>0</v>
      </c>
      <c r="R309" s="241">
        <f t="shared" si="45"/>
        <v>1545537</v>
      </c>
      <c r="S309" s="241">
        <f t="shared" si="44"/>
        <v>2399.9021739130435</v>
      </c>
      <c r="T309" s="241">
        <v>3014.16</v>
      </c>
      <c r="U309" s="165" t="s">
        <v>271</v>
      </c>
      <c r="W309" s="74"/>
      <c r="Y309" s="63"/>
      <c r="Z309" s="66"/>
      <c r="AA309" s="309"/>
      <c r="AB309" s="67"/>
      <c r="AC309" s="67"/>
      <c r="AD309" s="64"/>
    </row>
    <row r="310" spans="1:30" s="68" customFormat="1" ht="37.5" customHeight="1">
      <c r="A310" s="215">
        <f t="shared" si="39"/>
        <v>84</v>
      </c>
      <c r="B310" s="217" t="s">
        <v>3127</v>
      </c>
      <c r="C310" s="216">
        <v>1980</v>
      </c>
      <c r="D310" s="217"/>
      <c r="E310" s="217" t="s">
        <v>222</v>
      </c>
      <c r="F310" s="240">
        <v>5</v>
      </c>
      <c r="G310" s="240">
        <v>9</v>
      </c>
      <c r="H310" s="241">
        <v>6309</v>
      </c>
      <c r="I310" s="242">
        <v>6309</v>
      </c>
      <c r="J310" s="242">
        <v>6309</v>
      </c>
      <c r="K310" s="240">
        <v>371</v>
      </c>
      <c r="L310" s="256">
        <f>G310*322</f>
        <v>2898</v>
      </c>
      <c r="M310" s="255" t="s">
        <v>239</v>
      </c>
      <c r="N310" s="241">
        <f>'2.виды ремонта'!C285</f>
        <v>4118070</v>
      </c>
      <c r="O310" s="241">
        <v>0</v>
      </c>
      <c r="P310" s="241">
        <v>0</v>
      </c>
      <c r="Q310" s="241">
        <v>0</v>
      </c>
      <c r="R310" s="241">
        <f t="shared" si="45"/>
        <v>4118070</v>
      </c>
      <c r="S310" s="241">
        <f t="shared" si="44"/>
        <v>1421.0041407867495</v>
      </c>
      <c r="T310" s="241">
        <v>3014.16</v>
      </c>
      <c r="U310" s="165" t="s">
        <v>271</v>
      </c>
      <c r="W310" s="74"/>
      <c r="Y310" s="63"/>
      <c r="Z310" s="66"/>
      <c r="AA310" s="309"/>
      <c r="AB310" s="67"/>
      <c r="AC310" s="67"/>
      <c r="AD310" s="64"/>
    </row>
    <row r="311" spans="1:30" s="68" customFormat="1" ht="37.5" customHeight="1">
      <c r="A311" s="215">
        <f t="shared" si="39"/>
        <v>85</v>
      </c>
      <c r="B311" s="217" t="s">
        <v>3128</v>
      </c>
      <c r="C311" s="216">
        <v>1997</v>
      </c>
      <c r="D311" s="217"/>
      <c r="E311" s="217" t="s">
        <v>222</v>
      </c>
      <c r="F311" s="240">
        <v>6</v>
      </c>
      <c r="G311" s="240">
        <v>4</v>
      </c>
      <c r="H311" s="241">
        <v>4620</v>
      </c>
      <c r="I311" s="242">
        <v>2632</v>
      </c>
      <c r="J311" s="242">
        <v>2369</v>
      </c>
      <c r="K311" s="240">
        <v>169</v>
      </c>
      <c r="L311" s="240">
        <f>'2.виды ремонта'!G286</f>
        <v>1746</v>
      </c>
      <c r="M311" s="255" t="s">
        <v>33</v>
      </c>
      <c r="N311" s="241">
        <f>'2.виды ремонта'!C286</f>
        <v>4218190</v>
      </c>
      <c r="O311" s="241">
        <v>0</v>
      </c>
      <c r="P311" s="241">
        <v>0</v>
      </c>
      <c r="Q311" s="241">
        <v>0</v>
      </c>
      <c r="R311" s="241">
        <f t="shared" si="45"/>
        <v>4218190</v>
      </c>
      <c r="S311" s="164">
        <f t="shared" si="44"/>
        <v>2415.9163802978237</v>
      </c>
      <c r="T311" s="241">
        <v>3564.43</v>
      </c>
      <c r="U311" s="165" t="s">
        <v>271</v>
      </c>
      <c r="W311" s="74"/>
      <c r="Y311" s="63"/>
      <c r="Z311" s="66"/>
      <c r="AA311" s="309"/>
      <c r="AB311" s="67"/>
      <c r="AC311" s="67"/>
      <c r="AD311" s="64"/>
    </row>
    <row r="312" spans="1:30" s="68" customFormat="1" ht="37.5" customHeight="1">
      <c r="A312" s="215">
        <f t="shared" si="39"/>
        <v>86</v>
      </c>
      <c r="B312" s="217" t="s">
        <v>3131</v>
      </c>
      <c r="C312" s="216">
        <v>1959</v>
      </c>
      <c r="D312" s="217"/>
      <c r="E312" s="217" t="s">
        <v>240</v>
      </c>
      <c r="F312" s="240">
        <v>2</v>
      </c>
      <c r="G312" s="240">
        <v>1</v>
      </c>
      <c r="H312" s="241">
        <v>1003</v>
      </c>
      <c r="I312" s="242">
        <v>632.70000000000005</v>
      </c>
      <c r="J312" s="242">
        <v>403.5</v>
      </c>
      <c r="K312" s="240">
        <v>37</v>
      </c>
      <c r="L312" s="240">
        <f>'2.виды ремонта'!G287</f>
        <v>792.4</v>
      </c>
      <c r="M312" s="255" t="s">
        <v>33</v>
      </c>
      <c r="N312" s="241">
        <f>'2.виды ремонта'!C287</f>
        <v>2272403</v>
      </c>
      <c r="O312" s="241">
        <v>0</v>
      </c>
      <c r="P312" s="241">
        <v>0</v>
      </c>
      <c r="Q312" s="241">
        <v>0</v>
      </c>
      <c r="R312" s="241">
        <f t="shared" si="45"/>
        <v>2272403</v>
      </c>
      <c r="S312" s="164">
        <f t="shared" si="44"/>
        <v>2867.7473498233217</v>
      </c>
      <c r="T312" s="241">
        <v>3564.43</v>
      </c>
      <c r="U312" s="165" t="s">
        <v>271</v>
      </c>
      <c r="W312" s="74"/>
      <c r="Y312" s="63"/>
      <c r="Z312" s="66"/>
      <c r="AA312" s="309"/>
      <c r="AB312" s="67"/>
      <c r="AC312" s="67"/>
      <c r="AD312" s="64"/>
    </row>
    <row r="313" spans="1:30" s="68" customFormat="1" ht="37.5" customHeight="1">
      <c r="A313" s="215">
        <f t="shared" si="39"/>
        <v>87</v>
      </c>
      <c r="B313" s="217" t="s">
        <v>3132</v>
      </c>
      <c r="C313" s="216">
        <v>1960</v>
      </c>
      <c r="D313" s="217"/>
      <c r="E313" s="217" t="s">
        <v>222</v>
      </c>
      <c r="F313" s="240">
        <v>4</v>
      </c>
      <c r="G313" s="240">
        <v>4</v>
      </c>
      <c r="H313" s="241">
        <v>3132</v>
      </c>
      <c r="I313" s="242">
        <v>2506.9</v>
      </c>
      <c r="J313" s="242">
        <v>2506.9</v>
      </c>
      <c r="K313" s="240">
        <v>132</v>
      </c>
      <c r="L313" s="240">
        <f>G313*(96.8*4)</f>
        <v>1548.8</v>
      </c>
      <c r="M313" s="255" t="s">
        <v>239</v>
      </c>
      <c r="N313" s="241">
        <f>'2.виды ремонта'!C288</f>
        <v>2273333</v>
      </c>
      <c r="O313" s="241">
        <v>0</v>
      </c>
      <c r="P313" s="241">
        <v>0</v>
      </c>
      <c r="Q313" s="241">
        <v>0</v>
      </c>
      <c r="R313" s="241">
        <f t="shared" si="45"/>
        <v>2273333</v>
      </c>
      <c r="S313" s="241">
        <f t="shared" si="44"/>
        <v>1467.8028150826447</v>
      </c>
      <c r="T313" s="241">
        <v>3014.16</v>
      </c>
      <c r="U313" s="165" t="s">
        <v>271</v>
      </c>
      <c r="W313" s="74"/>
      <c r="Y313" s="63"/>
      <c r="Z313" s="66"/>
      <c r="AA313" s="309"/>
      <c r="AB313" s="67"/>
      <c r="AC313" s="67"/>
      <c r="AD313" s="64"/>
    </row>
    <row r="314" spans="1:30" s="68" customFormat="1" ht="37.5" customHeight="1">
      <c r="A314" s="215">
        <f t="shared" si="39"/>
        <v>88</v>
      </c>
      <c r="B314" s="217" t="s">
        <v>3133</v>
      </c>
      <c r="C314" s="216">
        <v>1956</v>
      </c>
      <c r="D314" s="217"/>
      <c r="E314" s="217" t="s">
        <v>222</v>
      </c>
      <c r="F314" s="240">
        <v>2</v>
      </c>
      <c r="G314" s="240">
        <v>2</v>
      </c>
      <c r="H314" s="241">
        <v>763</v>
      </c>
      <c r="I314" s="242">
        <v>672.9</v>
      </c>
      <c r="J314" s="242">
        <v>672.9</v>
      </c>
      <c r="K314" s="240">
        <v>34</v>
      </c>
      <c r="L314" s="240">
        <f>'2.виды ремонта'!G289</f>
        <v>741.2</v>
      </c>
      <c r="M314" s="255" t="s">
        <v>33</v>
      </c>
      <c r="N314" s="241">
        <f>'2.виды ремонта'!C289</f>
        <v>2125279</v>
      </c>
      <c r="O314" s="241">
        <v>0</v>
      </c>
      <c r="P314" s="241">
        <v>0</v>
      </c>
      <c r="Q314" s="241">
        <v>0</v>
      </c>
      <c r="R314" s="241">
        <f t="shared" si="45"/>
        <v>2125279</v>
      </c>
      <c r="S314" s="164">
        <f t="shared" si="44"/>
        <v>2867.3488936859144</v>
      </c>
      <c r="T314" s="241">
        <v>3564.43</v>
      </c>
      <c r="U314" s="165" t="s">
        <v>271</v>
      </c>
      <c r="W314" s="74"/>
      <c r="Y314" s="63"/>
      <c r="Z314" s="66"/>
      <c r="AA314" s="309"/>
      <c r="AB314" s="67"/>
      <c r="AC314" s="67"/>
      <c r="AD314" s="64"/>
    </row>
    <row r="315" spans="1:30" s="68" customFormat="1" ht="37.5" customHeight="1">
      <c r="A315" s="215">
        <f t="shared" si="39"/>
        <v>89</v>
      </c>
      <c r="B315" s="217" t="s">
        <v>3134</v>
      </c>
      <c r="C315" s="216">
        <v>1967</v>
      </c>
      <c r="D315" s="217"/>
      <c r="E315" s="217" t="s">
        <v>222</v>
      </c>
      <c r="F315" s="240">
        <v>5</v>
      </c>
      <c r="G315" s="240">
        <v>6</v>
      </c>
      <c r="H315" s="241">
        <v>4512</v>
      </c>
      <c r="I315" s="242">
        <v>4508.8999999999996</v>
      </c>
      <c r="J315" s="242">
        <v>4086.8</v>
      </c>
      <c r="K315" s="240">
        <v>247</v>
      </c>
      <c r="L315" s="166">
        <f>G315*322</f>
        <v>1932</v>
      </c>
      <c r="M315" s="255" t="s">
        <v>30</v>
      </c>
      <c r="N315" s="241">
        <f>'2.виды ремонта'!C290</f>
        <v>3049000</v>
      </c>
      <c r="O315" s="241">
        <v>0</v>
      </c>
      <c r="P315" s="241">
        <v>0</v>
      </c>
      <c r="Q315" s="241">
        <v>0</v>
      </c>
      <c r="R315" s="241">
        <f t="shared" si="45"/>
        <v>3049000</v>
      </c>
      <c r="S315" s="241">
        <f t="shared" si="44"/>
        <v>1578.1573498964804</v>
      </c>
      <c r="T315" s="241">
        <v>3014.16</v>
      </c>
      <c r="U315" s="165" t="s">
        <v>271</v>
      </c>
      <c r="W315" s="74"/>
      <c r="Y315" s="63"/>
      <c r="Z315" s="66"/>
      <c r="AA315" s="309"/>
      <c r="AB315" s="67"/>
      <c r="AC315" s="67"/>
      <c r="AD315" s="64"/>
    </row>
    <row r="316" spans="1:30" s="68" customFormat="1" ht="37.5" customHeight="1">
      <c r="A316" s="215">
        <f t="shared" ref="A316:A335" si="46">A315+1</f>
        <v>90</v>
      </c>
      <c r="B316" s="217" t="s">
        <v>3135</v>
      </c>
      <c r="C316" s="216">
        <v>1977</v>
      </c>
      <c r="D316" s="217"/>
      <c r="E316" s="217" t="s">
        <v>222</v>
      </c>
      <c r="F316" s="240">
        <v>5</v>
      </c>
      <c r="G316" s="240">
        <v>6</v>
      </c>
      <c r="H316" s="241">
        <v>4508</v>
      </c>
      <c r="I316" s="242">
        <v>3013.4</v>
      </c>
      <c r="J316" s="242">
        <v>2938.6</v>
      </c>
      <c r="K316" s="240">
        <v>234</v>
      </c>
      <c r="L316" s="240">
        <f>'2.виды ремонта'!G291</f>
        <v>1271</v>
      </c>
      <c r="M316" s="255" t="s">
        <v>33</v>
      </c>
      <c r="N316" s="241">
        <f>'2.виды ремонта'!C291</f>
        <v>3076071</v>
      </c>
      <c r="O316" s="241">
        <v>0</v>
      </c>
      <c r="P316" s="241">
        <v>0</v>
      </c>
      <c r="Q316" s="241">
        <v>0</v>
      </c>
      <c r="R316" s="241">
        <f t="shared" si="45"/>
        <v>3076071</v>
      </c>
      <c r="S316" s="164">
        <f t="shared" si="44"/>
        <v>2420.1974822974034</v>
      </c>
      <c r="T316" s="241">
        <v>3564.43</v>
      </c>
      <c r="U316" s="165" t="s">
        <v>271</v>
      </c>
      <c r="W316" s="74"/>
      <c r="Y316" s="63"/>
      <c r="Z316" s="66"/>
      <c r="AA316" s="309"/>
      <c r="AB316" s="67"/>
      <c r="AC316" s="67"/>
      <c r="AD316" s="64"/>
    </row>
    <row r="317" spans="1:30" s="68" customFormat="1" ht="37.5" customHeight="1">
      <c r="A317" s="215">
        <f t="shared" si="46"/>
        <v>91</v>
      </c>
      <c r="B317" s="217" t="s">
        <v>3136</v>
      </c>
      <c r="C317" s="216">
        <v>1969</v>
      </c>
      <c r="D317" s="217"/>
      <c r="E317" s="217" t="s">
        <v>222</v>
      </c>
      <c r="F317" s="240">
        <v>5</v>
      </c>
      <c r="G317" s="240">
        <v>4</v>
      </c>
      <c r="H317" s="241">
        <v>2686</v>
      </c>
      <c r="I317" s="242">
        <v>2686</v>
      </c>
      <c r="J317" s="242">
        <v>2686</v>
      </c>
      <c r="K317" s="240">
        <v>132</v>
      </c>
      <c r="L317" s="240">
        <f>'2.виды ремонта'!G292</f>
        <v>943.1</v>
      </c>
      <c r="M317" s="255" t="s">
        <v>33</v>
      </c>
      <c r="N317" s="241">
        <f>'2.виды ремонта'!C292</f>
        <v>2287648</v>
      </c>
      <c r="O317" s="241">
        <v>0</v>
      </c>
      <c r="P317" s="241">
        <v>0</v>
      </c>
      <c r="Q317" s="241">
        <v>0</v>
      </c>
      <c r="R317" s="241">
        <f t="shared" si="45"/>
        <v>2287648</v>
      </c>
      <c r="S317" s="164">
        <f t="shared" si="44"/>
        <v>2425.6685399215353</v>
      </c>
      <c r="T317" s="241">
        <v>3564.43</v>
      </c>
      <c r="U317" s="165" t="s">
        <v>271</v>
      </c>
      <c r="W317" s="74"/>
      <c r="Y317" s="63"/>
      <c r="Z317" s="66"/>
      <c r="AA317" s="309"/>
      <c r="AB317" s="67"/>
      <c r="AC317" s="67"/>
      <c r="AD317" s="64"/>
    </row>
    <row r="318" spans="1:30" s="68" customFormat="1" ht="37.5" customHeight="1">
      <c r="A318" s="215">
        <f t="shared" si="46"/>
        <v>92</v>
      </c>
      <c r="B318" s="217" t="s">
        <v>3137</v>
      </c>
      <c r="C318" s="216">
        <v>1988</v>
      </c>
      <c r="D318" s="217"/>
      <c r="E318" s="217" t="s">
        <v>222</v>
      </c>
      <c r="F318" s="240">
        <v>3</v>
      </c>
      <c r="G318" s="240">
        <v>2</v>
      </c>
      <c r="H318" s="241">
        <v>1414</v>
      </c>
      <c r="I318" s="242">
        <v>1301.5</v>
      </c>
      <c r="J318" s="242">
        <v>1099.2</v>
      </c>
      <c r="K318" s="240">
        <v>70</v>
      </c>
      <c r="L318" s="240">
        <f>'2.виды ремонта'!O293</f>
        <v>1004</v>
      </c>
      <c r="M318" s="194" t="s">
        <v>227</v>
      </c>
      <c r="N318" s="241">
        <f>'2.виды ремонта'!C293</f>
        <v>2663101</v>
      </c>
      <c r="O318" s="241">
        <v>0</v>
      </c>
      <c r="P318" s="241">
        <v>0</v>
      </c>
      <c r="Q318" s="241">
        <v>0</v>
      </c>
      <c r="R318" s="241">
        <f t="shared" si="45"/>
        <v>2663101</v>
      </c>
      <c r="S318" s="241">
        <f t="shared" si="44"/>
        <v>2652.4910358565735</v>
      </c>
      <c r="T318" s="241">
        <v>3659.53</v>
      </c>
      <c r="U318" s="165" t="s">
        <v>271</v>
      </c>
      <c r="Y318" s="63"/>
      <c r="Z318" s="66"/>
      <c r="AA318" s="309"/>
      <c r="AB318" s="67"/>
      <c r="AC318" s="67"/>
      <c r="AD318" s="64"/>
    </row>
    <row r="319" spans="1:30" s="68" customFormat="1" ht="37.5" customHeight="1">
      <c r="A319" s="215">
        <f t="shared" si="46"/>
        <v>93</v>
      </c>
      <c r="B319" s="217" t="s">
        <v>3138</v>
      </c>
      <c r="C319" s="216">
        <v>1966</v>
      </c>
      <c r="D319" s="217"/>
      <c r="E319" s="217" t="s">
        <v>222</v>
      </c>
      <c r="F319" s="240">
        <v>5</v>
      </c>
      <c r="G319" s="240">
        <v>4</v>
      </c>
      <c r="H319" s="241">
        <v>3999</v>
      </c>
      <c r="I319" s="242">
        <v>3051.2</v>
      </c>
      <c r="J319" s="242">
        <v>3051.2</v>
      </c>
      <c r="K319" s="240">
        <v>156</v>
      </c>
      <c r="L319" s="240">
        <f>'2.виды ремонта'!G294</f>
        <v>884.9</v>
      </c>
      <c r="M319" s="255" t="s">
        <v>33</v>
      </c>
      <c r="N319" s="241">
        <f>'2.виды ремонта'!C294</f>
        <v>2147708</v>
      </c>
      <c r="O319" s="241">
        <v>0</v>
      </c>
      <c r="P319" s="241">
        <v>0</v>
      </c>
      <c r="Q319" s="241">
        <v>0</v>
      </c>
      <c r="R319" s="241">
        <f t="shared" si="45"/>
        <v>2147708</v>
      </c>
      <c r="S319" s="164">
        <f t="shared" si="44"/>
        <v>2427.062944965533</v>
      </c>
      <c r="T319" s="241">
        <v>3564.43</v>
      </c>
      <c r="U319" s="165" t="s">
        <v>271</v>
      </c>
      <c r="W319" s="74"/>
      <c r="Y319" s="63"/>
      <c r="Z319" s="66"/>
      <c r="AA319" s="309"/>
      <c r="AB319" s="67"/>
      <c r="AC319" s="67"/>
      <c r="AD319" s="64"/>
    </row>
    <row r="320" spans="1:30" s="68" customFormat="1" ht="37.5" customHeight="1">
      <c r="A320" s="215">
        <f t="shared" si="46"/>
        <v>94</v>
      </c>
      <c r="B320" s="217" t="s">
        <v>3139</v>
      </c>
      <c r="C320" s="216">
        <v>1995</v>
      </c>
      <c r="D320" s="217"/>
      <c r="E320" s="217" t="s">
        <v>222</v>
      </c>
      <c r="F320" s="240">
        <v>5</v>
      </c>
      <c r="G320" s="240">
        <v>1</v>
      </c>
      <c r="H320" s="241">
        <v>1703</v>
      </c>
      <c r="I320" s="242">
        <v>919</v>
      </c>
      <c r="J320" s="242">
        <v>919</v>
      </c>
      <c r="K320" s="240">
        <v>46</v>
      </c>
      <c r="L320" s="240">
        <f>'2.виды ремонта'!G295</f>
        <v>436.8</v>
      </c>
      <c r="M320" s="255" t="s">
        <v>33</v>
      </c>
      <c r="N320" s="241">
        <f>'2.виды ремонта'!C295</f>
        <v>1070269</v>
      </c>
      <c r="O320" s="241">
        <v>0</v>
      </c>
      <c r="P320" s="241">
        <v>0</v>
      </c>
      <c r="Q320" s="241">
        <v>0</v>
      </c>
      <c r="R320" s="241">
        <f t="shared" si="45"/>
        <v>1070269</v>
      </c>
      <c r="S320" s="164">
        <f t="shared" si="44"/>
        <v>2450.2495421245421</v>
      </c>
      <c r="T320" s="241">
        <v>3564.43</v>
      </c>
      <c r="U320" s="165" t="s">
        <v>271</v>
      </c>
      <c r="W320" s="74"/>
      <c r="Y320" s="63"/>
      <c r="Z320" s="66"/>
      <c r="AA320" s="309"/>
      <c r="AB320" s="67"/>
      <c r="AC320" s="67"/>
      <c r="AD320" s="64"/>
    </row>
    <row r="321" spans="1:30" s="68" customFormat="1" ht="37.5" customHeight="1">
      <c r="A321" s="215">
        <f t="shared" si="46"/>
        <v>95</v>
      </c>
      <c r="B321" s="217" t="s">
        <v>3140</v>
      </c>
      <c r="C321" s="216">
        <v>1994</v>
      </c>
      <c r="D321" s="217"/>
      <c r="E321" s="217" t="s">
        <v>222</v>
      </c>
      <c r="F321" s="240">
        <v>5</v>
      </c>
      <c r="G321" s="240">
        <v>1</v>
      </c>
      <c r="H321" s="241">
        <v>1699</v>
      </c>
      <c r="I321" s="242">
        <v>914</v>
      </c>
      <c r="J321" s="242">
        <v>914</v>
      </c>
      <c r="K321" s="240">
        <v>50</v>
      </c>
      <c r="L321" s="240">
        <f>'2.виды ремонта'!G296</f>
        <v>466.3</v>
      </c>
      <c r="M321" s="255" t="s">
        <v>33</v>
      </c>
      <c r="N321" s="241">
        <f>'2.виды ремонта'!C296</f>
        <v>621800</v>
      </c>
      <c r="O321" s="241">
        <v>0</v>
      </c>
      <c r="P321" s="241">
        <v>0</v>
      </c>
      <c r="Q321" s="241">
        <v>0</v>
      </c>
      <c r="R321" s="241">
        <f t="shared" si="45"/>
        <v>621800</v>
      </c>
      <c r="S321" s="241">
        <f t="shared" si="44"/>
        <v>1333.4763028093503</v>
      </c>
      <c r="T321" s="241">
        <v>3564.43</v>
      </c>
      <c r="U321" s="165" t="s">
        <v>271</v>
      </c>
      <c r="W321" s="74"/>
      <c r="Y321" s="63"/>
      <c r="Z321" s="66"/>
      <c r="AA321" s="309"/>
      <c r="AB321" s="67"/>
      <c r="AC321" s="67"/>
      <c r="AD321" s="64"/>
    </row>
    <row r="322" spans="1:30" s="68" customFormat="1" ht="37.5" customHeight="1">
      <c r="A322" s="215">
        <f t="shared" si="46"/>
        <v>96</v>
      </c>
      <c r="B322" s="217" t="s">
        <v>3141</v>
      </c>
      <c r="C322" s="216">
        <v>1994</v>
      </c>
      <c r="D322" s="217"/>
      <c r="E322" s="217" t="s">
        <v>222</v>
      </c>
      <c r="F322" s="240">
        <v>5</v>
      </c>
      <c r="G322" s="240">
        <v>1</v>
      </c>
      <c r="H322" s="241">
        <v>2017</v>
      </c>
      <c r="I322" s="242">
        <v>866</v>
      </c>
      <c r="J322" s="242">
        <v>866</v>
      </c>
      <c r="K322" s="240">
        <v>71</v>
      </c>
      <c r="L322" s="240">
        <f>'2.виды ремонта'!G297</f>
        <v>435</v>
      </c>
      <c r="M322" s="255" t="s">
        <v>33</v>
      </c>
      <c r="N322" s="241">
        <f>'2.виды ремонта'!C297</f>
        <v>1065940</v>
      </c>
      <c r="O322" s="241">
        <v>0</v>
      </c>
      <c r="P322" s="241">
        <v>0</v>
      </c>
      <c r="Q322" s="241">
        <v>0</v>
      </c>
      <c r="R322" s="241">
        <f t="shared" si="45"/>
        <v>1065940</v>
      </c>
      <c r="S322" s="164">
        <f t="shared" si="44"/>
        <v>2450.4367816091954</v>
      </c>
      <c r="T322" s="241">
        <v>3564.43</v>
      </c>
      <c r="U322" s="165" t="s">
        <v>271</v>
      </c>
      <c r="W322" s="74"/>
      <c r="Y322" s="63"/>
      <c r="Z322" s="66"/>
      <c r="AA322" s="309"/>
      <c r="AB322" s="67"/>
      <c r="AC322" s="67"/>
      <c r="AD322" s="64"/>
    </row>
    <row r="323" spans="1:30" s="68" customFormat="1" ht="37.5" customHeight="1">
      <c r="A323" s="215">
        <f t="shared" si="46"/>
        <v>97</v>
      </c>
      <c r="B323" s="216" t="s">
        <v>3142</v>
      </c>
      <c r="C323" s="216">
        <v>1958</v>
      </c>
      <c r="D323" s="216"/>
      <c r="E323" s="217" t="s">
        <v>222</v>
      </c>
      <c r="F323" s="252">
        <v>3</v>
      </c>
      <c r="G323" s="252">
        <v>2</v>
      </c>
      <c r="H323" s="241">
        <v>1475</v>
      </c>
      <c r="I323" s="242">
        <v>1050</v>
      </c>
      <c r="J323" s="242">
        <v>1050</v>
      </c>
      <c r="K323" s="240">
        <v>163</v>
      </c>
      <c r="L323" s="240">
        <f>'2.виды ремонта'!G298</f>
        <v>534</v>
      </c>
      <c r="M323" s="255" t="s">
        <v>33</v>
      </c>
      <c r="N323" s="241">
        <f>'2.виды ремонта'!C298</f>
        <v>1548785</v>
      </c>
      <c r="O323" s="241">
        <v>0</v>
      </c>
      <c r="P323" s="241">
        <v>0</v>
      </c>
      <c r="Q323" s="241">
        <v>0</v>
      </c>
      <c r="R323" s="241">
        <f t="shared" si="45"/>
        <v>1548785</v>
      </c>
      <c r="S323" s="164">
        <f t="shared" si="44"/>
        <v>2900.3464419475654</v>
      </c>
      <c r="T323" s="241">
        <v>3564.43</v>
      </c>
      <c r="U323" s="165" t="s">
        <v>271</v>
      </c>
      <c r="W323" s="74"/>
      <c r="Y323" s="63"/>
      <c r="Z323" s="66"/>
      <c r="AA323" s="309"/>
      <c r="AB323" s="67"/>
      <c r="AC323" s="67"/>
      <c r="AD323" s="64"/>
    </row>
    <row r="324" spans="1:30" s="68" customFormat="1" ht="37.5" customHeight="1">
      <c r="A324" s="215">
        <f t="shared" si="46"/>
        <v>98</v>
      </c>
      <c r="B324" s="217" t="s">
        <v>3144</v>
      </c>
      <c r="C324" s="216">
        <v>1977</v>
      </c>
      <c r="D324" s="217"/>
      <c r="E324" s="217" t="s">
        <v>222</v>
      </c>
      <c r="F324" s="240">
        <v>5</v>
      </c>
      <c r="G324" s="240">
        <v>14</v>
      </c>
      <c r="H324" s="241">
        <v>9759</v>
      </c>
      <c r="I324" s="242">
        <v>9759</v>
      </c>
      <c r="J324" s="242">
        <v>9138.9</v>
      </c>
      <c r="K324" s="240">
        <v>436</v>
      </c>
      <c r="L324" s="240">
        <f>'2.виды ремонта'!G299</f>
        <v>3300</v>
      </c>
      <c r="M324" s="255" t="s">
        <v>33</v>
      </c>
      <c r="N324" s="241">
        <f>'2.виды ремонта'!C299</f>
        <v>7954724</v>
      </c>
      <c r="O324" s="241">
        <v>0</v>
      </c>
      <c r="P324" s="241">
        <v>0</v>
      </c>
      <c r="Q324" s="241">
        <v>0</v>
      </c>
      <c r="R324" s="241">
        <f t="shared" si="45"/>
        <v>7954724</v>
      </c>
      <c r="S324" s="164">
        <f t="shared" si="44"/>
        <v>2410.5224242424242</v>
      </c>
      <c r="T324" s="241">
        <v>3564.43</v>
      </c>
      <c r="U324" s="165" t="s">
        <v>271</v>
      </c>
      <c r="W324" s="74"/>
      <c r="Y324" s="63"/>
      <c r="Z324" s="66"/>
      <c r="AA324" s="309"/>
      <c r="AB324" s="67"/>
      <c r="AC324" s="67"/>
      <c r="AD324" s="64"/>
    </row>
    <row r="325" spans="1:30" s="68" customFormat="1" ht="37.5" customHeight="1">
      <c r="A325" s="215">
        <f t="shared" si="46"/>
        <v>99</v>
      </c>
      <c r="B325" s="217" t="s">
        <v>3145</v>
      </c>
      <c r="C325" s="216">
        <v>1959</v>
      </c>
      <c r="D325" s="217"/>
      <c r="E325" s="217" t="s">
        <v>222</v>
      </c>
      <c r="F325" s="240">
        <v>4</v>
      </c>
      <c r="G325" s="240">
        <v>4</v>
      </c>
      <c r="H325" s="241">
        <v>2513</v>
      </c>
      <c r="I325" s="242">
        <v>2104.1</v>
      </c>
      <c r="J325" s="242">
        <v>2104.1</v>
      </c>
      <c r="K325" s="240">
        <v>127</v>
      </c>
      <c r="L325" s="172">
        <f>G325*(96.8*4)</f>
        <v>1548.8</v>
      </c>
      <c r="M325" s="255" t="s">
        <v>30</v>
      </c>
      <c r="N325" s="241">
        <f>'2.виды ремонта'!C300</f>
        <v>1311618</v>
      </c>
      <c r="O325" s="241">
        <v>0</v>
      </c>
      <c r="P325" s="241">
        <v>0</v>
      </c>
      <c r="Q325" s="241">
        <v>0</v>
      </c>
      <c r="R325" s="241">
        <f t="shared" si="45"/>
        <v>1311618</v>
      </c>
      <c r="S325" s="241">
        <f t="shared" si="44"/>
        <v>846.8607954545455</v>
      </c>
      <c r="T325" s="241">
        <v>3014.16</v>
      </c>
      <c r="U325" s="165" t="s">
        <v>271</v>
      </c>
      <c r="W325" s="74"/>
      <c r="Y325" s="63"/>
      <c r="Z325" s="66"/>
      <c r="AA325" s="309"/>
      <c r="AB325" s="67"/>
      <c r="AC325" s="67"/>
      <c r="AD325" s="64"/>
    </row>
    <row r="326" spans="1:30" s="68" customFormat="1" ht="37.5" customHeight="1">
      <c r="A326" s="215">
        <f t="shared" si="46"/>
        <v>100</v>
      </c>
      <c r="B326" s="217" t="s">
        <v>3146</v>
      </c>
      <c r="C326" s="216">
        <v>1960</v>
      </c>
      <c r="D326" s="217"/>
      <c r="E326" s="217" t="s">
        <v>222</v>
      </c>
      <c r="F326" s="240">
        <v>4</v>
      </c>
      <c r="G326" s="240">
        <v>2</v>
      </c>
      <c r="H326" s="241">
        <v>1248</v>
      </c>
      <c r="I326" s="242">
        <v>1128.3</v>
      </c>
      <c r="J326" s="242">
        <v>1128.3</v>
      </c>
      <c r="K326" s="240">
        <v>64</v>
      </c>
      <c r="L326" s="172">
        <f>G326*(96.8*4)</f>
        <v>774.4</v>
      </c>
      <c r="M326" s="255" t="s">
        <v>30</v>
      </c>
      <c r="N326" s="241">
        <f>'2.виды ремонта'!C301</f>
        <v>663578</v>
      </c>
      <c r="O326" s="241">
        <v>0</v>
      </c>
      <c r="P326" s="241">
        <v>0</v>
      </c>
      <c r="Q326" s="241">
        <v>0</v>
      </c>
      <c r="R326" s="241">
        <f t="shared" si="45"/>
        <v>663578</v>
      </c>
      <c r="S326" s="241">
        <f t="shared" si="44"/>
        <v>856.89307851239676</v>
      </c>
      <c r="T326" s="241">
        <v>3014.16</v>
      </c>
      <c r="U326" s="165" t="s">
        <v>271</v>
      </c>
      <c r="W326" s="74"/>
      <c r="Y326" s="63"/>
      <c r="Z326" s="66"/>
      <c r="AA326" s="309"/>
      <c r="AB326" s="67"/>
      <c r="AC326" s="67"/>
      <c r="AD326" s="64"/>
    </row>
    <row r="327" spans="1:30" s="68" customFormat="1" ht="37.5" customHeight="1">
      <c r="A327" s="215">
        <f t="shared" si="46"/>
        <v>101</v>
      </c>
      <c r="B327" s="217" t="s">
        <v>3147</v>
      </c>
      <c r="C327" s="216">
        <v>1961</v>
      </c>
      <c r="D327" s="217"/>
      <c r="E327" s="217" t="s">
        <v>222</v>
      </c>
      <c r="F327" s="240">
        <v>5</v>
      </c>
      <c r="G327" s="240">
        <v>4</v>
      </c>
      <c r="H327" s="241">
        <v>3095</v>
      </c>
      <c r="I327" s="242">
        <v>2695</v>
      </c>
      <c r="J327" s="242">
        <v>2695</v>
      </c>
      <c r="K327" s="240">
        <v>152</v>
      </c>
      <c r="L327" s="240">
        <f>'2.виды ремонта'!G302</f>
        <v>1155</v>
      </c>
      <c r="M327" s="255" t="s">
        <v>33</v>
      </c>
      <c r="N327" s="241">
        <f>'2.виды ремонта'!C302</f>
        <v>2797154</v>
      </c>
      <c r="O327" s="241">
        <v>0</v>
      </c>
      <c r="P327" s="241">
        <v>0</v>
      </c>
      <c r="Q327" s="241">
        <v>0</v>
      </c>
      <c r="R327" s="241">
        <f t="shared" si="45"/>
        <v>2797154</v>
      </c>
      <c r="S327" s="164">
        <f t="shared" ref="S327:S337" si="47">N327/L327</f>
        <v>2421.7783549783549</v>
      </c>
      <c r="T327" s="241">
        <v>3564.43</v>
      </c>
      <c r="U327" s="165" t="s">
        <v>271</v>
      </c>
      <c r="W327" s="74"/>
      <c r="Y327" s="63"/>
      <c r="Z327" s="66"/>
      <c r="AA327" s="309"/>
      <c r="AB327" s="67"/>
      <c r="AC327" s="67"/>
      <c r="AD327" s="64"/>
    </row>
    <row r="328" spans="1:30" s="68" customFormat="1" ht="37.5" customHeight="1">
      <c r="A328" s="215">
        <f t="shared" si="46"/>
        <v>102</v>
      </c>
      <c r="B328" s="217" t="s">
        <v>3149</v>
      </c>
      <c r="C328" s="216">
        <v>1975</v>
      </c>
      <c r="D328" s="217"/>
      <c r="E328" s="217" t="s">
        <v>222</v>
      </c>
      <c r="F328" s="240">
        <v>5</v>
      </c>
      <c r="G328" s="240">
        <v>4</v>
      </c>
      <c r="H328" s="241">
        <v>3345</v>
      </c>
      <c r="I328" s="242">
        <v>3007.5</v>
      </c>
      <c r="J328" s="242">
        <v>3007.5</v>
      </c>
      <c r="K328" s="240">
        <v>178</v>
      </c>
      <c r="L328" s="240">
        <f>'2.виды ремонта'!G303</f>
        <v>1260</v>
      </c>
      <c r="M328" s="255" t="s">
        <v>33</v>
      </c>
      <c r="N328" s="241">
        <f>'2.виды ремонта'!C303</f>
        <v>3049622</v>
      </c>
      <c r="O328" s="241">
        <v>0</v>
      </c>
      <c r="P328" s="241">
        <v>0</v>
      </c>
      <c r="Q328" s="241">
        <v>0</v>
      </c>
      <c r="R328" s="241">
        <f t="shared" si="45"/>
        <v>3049622</v>
      </c>
      <c r="S328" s="164">
        <f t="shared" si="47"/>
        <v>2420.3349206349208</v>
      </c>
      <c r="T328" s="241">
        <v>3564.43</v>
      </c>
      <c r="U328" s="165" t="s">
        <v>271</v>
      </c>
      <c r="W328" s="74"/>
      <c r="Y328" s="63"/>
      <c r="Z328" s="66"/>
      <c r="AA328" s="309"/>
      <c r="AB328" s="67"/>
      <c r="AC328" s="67"/>
      <c r="AD328" s="64"/>
    </row>
    <row r="329" spans="1:30" s="68" customFormat="1" ht="37.5" customHeight="1">
      <c r="A329" s="215">
        <f t="shared" si="46"/>
        <v>103</v>
      </c>
      <c r="B329" s="217" t="s">
        <v>3150</v>
      </c>
      <c r="C329" s="216">
        <v>1975</v>
      </c>
      <c r="D329" s="217"/>
      <c r="E329" s="217" t="s">
        <v>222</v>
      </c>
      <c r="F329" s="240">
        <v>5</v>
      </c>
      <c r="G329" s="240">
        <v>4</v>
      </c>
      <c r="H329" s="241">
        <v>4166</v>
      </c>
      <c r="I329" s="242">
        <v>3333.7</v>
      </c>
      <c r="J329" s="242">
        <v>3333.7</v>
      </c>
      <c r="K329" s="240">
        <v>176</v>
      </c>
      <c r="L329" s="240">
        <f>'2.виды ремонта'!G304</f>
        <v>1029.4000000000001</v>
      </c>
      <c r="M329" s="255" t="s">
        <v>33</v>
      </c>
      <c r="N329" s="241">
        <f>'2.виды ремонта'!C304</f>
        <v>2495153</v>
      </c>
      <c r="O329" s="241">
        <v>0</v>
      </c>
      <c r="P329" s="241">
        <v>0</v>
      </c>
      <c r="Q329" s="241">
        <v>0</v>
      </c>
      <c r="R329" s="241">
        <f t="shared" si="45"/>
        <v>2495153</v>
      </c>
      <c r="S329" s="164">
        <f t="shared" si="47"/>
        <v>2423.890615892753</v>
      </c>
      <c r="T329" s="241">
        <v>3564.43</v>
      </c>
      <c r="U329" s="165" t="s">
        <v>271</v>
      </c>
      <c r="W329" s="74"/>
      <c r="Y329" s="63"/>
      <c r="Z329" s="66"/>
      <c r="AA329" s="309"/>
      <c r="AB329" s="67"/>
      <c r="AC329" s="67"/>
      <c r="AD329" s="64"/>
    </row>
    <row r="330" spans="1:30" s="68" customFormat="1" ht="37.5" customHeight="1">
      <c r="A330" s="215">
        <f t="shared" si="46"/>
        <v>104</v>
      </c>
      <c r="B330" s="217" t="s">
        <v>3151</v>
      </c>
      <c r="C330" s="216">
        <v>1988</v>
      </c>
      <c r="D330" s="217"/>
      <c r="E330" s="217" t="s">
        <v>222</v>
      </c>
      <c r="F330" s="240">
        <v>5</v>
      </c>
      <c r="G330" s="240">
        <v>4</v>
      </c>
      <c r="H330" s="241">
        <v>2789</v>
      </c>
      <c r="I330" s="242">
        <v>2789</v>
      </c>
      <c r="J330" s="242">
        <v>2789</v>
      </c>
      <c r="K330" s="240">
        <v>140</v>
      </c>
      <c r="L330" s="240">
        <f>'2.виды ремонта'!G305</f>
        <v>884.2</v>
      </c>
      <c r="M330" s="255" t="s">
        <v>33</v>
      </c>
      <c r="N330" s="241">
        <f>'2.виды ремонта'!C305</f>
        <v>2145422</v>
      </c>
      <c r="O330" s="241">
        <v>0</v>
      </c>
      <c r="P330" s="241">
        <v>0</v>
      </c>
      <c r="Q330" s="241">
        <v>0</v>
      </c>
      <c r="R330" s="241">
        <f t="shared" si="45"/>
        <v>2145422</v>
      </c>
      <c r="S330" s="164">
        <f t="shared" si="47"/>
        <v>2426.3990047500565</v>
      </c>
      <c r="T330" s="241">
        <v>3564.43</v>
      </c>
      <c r="U330" s="165" t="s">
        <v>271</v>
      </c>
      <c r="W330" s="74"/>
      <c r="Y330" s="63"/>
      <c r="Z330" s="66"/>
      <c r="AA330" s="309"/>
      <c r="AB330" s="67"/>
      <c r="AC330" s="67"/>
      <c r="AD330" s="64"/>
    </row>
    <row r="331" spans="1:30" s="68" customFormat="1" ht="37.5" customHeight="1">
      <c r="A331" s="215">
        <f t="shared" si="46"/>
        <v>105</v>
      </c>
      <c r="B331" s="217" t="s">
        <v>3152</v>
      </c>
      <c r="C331" s="216">
        <v>1964</v>
      </c>
      <c r="D331" s="217"/>
      <c r="E331" s="217" t="s">
        <v>222</v>
      </c>
      <c r="F331" s="240">
        <v>5</v>
      </c>
      <c r="G331" s="240">
        <v>4</v>
      </c>
      <c r="H331" s="241">
        <v>3372</v>
      </c>
      <c r="I331" s="242">
        <v>3124.2</v>
      </c>
      <c r="J331" s="242">
        <v>2960.7</v>
      </c>
      <c r="K331" s="240">
        <v>180</v>
      </c>
      <c r="L331" s="240">
        <f>'2.виды ремонта'!G306</f>
        <v>968</v>
      </c>
      <c r="M331" s="255" t="s">
        <v>33</v>
      </c>
      <c r="N331" s="241">
        <f>'2.виды ремонта'!C306</f>
        <v>2347519</v>
      </c>
      <c r="O331" s="241">
        <v>0</v>
      </c>
      <c r="P331" s="241">
        <v>0</v>
      </c>
      <c r="Q331" s="241">
        <v>0</v>
      </c>
      <c r="R331" s="241">
        <f t="shared" si="45"/>
        <v>2347519</v>
      </c>
      <c r="S331" s="164">
        <f t="shared" si="47"/>
        <v>2425.1229338842977</v>
      </c>
      <c r="T331" s="241">
        <v>3564.43</v>
      </c>
      <c r="U331" s="165" t="s">
        <v>271</v>
      </c>
      <c r="W331" s="74"/>
      <c r="Y331" s="63"/>
      <c r="Z331" s="66"/>
      <c r="AA331" s="309"/>
      <c r="AB331" s="67"/>
      <c r="AC331" s="67"/>
      <c r="AD331" s="64"/>
    </row>
    <row r="332" spans="1:30" s="68" customFormat="1" ht="37.5" customHeight="1">
      <c r="A332" s="215">
        <f t="shared" si="46"/>
        <v>106</v>
      </c>
      <c r="B332" s="217" t="s">
        <v>3153</v>
      </c>
      <c r="C332" s="216">
        <v>1964</v>
      </c>
      <c r="D332" s="217"/>
      <c r="E332" s="217" t="s">
        <v>222</v>
      </c>
      <c r="F332" s="240">
        <v>5</v>
      </c>
      <c r="G332" s="240">
        <v>4</v>
      </c>
      <c r="H332" s="241">
        <v>3413</v>
      </c>
      <c r="I332" s="242">
        <v>3145.4</v>
      </c>
      <c r="J332" s="242">
        <v>3042</v>
      </c>
      <c r="K332" s="240">
        <v>168</v>
      </c>
      <c r="L332" s="240">
        <f>'2.виды ремонта'!G307</f>
        <v>961</v>
      </c>
      <c r="M332" s="255" t="s">
        <v>33</v>
      </c>
      <c r="N332" s="241">
        <f>'2.виды ремонта'!C307</f>
        <v>2330687</v>
      </c>
      <c r="O332" s="241">
        <v>0</v>
      </c>
      <c r="P332" s="241">
        <v>0</v>
      </c>
      <c r="Q332" s="241">
        <v>0</v>
      </c>
      <c r="R332" s="241">
        <f t="shared" si="45"/>
        <v>2330687</v>
      </c>
      <c r="S332" s="164">
        <f t="shared" si="47"/>
        <v>2425.2726326742977</v>
      </c>
      <c r="T332" s="241">
        <v>3564.43</v>
      </c>
      <c r="U332" s="165" t="s">
        <v>271</v>
      </c>
      <c r="W332" s="74"/>
      <c r="Y332" s="63"/>
      <c r="Z332" s="66"/>
      <c r="AA332" s="309"/>
      <c r="AB332" s="67"/>
      <c r="AC332" s="67"/>
      <c r="AD332" s="64"/>
    </row>
    <row r="333" spans="1:30" s="68" customFormat="1" ht="37.5" customHeight="1">
      <c r="A333" s="215">
        <f t="shared" si="46"/>
        <v>107</v>
      </c>
      <c r="B333" s="217" t="s">
        <v>3154</v>
      </c>
      <c r="C333" s="216">
        <v>1972</v>
      </c>
      <c r="D333" s="217"/>
      <c r="E333" s="217" t="s">
        <v>222</v>
      </c>
      <c r="F333" s="240">
        <v>5</v>
      </c>
      <c r="G333" s="240">
        <v>1</v>
      </c>
      <c r="H333" s="241">
        <v>3358</v>
      </c>
      <c r="I333" s="242">
        <v>3358</v>
      </c>
      <c r="J333" s="242">
        <v>3358</v>
      </c>
      <c r="K333" s="240">
        <v>278</v>
      </c>
      <c r="L333" s="240">
        <f>'2.виды ремонта'!G308</f>
        <v>1053</v>
      </c>
      <c r="M333" s="255" t="s">
        <v>33</v>
      </c>
      <c r="N333" s="241">
        <f>'2.виды ремонта'!C308</f>
        <v>2551898</v>
      </c>
      <c r="O333" s="241">
        <v>0</v>
      </c>
      <c r="P333" s="241">
        <v>0</v>
      </c>
      <c r="Q333" s="241">
        <v>0</v>
      </c>
      <c r="R333" s="241">
        <f>N333</f>
        <v>2551898</v>
      </c>
      <c r="S333" s="164">
        <f t="shared" si="47"/>
        <v>2423.454890788224</v>
      </c>
      <c r="T333" s="241">
        <v>3564.43</v>
      </c>
      <c r="U333" s="165" t="s">
        <v>271</v>
      </c>
      <c r="W333" s="74"/>
      <c r="Y333" s="63"/>
      <c r="Z333" s="66"/>
      <c r="AA333" s="309"/>
      <c r="AB333" s="67"/>
      <c r="AC333" s="67"/>
      <c r="AD333" s="64"/>
    </row>
    <row r="334" spans="1:30" s="68" customFormat="1" ht="37.5" customHeight="1">
      <c r="A334" s="215">
        <f t="shared" si="46"/>
        <v>108</v>
      </c>
      <c r="B334" s="217" t="s">
        <v>3155</v>
      </c>
      <c r="C334" s="216">
        <v>1990</v>
      </c>
      <c r="D334" s="217"/>
      <c r="E334" s="217" t="s">
        <v>222</v>
      </c>
      <c r="F334" s="240">
        <v>5</v>
      </c>
      <c r="G334" s="240">
        <v>5</v>
      </c>
      <c r="H334" s="241">
        <v>3448</v>
      </c>
      <c r="I334" s="242">
        <v>3284.5</v>
      </c>
      <c r="J334" s="242">
        <v>2823.3</v>
      </c>
      <c r="K334" s="240">
        <v>187</v>
      </c>
      <c r="L334" s="240">
        <f>'2.виды ремонта'!G309</f>
        <v>1032</v>
      </c>
      <c r="M334" s="255" t="s">
        <v>33</v>
      </c>
      <c r="N334" s="241">
        <f>'2.виды ремонта'!C309</f>
        <v>2501405</v>
      </c>
      <c r="O334" s="241">
        <v>0</v>
      </c>
      <c r="P334" s="241">
        <v>0</v>
      </c>
      <c r="Q334" s="241">
        <v>0</v>
      </c>
      <c r="R334" s="241">
        <f>N334</f>
        <v>2501405</v>
      </c>
      <c r="S334" s="164">
        <f t="shared" si="47"/>
        <v>2423.8420542635658</v>
      </c>
      <c r="T334" s="241">
        <v>3564.43</v>
      </c>
      <c r="U334" s="165" t="s">
        <v>271</v>
      </c>
      <c r="W334" s="74"/>
      <c r="Y334" s="63"/>
      <c r="Z334" s="66"/>
      <c r="AA334" s="309"/>
      <c r="AB334" s="67"/>
      <c r="AC334" s="67"/>
      <c r="AD334" s="64"/>
    </row>
    <row r="335" spans="1:30" s="68" customFormat="1" ht="37.5" customHeight="1">
      <c r="A335" s="215">
        <f t="shared" si="46"/>
        <v>109</v>
      </c>
      <c r="B335" s="217" t="s">
        <v>4156</v>
      </c>
      <c r="C335" s="216">
        <v>1996</v>
      </c>
      <c r="D335" s="217"/>
      <c r="E335" s="217" t="s">
        <v>222</v>
      </c>
      <c r="F335" s="240">
        <v>5</v>
      </c>
      <c r="G335" s="240">
        <v>5</v>
      </c>
      <c r="H335" s="241">
        <v>7255</v>
      </c>
      <c r="I335" s="242">
        <v>6348</v>
      </c>
      <c r="J335" s="242">
        <v>5819.6</v>
      </c>
      <c r="K335" s="240">
        <v>231</v>
      </c>
      <c r="L335" s="240">
        <f>'2.виды ремонта'!G310</f>
        <v>1866</v>
      </c>
      <c r="M335" s="255" t="s">
        <v>33</v>
      </c>
      <c r="N335" s="241">
        <f>'2.виды ремонта'!C310</f>
        <v>4334800</v>
      </c>
      <c r="O335" s="241">
        <v>0</v>
      </c>
      <c r="P335" s="241">
        <v>0</v>
      </c>
      <c r="Q335" s="241">
        <v>0</v>
      </c>
      <c r="R335" s="241">
        <f>N335-O335-P335-Q335</f>
        <v>4334800</v>
      </c>
      <c r="S335" s="164">
        <f t="shared" si="47"/>
        <v>2323.0439442658094</v>
      </c>
      <c r="T335" s="241">
        <v>3564.43</v>
      </c>
      <c r="U335" s="165" t="s">
        <v>271</v>
      </c>
      <c r="W335" s="74"/>
      <c r="Y335" s="63"/>
      <c r="Z335" s="66"/>
      <c r="AA335" s="309"/>
      <c r="AB335" s="67"/>
      <c r="AC335" s="67"/>
      <c r="AD335" s="64"/>
    </row>
    <row r="336" spans="1:30" s="68" customFormat="1" ht="37.5" customHeight="1">
      <c r="A336" s="1033">
        <v>110</v>
      </c>
      <c r="B336" s="1081" t="s">
        <v>4155</v>
      </c>
      <c r="C336" s="1034">
        <v>1962</v>
      </c>
      <c r="D336" s="1032"/>
      <c r="E336" s="1034" t="s">
        <v>222</v>
      </c>
      <c r="F336" s="1038">
        <v>5</v>
      </c>
      <c r="G336" s="1038">
        <v>5</v>
      </c>
      <c r="H336" s="1036">
        <v>5383</v>
      </c>
      <c r="I336" s="1037">
        <v>3694.1</v>
      </c>
      <c r="J336" s="1037">
        <v>2997.9</v>
      </c>
      <c r="K336" s="1035">
        <v>351</v>
      </c>
      <c r="L336" s="240">
        <f>'2.виды ремонта'!Q311</f>
        <v>2012.78</v>
      </c>
      <c r="M336" s="253" t="s">
        <v>253</v>
      </c>
      <c r="N336" s="241">
        <f>'2.виды ремонта'!R311</f>
        <v>8431302</v>
      </c>
      <c r="O336" s="241">
        <v>0</v>
      </c>
      <c r="P336" s="241">
        <v>0</v>
      </c>
      <c r="Q336" s="241">
        <v>0</v>
      </c>
      <c r="R336" s="241">
        <f>N336-O336-P336-Q336</f>
        <v>8431302</v>
      </c>
      <c r="S336" s="164">
        <f t="shared" si="47"/>
        <v>4188.8840310416435</v>
      </c>
      <c r="T336" s="241">
        <v>5864.42</v>
      </c>
      <c r="U336" s="165" t="s">
        <v>271</v>
      </c>
      <c r="W336" s="74"/>
      <c r="Y336" s="63"/>
      <c r="Z336" s="66"/>
      <c r="AA336" s="309"/>
      <c r="AB336" s="67"/>
      <c r="AC336" s="67"/>
      <c r="AD336" s="64"/>
    </row>
    <row r="337" spans="1:30" s="68" customFormat="1" ht="37.5" customHeight="1">
      <c r="A337" s="1033"/>
      <c r="B337" s="1081"/>
      <c r="C337" s="1034"/>
      <c r="D337" s="1032"/>
      <c r="E337" s="1034"/>
      <c r="F337" s="1038"/>
      <c r="G337" s="1038"/>
      <c r="H337" s="1036"/>
      <c r="I337" s="1037"/>
      <c r="J337" s="1037"/>
      <c r="K337" s="1035"/>
      <c r="L337" s="240">
        <f>'2.виды ремонта'!K311</f>
        <v>4894.6499999999996</v>
      </c>
      <c r="M337" s="253" t="s">
        <v>38</v>
      </c>
      <c r="N337" s="241">
        <f>'2.виды ремонта'!L311</f>
        <v>8237456.0199999996</v>
      </c>
      <c r="O337" s="241">
        <v>0</v>
      </c>
      <c r="P337" s="241">
        <v>0</v>
      </c>
      <c r="Q337" s="241">
        <v>0</v>
      </c>
      <c r="R337" s="241">
        <f>N337-O337-P337-Q337</f>
        <v>8237456.0199999996</v>
      </c>
      <c r="S337" s="164">
        <f t="shared" si="47"/>
        <v>1682.9509811733219</v>
      </c>
      <c r="T337" s="241">
        <v>1698.74</v>
      </c>
      <c r="U337" s="165" t="s">
        <v>271</v>
      </c>
      <c r="W337" s="74"/>
      <c r="Y337" s="63"/>
      <c r="Z337" s="66"/>
      <c r="AA337" s="309"/>
      <c r="AB337" s="67"/>
      <c r="AC337" s="67"/>
      <c r="AD337" s="64"/>
    </row>
    <row r="338" spans="1:30" s="68" customFormat="1" ht="37.5" customHeight="1">
      <c r="A338" s="215">
        <v>111</v>
      </c>
      <c r="B338" s="251" t="s">
        <v>1280</v>
      </c>
      <c r="C338" s="216">
        <v>1977</v>
      </c>
      <c r="D338" s="216"/>
      <c r="E338" s="216" t="s">
        <v>222</v>
      </c>
      <c r="F338" s="252">
        <v>9</v>
      </c>
      <c r="G338" s="252">
        <v>4</v>
      </c>
      <c r="H338" s="241">
        <v>9479</v>
      </c>
      <c r="I338" s="242">
        <v>8134</v>
      </c>
      <c r="J338" s="242">
        <v>7775</v>
      </c>
      <c r="K338" s="240">
        <v>377</v>
      </c>
      <c r="L338" s="240">
        <f>'2.виды ремонта'!K312</f>
        <v>10850</v>
      </c>
      <c r="M338" s="253" t="s">
        <v>38</v>
      </c>
      <c r="N338" s="241">
        <f>'2.виды ремонта'!C312</f>
        <v>18364241</v>
      </c>
      <c r="O338" s="241">
        <v>0</v>
      </c>
      <c r="P338" s="241">
        <v>0</v>
      </c>
      <c r="Q338" s="241">
        <v>0</v>
      </c>
      <c r="R338" s="241">
        <f>N338-O338-P338-Q338</f>
        <v>18364241</v>
      </c>
      <c r="S338" s="241">
        <f>N338/L338</f>
        <v>1692.5567741935483</v>
      </c>
      <c r="T338" s="241">
        <v>1698.74</v>
      </c>
      <c r="U338" s="165" t="s">
        <v>271</v>
      </c>
      <c r="W338" s="74"/>
      <c r="Y338" s="63"/>
      <c r="Z338" s="66"/>
      <c r="AA338" s="309"/>
      <c r="AB338" s="67"/>
      <c r="AC338" s="67"/>
      <c r="AD338" s="64"/>
    </row>
    <row r="339" spans="1:30" s="68" customFormat="1" ht="37.5" customHeight="1">
      <c r="A339" s="163"/>
      <c r="B339" s="209" t="s">
        <v>3953</v>
      </c>
      <c r="C339" s="262" t="s">
        <v>28</v>
      </c>
      <c r="D339" s="262" t="s">
        <v>28</v>
      </c>
      <c r="E339" s="262" t="s">
        <v>28</v>
      </c>
      <c r="F339" s="241" t="s">
        <v>28</v>
      </c>
      <c r="G339" s="241" t="s">
        <v>28</v>
      </c>
      <c r="H339" s="241">
        <f>SUM(H253:H338)</f>
        <v>339964.1</v>
      </c>
      <c r="I339" s="241">
        <f>SUM(I253:I338)</f>
        <v>291910.10000000003</v>
      </c>
      <c r="J339" s="241">
        <f>SUM(J253:J338)</f>
        <v>278357</v>
      </c>
      <c r="K339" s="241">
        <f>SUM(K253:K338)</f>
        <v>15249</v>
      </c>
      <c r="L339" s="241" t="s">
        <v>28</v>
      </c>
      <c r="M339" s="163" t="s">
        <v>28</v>
      </c>
      <c r="N339" s="241">
        <f>SUM(N253:N338)</f>
        <v>251985190.02000001</v>
      </c>
      <c r="O339" s="241">
        <f>SUM(O253:O338)</f>
        <v>0</v>
      </c>
      <c r="P339" s="241">
        <f>SUM(P253:P338)</f>
        <v>0</v>
      </c>
      <c r="Q339" s="241">
        <f>SUM(Q253:Q338)</f>
        <v>0</v>
      </c>
      <c r="R339" s="241">
        <f>SUM(R253:R338)</f>
        <v>251985190.02000001</v>
      </c>
      <c r="S339" s="241" t="s">
        <v>28</v>
      </c>
      <c r="T339" s="241" t="s">
        <v>28</v>
      </c>
      <c r="U339" s="241" t="s">
        <v>271</v>
      </c>
      <c r="W339" s="74"/>
      <c r="Y339" s="63"/>
      <c r="Z339" s="66"/>
      <c r="AA339" s="309"/>
      <c r="AB339" s="67"/>
      <c r="AC339" s="67"/>
      <c r="AD339" s="64"/>
    </row>
    <row r="340" spans="1:30" s="68" customFormat="1" ht="41.25" customHeight="1">
      <c r="A340" s="1057" t="s">
        <v>146</v>
      </c>
      <c r="B340" s="1057"/>
      <c r="C340" s="1057"/>
      <c r="D340" s="1057"/>
      <c r="E340" s="262" t="s">
        <v>28</v>
      </c>
      <c r="F340" s="241" t="s">
        <v>28</v>
      </c>
      <c r="G340" s="241" t="s">
        <v>28</v>
      </c>
      <c r="H340" s="241">
        <f>H252+H339</f>
        <v>476210.89999999997</v>
      </c>
      <c r="I340" s="241">
        <f>I252+I339</f>
        <v>410959.33</v>
      </c>
      <c r="J340" s="241">
        <f>J252+J339</f>
        <v>388566.23000000004</v>
      </c>
      <c r="K340" s="241">
        <f>K252+K339</f>
        <v>21367</v>
      </c>
      <c r="L340" s="241" t="s">
        <v>28</v>
      </c>
      <c r="M340" s="163" t="s">
        <v>28</v>
      </c>
      <c r="N340" s="241">
        <f>N252+N339</f>
        <v>371684408.01999998</v>
      </c>
      <c r="O340" s="241">
        <f>O252+O339</f>
        <v>0</v>
      </c>
      <c r="P340" s="241">
        <f>P252+P339</f>
        <v>22800000</v>
      </c>
      <c r="Q340" s="241">
        <f>Q252+Q339</f>
        <v>0</v>
      </c>
      <c r="R340" s="241">
        <f>R252+R339</f>
        <v>348884408.01999998</v>
      </c>
      <c r="S340" s="241" t="s">
        <v>28</v>
      </c>
      <c r="T340" s="241" t="s">
        <v>28</v>
      </c>
      <c r="U340" s="241" t="s">
        <v>271</v>
      </c>
      <c r="V340" s="62"/>
      <c r="W340" s="62"/>
      <c r="X340" s="62"/>
      <c r="Y340" s="63"/>
      <c r="AA340" s="309"/>
      <c r="AD340" s="64"/>
    </row>
    <row r="341" spans="1:30" s="15" customFormat="1" ht="39.75" customHeight="1">
      <c r="A341" s="1078" t="s">
        <v>90</v>
      </c>
      <c r="B341" s="1078"/>
      <c r="C341" s="1078"/>
      <c r="D341" s="1078"/>
      <c r="E341" s="1078"/>
      <c r="F341" s="1078"/>
      <c r="G341" s="1078"/>
      <c r="H341" s="1078"/>
      <c r="I341" s="1078"/>
      <c r="J341" s="1078"/>
      <c r="K341" s="1078"/>
      <c r="L341" s="1078"/>
      <c r="M341" s="1078"/>
      <c r="N341" s="1078"/>
      <c r="O341" s="1078"/>
      <c r="P341" s="1078"/>
      <c r="Q341" s="1078"/>
      <c r="R341" s="1078"/>
      <c r="S341" s="1078"/>
      <c r="T341" s="1078"/>
      <c r="U341" s="1078"/>
      <c r="W341" s="16"/>
      <c r="X341" s="16"/>
      <c r="Y341" s="44"/>
      <c r="AA341" s="47"/>
      <c r="AD341" s="25"/>
    </row>
    <row r="342" spans="1:30" s="82" customFormat="1" ht="41.25" customHeight="1">
      <c r="A342" s="1045" t="s">
        <v>145</v>
      </c>
      <c r="B342" s="1045"/>
      <c r="C342" s="1045"/>
      <c r="D342" s="1045"/>
      <c r="E342" s="1045"/>
      <c r="F342" s="1045"/>
      <c r="G342" s="1045"/>
      <c r="H342" s="1045"/>
      <c r="I342" s="1045"/>
      <c r="J342" s="1045"/>
      <c r="K342" s="1045"/>
      <c r="L342" s="1045"/>
      <c r="M342" s="1045"/>
      <c r="N342" s="1045"/>
      <c r="O342" s="1045"/>
      <c r="P342" s="1045"/>
      <c r="Q342" s="1045"/>
      <c r="R342" s="1045"/>
      <c r="S342" s="1045"/>
      <c r="T342" s="1045"/>
      <c r="U342" s="1045"/>
      <c r="W342" s="87"/>
      <c r="Y342" s="79"/>
      <c r="AA342" s="311"/>
      <c r="AD342" s="80"/>
    </row>
    <row r="343" spans="1:30" s="82" customFormat="1" ht="37.5" customHeight="1">
      <c r="A343" s="243">
        <v>1</v>
      </c>
      <c r="B343" s="244" t="s">
        <v>3450</v>
      </c>
      <c r="C343" s="245">
        <v>1974</v>
      </c>
      <c r="D343" s="245"/>
      <c r="E343" s="244" t="s">
        <v>222</v>
      </c>
      <c r="F343" s="248">
        <v>5</v>
      </c>
      <c r="G343" s="248">
        <v>6</v>
      </c>
      <c r="H343" s="223">
        <v>4966</v>
      </c>
      <c r="I343" s="224">
        <v>4547.5</v>
      </c>
      <c r="J343" s="224">
        <v>4410.2</v>
      </c>
      <c r="K343" s="248">
        <v>241</v>
      </c>
      <c r="L343" s="248">
        <f>'2.виды ремонта'!G316</f>
        <v>1395</v>
      </c>
      <c r="M343" s="243" t="s">
        <v>33</v>
      </c>
      <c r="N343" s="202">
        <f>'2.виды ремонта'!C316</f>
        <v>3398044</v>
      </c>
      <c r="O343" s="200">
        <v>0</v>
      </c>
      <c r="P343" s="200">
        <v>0</v>
      </c>
      <c r="Q343" s="200">
        <v>0</v>
      </c>
      <c r="R343" s="223">
        <f>N343</f>
        <v>3398044</v>
      </c>
      <c r="S343" s="173">
        <f t="shared" ref="S343:S359" si="48">N343/L343</f>
        <v>2435.8738351254478</v>
      </c>
      <c r="T343" s="223">
        <v>3564.43</v>
      </c>
      <c r="U343" s="195" t="s">
        <v>356</v>
      </c>
      <c r="Y343" s="79"/>
      <c r="Z343" s="83"/>
      <c r="AA343" s="311"/>
      <c r="AB343" s="84"/>
      <c r="AC343" s="84"/>
      <c r="AD343" s="80"/>
    </row>
    <row r="344" spans="1:30" s="82" customFormat="1" ht="37.5" customHeight="1">
      <c r="A344" s="243">
        <f>A343+1</f>
        <v>2</v>
      </c>
      <c r="B344" s="244" t="s">
        <v>2145</v>
      </c>
      <c r="C344" s="245">
        <v>1987</v>
      </c>
      <c r="D344" s="203"/>
      <c r="E344" s="199" t="s">
        <v>222</v>
      </c>
      <c r="F344" s="248">
        <v>12</v>
      </c>
      <c r="G344" s="248">
        <v>1</v>
      </c>
      <c r="H344" s="223">
        <v>4520</v>
      </c>
      <c r="I344" s="224">
        <v>3688.5</v>
      </c>
      <c r="J344" s="224">
        <v>3688.5</v>
      </c>
      <c r="K344" s="248">
        <v>206</v>
      </c>
      <c r="L344" s="248">
        <f>G344*948.5</f>
        <v>948.5</v>
      </c>
      <c r="M344" s="243" t="s">
        <v>30</v>
      </c>
      <c r="N344" s="202">
        <f>'2.виды ремонта'!C317</f>
        <v>2129728</v>
      </c>
      <c r="O344" s="200">
        <v>0</v>
      </c>
      <c r="P344" s="200">
        <v>0</v>
      </c>
      <c r="Q344" s="200">
        <v>0</v>
      </c>
      <c r="R344" s="223">
        <f t="shared" ref="R344:R361" si="49">N344</f>
        <v>2129728</v>
      </c>
      <c r="S344" s="173">
        <f t="shared" si="48"/>
        <v>2245.3642593568793</v>
      </c>
      <c r="T344" s="223">
        <v>3014.16</v>
      </c>
      <c r="U344" s="195" t="s">
        <v>356</v>
      </c>
      <c r="Y344" s="79"/>
      <c r="Z344" s="83"/>
      <c r="AA344" s="311"/>
      <c r="AB344" s="84"/>
      <c r="AC344" s="84"/>
      <c r="AD344" s="80"/>
    </row>
    <row r="345" spans="1:30" s="82" customFormat="1" ht="37.5" customHeight="1">
      <c r="A345" s="243">
        <f t="shared" ref="A345:A374" si="50">A344+1</f>
        <v>3</v>
      </c>
      <c r="B345" s="244" t="s">
        <v>3451</v>
      </c>
      <c r="C345" s="245">
        <v>1969</v>
      </c>
      <c r="D345" s="244"/>
      <c r="E345" s="244" t="s">
        <v>222</v>
      </c>
      <c r="F345" s="248">
        <v>9</v>
      </c>
      <c r="G345" s="248">
        <v>6</v>
      </c>
      <c r="H345" s="223">
        <v>17204</v>
      </c>
      <c r="I345" s="224">
        <v>15343</v>
      </c>
      <c r="J345" s="224">
        <v>12367.8</v>
      </c>
      <c r="K345" s="248">
        <v>553</v>
      </c>
      <c r="L345" s="248">
        <f>'2.виды ремонта'!G318</f>
        <v>3567</v>
      </c>
      <c r="M345" s="243" t="s">
        <v>33</v>
      </c>
      <c r="N345" s="202">
        <f>'2.виды ремонта'!C318</f>
        <v>8626482</v>
      </c>
      <c r="O345" s="200">
        <v>0</v>
      </c>
      <c r="P345" s="200">
        <v>0</v>
      </c>
      <c r="Q345" s="200">
        <v>0</v>
      </c>
      <c r="R345" s="223">
        <f t="shared" si="49"/>
        <v>8626482</v>
      </c>
      <c r="S345" s="173">
        <f t="shared" si="48"/>
        <v>2418.4137931034484</v>
      </c>
      <c r="T345" s="223">
        <v>3564.43</v>
      </c>
      <c r="U345" s="195" t="s">
        <v>356</v>
      </c>
      <c r="Y345" s="79"/>
      <c r="Z345" s="83"/>
      <c r="AA345" s="311"/>
      <c r="AB345" s="84"/>
      <c r="AC345" s="84"/>
      <c r="AD345" s="80"/>
    </row>
    <row r="346" spans="1:30" s="82" customFormat="1" ht="37.5" customHeight="1">
      <c r="A346" s="243">
        <f t="shared" si="50"/>
        <v>4</v>
      </c>
      <c r="B346" s="244" t="s">
        <v>3452</v>
      </c>
      <c r="C346" s="245">
        <v>1996</v>
      </c>
      <c r="D346" s="244"/>
      <c r="E346" s="244" t="s">
        <v>218</v>
      </c>
      <c r="F346" s="248">
        <v>9</v>
      </c>
      <c r="G346" s="248">
        <v>2</v>
      </c>
      <c r="H346" s="223">
        <v>4791</v>
      </c>
      <c r="I346" s="224">
        <v>4185.8999999999996</v>
      </c>
      <c r="J346" s="224">
        <v>4084.8</v>
      </c>
      <c r="K346" s="248">
        <v>235</v>
      </c>
      <c r="L346" s="248">
        <f>'2.виды ремонта'!O319</f>
        <v>3720</v>
      </c>
      <c r="M346" s="243" t="s">
        <v>227</v>
      </c>
      <c r="N346" s="202">
        <f>'2.виды ремонта'!C319</f>
        <v>9747000</v>
      </c>
      <c r="O346" s="200">
        <v>0</v>
      </c>
      <c r="P346" s="200">
        <v>0</v>
      </c>
      <c r="Q346" s="200">
        <v>0</v>
      </c>
      <c r="R346" s="223">
        <f t="shared" si="49"/>
        <v>9747000</v>
      </c>
      <c r="S346" s="223">
        <f t="shared" si="48"/>
        <v>2620.1612903225805</v>
      </c>
      <c r="T346" s="223">
        <v>3659.53</v>
      </c>
      <c r="U346" s="195" t="s">
        <v>356</v>
      </c>
      <c r="Y346" s="79"/>
      <c r="Z346" s="83"/>
      <c r="AA346" s="311"/>
      <c r="AB346" s="84"/>
      <c r="AC346" s="84"/>
      <c r="AD346" s="80"/>
    </row>
    <row r="347" spans="1:30" s="82" customFormat="1" ht="37.5" customHeight="1">
      <c r="A347" s="243">
        <v>5</v>
      </c>
      <c r="B347" s="244" t="s">
        <v>3453</v>
      </c>
      <c r="C347" s="245">
        <v>1994</v>
      </c>
      <c r="D347" s="244"/>
      <c r="E347" s="244" t="s">
        <v>218</v>
      </c>
      <c r="F347" s="248">
        <v>9</v>
      </c>
      <c r="G347" s="248">
        <v>1</v>
      </c>
      <c r="H347" s="223">
        <v>2468</v>
      </c>
      <c r="I347" s="224">
        <v>2037.9</v>
      </c>
      <c r="J347" s="224">
        <v>1810.5</v>
      </c>
      <c r="K347" s="248">
        <v>105</v>
      </c>
      <c r="L347" s="248">
        <f>'2.виды ремонта'!O320</f>
        <v>1972</v>
      </c>
      <c r="M347" s="243" t="s">
        <v>227</v>
      </c>
      <c r="N347" s="202">
        <f>'2.виды ремонта'!C320</f>
        <v>5202200</v>
      </c>
      <c r="O347" s="200">
        <v>0</v>
      </c>
      <c r="P347" s="200">
        <v>0</v>
      </c>
      <c r="Q347" s="200">
        <v>0</v>
      </c>
      <c r="R347" s="223">
        <f t="shared" si="49"/>
        <v>5202200</v>
      </c>
      <c r="S347" s="223">
        <f t="shared" si="48"/>
        <v>2638.032454361055</v>
      </c>
      <c r="T347" s="223">
        <v>3659.53</v>
      </c>
      <c r="U347" s="195" t="s">
        <v>356</v>
      </c>
      <c r="Y347" s="79"/>
      <c r="Z347" s="83"/>
      <c r="AA347" s="311"/>
      <c r="AB347" s="84"/>
      <c r="AC347" s="84"/>
      <c r="AD347" s="80"/>
    </row>
    <row r="348" spans="1:30" s="82" customFormat="1" ht="37.5" customHeight="1">
      <c r="A348" s="243">
        <v>6</v>
      </c>
      <c r="B348" s="244" t="s">
        <v>3454</v>
      </c>
      <c r="C348" s="245">
        <v>1962</v>
      </c>
      <c r="D348" s="244"/>
      <c r="E348" s="244" t="s">
        <v>222</v>
      </c>
      <c r="F348" s="248">
        <v>5</v>
      </c>
      <c r="G348" s="248">
        <v>4</v>
      </c>
      <c r="H348" s="223">
        <v>3949</v>
      </c>
      <c r="I348" s="224">
        <v>3158.5</v>
      </c>
      <c r="J348" s="224">
        <v>2999.9</v>
      </c>
      <c r="K348" s="248">
        <v>174</v>
      </c>
      <c r="L348" s="248">
        <f>'2.виды ремонта'!G321</f>
        <v>1327</v>
      </c>
      <c r="M348" s="243" t="s">
        <v>33</v>
      </c>
      <c r="N348" s="202">
        <f>'2.виды ремонта'!C321</f>
        <v>3790600</v>
      </c>
      <c r="O348" s="200">
        <v>0</v>
      </c>
      <c r="P348" s="200">
        <v>0</v>
      </c>
      <c r="Q348" s="200">
        <v>0</v>
      </c>
      <c r="R348" s="223">
        <f t="shared" si="49"/>
        <v>3790600</v>
      </c>
      <c r="S348" s="173">
        <f t="shared" si="48"/>
        <v>2856.5184626978148</v>
      </c>
      <c r="T348" s="223">
        <v>3564.43</v>
      </c>
      <c r="U348" s="195" t="s">
        <v>356</v>
      </c>
      <c r="Y348" s="79"/>
      <c r="Z348" s="83"/>
      <c r="AA348" s="311"/>
      <c r="AB348" s="84"/>
      <c r="AC348" s="84"/>
      <c r="AD348" s="80"/>
    </row>
    <row r="349" spans="1:30" s="82" customFormat="1" ht="37.5" customHeight="1">
      <c r="A349" s="243">
        <f t="shared" si="50"/>
        <v>7</v>
      </c>
      <c r="B349" s="244" t="s">
        <v>3455</v>
      </c>
      <c r="C349" s="245">
        <v>1994</v>
      </c>
      <c r="D349" s="244"/>
      <c r="E349" s="244" t="s">
        <v>222</v>
      </c>
      <c r="F349" s="248">
        <v>5</v>
      </c>
      <c r="G349" s="248">
        <v>2</v>
      </c>
      <c r="H349" s="223">
        <v>1575</v>
      </c>
      <c r="I349" s="224">
        <v>1372.5</v>
      </c>
      <c r="J349" s="224">
        <v>1372.5</v>
      </c>
      <c r="K349" s="248">
        <v>66</v>
      </c>
      <c r="L349" s="248">
        <f>'2.виды ремонта'!O322</f>
        <v>1235</v>
      </c>
      <c r="M349" s="205" t="s">
        <v>227</v>
      </c>
      <c r="N349" s="202">
        <f>'2.виды ремонта'!C322</f>
        <v>3276688</v>
      </c>
      <c r="O349" s="200">
        <v>0</v>
      </c>
      <c r="P349" s="200">
        <v>0</v>
      </c>
      <c r="Q349" s="200">
        <v>0</v>
      </c>
      <c r="R349" s="223">
        <f t="shared" si="49"/>
        <v>3276688</v>
      </c>
      <c r="S349" s="223">
        <f t="shared" si="48"/>
        <v>2653.1886639676113</v>
      </c>
      <c r="T349" s="223">
        <v>3659.53</v>
      </c>
      <c r="U349" s="195" t="s">
        <v>356</v>
      </c>
      <c r="Y349" s="79"/>
      <c r="Z349" s="83"/>
      <c r="AA349" s="311"/>
      <c r="AB349" s="84"/>
      <c r="AC349" s="84"/>
      <c r="AD349" s="80"/>
    </row>
    <row r="350" spans="1:30" s="82" customFormat="1" ht="37.5" customHeight="1">
      <c r="A350" s="243">
        <v>8</v>
      </c>
      <c r="B350" s="244" t="s">
        <v>3456</v>
      </c>
      <c r="C350" s="245">
        <v>1976</v>
      </c>
      <c r="D350" s="245"/>
      <c r="E350" s="244" t="s">
        <v>222</v>
      </c>
      <c r="F350" s="248">
        <v>9</v>
      </c>
      <c r="G350" s="248">
        <v>10</v>
      </c>
      <c r="H350" s="223">
        <v>23734</v>
      </c>
      <c r="I350" s="224">
        <v>11940</v>
      </c>
      <c r="J350" s="224">
        <v>11601.8</v>
      </c>
      <c r="K350" s="248">
        <v>927</v>
      </c>
      <c r="L350" s="198">
        <f>G350*711.5</f>
        <v>7115</v>
      </c>
      <c r="M350" s="243" t="s">
        <v>239</v>
      </c>
      <c r="N350" s="202">
        <f>'2.виды ремонта'!C323</f>
        <v>11185000</v>
      </c>
      <c r="O350" s="200">
        <v>0</v>
      </c>
      <c r="P350" s="200">
        <v>0</v>
      </c>
      <c r="Q350" s="200">
        <v>0</v>
      </c>
      <c r="R350" s="223">
        <f t="shared" si="49"/>
        <v>11185000</v>
      </c>
      <c r="S350" s="173">
        <f t="shared" si="48"/>
        <v>1572.0309205903022</v>
      </c>
      <c r="T350" s="223">
        <v>3014.16</v>
      </c>
      <c r="U350" s="195" t="s">
        <v>356</v>
      </c>
      <c r="Y350" s="79"/>
      <c r="Z350" s="83"/>
      <c r="AA350" s="311"/>
      <c r="AB350" s="84"/>
      <c r="AC350" s="84"/>
      <c r="AD350" s="80"/>
    </row>
    <row r="351" spans="1:30" s="82" customFormat="1" ht="37.5" customHeight="1">
      <c r="A351" s="243">
        <f t="shared" si="50"/>
        <v>9</v>
      </c>
      <c r="B351" s="244" t="s">
        <v>3457</v>
      </c>
      <c r="C351" s="245">
        <v>1973</v>
      </c>
      <c r="D351" s="245"/>
      <c r="E351" s="244" t="s">
        <v>222</v>
      </c>
      <c r="F351" s="248">
        <v>9</v>
      </c>
      <c r="G351" s="248">
        <v>2</v>
      </c>
      <c r="H351" s="223">
        <v>6525</v>
      </c>
      <c r="I351" s="224">
        <v>5965</v>
      </c>
      <c r="J351" s="224">
        <v>4569</v>
      </c>
      <c r="K351" s="248">
        <v>244</v>
      </c>
      <c r="L351" s="248">
        <f>'2.виды ремонта'!O324</f>
        <v>3568</v>
      </c>
      <c r="M351" s="243" t="s">
        <v>227</v>
      </c>
      <c r="N351" s="202">
        <f>'2.виды ремонта'!C324</f>
        <v>9409568</v>
      </c>
      <c r="O351" s="200">
        <v>0</v>
      </c>
      <c r="P351" s="200">
        <v>0</v>
      </c>
      <c r="Q351" s="200">
        <v>0</v>
      </c>
      <c r="R351" s="223">
        <f t="shared" si="49"/>
        <v>9409568</v>
      </c>
      <c r="S351" s="223">
        <f t="shared" si="48"/>
        <v>2637.2107623318384</v>
      </c>
      <c r="T351" s="223">
        <v>3659.53</v>
      </c>
      <c r="U351" s="195" t="s">
        <v>356</v>
      </c>
      <c r="Y351" s="79"/>
      <c r="Z351" s="83"/>
      <c r="AA351" s="311"/>
      <c r="AB351" s="84"/>
      <c r="AC351" s="84"/>
      <c r="AD351" s="80"/>
    </row>
    <row r="352" spans="1:30" s="82" customFormat="1" ht="37.5" customHeight="1">
      <c r="A352" s="243">
        <f t="shared" si="50"/>
        <v>10</v>
      </c>
      <c r="B352" s="244" t="s">
        <v>2184</v>
      </c>
      <c r="C352" s="245">
        <v>1988</v>
      </c>
      <c r="D352" s="203"/>
      <c r="E352" s="199" t="s">
        <v>222</v>
      </c>
      <c r="F352" s="248">
        <v>9</v>
      </c>
      <c r="G352" s="248">
        <v>5</v>
      </c>
      <c r="H352" s="223">
        <v>11046</v>
      </c>
      <c r="I352" s="224">
        <v>9691.7999999999993</v>
      </c>
      <c r="J352" s="224">
        <v>8877.2000000000007</v>
      </c>
      <c r="K352" s="248">
        <v>505</v>
      </c>
      <c r="L352" s="248">
        <f>'2.виды ремонта'!O325</f>
        <v>9920</v>
      </c>
      <c r="M352" s="243" t="s">
        <v>227</v>
      </c>
      <c r="N352" s="202">
        <f>'2.виды ремонта'!C325</f>
        <v>25872000</v>
      </c>
      <c r="O352" s="200">
        <v>0</v>
      </c>
      <c r="P352" s="200">
        <v>0</v>
      </c>
      <c r="Q352" s="200">
        <v>0</v>
      </c>
      <c r="R352" s="223">
        <f t="shared" si="49"/>
        <v>25872000</v>
      </c>
      <c r="S352" s="223">
        <f t="shared" si="48"/>
        <v>2608.0645161290322</v>
      </c>
      <c r="T352" s="223">
        <v>3659.53</v>
      </c>
      <c r="U352" s="195" t="s">
        <v>356</v>
      </c>
      <c r="Y352" s="79"/>
      <c r="Z352" s="83"/>
      <c r="AA352" s="311"/>
      <c r="AB352" s="84"/>
      <c r="AC352" s="84"/>
      <c r="AD352" s="80"/>
    </row>
    <row r="353" spans="1:30" s="82" customFormat="1" ht="37.5" customHeight="1">
      <c r="A353" s="243">
        <f t="shared" si="50"/>
        <v>11</v>
      </c>
      <c r="B353" s="244" t="s">
        <v>3458</v>
      </c>
      <c r="C353" s="245">
        <v>1970</v>
      </c>
      <c r="D353" s="245"/>
      <c r="E353" s="244" t="s">
        <v>222</v>
      </c>
      <c r="F353" s="248">
        <v>9</v>
      </c>
      <c r="G353" s="248">
        <v>5</v>
      </c>
      <c r="H353" s="223">
        <v>18542</v>
      </c>
      <c r="I353" s="224">
        <v>13458</v>
      </c>
      <c r="J353" s="224">
        <v>8924.9</v>
      </c>
      <c r="K353" s="248">
        <v>500</v>
      </c>
      <c r="L353" s="248">
        <f>'2.виды ремонта'!G326</f>
        <v>4207</v>
      </c>
      <c r="M353" s="243" t="s">
        <v>33</v>
      </c>
      <c r="N353" s="202">
        <f>'2.виды ремонта'!C326</f>
        <v>10167090</v>
      </c>
      <c r="O353" s="200">
        <v>0</v>
      </c>
      <c r="P353" s="200">
        <v>0</v>
      </c>
      <c r="Q353" s="200">
        <v>0</v>
      </c>
      <c r="R353" s="223">
        <f t="shared" si="49"/>
        <v>10167090</v>
      </c>
      <c r="S353" s="173">
        <f t="shared" si="48"/>
        <v>2416.7078678393154</v>
      </c>
      <c r="T353" s="223">
        <v>3564.43</v>
      </c>
      <c r="U353" s="195" t="s">
        <v>356</v>
      </c>
      <c r="Y353" s="79"/>
      <c r="Z353" s="83"/>
      <c r="AA353" s="311"/>
      <c r="AB353" s="84"/>
      <c r="AC353" s="84"/>
      <c r="AD353" s="80"/>
    </row>
    <row r="354" spans="1:30" s="82" customFormat="1" ht="37.5" customHeight="1">
      <c r="A354" s="243">
        <v>12</v>
      </c>
      <c r="B354" s="244" t="s">
        <v>3459</v>
      </c>
      <c r="C354" s="245">
        <v>1995</v>
      </c>
      <c r="D354" s="244"/>
      <c r="E354" s="244" t="s">
        <v>222</v>
      </c>
      <c r="F354" s="222">
        <v>9</v>
      </c>
      <c r="G354" s="222">
        <v>1</v>
      </c>
      <c r="H354" s="223">
        <v>3495</v>
      </c>
      <c r="I354" s="224">
        <v>3166.6</v>
      </c>
      <c r="J354" s="224">
        <v>3017.2</v>
      </c>
      <c r="K354" s="248">
        <v>165</v>
      </c>
      <c r="L354" s="248">
        <f>'2.виды ремонта'!O327</f>
        <v>3476</v>
      </c>
      <c r="M354" s="243" t="s">
        <v>227</v>
      </c>
      <c r="N354" s="202">
        <f>'2.виды ремонта'!C327</f>
        <v>9167976</v>
      </c>
      <c r="O354" s="200">
        <v>0</v>
      </c>
      <c r="P354" s="200">
        <v>0</v>
      </c>
      <c r="Q354" s="200">
        <v>0</v>
      </c>
      <c r="R354" s="223">
        <f t="shared" si="49"/>
        <v>9167976</v>
      </c>
      <c r="S354" s="223">
        <f t="shared" si="48"/>
        <v>2637.5074798619103</v>
      </c>
      <c r="T354" s="223">
        <v>3659.53</v>
      </c>
      <c r="U354" s="195" t="s">
        <v>356</v>
      </c>
      <c r="Y354" s="79"/>
      <c r="Z354" s="83"/>
      <c r="AA354" s="311"/>
      <c r="AB354" s="84"/>
      <c r="AC354" s="84"/>
      <c r="AD354" s="80"/>
    </row>
    <row r="355" spans="1:30" s="82" customFormat="1" ht="37.5" customHeight="1">
      <c r="A355" s="243">
        <v>13</v>
      </c>
      <c r="B355" s="244" t="s">
        <v>3460</v>
      </c>
      <c r="C355" s="245">
        <v>1979</v>
      </c>
      <c r="D355" s="245"/>
      <c r="E355" s="244" t="s">
        <v>222</v>
      </c>
      <c r="F355" s="248">
        <v>5</v>
      </c>
      <c r="G355" s="248">
        <v>14</v>
      </c>
      <c r="H355" s="223">
        <v>11993</v>
      </c>
      <c r="I355" s="224">
        <v>10689.4</v>
      </c>
      <c r="J355" s="224">
        <v>10001.700000000001</v>
      </c>
      <c r="K355" s="248">
        <v>504</v>
      </c>
      <c r="L355" s="248">
        <f>'2.виды ремонта'!G328</f>
        <v>2264</v>
      </c>
      <c r="M355" s="243" t="s">
        <v>33</v>
      </c>
      <c r="N355" s="202">
        <f>'2.виды ремонта'!C328</f>
        <v>5489901</v>
      </c>
      <c r="O355" s="200">
        <v>0</v>
      </c>
      <c r="P355" s="200">
        <v>0</v>
      </c>
      <c r="Q355" s="200">
        <v>0</v>
      </c>
      <c r="R355" s="223">
        <f t="shared" si="49"/>
        <v>5489901</v>
      </c>
      <c r="S355" s="173">
        <f t="shared" si="48"/>
        <v>2424.8679328621906</v>
      </c>
      <c r="T355" s="223">
        <v>3564.43</v>
      </c>
      <c r="U355" s="195" t="s">
        <v>356</v>
      </c>
      <c r="Y355" s="79"/>
      <c r="Z355" s="83"/>
      <c r="AA355" s="311"/>
      <c r="AB355" s="84"/>
      <c r="AC355" s="84"/>
      <c r="AD355" s="80"/>
    </row>
    <row r="356" spans="1:30" s="82" customFormat="1" ht="37.5" customHeight="1">
      <c r="A356" s="243">
        <v>14</v>
      </c>
      <c r="B356" s="244" t="s">
        <v>3461</v>
      </c>
      <c r="C356" s="245">
        <v>1988</v>
      </c>
      <c r="D356" s="244"/>
      <c r="E356" s="244" t="s">
        <v>222</v>
      </c>
      <c r="F356" s="248">
        <v>9</v>
      </c>
      <c r="G356" s="248">
        <v>3</v>
      </c>
      <c r="H356" s="223">
        <v>6583.7</v>
      </c>
      <c r="I356" s="224">
        <v>5729.7</v>
      </c>
      <c r="J356" s="224">
        <v>5511.1</v>
      </c>
      <c r="K356" s="248">
        <v>274</v>
      </c>
      <c r="L356" s="248">
        <f>'2.виды ремонта'!O329</f>
        <v>3580</v>
      </c>
      <c r="M356" s="243" t="s">
        <v>227</v>
      </c>
      <c r="N356" s="202">
        <f>'2.виды ремонта'!C329</f>
        <v>9441080</v>
      </c>
      <c r="O356" s="200">
        <v>0</v>
      </c>
      <c r="P356" s="200">
        <v>0</v>
      </c>
      <c r="Q356" s="200">
        <v>0</v>
      </c>
      <c r="R356" s="223">
        <f t="shared" si="49"/>
        <v>9441080</v>
      </c>
      <c r="S356" s="223">
        <f t="shared" si="48"/>
        <v>2637.1731843575417</v>
      </c>
      <c r="T356" s="223">
        <v>3659.53</v>
      </c>
      <c r="U356" s="195" t="s">
        <v>356</v>
      </c>
      <c r="Y356" s="79"/>
      <c r="Z356" s="83"/>
      <c r="AA356" s="311"/>
      <c r="AB356" s="84"/>
      <c r="AC356" s="84"/>
      <c r="AD356" s="80"/>
    </row>
    <row r="357" spans="1:30" s="82" customFormat="1" ht="37.5" customHeight="1">
      <c r="A357" s="243">
        <v>15</v>
      </c>
      <c r="B357" s="244" t="s">
        <v>3462</v>
      </c>
      <c r="C357" s="245">
        <v>1962</v>
      </c>
      <c r="D357" s="244"/>
      <c r="E357" s="244" t="s">
        <v>222</v>
      </c>
      <c r="F357" s="248">
        <v>5</v>
      </c>
      <c r="G357" s="248">
        <v>4</v>
      </c>
      <c r="H357" s="223">
        <v>3919</v>
      </c>
      <c r="I357" s="224">
        <v>3134</v>
      </c>
      <c r="J357" s="224">
        <v>2704.2</v>
      </c>
      <c r="K357" s="248">
        <v>183</v>
      </c>
      <c r="L357" s="248">
        <f>'2.виды ремонта'!G330</f>
        <v>1148.4000000000001</v>
      </c>
      <c r="M357" s="243" t="s">
        <v>33</v>
      </c>
      <c r="N357" s="202">
        <f>'2.виды ремонта'!C330</f>
        <v>3290520.0000000005</v>
      </c>
      <c r="O357" s="200">
        <v>0</v>
      </c>
      <c r="P357" s="200">
        <v>0</v>
      </c>
      <c r="Q357" s="200">
        <v>0</v>
      </c>
      <c r="R357" s="223">
        <f t="shared" si="49"/>
        <v>3290520.0000000005</v>
      </c>
      <c r="S357" s="173">
        <f t="shared" si="48"/>
        <v>2865.3082549634278</v>
      </c>
      <c r="T357" s="223">
        <v>3564.43</v>
      </c>
      <c r="U357" s="195" t="s">
        <v>356</v>
      </c>
      <c r="Y357" s="79"/>
      <c r="Z357" s="83"/>
      <c r="AA357" s="311"/>
      <c r="AB357" s="84"/>
      <c r="AC357" s="84"/>
      <c r="AD357" s="80"/>
    </row>
    <row r="358" spans="1:30" s="82" customFormat="1" ht="37.5" customHeight="1">
      <c r="A358" s="243">
        <v>16</v>
      </c>
      <c r="B358" s="244" t="s">
        <v>3463</v>
      </c>
      <c r="C358" s="245">
        <v>1985</v>
      </c>
      <c r="D358" s="244"/>
      <c r="E358" s="244" t="s">
        <v>222</v>
      </c>
      <c r="F358" s="248">
        <v>9</v>
      </c>
      <c r="G358" s="248">
        <v>1</v>
      </c>
      <c r="H358" s="223">
        <v>8575</v>
      </c>
      <c r="I358" s="224">
        <v>4268.5</v>
      </c>
      <c r="J358" s="224">
        <v>2417</v>
      </c>
      <c r="K358" s="248">
        <v>570</v>
      </c>
      <c r="L358" s="248">
        <f>G358*2390</f>
        <v>2390</v>
      </c>
      <c r="M358" s="243" t="s">
        <v>30</v>
      </c>
      <c r="N358" s="202">
        <f>'2.виды ремонта'!C331</f>
        <v>6990790</v>
      </c>
      <c r="O358" s="200">
        <v>0</v>
      </c>
      <c r="P358" s="200">
        <v>0</v>
      </c>
      <c r="Q358" s="200">
        <v>0</v>
      </c>
      <c r="R358" s="223">
        <f t="shared" si="49"/>
        <v>6990790</v>
      </c>
      <c r="S358" s="173">
        <f t="shared" si="48"/>
        <v>2925.0167364016738</v>
      </c>
      <c r="T358" s="223">
        <v>3014.16</v>
      </c>
      <c r="U358" s="195" t="s">
        <v>356</v>
      </c>
      <c r="Y358" s="79"/>
      <c r="Z358" s="83"/>
      <c r="AA358" s="311"/>
      <c r="AB358" s="84"/>
      <c r="AC358" s="84"/>
      <c r="AD358" s="80"/>
    </row>
    <row r="359" spans="1:30" s="82" customFormat="1" ht="37.5" customHeight="1">
      <c r="A359" s="243">
        <f t="shared" si="50"/>
        <v>17</v>
      </c>
      <c r="B359" s="244" t="s">
        <v>3464</v>
      </c>
      <c r="C359" s="245">
        <v>1988</v>
      </c>
      <c r="D359" s="244"/>
      <c r="E359" s="244" t="s">
        <v>222</v>
      </c>
      <c r="F359" s="248">
        <v>5</v>
      </c>
      <c r="G359" s="248">
        <v>8</v>
      </c>
      <c r="H359" s="223">
        <v>6371</v>
      </c>
      <c r="I359" s="224">
        <v>5632.3</v>
      </c>
      <c r="J359" s="224">
        <v>5103.2</v>
      </c>
      <c r="K359" s="248">
        <v>310</v>
      </c>
      <c r="L359" s="248">
        <f>'2.виды ремонта'!K332</f>
        <v>4730</v>
      </c>
      <c r="M359" s="243" t="s">
        <v>38</v>
      </c>
      <c r="N359" s="202">
        <f>'2.виды ремонта'!C332</f>
        <v>7857382</v>
      </c>
      <c r="O359" s="200">
        <v>0</v>
      </c>
      <c r="P359" s="200">
        <v>0</v>
      </c>
      <c r="Q359" s="200">
        <v>0</v>
      </c>
      <c r="R359" s="223">
        <f t="shared" si="49"/>
        <v>7857382</v>
      </c>
      <c r="S359" s="223">
        <f t="shared" si="48"/>
        <v>1661.1801268498944</v>
      </c>
      <c r="T359" s="223">
        <v>1698.74</v>
      </c>
      <c r="U359" s="195" t="s">
        <v>356</v>
      </c>
      <c r="Y359" s="79"/>
      <c r="Z359" s="83"/>
      <c r="AA359" s="311"/>
      <c r="AB359" s="84"/>
      <c r="AC359" s="84"/>
      <c r="AD359" s="80"/>
    </row>
    <row r="360" spans="1:30" s="82" customFormat="1" ht="37.5" customHeight="1">
      <c r="A360" s="243">
        <f t="shared" si="50"/>
        <v>18</v>
      </c>
      <c r="B360" s="244" t="s">
        <v>3465</v>
      </c>
      <c r="C360" s="245">
        <v>1987</v>
      </c>
      <c r="D360" s="244"/>
      <c r="E360" s="244" t="s">
        <v>222</v>
      </c>
      <c r="F360" s="248">
        <v>5</v>
      </c>
      <c r="G360" s="248">
        <v>7</v>
      </c>
      <c r="H360" s="223">
        <v>5528</v>
      </c>
      <c r="I360" s="224">
        <v>4885.6000000000004</v>
      </c>
      <c r="J360" s="224">
        <v>4509.6000000000004</v>
      </c>
      <c r="K360" s="248">
        <v>295</v>
      </c>
      <c r="L360" s="248">
        <f>'2.виды ремонта'!O333</f>
        <v>3675</v>
      </c>
      <c r="M360" s="243" t="s">
        <v>227</v>
      </c>
      <c r="N360" s="202">
        <f>'2.виды ремонта'!C333</f>
        <v>9635000</v>
      </c>
      <c r="O360" s="200">
        <v>0</v>
      </c>
      <c r="P360" s="200">
        <v>0</v>
      </c>
      <c r="Q360" s="200">
        <v>0</v>
      </c>
      <c r="R360" s="223">
        <f t="shared" si="49"/>
        <v>9635000</v>
      </c>
      <c r="S360" s="223">
        <f t="shared" ref="S360:S370" si="51">N360/L360</f>
        <v>2621.7687074829932</v>
      </c>
      <c r="T360" s="223">
        <v>3659.53</v>
      </c>
      <c r="U360" s="195" t="s">
        <v>356</v>
      </c>
      <c r="Y360" s="79"/>
      <c r="Z360" s="83"/>
      <c r="AA360" s="311"/>
      <c r="AB360" s="84"/>
      <c r="AC360" s="84"/>
      <c r="AD360" s="80"/>
    </row>
    <row r="361" spans="1:30" s="82" customFormat="1" ht="37.5" customHeight="1">
      <c r="A361" s="243">
        <f t="shared" si="50"/>
        <v>19</v>
      </c>
      <c r="B361" s="244" t="s">
        <v>3466</v>
      </c>
      <c r="C361" s="245">
        <v>1967</v>
      </c>
      <c r="D361" s="244"/>
      <c r="E361" s="244" t="s">
        <v>222</v>
      </c>
      <c r="F361" s="248">
        <v>5</v>
      </c>
      <c r="G361" s="248">
        <v>4</v>
      </c>
      <c r="H361" s="223">
        <v>3359</v>
      </c>
      <c r="I361" s="224">
        <v>3359</v>
      </c>
      <c r="J361" s="224">
        <v>3016.1</v>
      </c>
      <c r="K361" s="248">
        <v>198</v>
      </c>
      <c r="L361" s="248">
        <f>'2.виды ремонта'!O334</f>
        <v>2580</v>
      </c>
      <c r="M361" s="243" t="s">
        <v>260</v>
      </c>
      <c r="N361" s="202">
        <f>'2.виды ремонта'!C334</f>
        <v>6783000</v>
      </c>
      <c r="O361" s="200">
        <v>0</v>
      </c>
      <c r="P361" s="200">
        <v>0</v>
      </c>
      <c r="Q361" s="200">
        <v>0</v>
      </c>
      <c r="R361" s="223">
        <f t="shared" si="49"/>
        <v>6783000</v>
      </c>
      <c r="S361" s="223">
        <f t="shared" si="51"/>
        <v>2629.0697674418607</v>
      </c>
      <c r="T361" s="223">
        <v>3659.53</v>
      </c>
      <c r="U361" s="195" t="s">
        <v>356</v>
      </c>
      <c r="Y361" s="79"/>
      <c r="Z361" s="83"/>
      <c r="AA361" s="311"/>
      <c r="AB361" s="84"/>
      <c r="AC361" s="84"/>
      <c r="AD361" s="80"/>
    </row>
    <row r="362" spans="1:30" s="82" customFormat="1" ht="37.5" customHeight="1">
      <c r="A362" s="243">
        <f t="shared" si="50"/>
        <v>20</v>
      </c>
      <c r="B362" s="244" t="s">
        <v>3467</v>
      </c>
      <c r="C362" s="245">
        <v>1978</v>
      </c>
      <c r="D362" s="244"/>
      <c r="E362" s="244" t="s">
        <v>222</v>
      </c>
      <c r="F362" s="248">
        <v>5</v>
      </c>
      <c r="G362" s="248">
        <v>14</v>
      </c>
      <c r="H362" s="223">
        <v>10902</v>
      </c>
      <c r="I362" s="224">
        <v>9658.2999999999993</v>
      </c>
      <c r="J362" s="224">
        <v>9111.1</v>
      </c>
      <c r="K362" s="248">
        <v>430</v>
      </c>
      <c r="L362" s="197">
        <f>G362*322</f>
        <v>4508</v>
      </c>
      <c r="M362" s="243" t="s">
        <v>30</v>
      </c>
      <c r="N362" s="202">
        <f>'2.виды ремонта'!C335</f>
        <v>5155300</v>
      </c>
      <c r="O362" s="200">
        <v>0</v>
      </c>
      <c r="P362" s="200">
        <v>0</v>
      </c>
      <c r="Q362" s="200">
        <v>0</v>
      </c>
      <c r="R362" s="223">
        <f>N362</f>
        <v>5155300</v>
      </c>
      <c r="S362" s="173">
        <f t="shared" si="51"/>
        <v>1143.5891748003548</v>
      </c>
      <c r="T362" s="223">
        <v>3014.16</v>
      </c>
      <c r="U362" s="195" t="s">
        <v>356</v>
      </c>
      <c r="Y362" s="79"/>
      <c r="Z362" s="83"/>
      <c r="AA362" s="311"/>
      <c r="AB362" s="84"/>
      <c r="AC362" s="84"/>
      <c r="AD362" s="80"/>
    </row>
    <row r="363" spans="1:30" s="82" customFormat="1" ht="37.5" customHeight="1">
      <c r="A363" s="243">
        <f t="shared" si="50"/>
        <v>21</v>
      </c>
      <c r="B363" s="244" t="s">
        <v>2157</v>
      </c>
      <c r="C363" s="245">
        <v>1986</v>
      </c>
      <c r="D363" s="203"/>
      <c r="E363" s="199" t="s">
        <v>222</v>
      </c>
      <c r="F363" s="248">
        <v>9</v>
      </c>
      <c r="G363" s="248">
        <v>5</v>
      </c>
      <c r="H363" s="223">
        <v>3519</v>
      </c>
      <c r="I363" s="224">
        <v>3245.5</v>
      </c>
      <c r="J363" s="201">
        <v>3004.78</v>
      </c>
      <c r="K363" s="204">
        <v>154</v>
      </c>
      <c r="L363" s="248">
        <f>G363*711.5</f>
        <v>3557.5</v>
      </c>
      <c r="M363" s="246" t="s">
        <v>30</v>
      </c>
      <c r="N363" s="202">
        <f>'2.виды ремонта'!C336</f>
        <v>2214199.94</v>
      </c>
      <c r="O363" s="200">
        <v>0</v>
      </c>
      <c r="P363" s="200">
        <v>0</v>
      </c>
      <c r="Q363" s="200">
        <v>0</v>
      </c>
      <c r="R363" s="223">
        <f>N363</f>
        <v>2214199.94</v>
      </c>
      <c r="S363" s="173">
        <f t="shared" si="51"/>
        <v>622.40335628952914</v>
      </c>
      <c r="T363" s="223">
        <v>3014.16</v>
      </c>
      <c r="U363" s="195" t="s">
        <v>356</v>
      </c>
      <c r="W363" s="87"/>
      <c r="Y363" s="79"/>
      <c r="Z363" s="83"/>
      <c r="AA363" s="311"/>
      <c r="AB363" s="84"/>
      <c r="AC363" s="84"/>
      <c r="AD363" s="80"/>
    </row>
    <row r="364" spans="1:30" s="82" customFormat="1" ht="37.5" customHeight="1">
      <c r="A364" s="243">
        <f t="shared" si="50"/>
        <v>22</v>
      </c>
      <c r="B364" s="244" t="s">
        <v>2158</v>
      </c>
      <c r="C364" s="245">
        <v>1978</v>
      </c>
      <c r="D364" s="203"/>
      <c r="E364" s="199" t="s">
        <v>222</v>
      </c>
      <c r="F364" s="248">
        <v>5</v>
      </c>
      <c r="G364" s="248">
        <v>2</v>
      </c>
      <c r="H364" s="223">
        <v>3605</v>
      </c>
      <c r="I364" s="224">
        <v>3190.4</v>
      </c>
      <c r="J364" s="201">
        <v>2947.3</v>
      </c>
      <c r="K364" s="204">
        <v>195</v>
      </c>
      <c r="L364" s="197">
        <f>G364*609</f>
        <v>1218</v>
      </c>
      <c r="M364" s="246" t="s">
        <v>30</v>
      </c>
      <c r="N364" s="202">
        <f>'2.виды ремонта'!C337</f>
        <v>3649340.94</v>
      </c>
      <c r="O364" s="200">
        <v>0</v>
      </c>
      <c r="P364" s="200">
        <v>0</v>
      </c>
      <c r="Q364" s="200">
        <v>0</v>
      </c>
      <c r="R364" s="223">
        <f t="shared" ref="R364:R369" si="52">N364</f>
        <v>3649340.94</v>
      </c>
      <c r="S364" s="173">
        <f t="shared" si="51"/>
        <v>2996.1748275862069</v>
      </c>
      <c r="T364" s="223">
        <v>3014.16</v>
      </c>
      <c r="U364" s="195" t="s">
        <v>356</v>
      </c>
      <c r="W364" s="87"/>
      <c r="Y364" s="79"/>
      <c r="Z364" s="83"/>
      <c r="AA364" s="311"/>
      <c r="AB364" s="84"/>
      <c r="AC364" s="84"/>
      <c r="AD364" s="80"/>
    </row>
    <row r="365" spans="1:30" s="82" customFormat="1" ht="37.5" customHeight="1">
      <c r="A365" s="243">
        <f t="shared" si="50"/>
        <v>23</v>
      </c>
      <c r="B365" s="244" t="s">
        <v>2204</v>
      </c>
      <c r="C365" s="245">
        <v>1994</v>
      </c>
      <c r="D365" s="203"/>
      <c r="E365" s="199" t="s">
        <v>222</v>
      </c>
      <c r="F365" s="248">
        <v>9</v>
      </c>
      <c r="G365" s="248">
        <v>1</v>
      </c>
      <c r="H365" s="223">
        <v>2370</v>
      </c>
      <c r="I365" s="224">
        <v>2021.5</v>
      </c>
      <c r="J365" s="201">
        <v>1946.7</v>
      </c>
      <c r="K365" s="204">
        <v>145</v>
      </c>
      <c r="L365" s="248">
        <f>G365*711.5</f>
        <v>711.5</v>
      </c>
      <c r="M365" s="246" t="s">
        <v>30</v>
      </c>
      <c r="N365" s="202">
        <f>'2.виды ремонта'!C338</f>
        <v>1674367.94</v>
      </c>
      <c r="O365" s="200">
        <v>0</v>
      </c>
      <c r="P365" s="200">
        <v>0</v>
      </c>
      <c r="Q365" s="200">
        <v>0</v>
      </c>
      <c r="R365" s="223">
        <f t="shared" si="52"/>
        <v>1674367.94</v>
      </c>
      <c r="S365" s="173">
        <f t="shared" si="51"/>
        <v>2353.2929585382994</v>
      </c>
      <c r="T365" s="223">
        <v>3014.16</v>
      </c>
      <c r="U365" s="195" t="s">
        <v>356</v>
      </c>
      <c r="W365" s="87"/>
      <c r="Y365" s="79"/>
      <c r="Z365" s="83"/>
      <c r="AA365" s="311"/>
      <c r="AB365" s="84"/>
      <c r="AC365" s="84"/>
      <c r="AD365" s="80"/>
    </row>
    <row r="366" spans="1:30" s="82" customFormat="1" ht="37.5" customHeight="1">
      <c r="A366" s="243">
        <f t="shared" si="50"/>
        <v>24</v>
      </c>
      <c r="B366" s="244" t="s">
        <v>2206</v>
      </c>
      <c r="C366" s="245">
        <v>1991</v>
      </c>
      <c r="D366" s="203"/>
      <c r="E366" s="245" t="s">
        <v>218</v>
      </c>
      <c r="F366" s="248">
        <v>9</v>
      </c>
      <c r="G366" s="248">
        <v>3</v>
      </c>
      <c r="H366" s="223">
        <v>6710</v>
      </c>
      <c r="I366" s="224">
        <v>5810.7</v>
      </c>
      <c r="J366" s="201">
        <v>5301.8</v>
      </c>
      <c r="K366" s="204">
        <v>328</v>
      </c>
      <c r="L366" s="248">
        <f>G366*711.5</f>
        <v>2134.5</v>
      </c>
      <c r="M366" s="246" t="s">
        <v>30</v>
      </c>
      <c r="N366" s="202">
        <f>'2.виды ремонта'!C339</f>
        <v>3300954</v>
      </c>
      <c r="O366" s="200">
        <v>0</v>
      </c>
      <c r="P366" s="200">
        <v>0</v>
      </c>
      <c r="Q366" s="200">
        <v>0</v>
      </c>
      <c r="R366" s="223">
        <f t="shared" si="52"/>
        <v>3300954</v>
      </c>
      <c r="S366" s="173">
        <f t="shared" si="51"/>
        <v>1546.476458186929</v>
      </c>
      <c r="T366" s="223">
        <v>3014.16</v>
      </c>
      <c r="U366" s="195" t="s">
        <v>356</v>
      </c>
      <c r="W366" s="87"/>
      <c r="Y366" s="79"/>
      <c r="Z366" s="83"/>
      <c r="AA366" s="311"/>
      <c r="AB366" s="84"/>
      <c r="AC366" s="84"/>
      <c r="AD366" s="80"/>
    </row>
    <row r="367" spans="1:30" s="82" customFormat="1" ht="37.5" customHeight="1">
      <c r="A367" s="243">
        <f t="shared" si="50"/>
        <v>25</v>
      </c>
      <c r="B367" s="244" t="s">
        <v>2223</v>
      </c>
      <c r="C367" s="245">
        <v>1966</v>
      </c>
      <c r="D367" s="244"/>
      <c r="E367" s="244" t="s">
        <v>222</v>
      </c>
      <c r="F367" s="248">
        <v>5</v>
      </c>
      <c r="G367" s="248">
        <v>6</v>
      </c>
      <c r="H367" s="223">
        <v>4874</v>
      </c>
      <c r="I367" s="224">
        <v>4470.1000000000004</v>
      </c>
      <c r="J367" s="224">
        <v>4084.4</v>
      </c>
      <c r="K367" s="248">
        <v>204</v>
      </c>
      <c r="L367" s="197">
        <f>G367*322</f>
        <v>1932</v>
      </c>
      <c r="M367" s="243" t="s">
        <v>30</v>
      </c>
      <c r="N367" s="202">
        <f>'2.виды ремонта'!C340</f>
        <v>3055245</v>
      </c>
      <c r="O367" s="200">
        <v>0</v>
      </c>
      <c r="P367" s="200">
        <v>0</v>
      </c>
      <c r="Q367" s="200">
        <v>0</v>
      </c>
      <c r="R367" s="223">
        <f t="shared" si="52"/>
        <v>3055245</v>
      </c>
      <c r="S367" s="173">
        <f t="shared" si="51"/>
        <v>1581.3897515527951</v>
      </c>
      <c r="T367" s="223">
        <v>3014.16</v>
      </c>
      <c r="U367" s="195" t="s">
        <v>356</v>
      </c>
      <c r="Y367" s="79"/>
      <c r="Z367" s="83"/>
      <c r="AA367" s="311"/>
      <c r="AB367" s="84"/>
      <c r="AC367" s="84"/>
      <c r="AD367" s="80"/>
    </row>
    <row r="368" spans="1:30" s="82" customFormat="1" ht="37.5" customHeight="1">
      <c r="A368" s="243">
        <f t="shared" si="50"/>
        <v>26</v>
      </c>
      <c r="B368" s="244" t="s">
        <v>2238</v>
      </c>
      <c r="C368" s="245">
        <v>1987</v>
      </c>
      <c r="D368" s="203"/>
      <c r="E368" s="199" t="s">
        <v>222</v>
      </c>
      <c r="F368" s="248">
        <v>5</v>
      </c>
      <c r="G368" s="248">
        <v>8</v>
      </c>
      <c r="H368" s="223">
        <v>6331</v>
      </c>
      <c r="I368" s="224">
        <v>5586</v>
      </c>
      <c r="J368" s="201">
        <v>5348</v>
      </c>
      <c r="K368" s="204">
        <v>298</v>
      </c>
      <c r="L368" s="197">
        <f>G368*322</f>
        <v>2576</v>
      </c>
      <c r="M368" s="246" t="s">
        <v>30</v>
      </c>
      <c r="N368" s="202">
        <f>'2.виды ремонта'!C341</f>
        <v>3656480</v>
      </c>
      <c r="O368" s="200">
        <v>0</v>
      </c>
      <c r="P368" s="200">
        <v>0</v>
      </c>
      <c r="Q368" s="200">
        <v>0</v>
      </c>
      <c r="R368" s="223">
        <f t="shared" si="52"/>
        <v>3656480</v>
      </c>
      <c r="S368" s="173">
        <f t="shared" si="51"/>
        <v>1419.4409937888199</v>
      </c>
      <c r="T368" s="223">
        <v>3014.16</v>
      </c>
      <c r="U368" s="195" t="s">
        <v>356</v>
      </c>
      <c r="W368" s="87"/>
      <c r="Y368" s="79"/>
      <c r="Z368" s="83"/>
      <c r="AA368" s="311"/>
      <c r="AB368" s="84"/>
      <c r="AC368" s="84"/>
      <c r="AD368" s="80"/>
    </row>
    <row r="369" spans="1:30" s="82" customFormat="1" ht="37.5" customHeight="1">
      <c r="A369" s="243">
        <f t="shared" si="50"/>
        <v>27</v>
      </c>
      <c r="B369" s="244" t="s">
        <v>2243</v>
      </c>
      <c r="C369" s="245">
        <v>1979</v>
      </c>
      <c r="D369" s="203"/>
      <c r="E369" s="199" t="s">
        <v>222</v>
      </c>
      <c r="F369" s="248">
        <v>5</v>
      </c>
      <c r="G369" s="248">
        <v>9</v>
      </c>
      <c r="H369" s="223">
        <v>6840</v>
      </c>
      <c r="I369" s="224">
        <v>6172</v>
      </c>
      <c r="J369" s="201">
        <v>5868.9</v>
      </c>
      <c r="K369" s="204">
        <v>265</v>
      </c>
      <c r="L369" s="197">
        <f>G369*322</f>
        <v>2898</v>
      </c>
      <c r="M369" s="246" t="s">
        <v>30</v>
      </c>
      <c r="N369" s="202">
        <f>'2.виды ремонта'!C342</f>
        <v>2808280</v>
      </c>
      <c r="O369" s="200">
        <v>0</v>
      </c>
      <c r="P369" s="200">
        <v>0</v>
      </c>
      <c r="Q369" s="200">
        <v>0</v>
      </c>
      <c r="R369" s="223">
        <f t="shared" si="52"/>
        <v>2808280</v>
      </c>
      <c r="S369" s="173">
        <f t="shared" si="51"/>
        <v>969.04071773636986</v>
      </c>
      <c r="T369" s="223">
        <v>3014.16</v>
      </c>
      <c r="U369" s="195" t="s">
        <v>356</v>
      </c>
      <c r="W369" s="87"/>
      <c r="Y369" s="79"/>
      <c r="Z369" s="83"/>
      <c r="AA369" s="311"/>
      <c r="AB369" s="84"/>
      <c r="AC369" s="84"/>
      <c r="AD369" s="80"/>
    </row>
    <row r="370" spans="1:30" s="82" customFormat="1" ht="37.5" customHeight="1">
      <c r="A370" s="243">
        <f t="shared" si="50"/>
        <v>28</v>
      </c>
      <c r="B370" s="206" t="s">
        <v>1215</v>
      </c>
      <c r="C370" s="245">
        <v>2005</v>
      </c>
      <c r="D370" s="244"/>
      <c r="E370" s="245" t="s">
        <v>222</v>
      </c>
      <c r="F370" s="222">
        <v>9</v>
      </c>
      <c r="G370" s="222">
        <v>5</v>
      </c>
      <c r="H370" s="223">
        <v>12349</v>
      </c>
      <c r="I370" s="224">
        <v>9032.9</v>
      </c>
      <c r="J370" s="224">
        <v>7322.9</v>
      </c>
      <c r="K370" s="248">
        <v>116</v>
      </c>
      <c r="L370" s="248">
        <f>'2.виды ремонта'!G343</f>
        <v>2100</v>
      </c>
      <c r="M370" s="247" t="s">
        <v>33</v>
      </c>
      <c r="N370" s="202">
        <f>'2.виды ремонта'!C343</f>
        <v>4879587.55</v>
      </c>
      <c r="O370" s="200">
        <v>0</v>
      </c>
      <c r="P370" s="200">
        <v>0</v>
      </c>
      <c r="Q370" s="200">
        <v>0</v>
      </c>
      <c r="R370" s="223">
        <f>N370</f>
        <v>4879587.55</v>
      </c>
      <c r="S370" s="173">
        <f t="shared" si="51"/>
        <v>2323.613119047619</v>
      </c>
      <c r="T370" s="223">
        <v>3564.43</v>
      </c>
      <c r="U370" s="195" t="s">
        <v>356</v>
      </c>
      <c r="W370" s="87"/>
      <c r="Y370" s="79"/>
      <c r="Z370" s="83"/>
      <c r="AA370" s="311"/>
      <c r="AB370" s="84"/>
      <c r="AC370" s="84"/>
      <c r="AD370" s="80"/>
    </row>
    <row r="371" spans="1:30" s="82" customFormat="1" ht="37.5" customHeight="1">
      <c r="A371" s="243">
        <f t="shared" si="50"/>
        <v>29</v>
      </c>
      <c r="B371" s="245" t="s">
        <v>2166</v>
      </c>
      <c r="C371" s="245">
        <v>1989</v>
      </c>
      <c r="D371" s="244"/>
      <c r="E371" s="244" t="s">
        <v>222</v>
      </c>
      <c r="F371" s="248">
        <v>5</v>
      </c>
      <c r="G371" s="248">
        <v>4</v>
      </c>
      <c r="H371" s="223">
        <v>2739</v>
      </c>
      <c r="I371" s="224">
        <v>2541.2999999999997</v>
      </c>
      <c r="J371" s="224">
        <v>2541.2999999999997</v>
      </c>
      <c r="K371" s="248">
        <v>153</v>
      </c>
      <c r="L371" s="250">
        <f>G371*322</f>
        <v>1288</v>
      </c>
      <c r="M371" s="312" t="s">
        <v>239</v>
      </c>
      <c r="N371" s="202">
        <f>'2.виды ремонта'!C344</f>
        <v>2140886</v>
      </c>
      <c r="O371" s="200">
        <v>0</v>
      </c>
      <c r="P371" s="200">
        <v>0</v>
      </c>
      <c r="Q371" s="200">
        <v>0</v>
      </c>
      <c r="R371" s="223">
        <f>N371</f>
        <v>2140886</v>
      </c>
      <c r="S371" s="223">
        <f>N371/L371</f>
        <v>1662.1785714285713</v>
      </c>
      <c r="T371" s="223">
        <v>3014.16</v>
      </c>
      <c r="U371" s="195" t="s">
        <v>356</v>
      </c>
      <c r="Y371" s="79"/>
      <c r="Z371" s="313"/>
      <c r="AA371" s="311"/>
      <c r="AB371" s="84"/>
      <c r="AC371" s="84"/>
      <c r="AD371" s="80"/>
    </row>
    <row r="372" spans="1:30" s="82" customFormat="1" ht="37.5" customHeight="1">
      <c r="A372" s="243">
        <f t="shared" si="50"/>
        <v>30</v>
      </c>
      <c r="B372" s="314" t="s">
        <v>2224</v>
      </c>
      <c r="C372" s="315">
        <v>2001</v>
      </c>
      <c r="D372" s="316"/>
      <c r="E372" s="244" t="s">
        <v>222</v>
      </c>
      <c r="F372" s="317">
        <v>5</v>
      </c>
      <c r="G372" s="317">
        <v>2</v>
      </c>
      <c r="H372" s="318">
        <v>3398</v>
      </c>
      <c r="I372" s="319">
        <v>2567.3000000000002</v>
      </c>
      <c r="J372" s="319">
        <v>2494.6999999999998</v>
      </c>
      <c r="K372" s="248">
        <v>113</v>
      </c>
      <c r="L372" s="250">
        <f>G372*359</f>
        <v>718</v>
      </c>
      <c r="M372" s="249" t="s">
        <v>239</v>
      </c>
      <c r="N372" s="202">
        <f>'2.виды ремонта'!C345</f>
        <v>2139865</v>
      </c>
      <c r="O372" s="200">
        <v>0</v>
      </c>
      <c r="P372" s="200">
        <v>0</v>
      </c>
      <c r="Q372" s="200">
        <v>0</v>
      </c>
      <c r="R372" s="223">
        <f>N372</f>
        <v>2139865</v>
      </c>
      <c r="S372" s="223">
        <f>N372/L372</f>
        <v>2980.3133704735378</v>
      </c>
      <c r="T372" s="223">
        <v>3014.16</v>
      </c>
      <c r="U372" s="195" t="s">
        <v>356</v>
      </c>
      <c r="Y372" s="79"/>
      <c r="Z372" s="313"/>
      <c r="AA372" s="311"/>
      <c r="AB372" s="84"/>
      <c r="AC372" s="84"/>
      <c r="AD372" s="80"/>
    </row>
    <row r="373" spans="1:30" s="82" customFormat="1" ht="37.5" customHeight="1">
      <c r="A373" s="243">
        <f t="shared" si="50"/>
        <v>31</v>
      </c>
      <c r="B373" s="244" t="s">
        <v>2229</v>
      </c>
      <c r="C373" s="245">
        <v>1986</v>
      </c>
      <c r="D373" s="203"/>
      <c r="E373" s="199" t="s">
        <v>222</v>
      </c>
      <c r="F373" s="248">
        <v>5</v>
      </c>
      <c r="G373" s="248">
        <v>5</v>
      </c>
      <c r="H373" s="223">
        <v>3700</v>
      </c>
      <c r="I373" s="224">
        <v>3445.4</v>
      </c>
      <c r="J373" s="201">
        <v>3295.6</v>
      </c>
      <c r="K373" s="204">
        <v>139</v>
      </c>
      <c r="L373" s="250">
        <f>G373*322</f>
        <v>1610</v>
      </c>
      <c r="M373" s="246" t="s">
        <v>239</v>
      </c>
      <c r="N373" s="202">
        <f>'2.виды ремонта'!C346</f>
        <v>2322344</v>
      </c>
      <c r="O373" s="200">
        <v>0</v>
      </c>
      <c r="P373" s="200">
        <v>0</v>
      </c>
      <c r="Q373" s="200">
        <v>0</v>
      </c>
      <c r="R373" s="223">
        <f>N373</f>
        <v>2322344</v>
      </c>
      <c r="S373" s="223">
        <f>N373/L373</f>
        <v>1442.4496894409938</v>
      </c>
      <c r="T373" s="223">
        <v>3014.16</v>
      </c>
      <c r="U373" s="195" t="s">
        <v>356</v>
      </c>
      <c r="W373" s="87"/>
      <c r="Y373" s="79"/>
      <c r="Z373" s="313"/>
      <c r="AA373" s="311"/>
      <c r="AB373" s="84"/>
      <c r="AC373" s="84"/>
      <c r="AD373" s="80"/>
    </row>
    <row r="374" spans="1:30" s="82" customFormat="1" ht="37.5" customHeight="1">
      <c r="A374" s="243">
        <f t="shared" si="50"/>
        <v>32</v>
      </c>
      <c r="B374" s="244" t="s">
        <v>2234</v>
      </c>
      <c r="C374" s="245">
        <v>1968</v>
      </c>
      <c r="D374" s="203"/>
      <c r="E374" s="199" t="s">
        <v>222</v>
      </c>
      <c r="F374" s="248">
        <v>5</v>
      </c>
      <c r="G374" s="248">
        <v>6</v>
      </c>
      <c r="H374" s="223">
        <v>4913</v>
      </c>
      <c r="I374" s="224">
        <v>4499.3</v>
      </c>
      <c r="J374" s="201">
        <v>4329.8999999999996</v>
      </c>
      <c r="K374" s="204">
        <v>210</v>
      </c>
      <c r="L374" s="250">
        <f>G374*322</f>
        <v>1932</v>
      </c>
      <c r="M374" s="246" t="s">
        <v>239</v>
      </c>
      <c r="N374" s="202">
        <f>'2.виды ремонта'!C347</f>
        <v>3372546</v>
      </c>
      <c r="O374" s="200">
        <v>0</v>
      </c>
      <c r="P374" s="200">
        <v>0</v>
      </c>
      <c r="Q374" s="200">
        <v>0</v>
      </c>
      <c r="R374" s="223">
        <f>N374</f>
        <v>3372546</v>
      </c>
      <c r="S374" s="223">
        <f>N374/L374</f>
        <v>1745.6242236024846</v>
      </c>
      <c r="T374" s="223">
        <v>3014.16</v>
      </c>
      <c r="U374" s="195" t="s">
        <v>356</v>
      </c>
      <c r="W374" s="87"/>
      <c r="Y374" s="79"/>
      <c r="Z374" s="313"/>
      <c r="AA374" s="311"/>
      <c r="AB374" s="84"/>
      <c r="AC374" s="84"/>
      <c r="AD374" s="80"/>
    </row>
    <row r="375" spans="1:30" s="82" customFormat="1" ht="41.25" customHeight="1">
      <c r="A375" s="1046" t="s">
        <v>146</v>
      </c>
      <c r="B375" s="1046"/>
      <c r="C375" s="1046"/>
      <c r="D375" s="1046"/>
      <c r="E375" s="244" t="s">
        <v>28</v>
      </c>
      <c r="F375" s="248" t="s">
        <v>28</v>
      </c>
      <c r="G375" s="248" t="s">
        <v>28</v>
      </c>
      <c r="H375" s="223">
        <f>SUM(H343:H374)</f>
        <v>221393.7</v>
      </c>
      <c r="I375" s="224">
        <f>SUM(I343:I374)</f>
        <v>178494.4</v>
      </c>
      <c r="J375" s="224">
        <f>SUM(J343:J374)</f>
        <v>158584.58000000002</v>
      </c>
      <c r="K375" s="248">
        <f>SUM(K343:K374)</f>
        <v>9005</v>
      </c>
      <c r="L375" s="248" t="s">
        <v>28</v>
      </c>
      <c r="M375" s="243" t="s">
        <v>28</v>
      </c>
      <c r="N375" s="223">
        <f>SUM(N343:N374)</f>
        <v>191829445.37</v>
      </c>
      <c r="O375" s="223">
        <f>SUM(O343:O374)</f>
        <v>0</v>
      </c>
      <c r="P375" s="223">
        <f>SUM(P343:P374)</f>
        <v>0</v>
      </c>
      <c r="Q375" s="223">
        <f>SUM(Q343:Q374)</f>
        <v>0</v>
      </c>
      <c r="R375" s="223">
        <f>SUM(R343:R374)</f>
        <v>191829445.37</v>
      </c>
      <c r="S375" s="196" t="s">
        <v>28</v>
      </c>
      <c r="T375" s="196" t="s">
        <v>28</v>
      </c>
      <c r="U375" s="195" t="s">
        <v>356</v>
      </c>
      <c r="V375" s="78"/>
      <c r="W375" s="78"/>
      <c r="X375" s="78"/>
      <c r="Y375" s="79"/>
      <c r="AA375" s="311"/>
      <c r="AD375" s="80"/>
    </row>
    <row r="376" spans="1:30" hidden="1">
      <c r="H376" s="12"/>
      <c r="M376" s="8"/>
      <c r="Y376" s="23"/>
    </row>
    <row r="377" spans="1:30" hidden="1">
      <c r="H377" s="12"/>
      <c r="M377" s="8"/>
    </row>
    <row r="378" spans="1:30" hidden="1">
      <c r="H378" s="12"/>
      <c r="M378" s="8"/>
    </row>
    <row r="379" spans="1:30" hidden="1">
      <c r="H379" s="12"/>
      <c r="M379" s="8"/>
    </row>
    <row r="380" spans="1:30" hidden="1">
      <c r="H380" s="12"/>
      <c r="M380" s="8"/>
    </row>
    <row r="381" spans="1:30" s="31" customFormat="1" hidden="1">
      <c r="A381" s="1054" t="s">
        <v>4170</v>
      </c>
      <c r="B381" s="1054"/>
      <c r="C381" s="1055"/>
      <c r="D381" s="1055"/>
      <c r="E381" s="1054"/>
      <c r="F381" s="1055"/>
      <c r="G381" s="1055"/>
      <c r="H381" s="1050"/>
      <c r="I381" s="1050"/>
      <c r="J381" s="1050"/>
      <c r="K381" s="1051"/>
      <c r="L381" s="1051"/>
      <c r="M381" s="1055"/>
      <c r="N381" s="1056"/>
      <c r="O381" s="1056"/>
      <c r="P381" s="1056"/>
      <c r="Q381" s="1056"/>
      <c r="R381" s="1056"/>
      <c r="S381" s="1056"/>
      <c r="T381" s="1056"/>
      <c r="U381" s="1055"/>
      <c r="V381" s="38"/>
      <c r="W381" s="39"/>
      <c r="X381" s="39"/>
      <c r="AA381" s="42"/>
    </row>
    <row r="382" spans="1:30" hidden="1">
      <c r="H382" s="12"/>
      <c r="M382" s="8"/>
    </row>
    <row r="383" spans="1:30">
      <c r="F383" s="35"/>
      <c r="H383" s="12"/>
      <c r="M383" s="8"/>
    </row>
    <row r="384" spans="1:30">
      <c r="H384" s="12"/>
      <c r="M384" s="8"/>
    </row>
    <row r="385" spans="2:22">
      <c r="B385" s="1055"/>
      <c r="C385" s="1055"/>
      <c r="D385" s="1055"/>
      <c r="E385" s="1055"/>
      <c r="F385" s="1055"/>
      <c r="G385" s="1055"/>
      <c r="H385" s="1082"/>
      <c r="I385" s="1055"/>
      <c r="J385" s="1055"/>
      <c r="K385" s="1055"/>
      <c r="L385" s="1055"/>
      <c r="M385" s="1055"/>
      <c r="N385" s="1055"/>
      <c r="O385" s="1055"/>
      <c r="P385" s="1055"/>
      <c r="Q385" s="1055"/>
      <c r="R385" s="1055"/>
      <c r="S385" s="1055"/>
      <c r="T385" s="1055"/>
      <c r="U385" s="1055"/>
      <c r="V385" s="1055"/>
    </row>
    <row r="386" spans="2:22">
      <c r="B386" s="31"/>
      <c r="H386" s="1050"/>
      <c r="I386" s="1050"/>
      <c r="J386" s="1050"/>
      <c r="K386" s="1051"/>
      <c r="L386" s="1051"/>
      <c r="M386" s="1052"/>
      <c r="N386" s="1053"/>
      <c r="O386" s="1053"/>
      <c r="P386" s="1053"/>
      <c r="Q386" s="1053"/>
    </row>
  </sheetData>
  <sheetProtection selectLockedCells="1" selectUnlockedCells="1"/>
  <sortState ref="B2734:T2857">
    <sortCondition ref="B2734:B2857"/>
  </sortState>
  <mergeCells count="162">
    <mergeCell ref="A336:A337"/>
    <mergeCell ref="B385:V385"/>
    <mergeCell ref="B336:B337"/>
    <mergeCell ref="C336:C337"/>
    <mergeCell ref="D336:D337"/>
    <mergeCell ref="E336:E337"/>
    <mergeCell ref="F336:F337"/>
    <mergeCell ref="G336:G337"/>
    <mergeCell ref="H336:H337"/>
    <mergeCell ref="I336:I337"/>
    <mergeCell ref="J336:J337"/>
    <mergeCell ref="K336:K337"/>
    <mergeCell ref="A240:A241"/>
    <mergeCell ref="B240:B241"/>
    <mergeCell ref="C240:C241"/>
    <mergeCell ref="D240:D241"/>
    <mergeCell ref="E240:E241"/>
    <mergeCell ref="F240:F241"/>
    <mergeCell ref="G240:G241"/>
    <mergeCell ref="H240:H241"/>
    <mergeCell ref="I240:I241"/>
    <mergeCell ref="J240:J241"/>
    <mergeCell ref="K240:K241"/>
    <mergeCell ref="J237:J238"/>
    <mergeCell ref="K237:K238"/>
    <mergeCell ref="Q1:R1"/>
    <mergeCell ref="Q2:S4"/>
    <mergeCell ref="Q5:S5"/>
    <mergeCell ref="Q6:S6"/>
    <mergeCell ref="A237:A238"/>
    <mergeCell ref="B237:B238"/>
    <mergeCell ref="C237:C238"/>
    <mergeCell ref="D237:D238"/>
    <mergeCell ref="E237:E238"/>
    <mergeCell ref="F237:F238"/>
    <mergeCell ref="G237:G238"/>
    <mergeCell ref="H237:H238"/>
    <mergeCell ref="I237:I238"/>
    <mergeCell ref="A341:U341"/>
    <mergeCell ref="A105:U105"/>
    <mergeCell ref="A222:D222"/>
    <mergeCell ref="A111:A112"/>
    <mergeCell ref="B111:B112"/>
    <mergeCell ref="C111:C112"/>
    <mergeCell ref="D111:D112"/>
    <mergeCell ref="E111:E112"/>
    <mergeCell ref="F111:F112"/>
    <mergeCell ref="G111:G112"/>
    <mergeCell ref="H111:H112"/>
    <mergeCell ref="I111:I112"/>
    <mergeCell ref="J111:J112"/>
    <mergeCell ref="K111:K112"/>
    <mergeCell ref="A116:A117"/>
    <mergeCell ref="B116:B117"/>
    <mergeCell ref="C116:C117"/>
    <mergeCell ref="D116:D117"/>
    <mergeCell ref="G116:G117"/>
    <mergeCell ref="H116:H117"/>
    <mergeCell ref="I116:I117"/>
    <mergeCell ref="E116:E117"/>
    <mergeCell ref="F116:F117"/>
    <mergeCell ref="K116:K117"/>
    <mergeCell ref="A19:U19"/>
    <mergeCell ref="A104:D104"/>
    <mergeCell ref="A10:U10"/>
    <mergeCell ref="I11:U11"/>
    <mergeCell ref="A12:U12"/>
    <mergeCell ref="A14:A17"/>
    <mergeCell ref="B14:B17"/>
    <mergeCell ref="C14:D14"/>
    <mergeCell ref="E14:E17"/>
    <mergeCell ref="F14:F17"/>
    <mergeCell ref="G14:G17"/>
    <mergeCell ref="H14:H16"/>
    <mergeCell ref="U14:U17"/>
    <mergeCell ref="C15:C17"/>
    <mergeCell ref="D15:D17"/>
    <mergeCell ref="I15:I16"/>
    <mergeCell ref="J15:J16"/>
    <mergeCell ref="N15:N16"/>
    <mergeCell ref="I14:J14"/>
    <mergeCell ref="K14:K16"/>
    <mergeCell ref="M14:M17"/>
    <mergeCell ref="N14:R14"/>
    <mergeCell ref="S14:S16"/>
    <mergeCell ref="T14:T16"/>
    <mergeCell ref="O15:R15"/>
    <mergeCell ref="L14:L16"/>
    <mergeCell ref="H386:Q386"/>
    <mergeCell ref="A381:U381"/>
    <mergeCell ref="A223:U223"/>
    <mergeCell ref="A340:D340"/>
    <mergeCell ref="A375:D375"/>
    <mergeCell ref="A342:U342"/>
    <mergeCell ref="AA15:AA16"/>
    <mergeCell ref="B217:B218"/>
    <mergeCell ref="B219:B220"/>
    <mergeCell ref="A209:A210"/>
    <mergeCell ref="A211:A212"/>
    <mergeCell ref="A213:A214"/>
    <mergeCell ref="A215:A216"/>
    <mergeCell ref="A217:A218"/>
    <mergeCell ref="A219:A220"/>
    <mergeCell ref="C209:C210"/>
    <mergeCell ref="D209:D210"/>
    <mergeCell ref="E209:E210"/>
    <mergeCell ref="F209:F210"/>
    <mergeCell ref="G209:G210"/>
    <mergeCell ref="C211:C212"/>
    <mergeCell ref="D211:D212"/>
    <mergeCell ref="E211:E212"/>
    <mergeCell ref="F211:F212"/>
    <mergeCell ref="G211:G212"/>
    <mergeCell ref="C217:C218"/>
    <mergeCell ref="D217:D218"/>
    <mergeCell ref="E217:E218"/>
    <mergeCell ref="F217:F218"/>
    <mergeCell ref="G217:G218"/>
    <mergeCell ref="C213:C214"/>
    <mergeCell ref="D213:D214"/>
    <mergeCell ref="E213:E214"/>
    <mergeCell ref="F213:F214"/>
    <mergeCell ref="G213:G214"/>
    <mergeCell ref="H213:H214"/>
    <mergeCell ref="I213:I214"/>
    <mergeCell ref="J213:J214"/>
    <mergeCell ref="K213:K214"/>
    <mergeCell ref="C215:C216"/>
    <mergeCell ref="D215:D216"/>
    <mergeCell ref="E215:E216"/>
    <mergeCell ref="F215:F216"/>
    <mergeCell ref="G215:G216"/>
    <mergeCell ref="H215:H216"/>
    <mergeCell ref="I215:I216"/>
    <mergeCell ref="J215:J216"/>
    <mergeCell ref="K215:K216"/>
    <mergeCell ref="B213:B214"/>
    <mergeCell ref="B215:B216"/>
    <mergeCell ref="I211:I212"/>
    <mergeCell ref="J211:J212"/>
    <mergeCell ref="K211:K212"/>
    <mergeCell ref="B209:B210"/>
    <mergeCell ref="B211:B212"/>
    <mergeCell ref="H209:H210"/>
    <mergeCell ref="I209:I210"/>
    <mergeCell ref="J209:J210"/>
    <mergeCell ref="K209:K210"/>
    <mergeCell ref="J116:J117"/>
    <mergeCell ref="H217:H218"/>
    <mergeCell ref="I217:I218"/>
    <mergeCell ref="J217:J218"/>
    <mergeCell ref="K217:K218"/>
    <mergeCell ref="C219:C220"/>
    <mergeCell ref="D219:D220"/>
    <mergeCell ref="E219:E220"/>
    <mergeCell ref="F219:F220"/>
    <mergeCell ref="G219:G220"/>
    <mergeCell ref="H219:H220"/>
    <mergeCell ref="I219:I220"/>
    <mergeCell ref="J219:J220"/>
    <mergeCell ref="K219:K220"/>
    <mergeCell ref="H211:H212"/>
  </mergeCells>
  <conditionalFormatting sqref="H289:H293 H295:H306 H308:H317 H324:H333 H224:H230 H232:H236 H239 H242:J250 H253:H287">
    <cfRule type="cellIs" dxfId="257" priority="654" stopIfTrue="1" operator="equal">
      <formula>"н/д"</formula>
    </cfRule>
  </conditionalFormatting>
  <conditionalFormatting sqref="F342:G342 N342 R342 F43:G54">
    <cfRule type="cellIs" dxfId="255" priority="416" stopIfTrue="1" operator="equal">
      <formula>"н/д"</formula>
    </cfRule>
  </conditionalFormatting>
  <conditionalFormatting sqref="M22">
    <cfRule type="cellIs" dxfId="241" priority="212" stopIfTrue="1" operator="equal">
      <formula>"н/д"</formula>
    </cfRule>
  </conditionalFormatting>
  <conditionalFormatting sqref="M24">
    <cfRule type="cellIs" dxfId="240" priority="211" stopIfTrue="1" operator="equal">
      <formula>"н/д"</formula>
    </cfRule>
  </conditionalFormatting>
  <conditionalFormatting sqref="R129">
    <cfRule type="cellIs" dxfId="239" priority="210" stopIfTrue="1" operator="equal">
      <formula>"н/д"</formula>
    </cfRule>
  </conditionalFormatting>
  <conditionalFormatting sqref="R130">
    <cfRule type="cellIs" dxfId="238" priority="208" stopIfTrue="1" operator="equal">
      <formula>"н/д"</formula>
    </cfRule>
  </conditionalFormatting>
  <conditionalFormatting sqref="F62:G62">
    <cfRule type="cellIs" dxfId="237" priority="171" stopIfTrue="1" operator="equal">
      <formula>"н/д"</formula>
    </cfRule>
  </conditionalFormatting>
  <conditionalFormatting sqref="F26:G26 F39:G39 F22:G24 F35:I35">
    <cfRule type="cellIs" dxfId="233" priority="174" stopIfTrue="1" operator="equal">
      <formula>"н/д"</formula>
    </cfRule>
  </conditionalFormatting>
  <conditionalFormatting sqref="H59">
    <cfRule type="cellIs" dxfId="232" priority="173" stopIfTrue="1" operator="equal">
      <formula>"н/д"</formula>
    </cfRule>
  </conditionalFormatting>
  <conditionalFormatting sqref="F61:G61">
    <cfRule type="cellIs" dxfId="231" priority="172" stopIfTrue="1" operator="equal">
      <formula>"н/д"</formula>
    </cfRule>
  </conditionalFormatting>
  <conditionalFormatting sqref="H67">
    <cfRule type="cellIs" dxfId="230" priority="170" stopIfTrue="1" operator="equal">
      <formula>"н/д"</formula>
    </cfRule>
  </conditionalFormatting>
  <conditionalFormatting sqref="H71:J71">
    <cfRule type="cellIs" dxfId="229" priority="169" stopIfTrue="1" operator="equal">
      <formula>"н/д"</formula>
    </cfRule>
  </conditionalFormatting>
  <conditionalFormatting sqref="B130">
    <cfRule type="duplicateValues" dxfId="222" priority="160"/>
  </conditionalFormatting>
  <conditionalFormatting sqref="F172:G172">
    <cfRule type="cellIs" dxfId="221" priority="157" stopIfTrue="1" operator="equal">
      <formula>"н/д"</formula>
    </cfRule>
  </conditionalFormatting>
  <conditionalFormatting sqref="F176:G176">
    <cfRule type="cellIs" dxfId="220" priority="156" stopIfTrue="1" operator="equal">
      <formula>"н/д"</formula>
    </cfRule>
  </conditionalFormatting>
  <conditionalFormatting sqref="F181:G181">
    <cfRule type="cellIs" dxfId="219" priority="155" stopIfTrue="1" operator="equal">
      <formula>"н/д"</formula>
    </cfRule>
  </conditionalFormatting>
  <conditionalFormatting sqref="F186:G186">
    <cfRule type="cellIs" dxfId="218" priority="154" stopIfTrue="1" operator="equal">
      <formula>"н/д"</formula>
    </cfRule>
  </conditionalFormatting>
  <conditionalFormatting sqref="C348:C349">
    <cfRule type="cellIs" dxfId="214" priority="125" stopIfTrue="1" operator="equal">
      <formula>"н/д"</formula>
    </cfRule>
  </conditionalFormatting>
  <conditionalFormatting sqref="H319:H322 I273 I275 I284:J284 I296:J297 I304:J304 I309:J310 I317:J317 I324 I330:J330 I333:J333 I327:J327">
    <cfRule type="cellIs" dxfId="210" priority="143" stopIfTrue="1" operator="equal">
      <formula>"н/д"</formula>
    </cfRule>
  </conditionalFormatting>
  <conditionalFormatting sqref="F288:I288">
    <cfRule type="cellIs" dxfId="209" priority="142" stopIfTrue="1" operator="equal">
      <formula>"н/д"</formula>
    </cfRule>
  </conditionalFormatting>
  <conditionalFormatting sqref="F318:G318">
    <cfRule type="cellIs" dxfId="208" priority="140" stopIfTrue="1" operator="equal">
      <formula>"н/д"</formula>
    </cfRule>
  </conditionalFormatting>
  <conditionalFormatting sqref="F294:G294">
    <cfRule type="cellIs" dxfId="207" priority="141" stopIfTrue="1" operator="equal">
      <formula>"н/д"</formula>
    </cfRule>
  </conditionalFormatting>
  <conditionalFormatting sqref="F323:G323">
    <cfRule type="cellIs" dxfId="206" priority="139" stopIfTrue="1" operator="equal">
      <formula>"н/д"</formula>
    </cfRule>
  </conditionalFormatting>
  <conditionalFormatting sqref="F350:G351 F345:G347 F353:G353">
    <cfRule type="cellIs" dxfId="199" priority="126" stopIfTrue="1" operator="equal">
      <formula>"н/д"</formula>
    </cfRule>
  </conditionalFormatting>
  <conditionalFormatting sqref="F355:G355">
    <cfRule type="cellIs" dxfId="198" priority="127" stopIfTrue="1" operator="equal">
      <formula>"н/д"</formula>
    </cfRule>
  </conditionalFormatting>
  <conditionalFormatting sqref="F91:G100">
    <cfRule type="cellIs" dxfId="197" priority="124" stopIfTrue="1" operator="equal">
      <formula>"н/д"</formula>
    </cfRule>
  </conditionalFormatting>
  <conditionalFormatting sqref="F88:I88">
    <cfRule type="cellIs" dxfId="196" priority="123" stopIfTrue="1" operator="equal">
      <formula>"н/д"</formula>
    </cfRule>
  </conditionalFormatting>
  <conditionalFormatting sqref="H334">
    <cfRule type="cellIs" dxfId="175" priority="67" stopIfTrue="1" operator="equal">
      <formula>"н/д"</formula>
    </cfRule>
  </conditionalFormatting>
  <conditionalFormatting sqref="F102:G102">
    <cfRule type="cellIs" dxfId="171" priority="59" stopIfTrue="1" operator="equal">
      <formula>"н/д"</formula>
    </cfRule>
  </conditionalFormatting>
  <conditionalFormatting sqref="F124:G125">
    <cfRule type="cellIs" dxfId="164" priority="50" stopIfTrue="1" operator="equal">
      <formula>"н/д"</formula>
    </cfRule>
  </conditionalFormatting>
  <conditionalFormatting sqref="F126">
    <cfRule type="cellIs" dxfId="163" priority="49" stopIfTrue="1" operator="equal">
      <formula>"н/д"</formula>
    </cfRule>
  </conditionalFormatting>
  <conditionalFormatting sqref="H251:J251 H252">
    <cfRule type="cellIs" dxfId="156" priority="42" stopIfTrue="1" operator="equal">
      <formula>"н/д"</formula>
    </cfRule>
  </conditionalFormatting>
  <conditionalFormatting sqref="H335:J335">
    <cfRule type="cellIs" dxfId="148" priority="31" stopIfTrue="1" operator="equal">
      <formula>"н/д"</formula>
    </cfRule>
  </conditionalFormatting>
  <conditionalFormatting sqref="M337">
    <cfRule type="cellIs" dxfId="147" priority="30" stopIfTrue="1" operator="equal">
      <formula>"н/д"</formula>
    </cfRule>
  </conditionalFormatting>
  <conditionalFormatting sqref="I252:K252">
    <cfRule type="cellIs" dxfId="146" priority="29" stopIfTrue="1" operator="equal">
      <formula>"н/д"</formula>
    </cfRule>
  </conditionalFormatting>
  <conditionalFormatting sqref="N252:R252">
    <cfRule type="cellIs" dxfId="145" priority="28" stopIfTrue="1" operator="equal">
      <formula>"н/д"</formula>
    </cfRule>
  </conditionalFormatting>
  <conditionalFormatting sqref="H231">
    <cfRule type="cellIs" dxfId="136" priority="19" stopIfTrue="1" operator="equal">
      <formula>"н/д"</formula>
    </cfRule>
  </conditionalFormatting>
  <conditionalFormatting sqref="H240">
    <cfRule type="cellIs" dxfId="135" priority="18" stopIfTrue="1" operator="equal">
      <formula>"н/д"</formula>
    </cfRule>
  </conditionalFormatting>
  <conditionalFormatting sqref="H237">
    <cfRule type="cellIs" dxfId="134" priority="17" stopIfTrue="1" operator="equal">
      <formula>"н/д"</formula>
    </cfRule>
  </conditionalFormatting>
  <conditionalFormatting sqref="M336 F336:G336">
    <cfRule type="cellIs" dxfId="133" priority="16" stopIfTrue="1" operator="equal">
      <formula>"н/д"</formula>
    </cfRule>
  </conditionalFormatting>
  <conditionalFormatting sqref="M370">
    <cfRule type="cellIs" dxfId="123" priority="4" stopIfTrue="1" operator="equal">
      <formula>"н/д"</formula>
    </cfRule>
  </conditionalFormatting>
  <conditionalFormatting sqref="F370:G370">
    <cfRule type="cellIs" dxfId="122" priority="3" stopIfTrue="1" operator="equal">
      <formula>"н/д"</formula>
    </cfRule>
  </conditionalFormatting>
  <conditionalFormatting sqref="F371:G371">
    <cfRule type="cellIs" dxfId="121" priority="2" stopIfTrue="1" operator="equal">
      <formula>"н/д"</formula>
    </cfRule>
  </conditionalFormatting>
  <conditionalFormatting sqref="F372:G372">
    <cfRule type="cellIs" dxfId="120" priority="1" stopIfTrue="1" operator="equal">
      <formula>"н/д"</formula>
    </cfRule>
  </conditionalFormatting>
  <dataValidations count="2">
    <dataValidation type="whole" operator="greaterThanOrEqual" allowBlank="1" showInputMessage="1" showErrorMessage="1" error="Введите целое положительное число." sqref="WGJ342:WGK342 VWN342:VWO342 VMR342:VMS342 VCV342:VCW342 USZ342:UTA342 UJD342:UJE342 TZH342:TZI342 TPL342:TPM342 TFP342:TFQ342 SVT342:SVU342 SLX342:SLY342 SCB342:SCC342 RSF342:RSG342 RIJ342:RIK342 QYN342:QYO342 QOR342:QOS342 QEV342:QEW342 PUZ342:PVA342 PLD342:PLE342 PBH342:PBI342 ORL342:ORM342 OHP342:OHQ342 NXT342:NXU342 NNX342:NNY342 NEB342:NEC342 MUF342:MUG342 MKJ342:MKK342 MAN342:MAO342 LQR342:LQS342 LGV342:LGW342 KWZ342:KXA342 KND342:KNE342 KDH342:KDI342 JTL342:JTM342 JJP342:JJQ342 IZT342:IZU342 IPX342:IPY342 IGB342:IGC342 HWF342:HWG342 HMJ342:HMK342 HCN342:HCO342 GSR342:GSS342 GIV342:GIW342 FYZ342:FZA342 FPD342:FPE342 FFH342:FFI342 EVL342:EVM342 ELP342:ELQ342 EBT342:EBU342 DRX342:DRY342 DIB342:DIC342 CYF342:CYG342 COJ342:COK342 CEN342:CEO342 BUR342:BUS342 BKV342:BKW342 BAZ342:BBA342 ARD342:ARE342 AHH342:AHI342 XL342:XM342 NP342:NQ342 DT342:DU342 F342:G342 DT315:DU322 NP315:NQ322 XL315:XM322 AHH315:AHI322 ARD315:ARE322 BAZ315:BBA322 BKV315:BKW322 BUR315:BUS322 CEN315:CEO322 COJ315:COK322 CYF315:CYG322 DIB315:DIC322 DRX315:DRY322 EBT315:EBU322 ELP315:ELQ322 EVL315:EVM322 FFH315:FFI322 FPD315:FPE322 FYZ315:FZA322 GIV315:GIW322 GSR315:GSS322 HCN315:HCO322 HMJ315:HMK322 HWF315:HWG322 IGB315:IGC322 IPX315:IPY322 IZT315:IZU322 JJP315:JJQ322 JTL315:JTM322 KDH315:KDI322 KND315:KNE322 KWZ315:KXA322 LGV315:LGW322 LQR315:LQS322 MAN315:MAO322 MKJ315:MKK322 MUF315:MUG322 NEB315:NEC322 NNX315:NNY322 NXT315:NXU322 OHP315:OHQ322 ORL315:ORM322 PBH315:PBI322 PLD315:PLE322 PUZ315:PVA322 QEV315:QEW322 QOR315:QOS322 QYN315:QYO322 RIJ315:RIK322 RSF315:RSG322 SCB315:SCC322 SLX315:SLY322 SVT315:SVU322 TFP315:TFQ322 TPL315:TPM322 TZH315:TZI322 UJD315:UJE322 USZ315:UTA322 VCV315:VCW322 VMR315:VMS322 VWN315:VWO322 WGJ315:WGK322 NP177:NQ178 VMR195:VMS198 VCV195:VCW198 USZ195:UTA198 UJD195:UJE198 TZH195:TZI198 TPL195:TPM198 TFP195:TFQ198 SVT195:SVU198 SLX195:SLY198 SCB195:SCC198 RSF195:RSG198 RIJ195:RIK198 QYN195:QYO198 QOR195:QOS198 QEV195:QEW198 PUZ195:PVA198 PLD195:PLE198 PBH195:PBI198 ORL195:ORM198 OHP195:OHQ198 NXT195:NXU198 NNX195:NNY198 NEB195:NEC198 MUF195:MUG198 MKJ195:MKK198 MAN195:MAO198 LQR195:LQS198 LGV195:LGW198 KWZ195:KXA198 KND195:KNE198 KDH195:KDI198 JTL195:JTM198 JJP195:JJQ198 IZT195:IZU198 IPX195:IPY198 IGB195:IGC198 HWF195:HWG198 HMJ195:HMK198 HCN195:HCO198 GSR195:GSS198 GIV195:GIW198 FYZ195:FZA198 FPD195:FPE198 FFH195:FFI198 EVL195:EVM198 ELP195:ELQ198 EBT195:EBU198 DRX195:DRY198 DIB195:DIC198 CYF195:CYG198 COJ195:COK198 CEN195:CEO198 BUR195:BUS198 BKV195:BKW198 BAZ195:BBA198 ARD195:ARE198 AHH195:AHI198 XL195:XM198 NP195:NQ198 DT195:DU198 WGJ195:WGK198 VCV355:VCW355 NP173:NQ175 DT173:DU175 VMR173:VMS175 WGJ173:WGK175 VCV173:VCW175 VWN173:VWO175 USZ173:UTA175 UJD173:UJE175 TZH173:TZI175 TPL173:TPM175 TFP173:TFQ175 SVT173:SVU175 SLX173:SLY175 SCB173:SCC175 RSF173:RSG175 RIJ173:RIK175 QYN173:QYO175 QOR173:QOS175 QEV173:QEW175 PUZ173:PVA175 PLD173:PLE175 PBH173:PBI175 ORL173:ORM175 OHP173:OHQ175 NXT173:NXU175 NNX173:NNY175 NEB173:NEC175 MUF173:MUG175 MKJ173:MKK175 MAN173:MAO175 LQR173:LQS175 LGV173:LGW175 KWZ173:KXA175 KND173:KNE175 KDH173:KDI175 JTL173:JTM175 JJP173:JJQ175 IZT173:IZU175 IPX173:IPY175 IGB173:IGC175 HWF173:HWG175 HMJ173:HMK175 HCN173:HCO175 GSR173:GSS175 GIV173:GIW175 FYZ173:FZA175 FPD173:FPE175 FFH173:FFI175 EVL173:EVM175 ELP173:ELQ175 EBT173:EBU175 DRX173:DRY175 DIB173:DIC175 CYF173:CYG175 COJ173:COK175 CEN173:CEO175 BUR173:BUS175 BKV173:BKW175 BAZ173:BBA175 ARD173:ARE175 AHH173:AHI175 XL173:XM175 XL177:XM178 VMR355:VMS355 WGJ192:WGK193 DT192:DU193 NP192:NQ193 XL192:XM193 AHH192:AHI193 ARD192:ARE193 BAZ192:BBA193 BKV192:BKW193 BUR192:BUS193 CEN192:CEO193 COJ192:COK193 CYF192:CYG193 DIB192:DIC193 DRX192:DRY193 EBT192:EBU193 ELP192:ELQ193 EVL192:EVM193 FFH192:FFI193 FPD192:FPE193 FYZ192:FZA193 GIV192:GIW193 GSR192:GSS193 HCN192:HCO193 HMJ192:HMK193 HWF192:HWG193 IGB192:IGC193 IPX192:IPY193 IZT192:IZU193 JJP192:JJQ193 JTL192:JTM193 KDH192:KDI193 KND192:KNE193 KWZ192:KXA193 LGV192:LGW193 LQR192:LQS193 MAN192:MAO193 MKJ192:MKK193 MUF192:MUG193 NEB192:NEC193 NNX192:NNY193 NXT192:NXU193 OHP192:OHQ193 ORL192:ORM193 PBH192:PBI193 PLD192:PLE193 PUZ192:PVA193 QEV192:QEW193 QOR192:QOS193 QYN192:QYO193 RIJ192:RIK193 RSF192:RSG193 SCB192:SCC193 SLX192:SLY193 SVT192:SVU193 TFP192:TFQ193 TPL192:TPM193 TZH192:TZI193 UJD192:UJE193 USZ192:UTA193 VCV192:VCW193 VMR192:VMS193 VWN192:VWO193 DT239:DU239 TPL48:TPM48 TFP48:TFQ48 SVT48:SVU48 SLX48:SLY48 SCB48:SCC48 RSF48:RSG48 RIJ48:RIK48 QYN48:QYO48 QOR48:QOS48 QEV48:QEW48 PUZ48:PVA48 PLD48:PLE48 PBH48:PBI48 ORL48:ORM48 OHP48:OHQ48 NXT48:NXU48 NNX48:NNY48 NEB48:NEC48 MUF48:MUG48 MKJ48:MKK48 MAN48:MAO48 LQR48:LQS48 LGV48:LGW48 KWZ48:KXA48 KND48:KNE48 KDH48:KDI48 JTL48:JTM48 JJP48:JJQ48 IZT48:IZU48 IPX48:IPY48 IGB48:IGC48 HWF48:HWG48 HMJ48:HMK48 HCN48:HCO48 GSR48:GSS48 GIV48:GIW48 FYZ48:FZA48 FPD48:FPE48 FFH48:FFI48 EVL48:EVM48 ELP48:ELQ48 EBT48:EBU48 DRX48:DRY48 DIB48:DIC48 CYF48:CYG48 COJ48:COK48 CEN48:CEO48 BUR48:BUS48 BKV48:BKW48 BAZ48:BBA48 ARD48:ARE48 AHH48:AHI48 XL48:XM48 NP48:NQ48 DT48:DU48 WGJ355:WGK355 DT45:DU46 NP45:NQ46 XL45:XM46 AHH45:AHI46 ARD45:ARE46 BAZ45:BBA46 BKV45:BKW46 BUR45:BUS46 CEN45:CEO46 COJ45:COK46 CYF45:CYG46 DIB45:DIC46 DRX45:DRY46 EBT45:EBU46 ELP45:ELQ46 EVL45:EVM46 FFH45:FFI46 FPD45:FPE46 FYZ45:FZA46 GIV45:GIW46 GSR45:GSS46 HCN45:HCO46 HMJ45:HMK46 HWF45:HWG46 IGB45:IGC46 IPX45:IPY46 IZT45:IZU46 JJP45:JJQ46 JTL45:JTM46 KDH45:KDI46 KND45:KNE46 KWZ45:KXA46 LGV45:LGW46 LQR45:LQS46 MAN45:MAO46 MKJ45:MKK46 MUF45:MUG46 NEB45:NEC46 NNX45:NNY46 NXT45:NXU46 OHP45:OHQ46 ORL45:ORM46 PBH45:PBI46 PLD45:PLE46 PUZ45:PVA46 QEV45:QEW46 QOR45:QOS46 QYN45:QYO46 RIJ45:RIK46 RSF45:RSG46 SCB45:SCC46 SLX45:SLY46 SVT45:SVU46 TFP45:TFQ46 TPL45:TPM46 TZH45:TZI46 UJD45:UJE46 USZ45:UTA46 VCV45:VCW46 VMR45:VMS46 VWN45:VWO46 WGJ45:WGK46 WGJ48:WGK48 VWN48:VWO48 VMR48:VMS48 F61:G62 VCV48:VCW48 USZ48:UTA48 UJD48:UJE48 TZH48:TZI48 VWN195:VWO198 VWN355:VWO355 F22:G24 AHH177:AHI178 ARD177:ARE178 BAZ177:BBA178 BKV177:BKW178 BUR177:BUS178 CEN177:CEO178 COJ177:COK178 CYF177:CYG178 DIB177:DIC178 DRX177:DRY178 EBT177:EBU178 ELP177:ELQ178 EVL177:EVM178 FFH177:FFI178 FPD177:FPE178 FYZ177:FZA178 GIV177:GIW178 GSR177:GSS178 HCN177:HCO178 HMJ177:HMK178 HWF177:HWG178 IGB177:IGC178 IPX177:IPY178 IZT177:IZU178 JJP177:JJQ178 JTL177:JTM178 KDH177:KDI178 KND177:KNE178 KWZ177:KXA178 LGV177:LGW178 LQR177:LQS178 MAN177:MAO178 MKJ177:MKK178 MUF177:MUG178 NEB177:NEC178 NNX177:NNY178 NXT177:NXU178 OHP177:OHQ178 ORL177:ORM178 PBH177:PBI178 PLD177:PLE178 PUZ177:PVA178 QEV177:QEW178 QOR177:QOS178 QYN177:QYO178 RIJ177:RIK178 RSF177:RSG178 SCB177:SCC178 SLX177:SLY178 SVT177:SVU178 TFP177:TFQ178 TPL177:TPM178 TZH177:TZI178 UJD177:UJE178 USZ177:UTA178 VWN177:VWO178 VCV177:VCW178 WGJ177:WGK178 WGJ158:WGK160 VWN158:VWO160 VMR158:VMS160 VCV158:VCW160 USZ158:UTA160 UJD158:UJE160 TZH158:TZI160 TPL158:TPM160 TFP158:TFQ160 SVT158:SVU160 SLX158:SLY160 SCB158:SCC160 RSF158:RSG160 RIJ158:RIK160 QYN158:QYO160 QOR158:QOS160 QEV158:QEW160 PUZ158:PVA160 PLD158:PLE160 PBH158:PBI160 ORL158:ORM160 OHP158:OHQ160 NXT158:NXU160 NNX158:NNY160 NEB158:NEC160 MUF158:MUG160 MKJ158:MKK160 MAN158:MAO160 LQR158:LQS160 LGV158:LGW160 KWZ158:KXA160 KND158:KNE160 KDH158:KDI160 JTL158:JTM160 JJP158:JJQ160 IZT158:IZU160 IPX158:IPY160 IGB158:IGC160 HWF158:HWG160 HMJ158:HMK160 HCN158:HCO160 GSR158:GSS160 GIV158:GIW160 FYZ158:FZA160 FPD158:FPE160 FFH158:FFI160 EVL158:EVM160 ELP158:ELQ160 EBT158:EBU160 DRX158:DRY160 DIB158:DIC160 CYF158:CYG160 COJ158:COK160 CEN158:CEO160 BUR158:BUS160 BKV158:BKW160 BAZ158:BBA160 ARD158:ARE160 AHH158:AHI160 XL158:XM160 NP158:NQ160 DT158:DU160 VMR177:VMS178 WGJ184:WGK186 VWN184:VWO186 VMR184:VMS186 VCV184:VCW186 USZ184:UTA186 UJD184:UJE186 TZH184:TZI186 TPL184:TPM186 TFP184:TFQ186 SVT184:SVU186 SLX184:SLY186 SCB184:SCC186 RSF184:RSG186 RIJ184:RIK186 QYN184:QYO186 QOR184:QOS186 QEV184:QEW186 PUZ184:PVA186 PLD184:PLE186 PBH184:PBI186 ORL184:ORM186 OHP184:OHQ186 NXT184:NXU186 NNX184:NNY186 NEB184:NEC186 MUF184:MUG186 MKJ184:MKK186 MAN184:MAO186 LQR184:LQS186 LGV184:LGW186 KWZ184:KXA186 KND184:KNE186 KDH184:KDI186 JTL184:JTM186 JJP184:JJQ186 IZT184:IZU186 IPX184:IPY186 IGB184:IGC186 HWF184:HWG186 HMJ184:HMK186 HCN184:HCO186 GSR184:GSS186 GIV184:GIW186 FYZ184:FZA186 FPD184:FPE186 FFH184:FFI186 EVL184:EVM186 ELP184:ELQ186 EBT184:EBU186 DRX184:DRY186 DIB184:DIC186 CYF184:CYG186 COJ184:COK186 CEN184:CEO186 BUR184:BUS186 BKV184:BKW186 BAZ184:BBA186 ARD184:ARE186 AHH184:AHI186 XL184:XM186 NP184:NQ186 DT184:DU186 DT177:DU178 WGJ163:WGK163 VWN163:VWO163 VMR163:VMS163 VCV163:VCW163 USZ163:UTA163 UJD163:UJE163 TZH163:TZI163 TPL163:TPM163 TFP163:TFQ163 SVT163:SVU163 SLX163:SLY163 SCB163:SCC163 RSF163:RSG163 RIJ163:RIK163 QYN163:QYO163 QOR163:QOS163 QEV163:QEW163 PUZ163:PVA163 PLD163:PLE163 PBH163:PBI163 ORL163:ORM163 OHP163:OHQ163 NXT163:NXU163 NNX163:NNY163 NEB163:NEC163 MUF163:MUG163 MKJ163:MKK163 MAN163:MAO163 LQR163:LQS163 LGV163:LGW163 KWZ163:KXA163 KND163:KNE163 KDH163:KDI163 JTL163:JTM163 JJP163:JJQ163 IZT163:IZU163 IPX163:IPY163 IGB163:IGC163 HWF163:HWG163 HMJ163:HMK163 HCN163:HCO163 GSR163:GSS163 GIV163:GIW163 FYZ163:FZA163 FPD163:FPE163 FFH163:FFI163 EVL163:EVM163 ELP163:ELQ163 EBT163:EBU163 DRX163:DRY163 DIB163:DIC163 CYF163:CYG163 COJ163:COK163 CEN163:CEO163 BUR163:BUS163 BKV163:BKW163 BAZ163:BBA163 ARD163:ARE163 AHH163:AHI163 XL163:XM163 NP163:NQ163 DT163:DU163 NP295:NQ299 DT308:DU310 NP308:NQ310 XL308:XM310 AHH308:AHI310 ARD308:ARE310 BAZ308:BBA310 BKV308:BKW310 BUR308:BUS310 CEN308:CEO310 COJ308:COK310 CYF308:CYG310 DIB308:DIC310 DRX308:DRY310 EBT308:EBU310 ELP308:ELQ310 EVL308:EVM310 FFH308:FFI310 FPD308:FPE310 FYZ308:FZA310 GIV308:GIW310 GSR308:GSS310 HCN308:HCO310 HMJ308:HMK310 HWF308:HWG310 IGB308:IGC310 IPX308:IPY310 IZT308:IZU310 JJP308:JJQ310 JTL308:JTM310 KDH308:KDI310 KND308:KNE310 KWZ308:KXA310 LGV308:LGW310 LQR308:LQS310 MAN308:MAO310 MKJ308:MKK310 MUF308:MUG310 NEB308:NEC310 NNX308:NNY310 NXT308:NXU310 OHP308:OHQ310 ORL308:ORM310 PBH308:PBI310 PLD308:PLE310 PUZ308:PVA310 QEV308:QEW310 QOR308:QOS310 QYN308:QYO310 RIJ308:RIK310 RSF308:RSG310 SCB308:SCC310 SLX308:SLY310 SVT308:SVU310 TFP308:TFQ310 TPL308:TPM310 TZH308:TZI310 UJD308:UJE310 USZ308:UTA310 VCV308:VCW310 VMR308:VMS310 VWN308:VWO310 WGJ308:WGK310 DT279:DU281 NP279:NQ281 XL279:XM281 AHH279:AHI281 ARD279:ARE281 BAZ279:BBA281 BKV279:BKW281 BUR279:BUS281 CEN279:CEO281 COJ279:COK281 CYF279:CYG281 DIB279:DIC281 DRX279:DRY281 EBT279:EBU281 ELP279:ELQ281 EVL279:EVM281 FFH279:FFI281 FPD279:FPE281 FYZ279:FZA281 GIV279:GIW281 GSR279:GSS281 HCN279:HCO281 HMJ279:HMK281 HWF279:HWG281 IGB279:IGC281 IPX279:IPY281 IZT279:IZU281 JJP279:JJQ281 JTL279:JTM281 KDH279:KDI281 KND279:KNE281 KWZ279:KXA281 LGV279:LGW281 LQR279:LQS281 MAN279:MAO281 MKJ279:MKK281 MUF279:MUG281 NEB279:NEC281 NNX279:NNY281 NXT279:NXU281 OHP279:OHQ281 ORL279:ORM281 PBH279:PBI281 PLD279:PLE281 PUZ279:PVA281 QEV279:QEW281 QOR279:QOS281 QYN279:QYO281 RIJ279:RIK281 RSF279:RSG281 SCB279:SCC281 SLX279:SLY281 SVT279:SVU281 TFP279:TFQ281 TPL279:TPM281 TZH279:TZI281 UJD279:UJE281 USZ279:UTA281 VCV279:VCW281 VMR279:VMS281 VWN279:VWO281 WGJ279:WGK281 DT327:DU327 NP327:NQ327 XL327:XM327 AHH327:AHI327 ARD327:ARE327 BAZ327:BBA327 BKV327:BKW327 BUR327:BUS327 CEN327:CEO327 COJ327:COK327 CYF327:CYG327 DIB327:DIC327 DRX327:DRY327 EBT327:EBU327 ELP327:ELQ327 EVL327:EVM327 FFH327:FFI327 FPD327:FPE327 FYZ327:FZA327 GIV327:GIW327 GSR327:GSS327 HCN327:HCO327 HMJ327:HMK327 HWF327:HWG327 IGB327:IGC327 IPX327:IPY327 IZT327:IZU327 JJP327:JJQ327 JTL327:JTM327 KDH327:KDI327 KND327:KNE327 KWZ327:KXA327 LGV327:LGW327 LQR327:LQS327 MAN327:MAO327 MKJ327:MKK327 MUF327:MUG327 NEB327:NEC327 NNX327:NNY327 NXT327:NXU327 OHP327:OHQ327 ORL327:ORM327 PBH327:PBI327 PLD327:PLE327 PUZ327:PVA327 QEV327:QEW327 QOR327:QOS327 QYN327:QYO327 RIJ327:RIK327 RSF327:RSG327 SCB327:SCC327 SLX327:SLY327 SVT327:SVU327 TFP327:TFQ327 TPL327:TPM327 TZH327:TZI327 UJD327:UJE327 USZ327:UTA327 VCV327:VCW327 VMR327:VMS327 VWN327:VWO327 WGJ327:WGK327 XL295:XM299 AHH295:AHI299 ARD295:ARE299 BAZ295:BBA299 BKV295:BKW299 BUR295:BUS299 CEN295:CEO299 COJ295:COK299 CYF295:CYG299 DIB295:DIC299 DRX295:DRY299 EBT295:EBU299 ELP295:ELQ299 EVL295:EVM299 FFH295:FFI299 FPD295:FPE299 FYZ295:FZA299 GIV295:GIW299 GSR295:GSS299 HCN295:HCO299 HMJ295:HMK299 HWF295:HWG299 IGB295:IGC299 IPX295:IPY299 IZT295:IZU299 JJP295:JJQ299 JTL295:JTM299 KDH295:KDI299 KND295:KNE299 KWZ295:KXA299 LGV295:LGW299 LQR295:LQS299 MAN295:MAO299 MKJ295:MKK299 MUF295:MUG299 NEB295:NEC299 NNX295:NNY299 NXT295:NXU299 OHP295:OHQ299 ORL295:ORM299 PBH295:PBI299 PLD295:PLE299 PUZ295:PVA299 QEV295:QEW299 QOR295:QOS299 QYN295:QYO299 RIJ295:RIK299 RSF295:RSG299 SCB295:SCC299 SLX295:SLY299 SVT295:SVU299 TFP295:TFQ299 TPL295:TPM299 TZH295:TZI299 UJD295:UJE299 USZ295:UTA299 VWN295:VWO299 VCV295:VCW299 WGJ295:WGK299 VMR295:VMS299 DT295:DU299 VMR233:VMS233 WGJ233:WGK233 VCV233:VCW233 VWN233:VWO233 USZ233:UTA233 UJD233:UJE233 TZH233:TZI233 TPL233:TPM233 TFP233:TFQ233 SVT233:SVU233 SLX233:SLY233 SCB233:SCC233 RSF233:RSG233 RIJ233:RIK233 QYN233:QYO233 QOR233:QOS233 QEV233:QEW233 PUZ233:PVA233 PLD233:PLE233 PBH233:PBI233 ORL233:ORM233 OHP233:OHQ233 NXT233:NXU233 NNX233:NNY233 NEB233:NEC233 MUF233:MUG233 MKJ233:MKK233 MAN233:MAO233 LQR233:LQS233 LGV233:LGW233 KWZ233:KXA233 KND233:KNE233 KDH233:KDI233 JTL233:JTM233 JJP233:JJQ233 IZT233:IZU233 IPX233:IPY233 IGB233:IGC233 HWF233:HWG233 HMJ233:HMK233 HCN233:HCO233 GSR233:GSS233 GIV233:GIW233 FYZ233:FZA233 FPD233:FPE233 FFH233:FFI233 EVL233:EVM233 ELP233:ELQ233 EBT233:EBU233 DRX233:DRY233 DIB233:DIC233 CYF233:CYG233 COJ233:COK233 CEN233:CEO233 BUR233:BUS233 BKV233:BKW233 BAZ233:BBA233 ARD233:ARE233 AHH233:AHI233 XL233:XM233 NP233:NQ233 F224:G226 DT355:DU355 NP355:NQ355 XL355:XM355 AHH355:AHI355 ARD355:ARE355 BAZ355:BBA355 BKV355:BKW355 BUR355:BUS355 CEN355:CEO355 COJ355:COK355 CYF355:CYG355 DIB355:DIC355 DRX355:DRY355 EBT355:EBU355 ELP355:ELQ355 EVL355:EVM355 FFH355:FFI355 FPD355:FPE355 FYZ355:FZA355 GIV355:GIW355 GSR355:GSS355 HCN355:HCO355 HMJ355:HMK355 HWF355:HWG355 IGB355:IGC355 IPX355:IPY355 IZT355:IZU355 JJP355:JJQ355 JTL355:JTM355 KDH355:KDI355 KND355:KNE355 KWZ355:KXA355 LGV355:LGW355 LQR355:LQS355 MAN355:MAO355 MKJ355:MKK355 MUF355:MUG355 NEB355:NEC355 NNX355:NNY355 NXT355:NXU355 OHP355:OHQ355 ORL355:ORM355 PBH355:PBI355 PLD355:PLE355 PUZ355:PVA355 QEV355:QEW355 QOR355:QOS355 QYN355:QYO355 RIJ355:RIK355 RSF355:RSG355 SCB355:SCC355 SLX355:SLY355 SVT355:SVU355 TFP355:TFQ355 TPL355:TPM355 TZH355:TZI355 UJD355:UJE355 USZ355:UTA355 F186:G186 F131:G131 F318:G318 F328:G329 F355:G355 F344:G344 DT103:DU103 NP103:NQ103 XL103:XM103 AHH103:AHI103 ARD103:ARE103 BAZ103:BBA103 BKV103:BKW103 BUR103:BUS103 CEN103:CEO103 COJ103:COK103 CYF103:CYG103 DIB103:DIC103 DRX103:DRY103 EBT103:EBU103 ELP103:ELQ103 EVL103:EVM103 FFH103:FFI103 FPD103:FPE103 FYZ103:FZA103 GIV103:GIW103 GSR103:GSS103 HCN103:HCO103 HMJ103:HMK103 HWF103:HWG103 IGB103:IGC103 IPX103:IPY103 IZT103:IZU103 JJP103:JJQ103 JTL103:JTM103 KDH103:KDI103 KND103:KNE103 KWZ103:KXA103 LGV103:LGW103 LQR103:LQS103 MAN103:MAO103 MKJ103:MKK103 MUF103:MUG103 NEB103:NEC103 NNX103:NNY103 NXT103:NXU103 OHP103:OHQ103 ORL103:ORM103 PBH103:PBI103 PLD103:PLE103 PUZ103:PVA103 QEV103:QEW103 QOR103:QOS103 QYN103:QYO103 RIJ103:RIK103 RSF103:RSG103 SCB103:SCC103 SLX103:SLY103 SVT103:SVU103 TFP103:TFQ103 TPL103:TPM103 TZH103:TZI103 UJD103:UJE103 USZ103:UTA103 VCV103:VCW103 VMR103:VMS103 VWN103:VWO103 WGJ103:WGK103 WGJ190:WGK190 VWN190:VWO190 VMR190:VMS190 VCV190:VCW190 USZ190:UTA190 UJD190:UJE190 TZH190:TZI190 TPL190:TPM190 TFP190:TFQ190 SVT190:SVU190 SLX190:SLY190 SCB190:SCC190 RSF190:RSG190 RIJ190:RIK190 QYN190:QYO190 QOR190:QOS190 QEV190:QEW190 PUZ190:PVA190 PLD190:PLE190 PBH190:PBI190 ORL190:ORM190 OHP190:OHQ190 NXT190:NXU190 NNX190:NNY190 NEB190:NEC190 MUF190:MUG190 MKJ190:MKK190 MAN190:MAO190 LQR190:LQS190 LGV190:LGW190 KWZ190:KXA190 KND190:KNE190 KDH190:KDI190 JTL190:JTM190 JJP190:JJQ190 IZT190:IZU190 IPX190:IPY190 IGB190:IGC190 HWF190:HWG190 HMJ190:HMK190 HCN190:HCO190 GSR190:GSS190 GIV190:GIW190 FYZ190:FZA190 FPD190:FPE190 FFH190:FFI190 EVL190:EVM190 ELP190:ELQ190 EBT190:EBU190 DRX190:DRY190 DIB190:DIC190 CYF190:CYG190 COJ190:COK190 CEN190:CEO190 BUR190:BUS190 BKV190:BKW190 BAZ190:BBA190 ARD190:ARE190 AHH190:AHI190 XL190:XM190 NP190:NQ190 DT190:DU190 F106:G107 F134:G136 WGJ113:WGK113 VWN113:VWO113 VMR113:VMS113 VCV113:VCW113 USZ113:UTA113 UJD113:UJE113 TZH113:TZI113 TPL113:TPM113 TFP113:TFQ113 SVT113:SVU113 SLX113:SLY113 SCB113:SCC113 RSF113:RSG113 RIJ113:RIK113 QYN113:QYO113 QOR113:QOS113 QEV113:QEW113 PUZ113:PVA113 PLD113:PLE113 PBH113:PBI113 ORL113:ORM113 OHP113:OHQ113 NXT113:NXU113 NNX113:NNY113 NEB113:NEC113 MUF113:MUG113 MKJ113:MKK113 MAN113:MAO113 LQR113:LQS113 LGV113:LGW113 KWZ113:KXA113 KND113:KNE113 KDH113:KDI113 JTL113:JTM113 JJP113:JJQ113 IZT113:IZU113 IPX113:IPY113 IGB113:IGC113 HWF113:HWG113 HMJ113:HMK113 HCN113:HCO113 GSR113:GSS113 GIV113:GIW113 FYZ113:FZA113 FPD113:FPE113 FFH113:FFI113 EVL113:EVM113 ELP113:ELQ113 EBT113:EBU113 DRX113:DRY113 DIB113:DIC113 CYF113:CYG113 COJ113:COK113 CEN113:CEO113 BUR113:BUS113 BKV113:BKW113 BAZ113:BBA113 ARD113:ARE113 AHH113:AHI113 XL113:XM113 NP113:NQ113 DT113:DU113 F121:G121 WGJ119:WGK119 VWN119:VWO119 VMR119:VMS119 VCV119:VCW119 USZ119:UTA119 UJD119:UJE119 TZH119:TZI119 TPL119:TPM119 TFP119:TFQ119 SVT119:SVU119 SLX119:SLY119 SCB119:SCC119 RSF119:RSG119 RIJ119:RIK119 QYN119:QYO119 QOR119:QOS119 QEV119:QEW119 PUZ119:PVA119 PLD119:PLE119 PBH119:PBI119 ORL119:ORM119 OHP119:OHQ119 NXT119:NXU119 NNX119:NNY119 NEB119:NEC119 MUF119:MUG119 MKJ119:MKK119 MAN119:MAO119 LQR119:LQS119 LGV119:LGW119 KWZ119:KXA119 KND119:KNE119 KDH119:KDI119 JTL119:JTM119 JJP119:JJQ119 IZT119:IZU119 IPX119:IPY119 IGB119:IGC119 HWF119:HWG119 HMJ119:HMK119 HCN119:HCO119 GSR119:GSS119 GIV119:GIW119 FYZ119:FZA119 FPD119:FPE119 FFH119:FFI119 EVL119:EVM119 ELP119:ELQ119 EBT119:EBU119 DRX119:DRY119 DIB119:DIC119 CYF119:CYG119 COJ119:COK119 CEN119:CEO119 BUR119:BUS119 BKV119:BKW119 BAZ119:BBA119 ARD119:ARE119 AHH119:AHI119 XL119:XM119 NP119:NQ119 DT119:DU119 F124 G125 F258:G259 DT233:DU233 NP239:NQ239 WGJ324:WGK324 XL239:XM239 DT324:DU324 AHH239:AHI239 NP324:NQ324 ARD239:ARE239 XL324:XM324 BAZ239:BBA239 AHH324:AHI324 BKV239:BKW239 ARD324:ARE324 BUR239:BUS239 BAZ324:BBA324 CEN239:CEO239 BKV324:BKW324 COJ239:COK239 BUR324:BUS324 CYF239:CYG239 CEN324:CEO324 DIB239:DIC239 COJ324:COK324 DRX239:DRY239 CYF324:CYG324 EBT239:EBU239 DIB324:DIC324 ELP239:ELQ239 DRX324:DRY324 EVL239:EVM239 EBT324:EBU324 FFH239:FFI239 ELP324:ELQ324 FPD239:FPE239 EVL324:EVM324 FYZ239:FZA239 FFH324:FFI324 GIV239:GIW239 FPD324:FPE324 GSR239:GSS239 FYZ324:FZA324 HCN239:HCO239 GIV324:GIW324 HMJ239:HMK239 GSR324:GSS324 HWF239:HWG239 HCN324:HCO324 IGB239:IGC239 HMJ324:HMK324 IPX239:IPY239 HWF324:HWG324 IZT239:IZU239 IGB324:IGC324 JJP239:JJQ239 IPX324:IPY324 JTL239:JTM239 IZT324:IZU324 KDH239:KDI239 JJP324:JJQ324 KND239:KNE239 JTL324:JTM324 KWZ239:KXA239 KDH324:KDI324 LGV239:LGW239 KND324:KNE324 LQR239:LQS239 KWZ324:KXA324 MAN239:MAO239 LGV324:LGW324 MKJ239:MKK239 LQR324:LQS324 MUF239:MUG239 MAN324:MAO324 NEB239:NEC239 MKJ324:MKK324 NNX239:NNY239 MUF324:MUG324 NXT239:NXU239 NEB324:NEC324 OHP239:OHQ239 NNX324:NNY324 ORL239:ORM239 NXT324:NXU324 PBH239:PBI239 OHP324:OHQ324 PLD239:PLE239 ORL324:ORM324 PUZ239:PVA239 PBH324:PBI324 QEV239:QEW239 PLD324:PLE324 QOR239:QOS239 PUZ324:PVA324 QYN239:QYO239 QEV324:QEW324 RIJ239:RIK239 QOR324:QOS324 RSF239:RSG239 QYN324:QYO324 SCB239:SCC239 RIJ324:RIK324 SLX239:SLY239 RSF324:RSG324 SVT239:SVU239 SCB324:SCC324 TFP239:TFQ239 SLX324:SLY324 TPL239:TPM239 SVT324:SVU324 TZH239:TZI239 TFP324:TFQ324 UJD239:UJE239 TPL324:TPM324 USZ239:UTA239 TZH324:TZI324 VCV239:VCW239 UJD324:UJE324 VMR239:VMS239 USZ324:UTA324 VWN239:VWO239 VCV324:VCW324 VMR324:VMS324 VWN324:VWO324 WGJ239:WGK239 DT371:DU371 NP371:NQ371 XL371:XM371 AHH371:AHI371 ARD371:ARE371 BAZ371:BBA371 BKV371:BKW371 BUR371:BUS371 CEN371:CEO371 COJ371:COK371 CYF371:CYG371 DIB371:DIC371 DRX371:DRY371 EBT371:EBU371 ELP371:ELQ371 EVL371:EVM371 FFH371:FFI371 FPD371:FPE371 FYZ371:FZA371 GIV371:GIW371 GSR371:GSS371 HCN371:HCO371 HMJ371:HMK371 HWF371:HWG371 IGB371:IGC371 IPX371:IPY371 IZT371:IZU371 JJP371:JJQ371 JTL371:JTM371 KDH371:KDI371 KND371:KNE371 KWZ371:KXA371 LGV371:LGW371 LQR371:LQS371 MAN371:MAO371 MKJ371:MKK371 MUF371:MUG371 NEB371:NEC371 NNX371:NNY371 NXT371:NXU371 OHP371:OHQ371 ORL371:ORM371 PBH371:PBI371 PLD371:PLE371 PUZ371:PVA371 QEV371:QEW371 QOR371:QOS371 QYN371:QYO371 RIJ371:RIK371 RSF371:RSG371 SCB371:SCC371 SLX371:SLY371 SVT371:SVU371 TFP371:TFQ371 TPL371:TPM371 TZH371:TZI371 UJD371:UJE371 USZ371:UTA371 VWN371:VWO371 VCV371:VCW371 WGJ371:WGK371 VMR371:VMS371 F371:G371 F374:G374 F199:G199">
      <formula1>1</formula1>
      <formula2>0</formula2>
    </dataValidation>
    <dataValidation type="date" allowBlank="1" showInputMessage="1" showErrorMessage="1" error="Введите год в интервале от 1900 по 2013." sqref="NM348:NM349 WGG129 VWK129 VMO129 VCS129 USW129 UJA129 TZE129 TPI129 TFM129 SVQ129 SLU129 SBY129 RSC129 RIG129 QYK129 QOO129 QES129 PUW129 PLA129 PBE129 ORI129 OHM129 NXQ129 NNU129 NDY129 MUC129 MKG129 MAK129 LQO129 LGS129 KWW129 KNA129 KDE129 JTI129 JJM129 IZQ129 IPU129 IFY129 HWC129 HMG129 HCK129 GSO129 GIS129 FYW129 FPA129 FFE129 EVI129 ELM129 EBQ129 DRU129 DHY129 CYC129 COG129 CEK129 BUO129 BKS129 BAW129 ARA129 AHE129 XI129 NM129 DQ129 C315:C316 DQ348:DQ349 WGG348:WGG349 VWK348:VWK349 VMO348:VMO349 VCS348:VCS349 USW348:USW349 UJA348:UJA349 TZE348:TZE349 TPI348:TPI349 TFM348:TFM349 SVQ348:SVQ349 SLU348:SLU349 SBY348:SBY349 RSC348:RSC349 RIG348:RIG349 QYK348:QYK349 QOO348:QOO349 QES348:QES349 PUW348:PUW349 PLA348:PLA349 PBE348:PBE349 ORI348:ORI349 OHM348:OHM349 NXQ348:NXQ349 NNU348:NNU349 NDY348:NDY349 MUC348:MUC349 MKG348:MKG349 MAK348:MAK349 LQO348:LQO349 LGS348:LGS349 KWW348:KWW349 KNA348:KNA349 KDE348:KDE349 JTI348:JTI349 JJM348:JJM349 IZQ348:IZQ349 IPU348:IPU349 IFY348:IFY349 HWC348:HWC349 HMG348:HMG349 HCK348:HCK349 GSO348:GSO349 GIS348:GIS349 FYW348:FYW349 FPA348:FPA349 FFE348:FFE349 EVI348:EVI349 ELM348:ELM349 EBQ348:EBQ349 DRU348:DRU349 DHY348:DHY349 CYC348:CYC349 COG348:COG349 CEK348:CEK349 BUO348:BUO349 BKS348:BKS349 BAW348:BAW349 ARA348:ARA349 AHE348:AHE349 XI348:XI349 C348:C349 C190 C103">
      <formula1>1900</formula1>
      <formula2>2013</formula2>
    </dataValidation>
  </dataValidations>
  <pageMargins left="0.23622047244094491" right="0.23622047244094491" top="0.74803149606299213" bottom="0.74803149606299213" header="0.31496062992125984" footer="0.31496062992125984"/>
  <pageSetup paperSize="9" scale="37" firstPageNumber="0" fitToHeight="0" orientation="landscape" r:id="rId1"/>
  <headerFooter alignWithMargins="0"/>
  <colBreaks count="6" manualBreakCount="6">
    <brk id="13175" max="4677" man="1"/>
    <brk id="13272" max="4677" man="1"/>
    <brk id="13304" max="4677" man="1"/>
    <brk id="13970" max="4677" man="1"/>
    <brk id="14236" max="4677" man="1"/>
    <brk id="15630" max="467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59"/>
  <sheetViews>
    <sheetView view="pageBreakPreview" topLeftCell="A327" zoomScale="50" zoomScaleNormal="50" zoomScaleSheetLayoutView="50" workbookViewId="0">
      <selection activeCell="G358" sqref="G358"/>
    </sheetView>
  </sheetViews>
  <sheetFormatPr defaultColWidth="8.85546875" defaultRowHeight="39" customHeight="1"/>
  <cols>
    <col min="1" max="1" width="7.7109375" style="4" customWidth="1"/>
    <col min="2" max="2" width="51" style="1" customWidth="1"/>
    <col min="3" max="3" width="22.85546875" style="12" customWidth="1"/>
    <col min="4" max="4" width="23.85546875" style="12" customWidth="1"/>
    <col min="5" max="5" width="15.7109375" style="11" customWidth="1"/>
    <col min="6" max="6" width="21.85546875" style="12" customWidth="1"/>
    <col min="7" max="7" width="24.140625" style="12" customWidth="1"/>
    <col min="8" max="8" width="21.85546875" style="12" customWidth="1"/>
    <col min="9" max="9" width="17.7109375" style="12" customWidth="1"/>
    <col min="10" max="10" width="17.5703125" style="12" customWidth="1"/>
    <col min="11" max="11" width="16" style="12" customWidth="1"/>
    <col min="12" max="12" width="20.28515625" style="12" customWidth="1"/>
    <col min="13" max="13" width="11.7109375" style="12" customWidth="1"/>
    <col min="14" max="14" width="20.140625" style="12" customWidth="1"/>
    <col min="15" max="15" width="15.85546875" style="12" customWidth="1"/>
    <col min="16" max="16" width="21.7109375" style="12" customWidth="1"/>
    <col min="17" max="17" width="18.42578125" style="12" customWidth="1"/>
    <col min="18" max="18" width="23.28515625" style="12" customWidth="1"/>
    <col min="19" max="19" width="22.85546875" style="12" customWidth="1"/>
    <col min="20" max="20" width="14" style="12" customWidth="1"/>
    <col min="21" max="21" width="18.5703125" style="12" customWidth="1"/>
    <col min="22" max="22" width="20.85546875" style="4" customWidth="1"/>
    <col min="23" max="23" width="23" style="4" customWidth="1"/>
    <col min="24" max="24" width="25.42578125" style="4" customWidth="1"/>
    <col min="25" max="25" width="12.28515625" style="4" customWidth="1"/>
    <col min="26" max="26" width="25.28515625" style="4" customWidth="1"/>
    <col min="27" max="27" width="49.42578125" style="4" customWidth="1"/>
    <col min="28" max="28" width="20" style="4" customWidth="1"/>
    <col min="29" max="29" width="11.5703125" style="4" bestFit="1" customWidth="1"/>
    <col min="30" max="30" width="13" style="4" bestFit="1" customWidth="1"/>
    <col min="31" max="31" width="25.42578125" style="4" customWidth="1"/>
    <col min="32" max="32" width="15" style="4" bestFit="1" customWidth="1"/>
    <col min="33" max="33" width="11.5703125" style="4" bestFit="1" customWidth="1"/>
    <col min="34" max="34" width="9.7109375" style="4" bestFit="1" customWidth="1"/>
    <col min="35" max="35" width="11.5703125" style="4" bestFit="1" customWidth="1"/>
    <col min="36" max="36" width="8.85546875" style="4"/>
    <col min="37" max="37" width="17.85546875" style="4" bestFit="1" customWidth="1"/>
    <col min="38" max="38" width="8.85546875" style="4"/>
    <col min="39" max="39" width="9.140625" style="4" customWidth="1"/>
    <col min="40" max="40" width="8.85546875" style="4"/>
    <col min="41" max="41" width="9.140625" style="4" customWidth="1"/>
    <col min="42" max="42" width="8.85546875" style="4"/>
    <col min="43" max="43" width="9.140625" style="4" customWidth="1"/>
    <col min="44" max="44" width="8.85546875" style="4"/>
    <col min="45" max="45" width="9.140625" style="4" customWidth="1"/>
    <col min="46" max="46" width="8.85546875" style="4"/>
    <col min="47" max="47" width="9.140625" style="4" customWidth="1"/>
    <col min="48" max="48" width="8.85546875" style="4"/>
    <col min="49" max="49" width="9.140625" style="4" customWidth="1"/>
    <col min="50" max="50" width="8.85546875" style="4"/>
    <col min="51" max="51" width="9.140625" style="4" customWidth="1"/>
    <col min="52" max="52" width="8.85546875" style="4"/>
    <col min="53" max="53" width="9.140625" style="4" customWidth="1"/>
    <col min="54" max="54" width="8.85546875" style="4"/>
    <col min="55" max="55" width="9.140625" style="4" customWidth="1"/>
    <col min="56" max="56" width="8.85546875" style="4"/>
    <col min="57" max="57" width="9.140625" style="4" customWidth="1"/>
    <col min="58" max="58" width="8.85546875" style="4"/>
    <col min="59" max="59" width="9.140625" style="4" customWidth="1"/>
    <col min="60" max="60" width="8.85546875" style="4"/>
    <col min="61" max="61" width="9.140625" style="4" customWidth="1"/>
    <col min="62" max="62" width="8.85546875" style="4"/>
    <col min="63" max="63" width="9.140625" style="4" customWidth="1"/>
    <col min="64" max="64" width="8.85546875" style="4"/>
    <col min="65" max="65" width="9.140625" style="4" customWidth="1"/>
    <col min="66" max="66" width="8.85546875" style="4"/>
    <col min="67" max="67" width="9.140625" style="4" customWidth="1"/>
    <col min="68" max="68" width="8.85546875" style="4"/>
    <col min="69" max="69" width="9.140625" style="4" customWidth="1"/>
    <col min="70" max="70" width="8.85546875" style="4"/>
    <col min="71" max="71" width="9.140625" style="4" customWidth="1"/>
    <col min="72" max="72" width="8.85546875" style="4"/>
    <col min="73" max="73" width="9.140625" style="4" customWidth="1"/>
    <col min="74" max="74" width="8.85546875" style="4"/>
    <col min="75" max="75" width="9.140625" style="4" customWidth="1"/>
    <col min="76" max="76" width="8.85546875" style="4"/>
    <col min="77" max="77" width="9.140625" style="4" customWidth="1"/>
    <col min="78" max="78" width="8.85546875" style="4"/>
    <col min="79" max="79" width="9.140625" style="4" customWidth="1"/>
    <col min="80" max="80" width="8.85546875" style="4"/>
    <col min="81" max="81" width="9.140625" style="4" customWidth="1"/>
    <col min="82" max="82" width="8.85546875" style="4"/>
    <col min="83" max="83" width="9.140625" style="4" customWidth="1"/>
    <col min="84" max="84" width="8.85546875" style="4"/>
    <col min="85" max="85" width="9.140625" style="4" customWidth="1"/>
    <col min="86" max="86" width="8.85546875" style="4"/>
    <col min="87" max="87" width="9.140625" style="4" customWidth="1"/>
    <col min="88" max="88" width="8.85546875" style="4"/>
    <col min="89" max="89" width="9.140625" style="4" customWidth="1"/>
    <col min="90" max="90" width="8.85546875" style="4"/>
    <col min="91" max="91" width="9.140625" style="4" customWidth="1"/>
    <col min="92" max="92" width="8.85546875" style="4"/>
    <col min="93" max="93" width="9.140625" style="4" customWidth="1"/>
    <col min="94" max="94" width="8.85546875" style="4"/>
    <col min="95" max="95" width="9.140625" style="4" customWidth="1"/>
    <col min="96" max="96" width="8.85546875" style="4"/>
    <col min="97" max="97" width="9.140625" style="4" customWidth="1"/>
    <col min="98" max="98" width="8.85546875" style="4"/>
    <col min="99" max="99" width="9.140625" style="4" customWidth="1"/>
    <col min="100" max="100" width="8.85546875" style="4"/>
    <col min="101" max="101" width="9.140625" style="4" customWidth="1"/>
    <col min="102" max="102" width="8.85546875" style="4"/>
    <col min="103" max="103" width="9.140625" style="4" customWidth="1"/>
    <col min="104" max="104" width="8.85546875" style="4"/>
    <col min="105" max="105" width="9.140625" style="4" customWidth="1"/>
    <col min="106" max="106" width="8.85546875" style="4"/>
    <col min="107" max="107" width="9.140625" style="4" customWidth="1"/>
    <col min="108" max="108" width="8.85546875" style="4"/>
    <col min="109" max="109" width="9.140625" style="4" customWidth="1"/>
    <col min="110" max="110" width="8.85546875" style="4"/>
    <col min="111" max="111" width="9.140625" style="4" customWidth="1"/>
    <col min="112" max="112" width="8.85546875" style="4"/>
    <col min="113" max="113" width="9.140625" style="4" customWidth="1"/>
    <col min="114" max="114" width="8.85546875" style="4"/>
    <col min="115" max="115" width="9.140625" style="4" customWidth="1"/>
    <col min="116" max="116" width="8.85546875" style="4"/>
    <col min="117" max="117" width="9.140625" style="4" customWidth="1"/>
    <col min="118" max="118" width="8.85546875" style="4"/>
    <col min="119" max="119" width="9.140625" style="4" customWidth="1"/>
    <col min="120" max="120" width="8.85546875" style="4"/>
    <col min="121" max="121" width="9.140625" style="4" customWidth="1"/>
    <col min="122" max="122" width="8.85546875" style="4"/>
    <col min="123" max="123" width="9.140625" style="4" customWidth="1"/>
    <col min="124" max="124" width="8.85546875" style="4"/>
    <col min="125" max="125" width="9.140625" style="4" customWidth="1"/>
    <col min="126" max="126" width="8.85546875" style="4"/>
    <col min="127" max="127" width="9.140625" style="4" customWidth="1"/>
    <col min="128" max="128" width="8.85546875" style="4"/>
    <col min="129" max="129" width="9.140625" style="4" customWidth="1"/>
    <col min="130" max="130" width="8.85546875" style="4"/>
    <col min="131" max="131" width="9.140625" style="4" customWidth="1"/>
    <col min="132" max="132" width="8.85546875" style="4"/>
    <col min="133" max="133" width="9.140625" style="4" customWidth="1"/>
    <col min="134" max="134" width="8.85546875" style="4"/>
    <col min="135" max="135" width="9.140625" style="4" customWidth="1"/>
    <col min="136" max="136" width="8.85546875" style="4"/>
    <col min="137" max="137" width="9.140625" style="4" customWidth="1"/>
    <col min="138" max="138" width="8.85546875" style="4"/>
    <col min="139" max="139" width="9.140625" style="4" customWidth="1"/>
    <col min="140" max="140" width="8.85546875" style="4"/>
    <col min="141" max="141" width="9.140625" style="4" customWidth="1"/>
    <col min="142" max="142" width="8.85546875" style="4"/>
    <col min="143" max="143" width="9.140625" style="4" customWidth="1"/>
    <col min="144" max="144" width="8.85546875" style="4"/>
    <col min="145" max="145" width="9.140625" style="4" customWidth="1"/>
    <col min="146" max="146" width="8.85546875" style="4"/>
    <col min="147" max="147" width="9.140625" style="4" customWidth="1"/>
    <col min="148" max="148" width="8.85546875" style="4"/>
    <col min="149" max="149" width="9.140625" style="4" customWidth="1"/>
    <col min="150" max="150" width="8.85546875" style="4"/>
    <col min="151" max="151" width="9.140625" style="4" customWidth="1"/>
    <col min="152" max="152" width="8.85546875" style="4"/>
    <col min="153" max="153" width="9.140625" style="4" customWidth="1"/>
    <col min="154" max="154" width="8.85546875" style="4"/>
    <col min="155" max="155" width="9.140625" style="4" customWidth="1"/>
    <col min="156" max="156" width="8.85546875" style="4"/>
    <col min="157" max="157" width="9.140625" style="4" customWidth="1"/>
    <col min="158" max="158" width="8.85546875" style="4"/>
    <col min="159" max="159" width="9.140625" style="4" customWidth="1"/>
    <col min="160" max="160" width="8.85546875" style="4"/>
    <col min="161" max="161" width="9.140625" style="4" customWidth="1"/>
    <col min="162" max="162" width="8.85546875" style="4"/>
    <col min="163" max="163" width="9.140625" style="4" customWidth="1"/>
    <col min="164" max="164" width="8.85546875" style="4"/>
    <col min="165" max="165" width="9.140625" style="4" customWidth="1"/>
    <col min="166" max="166" width="8.85546875" style="4"/>
    <col min="167" max="167" width="9.140625" style="4" customWidth="1"/>
    <col min="168" max="168" width="8.85546875" style="4"/>
    <col min="169" max="169" width="9.140625" style="4" customWidth="1"/>
    <col min="170" max="170" width="8.85546875" style="4"/>
    <col min="171" max="171" width="9.140625" style="4" customWidth="1"/>
    <col min="172" max="172" width="8.85546875" style="4"/>
    <col min="173" max="173" width="9.140625" style="4" customWidth="1"/>
    <col min="174" max="174" width="8.85546875" style="4"/>
    <col min="175" max="175" width="9.140625" style="4" customWidth="1"/>
    <col min="176" max="176" width="8.85546875" style="4"/>
    <col min="177" max="177" width="9.140625" style="4" customWidth="1"/>
    <col min="178" max="178" width="8.85546875" style="4"/>
    <col min="179" max="179" width="9.140625" style="4" customWidth="1"/>
    <col min="180" max="180" width="8.85546875" style="4"/>
    <col min="181" max="181" width="9.140625" style="4" customWidth="1"/>
    <col min="182" max="182" width="8.85546875" style="4"/>
    <col min="183" max="183" width="9.140625" style="4" customWidth="1"/>
    <col min="184" max="184" width="8.85546875" style="4"/>
    <col min="185" max="185" width="9.140625" style="4" customWidth="1"/>
    <col min="186" max="186" width="8.85546875" style="4"/>
    <col min="187" max="187" width="9.140625" style="4" customWidth="1"/>
    <col min="188" max="188" width="8.85546875" style="4"/>
    <col min="189" max="189" width="9.140625" style="4" customWidth="1"/>
    <col min="190" max="190" width="8.85546875" style="4"/>
    <col min="191" max="191" width="9.140625" style="4" customWidth="1"/>
    <col min="192" max="192" width="8.85546875" style="4"/>
    <col min="193" max="193" width="9.140625" style="4" customWidth="1"/>
    <col min="194" max="194" width="8.85546875" style="4"/>
    <col min="195" max="195" width="9.140625" style="4" customWidth="1"/>
    <col min="196" max="196" width="8.85546875" style="4"/>
    <col min="197" max="197" width="9.140625" style="4" customWidth="1"/>
    <col min="198" max="198" width="8.85546875" style="4"/>
    <col min="199" max="199" width="9.140625" style="4" customWidth="1"/>
    <col min="200" max="200" width="8.85546875" style="4"/>
    <col min="201" max="201" width="9.140625" style="4" customWidth="1"/>
    <col min="202" max="202" width="8.85546875" style="4"/>
    <col min="203" max="203" width="9.140625" style="4" customWidth="1"/>
    <col min="204" max="204" width="8.85546875" style="4"/>
    <col min="205" max="205" width="9.140625" style="4" customWidth="1"/>
    <col min="206" max="206" width="8.85546875" style="4"/>
    <col min="207" max="207" width="9.140625" style="4" customWidth="1"/>
    <col min="208" max="208" width="8.85546875" style="4"/>
    <col min="209" max="209" width="9.140625" style="4" customWidth="1"/>
    <col min="210" max="16384" width="8.85546875" style="4"/>
  </cols>
  <sheetData>
    <row r="1" spans="1:27" s="8" customFormat="1" ht="21" customHeight="1">
      <c r="B1" s="7"/>
      <c r="C1" s="12"/>
      <c r="D1" s="12"/>
      <c r="E1" s="11"/>
      <c r="F1" s="12"/>
      <c r="G1" s="12"/>
      <c r="H1" s="12"/>
      <c r="I1" s="12"/>
      <c r="J1" s="12"/>
      <c r="K1" s="12"/>
      <c r="L1" s="12"/>
      <c r="M1" s="12"/>
      <c r="N1" s="12"/>
      <c r="O1" s="1095"/>
      <c r="P1" s="1095"/>
      <c r="Q1" s="1095"/>
      <c r="R1" s="1095"/>
      <c r="S1" s="1095"/>
      <c r="T1" s="21"/>
      <c r="U1" s="21"/>
    </row>
    <row r="2" spans="1:27" s="8" customFormat="1" ht="21" customHeight="1">
      <c r="A2" s="1058" t="s">
        <v>217</v>
      </c>
      <c r="B2" s="1058"/>
      <c r="C2" s="1058"/>
      <c r="D2" s="1058"/>
      <c r="E2" s="1058"/>
      <c r="F2" s="1058"/>
      <c r="G2" s="1096"/>
      <c r="H2" s="1058"/>
      <c r="I2" s="1058"/>
      <c r="J2" s="1058"/>
      <c r="K2" s="1058"/>
      <c r="L2" s="1058"/>
      <c r="M2" s="1058"/>
      <c r="N2" s="1058"/>
      <c r="O2" s="1058"/>
      <c r="P2" s="1058"/>
      <c r="Q2" s="1058"/>
      <c r="R2" s="1058"/>
      <c r="S2" s="1058"/>
      <c r="T2" s="21"/>
      <c r="U2" s="21"/>
    </row>
    <row r="3" spans="1:27" s="8" customFormat="1" ht="21" customHeight="1">
      <c r="B3" s="7"/>
      <c r="C3" s="12"/>
      <c r="D3" s="12"/>
      <c r="E3" s="11"/>
      <c r="F3" s="12"/>
      <c r="G3" s="12"/>
      <c r="H3" s="12"/>
      <c r="I3" s="12"/>
      <c r="J3" s="12"/>
      <c r="K3" s="12"/>
      <c r="L3" s="12"/>
      <c r="M3" s="12"/>
      <c r="N3" s="12"/>
      <c r="O3" s="12"/>
      <c r="P3" s="12"/>
      <c r="Q3" s="12"/>
      <c r="R3" s="12"/>
      <c r="S3" s="12"/>
      <c r="T3" s="12"/>
      <c r="U3" s="12"/>
    </row>
    <row r="4" spans="1:27" s="8" customFormat="1" ht="39" customHeight="1">
      <c r="A4" s="1097" t="s">
        <v>93</v>
      </c>
      <c r="B4" s="1097" t="s">
        <v>2</v>
      </c>
      <c r="C4" s="1098" t="s">
        <v>94</v>
      </c>
      <c r="D4" s="1098" t="s">
        <v>95</v>
      </c>
      <c r="E4" s="1098"/>
      <c r="F4" s="1098"/>
      <c r="G4" s="1099"/>
      <c r="H4" s="1098"/>
      <c r="I4" s="1098"/>
      <c r="J4" s="1098"/>
      <c r="K4" s="1098"/>
      <c r="L4" s="1098"/>
      <c r="M4" s="1098"/>
      <c r="N4" s="1098"/>
      <c r="O4" s="1098" t="s">
        <v>96</v>
      </c>
      <c r="P4" s="1098"/>
      <c r="Q4" s="1098"/>
      <c r="R4" s="1098"/>
      <c r="S4" s="1098"/>
      <c r="T4" s="1098"/>
      <c r="U4" s="1098"/>
    </row>
    <row r="5" spans="1:27" s="8" customFormat="1" ht="90" customHeight="1">
      <c r="A5" s="1097"/>
      <c r="B5" s="1097"/>
      <c r="C5" s="1098"/>
      <c r="D5" s="37" t="s">
        <v>97</v>
      </c>
      <c r="E5" s="1098" t="s">
        <v>98</v>
      </c>
      <c r="F5" s="1098"/>
      <c r="G5" s="1099" t="s">
        <v>33</v>
      </c>
      <c r="H5" s="1098"/>
      <c r="I5" s="1098" t="s">
        <v>99</v>
      </c>
      <c r="J5" s="1098"/>
      <c r="K5" s="1098" t="s">
        <v>38</v>
      </c>
      <c r="L5" s="1098"/>
      <c r="M5" s="1098" t="s">
        <v>100</v>
      </c>
      <c r="N5" s="1098"/>
      <c r="O5" s="1098" t="s">
        <v>101</v>
      </c>
      <c r="P5" s="1098"/>
      <c r="Q5" s="1098" t="s">
        <v>102</v>
      </c>
      <c r="R5" s="1098"/>
      <c r="S5" s="37" t="s">
        <v>103</v>
      </c>
      <c r="T5" s="1098" t="s">
        <v>3610</v>
      </c>
      <c r="U5" s="1098"/>
    </row>
    <row r="6" spans="1:27" s="8" customFormat="1" ht="31.5" customHeight="1">
      <c r="A6" s="1097"/>
      <c r="B6" s="1097"/>
      <c r="C6" s="37" t="s">
        <v>26</v>
      </c>
      <c r="D6" s="37" t="s">
        <v>26</v>
      </c>
      <c r="E6" s="36" t="s">
        <v>104</v>
      </c>
      <c r="F6" s="37" t="s">
        <v>26</v>
      </c>
      <c r="G6" s="270" t="s">
        <v>105</v>
      </c>
      <c r="H6" s="37" t="s">
        <v>26</v>
      </c>
      <c r="I6" s="37" t="s">
        <v>105</v>
      </c>
      <c r="J6" s="37" t="s">
        <v>26</v>
      </c>
      <c r="K6" s="37" t="s">
        <v>105</v>
      </c>
      <c r="L6" s="37" t="s">
        <v>26</v>
      </c>
      <c r="M6" s="37" t="s">
        <v>106</v>
      </c>
      <c r="N6" s="37" t="s">
        <v>26</v>
      </c>
      <c r="O6" s="37" t="s">
        <v>105</v>
      </c>
      <c r="P6" s="37" t="s">
        <v>26</v>
      </c>
      <c r="Q6" s="37" t="s">
        <v>105</v>
      </c>
      <c r="R6" s="37" t="s">
        <v>26</v>
      </c>
      <c r="S6" s="37" t="s">
        <v>26</v>
      </c>
      <c r="T6" s="37" t="s">
        <v>105</v>
      </c>
      <c r="U6" s="37" t="s">
        <v>26</v>
      </c>
    </row>
    <row r="7" spans="1:27" s="8" customFormat="1" ht="39" customHeight="1">
      <c r="A7" s="36">
        <v>1</v>
      </c>
      <c r="B7" s="36">
        <v>2</v>
      </c>
      <c r="C7" s="36">
        <v>3</v>
      </c>
      <c r="D7" s="36">
        <v>4</v>
      </c>
      <c r="E7" s="36">
        <v>5</v>
      </c>
      <c r="F7" s="36">
        <v>6</v>
      </c>
      <c r="G7" s="269">
        <v>7</v>
      </c>
      <c r="H7" s="36">
        <v>8</v>
      </c>
      <c r="I7" s="36">
        <v>9</v>
      </c>
      <c r="J7" s="36">
        <v>10</v>
      </c>
      <c r="K7" s="36">
        <v>11</v>
      </c>
      <c r="L7" s="36">
        <v>12</v>
      </c>
      <c r="M7" s="36">
        <v>13</v>
      </c>
      <c r="N7" s="36">
        <v>14</v>
      </c>
      <c r="O7" s="36">
        <v>15</v>
      </c>
      <c r="P7" s="36">
        <v>16</v>
      </c>
      <c r="Q7" s="36">
        <v>17</v>
      </c>
      <c r="R7" s="36">
        <v>18</v>
      </c>
      <c r="S7" s="36">
        <v>19</v>
      </c>
      <c r="T7" s="36">
        <v>20</v>
      </c>
      <c r="U7" s="36">
        <v>21</v>
      </c>
    </row>
    <row r="8" spans="1:27" s="266" customFormat="1" ht="34.5" customHeight="1">
      <c r="A8" s="1087" t="s">
        <v>145</v>
      </c>
      <c r="B8" s="1088"/>
      <c r="C8" s="1088"/>
      <c r="D8" s="1088"/>
      <c r="E8" s="1088"/>
      <c r="F8" s="1088"/>
      <c r="G8" s="1089"/>
      <c r="H8" s="1088"/>
      <c r="I8" s="1088"/>
      <c r="J8" s="1088"/>
      <c r="K8" s="1088"/>
      <c r="L8" s="1088"/>
      <c r="M8" s="1088"/>
      <c r="N8" s="1088"/>
      <c r="O8" s="1088"/>
      <c r="P8" s="1088"/>
      <c r="Q8" s="1088"/>
      <c r="R8" s="1088"/>
      <c r="S8" s="1090"/>
      <c r="T8" s="326"/>
      <c r="U8" s="2"/>
      <c r="V8" s="13"/>
      <c r="AA8" s="30">
        <v>1</v>
      </c>
    </row>
    <row r="9" spans="1:27" s="266" customFormat="1" ht="39" customHeight="1">
      <c r="A9" s="328">
        <v>1</v>
      </c>
      <c r="B9" s="329" t="s">
        <v>1214</v>
      </c>
      <c r="C9" s="327">
        <f>'.'!L1151</f>
        <v>3252166.6599999997</v>
      </c>
      <c r="D9" s="330"/>
      <c r="E9" s="331"/>
      <c r="F9" s="330"/>
      <c r="G9" s="323">
        <f>'.'!G1151</f>
        <v>1694</v>
      </c>
      <c r="H9" s="323">
        <f>'.'!L1151</f>
        <v>3252166.6599999997</v>
      </c>
      <c r="I9" s="330"/>
      <c r="J9" s="330"/>
      <c r="K9" s="330"/>
      <c r="L9" s="330"/>
      <c r="M9" s="330"/>
      <c r="N9" s="330"/>
      <c r="O9" s="330"/>
      <c r="P9" s="330"/>
      <c r="Q9" s="330"/>
      <c r="R9" s="332"/>
      <c r="S9" s="333"/>
      <c r="T9" s="333"/>
      <c r="U9" s="334"/>
      <c r="V9" s="13"/>
      <c r="AA9" s="30">
        <v>1</v>
      </c>
    </row>
    <row r="10" spans="1:27" s="266" customFormat="1" ht="39" customHeight="1">
      <c r="A10" s="328">
        <f>A9+1</f>
        <v>2</v>
      </c>
      <c r="B10" s="335" t="s">
        <v>1216</v>
      </c>
      <c r="C10" s="327">
        <f>'.'!L1152</f>
        <v>12194352.33</v>
      </c>
      <c r="D10" s="330"/>
      <c r="E10" s="331"/>
      <c r="F10" s="330"/>
      <c r="G10" s="330"/>
      <c r="H10" s="330"/>
      <c r="I10" s="330"/>
      <c r="J10" s="330"/>
      <c r="K10" s="330"/>
      <c r="L10" s="330"/>
      <c r="M10" s="330"/>
      <c r="N10" s="330"/>
      <c r="O10" s="330">
        <v>5100</v>
      </c>
      <c r="P10" s="330">
        <f>'.'!L1152</f>
        <v>12194352.33</v>
      </c>
      <c r="Q10" s="330"/>
      <c r="R10" s="332"/>
      <c r="S10" s="333"/>
      <c r="T10" s="333"/>
      <c r="U10" s="334"/>
      <c r="V10" s="13"/>
      <c r="AA10" s="30">
        <v>1</v>
      </c>
    </row>
    <row r="11" spans="1:27" s="266" customFormat="1" ht="39" customHeight="1">
      <c r="A11" s="328">
        <f t="shared" ref="A11:A73" si="0">A10+1</f>
        <v>3</v>
      </c>
      <c r="B11" s="335" t="s">
        <v>1217</v>
      </c>
      <c r="C11" s="327">
        <f>'.'!L1153</f>
        <v>1841574.01</v>
      </c>
      <c r="D11" s="324"/>
      <c r="E11" s="331"/>
      <c r="F11" s="330"/>
      <c r="G11" s="323">
        <f>'.'!G1153</f>
        <v>948</v>
      </c>
      <c r="H11" s="323">
        <f>'.'!L1153</f>
        <v>1841574.01</v>
      </c>
      <c r="I11" s="330"/>
      <c r="J11" s="330"/>
      <c r="K11" s="330"/>
      <c r="L11" s="330"/>
      <c r="M11" s="330"/>
      <c r="N11" s="330"/>
      <c r="O11" s="330"/>
      <c r="P11" s="330"/>
      <c r="Q11" s="330"/>
      <c r="R11" s="332"/>
      <c r="S11" s="333"/>
      <c r="T11" s="333"/>
      <c r="U11" s="334"/>
      <c r="V11" s="13"/>
      <c r="AA11" s="30">
        <v>1</v>
      </c>
    </row>
    <row r="12" spans="1:27" s="266" customFormat="1" ht="39" customHeight="1">
      <c r="A12" s="328">
        <f t="shared" si="0"/>
        <v>4</v>
      </c>
      <c r="B12" s="335" t="s">
        <v>1218</v>
      </c>
      <c r="C12" s="327">
        <f>'.'!L1154</f>
        <v>1848592.63</v>
      </c>
      <c r="D12" s="330"/>
      <c r="E12" s="331"/>
      <c r="F12" s="330"/>
      <c r="G12" s="323">
        <f>'.'!G1154</f>
        <v>937.9</v>
      </c>
      <c r="H12" s="323">
        <f>'.'!L1154</f>
        <v>1848592.63</v>
      </c>
      <c r="I12" s="330"/>
      <c r="J12" s="330"/>
      <c r="K12" s="330"/>
      <c r="L12" s="330"/>
      <c r="M12" s="330"/>
      <c r="N12" s="330"/>
      <c r="O12" s="330"/>
      <c r="P12" s="330"/>
      <c r="Q12" s="330"/>
      <c r="R12" s="332"/>
      <c r="S12" s="333"/>
      <c r="T12" s="333"/>
      <c r="U12" s="334"/>
      <c r="V12" s="13"/>
      <c r="AA12" s="30">
        <v>1</v>
      </c>
    </row>
    <row r="13" spans="1:27" s="266" customFormat="1" ht="39" customHeight="1">
      <c r="A13" s="328">
        <f t="shared" si="0"/>
        <v>5</v>
      </c>
      <c r="B13" s="335" t="s">
        <v>1219</v>
      </c>
      <c r="C13" s="327">
        <f>'.'!L1155</f>
        <v>1837269.9200000002</v>
      </c>
      <c r="D13" s="324"/>
      <c r="E13" s="331"/>
      <c r="F13" s="330"/>
      <c r="G13" s="323">
        <f>'.'!G1155</f>
        <v>936</v>
      </c>
      <c r="H13" s="323">
        <f>'.'!L1155</f>
        <v>1837269.9200000002</v>
      </c>
      <c r="I13" s="330"/>
      <c r="J13" s="330"/>
      <c r="K13" s="330"/>
      <c r="L13" s="330"/>
      <c r="M13" s="330"/>
      <c r="N13" s="330"/>
      <c r="O13" s="330"/>
      <c r="P13" s="330"/>
      <c r="Q13" s="330"/>
      <c r="R13" s="332"/>
      <c r="S13" s="333"/>
      <c r="T13" s="333"/>
      <c r="U13" s="334"/>
      <c r="V13" s="13"/>
      <c r="AA13" s="30">
        <v>1</v>
      </c>
    </row>
    <row r="14" spans="1:27" s="266" customFormat="1" ht="39" customHeight="1">
      <c r="A14" s="328">
        <f t="shared" si="0"/>
        <v>6</v>
      </c>
      <c r="B14" s="329" t="s">
        <v>1220</v>
      </c>
      <c r="C14" s="327">
        <f>'.'!L1156</f>
        <v>8842686.8800000008</v>
      </c>
      <c r="D14" s="330"/>
      <c r="E14" s="331"/>
      <c r="F14" s="330"/>
      <c r="G14" s="330"/>
      <c r="H14" s="330"/>
      <c r="I14" s="330"/>
      <c r="J14" s="330"/>
      <c r="K14" s="330"/>
      <c r="L14" s="330"/>
      <c r="M14" s="330"/>
      <c r="N14" s="330"/>
      <c r="O14" s="330">
        <v>3630</v>
      </c>
      <c r="P14" s="330">
        <f>'.'!L1156</f>
        <v>8842686.8800000008</v>
      </c>
      <c r="Q14" s="330"/>
      <c r="R14" s="332"/>
      <c r="S14" s="333"/>
      <c r="T14" s="333"/>
      <c r="U14" s="334"/>
      <c r="V14" s="13"/>
      <c r="AA14" s="30">
        <v>1</v>
      </c>
    </row>
    <row r="15" spans="1:27" s="266" customFormat="1" ht="39" customHeight="1">
      <c r="A15" s="328">
        <f t="shared" si="0"/>
        <v>7</v>
      </c>
      <c r="B15" s="336" t="s">
        <v>1221</v>
      </c>
      <c r="C15" s="327">
        <f>'.'!L1157</f>
        <v>6884629.4500000002</v>
      </c>
      <c r="D15" s="330"/>
      <c r="E15" s="331"/>
      <c r="F15" s="330"/>
      <c r="G15" s="323">
        <f>'.'!G1157</f>
        <v>3484</v>
      </c>
      <c r="H15" s="323">
        <f>'.'!L1157</f>
        <v>6884629.4500000002</v>
      </c>
      <c r="I15" s="330"/>
      <c r="J15" s="330"/>
      <c r="K15" s="330"/>
      <c r="L15" s="330"/>
      <c r="M15" s="330"/>
      <c r="N15" s="330"/>
      <c r="O15" s="330"/>
      <c r="P15" s="330"/>
      <c r="Q15" s="330"/>
      <c r="R15" s="337"/>
      <c r="S15" s="333"/>
      <c r="T15" s="333"/>
      <c r="U15" s="334"/>
      <c r="V15" s="13"/>
      <c r="AA15" s="30">
        <v>1</v>
      </c>
    </row>
    <row r="16" spans="1:27" s="266" customFormat="1" ht="39" customHeight="1">
      <c r="A16" s="328">
        <f t="shared" si="0"/>
        <v>8</v>
      </c>
      <c r="B16" s="338" t="s">
        <v>1222</v>
      </c>
      <c r="C16" s="327">
        <f>'.'!L1158</f>
        <v>5446139.5299999993</v>
      </c>
      <c r="D16" s="339"/>
      <c r="E16" s="340"/>
      <c r="F16" s="339"/>
      <c r="G16" s="323"/>
      <c r="H16" s="323"/>
      <c r="I16" s="339"/>
      <c r="J16" s="339"/>
      <c r="K16" s="339"/>
      <c r="L16" s="339"/>
      <c r="M16" s="339"/>
      <c r="N16" s="339"/>
      <c r="O16" s="339">
        <v>2520</v>
      </c>
      <c r="P16" s="330">
        <f>'.'!L1158</f>
        <v>5446139.5299999993</v>
      </c>
      <c r="Q16" s="339"/>
      <c r="R16" s="341"/>
      <c r="S16" s="333"/>
      <c r="T16" s="333"/>
      <c r="U16" s="334"/>
      <c r="V16" s="13"/>
      <c r="AA16" s="30">
        <v>1</v>
      </c>
    </row>
    <row r="17" spans="1:27" s="266" customFormat="1" ht="39" customHeight="1">
      <c r="A17" s="328">
        <f t="shared" si="0"/>
        <v>9</v>
      </c>
      <c r="B17" s="342" t="s">
        <v>1223</v>
      </c>
      <c r="C17" s="327">
        <f>'.'!L1159</f>
        <v>3496298.63</v>
      </c>
      <c r="D17" s="334"/>
      <c r="E17" s="343"/>
      <c r="F17" s="334"/>
      <c r="G17" s="323">
        <f>'.'!G1159</f>
        <v>1200</v>
      </c>
      <c r="H17" s="323">
        <f>'.'!L1159</f>
        <v>3496298.63</v>
      </c>
      <c r="I17" s="334"/>
      <c r="J17" s="334"/>
      <c r="K17" s="334"/>
      <c r="L17" s="334"/>
      <c r="M17" s="334"/>
      <c r="N17" s="334"/>
      <c r="O17" s="334"/>
      <c r="P17" s="334"/>
      <c r="Q17" s="334"/>
      <c r="R17" s="341"/>
      <c r="S17" s="333"/>
      <c r="T17" s="333"/>
      <c r="U17" s="334"/>
      <c r="V17" s="13"/>
      <c r="AA17" s="30">
        <v>1</v>
      </c>
    </row>
    <row r="18" spans="1:27" s="266" customFormat="1" ht="39" customHeight="1">
      <c r="A18" s="328">
        <f t="shared" si="0"/>
        <v>10</v>
      </c>
      <c r="B18" s="344" t="s">
        <v>1224</v>
      </c>
      <c r="C18" s="327">
        <f>'.'!L1160</f>
        <v>859463.74</v>
      </c>
      <c r="D18" s="324">
        <f>'.'!L1160</f>
        <v>859463.74</v>
      </c>
      <c r="E18" s="343"/>
      <c r="F18" s="334"/>
      <c r="G18" s="334"/>
      <c r="H18" s="334"/>
      <c r="I18" s="334"/>
      <c r="J18" s="334"/>
      <c r="K18" s="334"/>
      <c r="L18" s="334"/>
      <c r="M18" s="334"/>
      <c r="N18" s="334"/>
      <c r="O18" s="334"/>
      <c r="P18" s="334"/>
      <c r="Q18" s="334"/>
      <c r="R18" s="2"/>
      <c r="S18" s="333"/>
      <c r="T18" s="333"/>
      <c r="U18" s="334"/>
      <c r="V18" s="13"/>
      <c r="AA18" s="30">
        <v>1</v>
      </c>
    </row>
    <row r="19" spans="1:27" s="266" customFormat="1" ht="39" customHeight="1">
      <c r="A19" s="328">
        <f t="shared" si="0"/>
        <v>11</v>
      </c>
      <c r="B19" s="344" t="s">
        <v>1225</v>
      </c>
      <c r="C19" s="327">
        <f>'.'!L1161</f>
        <v>2695463.15</v>
      </c>
      <c r="D19" s="334"/>
      <c r="E19" s="343"/>
      <c r="F19" s="334"/>
      <c r="G19" s="323">
        <f>'.'!G1161</f>
        <v>1200</v>
      </c>
      <c r="H19" s="323">
        <f>'.'!L1161</f>
        <v>2695463.15</v>
      </c>
      <c r="I19" s="334"/>
      <c r="J19" s="334"/>
      <c r="K19" s="334"/>
      <c r="L19" s="334"/>
      <c r="M19" s="334"/>
      <c r="N19" s="334"/>
      <c r="O19" s="334"/>
      <c r="P19" s="334"/>
      <c r="Q19" s="334"/>
      <c r="R19" s="341"/>
      <c r="S19" s="333"/>
      <c r="T19" s="333"/>
      <c r="U19" s="334"/>
      <c r="V19" s="13"/>
      <c r="AA19" s="30">
        <v>1</v>
      </c>
    </row>
    <row r="20" spans="1:27" s="266" customFormat="1" ht="39" customHeight="1">
      <c r="A20" s="328">
        <f t="shared" si="0"/>
        <v>12</v>
      </c>
      <c r="B20" s="344" t="s">
        <v>1226</v>
      </c>
      <c r="C20" s="327">
        <f>'.'!L1162</f>
        <v>4978299.04</v>
      </c>
      <c r="D20" s="334"/>
      <c r="E20" s="343"/>
      <c r="F20" s="334"/>
      <c r="G20" s="334"/>
      <c r="H20" s="334"/>
      <c r="I20" s="334"/>
      <c r="J20" s="334"/>
      <c r="K20" s="334"/>
      <c r="L20" s="334"/>
      <c r="M20" s="334"/>
      <c r="N20" s="334"/>
      <c r="O20" s="330">
        <v>2070</v>
      </c>
      <c r="P20" s="330">
        <f>'.'!L1162</f>
        <v>4978299.04</v>
      </c>
      <c r="Q20" s="334"/>
      <c r="R20" s="341"/>
      <c r="S20" s="333"/>
      <c r="T20" s="333"/>
      <c r="U20" s="334"/>
      <c r="V20" s="13"/>
      <c r="AA20" s="30">
        <v>1</v>
      </c>
    </row>
    <row r="21" spans="1:27" s="266" customFormat="1" ht="39" customHeight="1">
      <c r="A21" s="328">
        <f t="shared" si="0"/>
        <v>13</v>
      </c>
      <c r="B21" s="344" t="s">
        <v>1227</v>
      </c>
      <c r="C21" s="327">
        <f>'.'!L1163</f>
        <v>1297410.1800000002</v>
      </c>
      <c r="D21" s="324">
        <f>'.'!L1163</f>
        <v>1297410.1800000002</v>
      </c>
      <c r="E21" s="343"/>
      <c r="F21" s="334"/>
      <c r="G21" s="334"/>
      <c r="H21" s="334"/>
      <c r="I21" s="334"/>
      <c r="J21" s="334"/>
      <c r="K21" s="334"/>
      <c r="L21" s="334"/>
      <c r="M21" s="334"/>
      <c r="N21" s="334"/>
      <c r="O21" s="334"/>
      <c r="P21" s="334"/>
      <c r="Q21" s="334"/>
      <c r="R21" s="2"/>
      <c r="S21" s="333"/>
      <c r="T21" s="333"/>
      <c r="U21" s="334"/>
      <c r="V21" s="13"/>
      <c r="AA21" s="30">
        <v>1</v>
      </c>
    </row>
    <row r="22" spans="1:27" s="266" customFormat="1" ht="39" customHeight="1">
      <c r="A22" s="328">
        <f t="shared" si="0"/>
        <v>14</v>
      </c>
      <c r="B22" s="344" t="s">
        <v>1228</v>
      </c>
      <c r="C22" s="327">
        <f>'.'!L1164</f>
        <v>747860.85</v>
      </c>
      <c r="D22" s="324">
        <f>'.'!L1164</f>
        <v>747860.85</v>
      </c>
      <c r="E22" s="343"/>
      <c r="F22" s="334"/>
      <c r="G22" s="334"/>
      <c r="H22" s="334"/>
      <c r="I22" s="334"/>
      <c r="J22" s="334"/>
      <c r="K22" s="334"/>
      <c r="L22" s="334"/>
      <c r="M22" s="334"/>
      <c r="N22" s="334"/>
      <c r="O22" s="334"/>
      <c r="P22" s="334"/>
      <c r="Q22" s="334"/>
      <c r="R22" s="2"/>
      <c r="S22" s="333"/>
      <c r="T22" s="333"/>
      <c r="U22" s="334"/>
      <c r="V22" s="13"/>
      <c r="AA22" s="30">
        <v>1</v>
      </c>
    </row>
    <row r="23" spans="1:27" s="266" customFormat="1" ht="39" customHeight="1">
      <c r="A23" s="328">
        <f t="shared" si="0"/>
        <v>15</v>
      </c>
      <c r="B23" s="344" t="s">
        <v>1229</v>
      </c>
      <c r="C23" s="327">
        <f>'.'!L1165</f>
        <v>1781758.6400000001</v>
      </c>
      <c r="D23" s="324">
        <f>'.'!L1165</f>
        <v>1781758.6400000001</v>
      </c>
      <c r="E23" s="343"/>
      <c r="F23" s="334"/>
      <c r="G23" s="334"/>
      <c r="H23" s="334"/>
      <c r="I23" s="334"/>
      <c r="J23" s="334"/>
      <c r="K23" s="334"/>
      <c r="L23" s="334"/>
      <c r="M23" s="334"/>
      <c r="N23" s="334"/>
      <c r="O23" s="334"/>
      <c r="P23" s="334"/>
      <c r="Q23" s="334"/>
      <c r="R23" s="2"/>
      <c r="S23" s="333"/>
      <c r="T23" s="333"/>
      <c r="U23" s="334"/>
      <c r="V23" s="13"/>
      <c r="AA23" s="30">
        <v>1</v>
      </c>
    </row>
    <row r="24" spans="1:27" s="266" customFormat="1" ht="39" customHeight="1">
      <c r="A24" s="328">
        <f t="shared" si="0"/>
        <v>16</v>
      </c>
      <c r="B24" s="342" t="s">
        <v>1230</v>
      </c>
      <c r="C24" s="327">
        <f>'.'!L1166</f>
        <v>3572610.0500000003</v>
      </c>
      <c r="D24" s="334"/>
      <c r="E24" s="343"/>
      <c r="F24" s="334"/>
      <c r="G24" s="323">
        <f>'.'!G1166</f>
        <v>1980.1</v>
      </c>
      <c r="H24" s="323">
        <f>'.'!L1166</f>
        <v>3572610.0500000003</v>
      </c>
      <c r="I24" s="334"/>
      <c r="J24" s="334"/>
      <c r="K24" s="334"/>
      <c r="L24" s="334"/>
      <c r="M24" s="334"/>
      <c r="N24" s="334"/>
      <c r="O24" s="334"/>
      <c r="P24" s="334"/>
      <c r="Q24" s="334"/>
      <c r="R24" s="2"/>
      <c r="S24" s="333"/>
      <c r="T24" s="333"/>
      <c r="U24" s="334"/>
      <c r="V24" s="13"/>
      <c r="AA24" s="30">
        <v>1</v>
      </c>
    </row>
    <row r="25" spans="1:27" s="266" customFormat="1" ht="39" customHeight="1">
      <c r="A25" s="328">
        <f t="shared" si="0"/>
        <v>17</v>
      </c>
      <c r="B25" s="344" t="s">
        <v>1231</v>
      </c>
      <c r="C25" s="327">
        <f>'.'!L1167</f>
        <v>2615774.21</v>
      </c>
      <c r="D25" s="334"/>
      <c r="E25" s="343"/>
      <c r="F25" s="334"/>
      <c r="G25" s="323">
        <f>'.'!G1167</f>
        <v>1339</v>
      </c>
      <c r="H25" s="323">
        <f>'.'!L1167</f>
        <v>2615774.21</v>
      </c>
      <c r="I25" s="334"/>
      <c r="J25" s="334"/>
      <c r="K25" s="334"/>
      <c r="L25" s="334"/>
      <c r="M25" s="334"/>
      <c r="N25" s="334"/>
      <c r="O25" s="334"/>
      <c r="P25" s="334"/>
      <c r="Q25" s="334"/>
      <c r="R25" s="2"/>
      <c r="S25" s="333"/>
      <c r="T25" s="333"/>
      <c r="U25" s="334"/>
      <c r="V25" s="13"/>
      <c r="AA25" s="30">
        <v>1</v>
      </c>
    </row>
    <row r="26" spans="1:27" s="266" customFormat="1" ht="39" customHeight="1">
      <c r="A26" s="328">
        <f t="shared" si="0"/>
        <v>18</v>
      </c>
      <c r="B26" s="345" t="s">
        <v>1232</v>
      </c>
      <c r="C26" s="327">
        <f>'.'!L1168</f>
        <v>2890009.28</v>
      </c>
      <c r="D26" s="334"/>
      <c r="E26" s="343"/>
      <c r="F26" s="334"/>
      <c r="G26" s="323">
        <f>'.'!G1168</f>
        <v>1300</v>
      </c>
      <c r="H26" s="323">
        <f>'.'!L1168</f>
        <v>2890009.28</v>
      </c>
      <c r="I26" s="334"/>
      <c r="J26" s="334"/>
      <c r="K26" s="334"/>
      <c r="L26" s="334"/>
      <c r="M26" s="334"/>
      <c r="N26" s="334"/>
      <c r="O26" s="334"/>
      <c r="P26" s="334"/>
      <c r="Q26" s="334"/>
      <c r="R26" s="2"/>
      <c r="S26" s="333"/>
      <c r="T26" s="333"/>
      <c r="U26" s="334"/>
      <c r="V26" s="13"/>
      <c r="AA26" s="30">
        <v>1</v>
      </c>
    </row>
    <row r="27" spans="1:27" s="266" customFormat="1" ht="39" customHeight="1">
      <c r="A27" s="328">
        <f t="shared" si="0"/>
        <v>19</v>
      </c>
      <c r="B27" s="344" t="s">
        <v>1233</v>
      </c>
      <c r="C27" s="327">
        <f>'.'!L1169</f>
        <v>2605690.6500000004</v>
      </c>
      <c r="D27" s="334"/>
      <c r="E27" s="343"/>
      <c r="F27" s="334"/>
      <c r="G27" s="323">
        <f>'.'!G1169</f>
        <v>1226.5999999999999</v>
      </c>
      <c r="H27" s="323">
        <f>'.'!L1169</f>
        <v>2605690.6500000004</v>
      </c>
      <c r="I27" s="334"/>
      <c r="J27" s="334"/>
      <c r="K27" s="334"/>
      <c r="L27" s="334"/>
      <c r="M27" s="334"/>
      <c r="N27" s="334"/>
      <c r="O27" s="334"/>
      <c r="P27" s="334"/>
      <c r="Q27" s="334"/>
      <c r="R27" s="2"/>
      <c r="S27" s="333"/>
      <c r="T27" s="333"/>
      <c r="U27" s="334"/>
      <c r="V27" s="13"/>
      <c r="AA27" s="30">
        <v>1</v>
      </c>
    </row>
    <row r="28" spans="1:27" s="266" customFormat="1" ht="39" customHeight="1">
      <c r="A28" s="328">
        <f t="shared" si="0"/>
        <v>20</v>
      </c>
      <c r="B28" s="344" t="s">
        <v>1234</v>
      </c>
      <c r="C28" s="327">
        <f>'.'!L1170</f>
        <v>449924</v>
      </c>
      <c r="D28" s="324">
        <f>'.'!L1170</f>
        <v>449924</v>
      </c>
      <c r="E28" s="343"/>
      <c r="F28" s="334"/>
      <c r="G28" s="334"/>
      <c r="H28" s="334"/>
      <c r="I28" s="334"/>
      <c r="J28" s="334"/>
      <c r="K28" s="334"/>
      <c r="L28" s="334"/>
      <c r="M28" s="334"/>
      <c r="N28" s="334"/>
      <c r="O28" s="334"/>
      <c r="P28" s="334"/>
      <c r="Q28" s="334"/>
      <c r="R28" s="2"/>
      <c r="S28" s="333"/>
      <c r="T28" s="333"/>
      <c r="U28" s="334"/>
      <c r="V28" s="13"/>
      <c r="AA28" s="30">
        <v>1</v>
      </c>
    </row>
    <row r="29" spans="1:27" s="266" customFormat="1" ht="39" customHeight="1">
      <c r="A29" s="328">
        <f t="shared" si="0"/>
        <v>21</v>
      </c>
      <c r="B29" s="342" t="s">
        <v>1235</v>
      </c>
      <c r="C29" s="327">
        <f>'.'!L1171</f>
        <v>5572339.5700000003</v>
      </c>
      <c r="D29" s="334"/>
      <c r="E29" s="343"/>
      <c r="F29" s="334"/>
      <c r="G29" s="323">
        <f>'.'!G1171</f>
        <v>2887</v>
      </c>
      <c r="H29" s="323">
        <f>'.'!L1171</f>
        <v>5572339.5700000003</v>
      </c>
      <c r="I29" s="334"/>
      <c r="J29" s="334"/>
      <c r="K29" s="334"/>
      <c r="L29" s="334"/>
      <c r="M29" s="334"/>
      <c r="N29" s="334"/>
      <c r="O29" s="334"/>
      <c r="P29" s="346"/>
      <c r="Q29" s="346"/>
      <c r="R29" s="347"/>
      <c r="S29" s="348"/>
      <c r="T29" s="333"/>
      <c r="U29" s="334"/>
      <c r="V29" s="13"/>
      <c r="AA29" s="30">
        <v>1</v>
      </c>
    </row>
    <row r="30" spans="1:27" s="266" customFormat="1" ht="39" customHeight="1">
      <c r="A30" s="328">
        <f t="shared" si="0"/>
        <v>22</v>
      </c>
      <c r="B30" s="342" t="s">
        <v>1236</v>
      </c>
      <c r="C30" s="327">
        <f>'.'!L1172</f>
        <v>3676992.12</v>
      </c>
      <c r="D30" s="334"/>
      <c r="E30" s="343"/>
      <c r="F30" s="334"/>
      <c r="G30" s="334">
        <v>627</v>
      </c>
      <c r="H30" s="334">
        <f>'.'!L1172</f>
        <v>3676992.12</v>
      </c>
      <c r="I30" s="334"/>
      <c r="J30" s="334"/>
      <c r="K30" s="334"/>
      <c r="L30" s="334"/>
      <c r="M30" s="334"/>
      <c r="N30" s="334"/>
      <c r="O30" s="334"/>
      <c r="P30" s="349"/>
      <c r="Q30" s="29"/>
      <c r="R30" s="29"/>
      <c r="S30" s="349"/>
      <c r="T30" s="333"/>
      <c r="U30" s="334"/>
      <c r="V30" s="13"/>
      <c r="AA30" s="30">
        <v>1</v>
      </c>
    </row>
    <row r="31" spans="1:27" s="266" customFormat="1" ht="39" customHeight="1">
      <c r="A31" s="328">
        <f t="shared" si="0"/>
        <v>23</v>
      </c>
      <c r="B31" s="342" t="s">
        <v>1238</v>
      </c>
      <c r="C31" s="327">
        <f>'.'!L1173</f>
        <v>3632130.8600000003</v>
      </c>
      <c r="D31" s="334"/>
      <c r="E31" s="343"/>
      <c r="F31" s="334"/>
      <c r="G31" s="323">
        <f>'.'!G1173</f>
        <v>2118</v>
      </c>
      <c r="H31" s="323">
        <f>'.'!L1173</f>
        <v>3632130.8600000003</v>
      </c>
      <c r="I31" s="334"/>
      <c r="J31" s="334"/>
      <c r="K31" s="334"/>
      <c r="L31" s="334"/>
      <c r="M31" s="334"/>
      <c r="N31" s="334"/>
      <c r="O31" s="334"/>
      <c r="P31" s="350"/>
      <c r="Q31" s="350"/>
      <c r="R31" s="351"/>
      <c r="S31" s="352"/>
      <c r="T31" s="333"/>
      <c r="U31" s="334"/>
      <c r="V31" s="13"/>
      <c r="AA31" s="30">
        <v>1</v>
      </c>
    </row>
    <row r="32" spans="1:27" s="266" customFormat="1" ht="39" customHeight="1">
      <c r="A32" s="328">
        <f t="shared" si="0"/>
        <v>24</v>
      </c>
      <c r="B32" s="342" t="s">
        <v>1239</v>
      </c>
      <c r="C32" s="327">
        <f>'.'!L1174</f>
        <v>469867.72000000003</v>
      </c>
      <c r="D32" s="324">
        <f>'.'!L1174</f>
        <v>469867.72000000003</v>
      </c>
      <c r="E32" s="343"/>
      <c r="F32" s="334"/>
      <c r="G32" s="334"/>
      <c r="H32" s="334"/>
      <c r="I32" s="334"/>
      <c r="J32" s="334"/>
      <c r="K32" s="334"/>
      <c r="L32" s="334"/>
      <c r="M32" s="334"/>
      <c r="N32" s="334"/>
      <c r="O32" s="334"/>
      <c r="P32" s="334"/>
      <c r="Q32" s="334"/>
      <c r="R32" s="2"/>
      <c r="S32" s="333"/>
      <c r="T32" s="333"/>
      <c r="U32" s="334"/>
      <c r="V32" s="13"/>
      <c r="AA32" s="30">
        <v>1</v>
      </c>
    </row>
    <row r="33" spans="1:27" s="266" customFormat="1" ht="39" customHeight="1">
      <c r="A33" s="328">
        <f t="shared" si="0"/>
        <v>25</v>
      </c>
      <c r="B33" s="344" t="s">
        <v>1240</v>
      </c>
      <c r="C33" s="327">
        <f>'.'!L1175</f>
        <v>928982.04999999993</v>
      </c>
      <c r="D33" s="324">
        <f>'.'!L1175</f>
        <v>928982.04999999993</v>
      </c>
      <c r="E33" s="343"/>
      <c r="F33" s="334"/>
      <c r="G33" s="334"/>
      <c r="H33" s="334"/>
      <c r="I33" s="334"/>
      <c r="J33" s="334"/>
      <c r="K33" s="334"/>
      <c r="L33" s="334"/>
      <c r="M33" s="334"/>
      <c r="N33" s="334"/>
      <c r="O33" s="334"/>
      <c r="P33" s="334"/>
      <c r="Q33" s="334"/>
      <c r="R33" s="2"/>
      <c r="S33" s="333"/>
      <c r="T33" s="333"/>
      <c r="U33" s="334"/>
      <c r="V33" s="13"/>
      <c r="AA33" s="30">
        <v>1</v>
      </c>
    </row>
    <row r="34" spans="1:27" s="266" customFormat="1" ht="39" customHeight="1">
      <c r="A34" s="328">
        <f t="shared" si="0"/>
        <v>26</v>
      </c>
      <c r="B34" s="344" t="s">
        <v>1241</v>
      </c>
      <c r="C34" s="327">
        <f>'.'!L1176</f>
        <v>1458379.76</v>
      </c>
      <c r="D34" s="334"/>
      <c r="E34" s="343"/>
      <c r="F34" s="334"/>
      <c r="G34" s="323">
        <f>'.'!G1176</f>
        <v>612</v>
      </c>
      <c r="H34" s="323">
        <f>'.'!L1176</f>
        <v>1458379.76</v>
      </c>
      <c r="I34" s="334"/>
      <c r="J34" s="334"/>
      <c r="K34" s="334"/>
      <c r="L34" s="334"/>
      <c r="M34" s="334"/>
      <c r="N34" s="334"/>
      <c r="O34" s="334"/>
      <c r="P34" s="334"/>
      <c r="Q34" s="334"/>
      <c r="R34" s="2"/>
      <c r="S34" s="333"/>
      <c r="T34" s="333"/>
      <c r="U34" s="334"/>
      <c r="V34" s="13"/>
      <c r="AA34" s="30">
        <v>1</v>
      </c>
    </row>
    <row r="35" spans="1:27" s="266" customFormat="1" ht="39" customHeight="1">
      <c r="A35" s="328">
        <f t="shared" si="0"/>
        <v>27</v>
      </c>
      <c r="B35" s="344" t="s">
        <v>1242</v>
      </c>
      <c r="C35" s="327">
        <f>'.'!L1177</f>
        <v>1472546.87</v>
      </c>
      <c r="D35" s="334"/>
      <c r="E35" s="343"/>
      <c r="F35" s="334"/>
      <c r="G35" s="323">
        <f>'.'!G1177</f>
        <v>717</v>
      </c>
      <c r="H35" s="323">
        <f>'.'!L1177</f>
        <v>1472546.87</v>
      </c>
      <c r="I35" s="334"/>
      <c r="J35" s="334"/>
      <c r="K35" s="334"/>
      <c r="L35" s="334"/>
      <c r="M35" s="334"/>
      <c r="N35" s="334"/>
      <c r="O35" s="334"/>
      <c r="P35" s="334"/>
      <c r="Q35" s="334"/>
      <c r="R35" s="2"/>
      <c r="S35" s="333"/>
      <c r="T35" s="333"/>
      <c r="U35" s="334"/>
      <c r="V35" s="13"/>
      <c r="AA35" s="30">
        <v>1</v>
      </c>
    </row>
    <row r="36" spans="1:27" s="266" customFormat="1" ht="39" customHeight="1">
      <c r="A36" s="328">
        <f t="shared" si="0"/>
        <v>28</v>
      </c>
      <c r="B36" s="344" t="s">
        <v>1243</v>
      </c>
      <c r="C36" s="327">
        <f>'.'!L1178</f>
        <v>1479714.33</v>
      </c>
      <c r="D36" s="334"/>
      <c r="E36" s="343"/>
      <c r="F36" s="334"/>
      <c r="G36" s="323">
        <f>'.'!G1178</f>
        <v>717</v>
      </c>
      <c r="H36" s="323">
        <f>'.'!L1178</f>
        <v>1479714.33</v>
      </c>
      <c r="I36" s="334"/>
      <c r="J36" s="334"/>
      <c r="K36" s="334"/>
      <c r="L36" s="334"/>
      <c r="M36" s="334"/>
      <c r="N36" s="334"/>
      <c r="O36" s="334"/>
      <c r="P36" s="334"/>
      <c r="Q36" s="334"/>
      <c r="R36" s="2"/>
      <c r="S36" s="333"/>
      <c r="T36" s="333"/>
      <c r="U36" s="334"/>
      <c r="V36" s="13"/>
      <c r="AA36" s="30">
        <v>1</v>
      </c>
    </row>
    <row r="37" spans="1:27" s="266" customFormat="1" ht="39" customHeight="1">
      <c r="A37" s="328">
        <f t="shared" si="0"/>
        <v>29</v>
      </c>
      <c r="B37" s="342" t="s">
        <v>1244</v>
      </c>
      <c r="C37" s="327">
        <f>'.'!L1179</f>
        <v>1665893.82</v>
      </c>
      <c r="D37" s="324"/>
      <c r="E37" s="343"/>
      <c r="F37" s="334"/>
      <c r="G37" s="323">
        <f>'.'!G1179</f>
        <v>938</v>
      </c>
      <c r="H37" s="323">
        <f>'.'!L1179</f>
        <v>1665893.82</v>
      </c>
      <c r="I37" s="334"/>
      <c r="J37" s="334"/>
      <c r="K37" s="334"/>
      <c r="L37" s="334"/>
      <c r="M37" s="334"/>
      <c r="N37" s="334"/>
      <c r="O37" s="334"/>
      <c r="P37" s="334"/>
      <c r="Q37" s="334"/>
      <c r="R37" s="2"/>
      <c r="S37" s="333"/>
      <c r="T37" s="333"/>
      <c r="U37" s="334"/>
      <c r="V37" s="13"/>
      <c r="AA37" s="30">
        <v>1</v>
      </c>
    </row>
    <row r="38" spans="1:27" s="266" customFormat="1" ht="39" customHeight="1">
      <c r="A38" s="328">
        <f t="shared" si="0"/>
        <v>30</v>
      </c>
      <c r="B38" s="344" t="s">
        <v>1245</v>
      </c>
      <c r="C38" s="327">
        <f>'.'!L1180</f>
        <v>1507854</v>
      </c>
      <c r="D38" s="334"/>
      <c r="E38" s="343"/>
      <c r="F38" s="334"/>
      <c r="G38" s="323">
        <f>'.'!G1180</f>
        <v>930</v>
      </c>
      <c r="H38" s="323">
        <f>'.'!L1180</f>
        <v>1507854</v>
      </c>
      <c r="I38" s="334"/>
      <c r="J38" s="334"/>
      <c r="K38" s="334"/>
      <c r="L38" s="334"/>
      <c r="M38" s="334"/>
      <c r="N38" s="334"/>
      <c r="O38" s="334"/>
      <c r="P38" s="334"/>
      <c r="Q38" s="334"/>
      <c r="R38" s="2"/>
      <c r="S38" s="333"/>
      <c r="T38" s="333"/>
      <c r="U38" s="334"/>
      <c r="V38" s="13"/>
      <c r="AA38" s="30">
        <v>1</v>
      </c>
    </row>
    <row r="39" spans="1:27" s="266" customFormat="1" ht="39" customHeight="1">
      <c r="A39" s="328">
        <f t="shared" si="0"/>
        <v>31</v>
      </c>
      <c r="B39" s="344" t="s">
        <v>1246</v>
      </c>
      <c r="C39" s="327">
        <f>'.'!L1181</f>
        <v>1500594.0899999999</v>
      </c>
      <c r="D39" s="334"/>
      <c r="E39" s="343"/>
      <c r="F39" s="334"/>
      <c r="G39" s="323">
        <f>'.'!G1181</f>
        <v>930</v>
      </c>
      <c r="H39" s="323">
        <f>'.'!L1181</f>
        <v>1500594.0899999999</v>
      </c>
      <c r="I39" s="334"/>
      <c r="J39" s="334"/>
      <c r="K39" s="334"/>
      <c r="L39" s="334"/>
      <c r="M39" s="334"/>
      <c r="N39" s="334"/>
      <c r="O39" s="334"/>
      <c r="P39" s="346"/>
      <c r="Q39" s="346"/>
      <c r="R39" s="347"/>
      <c r="S39" s="348"/>
      <c r="T39" s="333"/>
      <c r="U39" s="334"/>
      <c r="V39" s="13"/>
      <c r="AA39" s="30">
        <v>1</v>
      </c>
    </row>
    <row r="40" spans="1:27" s="266" customFormat="1" ht="39" customHeight="1">
      <c r="A40" s="328">
        <f t="shared" si="0"/>
        <v>32</v>
      </c>
      <c r="B40" s="344" t="s">
        <v>1247</v>
      </c>
      <c r="C40" s="327">
        <f>'.'!L1182</f>
        <v>2899579.66</v>
      </c>
      <c r="D40" s="334"/>
      <c r="E40" s="343"/>
      <c r="F40" s="334"/>
      <c r="G40" s="334">
        <v>1376</v>
      </c>
      <c r="H40" s="334">
        <f>'.'!L1182</f>
        <v>2899579.66</v>
      </c>
      <c r="I40" s="334"/>
      <c r="J40" s="334"/>
      <c r="K40" s="334"/>
      <c r="L40" s="334"/>
      <c r="M40" s="334"/>
      <c r="N40" s="334"/>
      <c r="O40" s="334"/>
      <c r="P40" s="349"/>
      <c r="Q40" s="29"/>
      <c r="R40" s="29"/>
      <c r="S40" s="349"/>
      <c r="T40" s="333"/>
      <c r="U40" s="334"/>
      <c r="V40" s="13"/>
      <c r="AA40" s="30">
        <v>1</v>
      </c>
    </row>
    <row r="41" spans="1:27" s="266" customFormat="1" ht="39" customHeight="1">
      <c r="A41" s="328">
        <f t="shared" si="0"/>
        <v>33</v>
      </c>
      <c r="B41" s="344" t="s">
        <v>1248</v>
      </c>
      <c r="C41" s="327">
        <f>'.'!L1183</f>
        <v>3188681.76</v>
      </c>
      <c r="D41" s="334"/>
      <c r="E41" s="343"/>
      <c r="F41" s="334"/>
      <c r="G41" s="323">
        <f>'.'!G1183</f>
        <v>1640</v>
      </c>
      <c r="H41" s="323">
        <f>'.'!L1183</f>
        <v>3188681.76</v>
      </c>
      <c r="I41" s="334"/>
      <c r="J41" s="334"/>
      <c r="K41" s="334"/>
      <c r="L41" s="334"/>
      <c r="M41" s="334"/>
      <c r="N41" s="334"/>
      <c r="O41" s="334"/>
      <c r="P41" s="350"/>
      <c r="Q41" s="350"/>
      <c r="R41" s="353"/>
      <c r="S41" s="352"/>
      <c r="T41" s="333"/>
      <c r="U41" s="334"/>
      <c r="V41" s="13"/>
      <c r="AA41" s="30">
        <v>1</v>
      </c>
    </row>
    <row r="42" spans="1:27" s="266" customFormat="1" ht="39" customHeight="1">
      <c r="A42" s="328">
        <f t="shared" si="0"/>
        <v>34</v>
      </c>
      <c r="B42" s="354" t="s">
        <v>1249</v>
      </c>
      <c r="C42" s="327">
        <f>'.'!L1184</f>
        <v>7357413.8399999999</v>
      </c>
      <c r="D42" s="334"/>
      <c r="E42" s="343"/>
      <c r="F42" s="334"/>
      <c r="G42" s="334"/>
      <c r="H42" s="334"/>
      <c r="I42" s="334"/>
      <c r="J42" s="334"/>
      <c r="K42" s="334"/>
      <c r="L42" s="334"/>
      <c r="M42" s="334"/>
      <c r="N42" s="334"/>
      <c r="O42" s="330">
        <v>3390</v>
      </c>
      <c r="P42" s="330">
        <f>'.'!L1184</f>
        <v>7357413.8399999999</v>
      </c>
      <c r="Q42" s="334"/>
      <c r="R42" s="2"/>
      <c r="S42" s="333"/>
      <c r="T42" s="333"/>
      <c r="U42" s="334"/>
      <c r="V42" s="13"/>
      <c r="AA42" s="30">
        <v>1</v>
      </c>
    </row>
    <row r="43" spans="1:27" s="266" customFormat="1" ht="39" customHeight="1">
      <c r="A43" s="328">
        <f t="shared" si="0"/>
        <v>35</v>
      </c>
      <c r="B43" s="354" t="s">
        <v>1250</v>
      </c>
      <c r="C43" s="327">
        <f>'.'!L1185</f>
        <v>7274051.25</v>
      </c>
      <c r="D43" s="334"/>
      <c r="E43" s="343"/>
      <c r="F43" s="334"/>
      <c r="G43" s="334"/>
      <c r="H43" s="334"/>
      <c r="I43" s="334"/>
      <c r="J43" s="334"/>
      <c r="K43" s="334"/>
      <c r="L43" s="334"/>
      <c r="M43" s="334"/>
      <c r="N43" s="334"/>
      <c r="O43" s="330">
        <v>3390</v>
      </c>
      <c r="P43" s="330">
        <f>'.'!L1185</f>
        <v>7274051.25</v>
      </c>
      <c r="Q43" s="334"/>
      <c r="R43" s="2"/>
      <c r="S43" s="333"/>
      <c r="T43" s="333"/>
      <c r="U43" s="334"/>
      <c r="V43" s="13"/>
      <c r="AA43" s="30">
        <v>1</v>
      </c>
    </row>
    <row r="44" spans="1:27" s="266" customFormat="1" ht="39" customHeight="1">
      <c r="A44" s="328">
        <f t="shared" si="0"/>
        <v>36</v>
      </c>
      <c r="B44" s="344" t="s">
        <v>1251</v>
      </c>
      <c r="C44" s="327">
        <f>'.'!L1186</f>
        <v>3123840.02</v>
      </c>
      <c r="D44" s="324">
        <f>'.'!L1186</f>
        <v>3123840.02</v>
      </c>
      <c r="E44" s="343"/>
      <c r="F44" s="334"/>
      <c r="G44" s="334"/>
      <c r="H44" s="334"/>
      <c r="I44" s="334"/>
      <c r="J44" s="334"/>
      <c r="K44" s="334"/>
      <c r="L44" s="334"/>
      <c r="M44" s="334"/>
      <c r="N44" s="334"/>
      <c r="O44" s="334"/>
      <c r="P44" s="334"/>
      <c r="Q44" s="334"/>
      <c r="R44" s="2"/>
      <c r="S44" s="333"/>
      <c r="T44" s="333"/>
      <c r="U44" s="334"/>
      <c r="V44" s="13"/>
      <c r="AA44" s="30">
        <v>1</v>
      </c>
    </row>
    <row r="45" spans="1:27" s="266" customFormat="1" ht="39" customHeight="1">
      <c r="A45" s="328">
        <f t="shared" si="0"/>
        <v>37</v>
      </c>
      <c r="B45" s="344" t="s">
        <v>1252</v>
      </c>
      <c r="C45" s="327">
        <f>'.'!L1187</f>
        <v>2928421.66</v>
      </c>
      <c r="D45" s="324">
        <f>'.'!L1187</f>
        <v>2928421.66</v>
      </c>
      <c r="E45" s="343"/>
      <c r="F45" s="334"/>
      <c r="G45" s="334"/>
      <c r="H45" s="334"/>
      <c r="I45" s="334"/>
      <c r="J45" s="334"/>
      <c r="K45" s="334"/>
      <c r="L45" s="334"/>
      <c r="M45" s="334"/>
      <c r="N45" s="334"/>
      <c r="O45" s="334"/>
      <c r="P45" s="334"/>
      <c r="Q45" s="334"/>
      <c r="R45" s="2"/>
      <c r="S45" s="333"/>
      <c r="T45" s="333"/>
      <c r="U45" s="334"/>
      <c r="V45" s="13"/>
      <c r="AA45" s="30">
        <v>1</v>
      </c>
    </row>
    <row r="46" spans="1:27" s="266" customFormat="1" ht="39" customHeight="1">
      <c r="A46" s="328">
        <f t="shared" si="0"/>
        <v>38</v>
      </c>
      <c r="B46" s="344" t="s">
        <v>1253</v>
      </c>
      <c r="C46" s="327">
        <f>'.'!L1188</f>
        <v>1338334.3400000001</v>
      </c>
      <c r="D46" s="334"/>
      <c r="E46" s="343"/>
      <c r="F46" s="334"/>
      <c r="G46" s="323">
        <f>'.'!G1188</f>
        <v>609</v>
      </c>
      <c r="H46" s="323">
        <f>'.'!L1188</f>
        <v>1338334.3400000001</v>
      </c>
      <c r="I46" s="334"/>
      <c r="J46" s="334"/>
      <c r="K46" s="334"/>
      <c r="L46" s="334"/>
      <c r="M46" s="334"/>
      <c r="N46" s="334"/>
      <c r="O46" s="334"/>
      <c r="P46" s="334"/>
      <c r="Q46" s="334"/>
      <c r="R46" s="2"/>
      <c r="S46" s="333"/>
      <c r="T46" s="333"/>
      <c r="U46" s="334"/>
      <c r="V46" s="13"/>
      <c r="AA46" s="30">
        <v>1</v>
      </c>
    </row>
    <row r="47" spans="1:27" s="266" customFormat="1" ht="39" customHeight="1">
      <c r="A47" s="328">
        <f t="shared" si="0"/>
        <v>39</v>
      </c>
      <c r="B47" s="344" t="s">
        <v>1254</v>
      </c>
      <c r="C47" s="327">
        <f>'.'!L1189</f>
        <v>2954813.16</v>
      </c>
      <c r="D47" s="334"/>
      <c r="E47" s="343"/>
      <c r="F47" s="334"/>
      <c r="G47" s="323">
        <f>'.'!G1189</f>
        <v>1414</v>
      </c>
      <c r="H47" s="323">
        <f>'.'!L1189</f>
        <v>2954813.16</v>
      </c>
      <c r="I47" s="334"/>
      <c r="J47" s="334"/>
      <c r="K47" s="334"/>
      <c r="L47" s="334"/>
      <c r="M47" s="334"/>
      <c r="N47" s="334"/>
      <c r="O47" s="334"/>
      <c r="P47" s="334"/>
      <c r="Q47" s="334"/>
      <c r="R47" s="355"/>
      <c r="S47" s="333"/>
      <c r="T47" s="333"/>
      <c r="U47" s="334"/>
      <c r="V47" s="13"/>
      <c r="AA47" s="30">
        <v>1</v>
      </c>
    </row>
    <row r="48" spans="1:27" s="266" customFormat="1" ht="39" customHeight="1">
      <c r="A48" s="328">
        <f t="shared" si="0"/>
        <v>40</v>
      </c>
      <c r="B48" s="356" t="s">
        <v>1255</v>
      </c>
      <c r="C48" s="327">
        <f>'.'!L1190</f>
        <v>989733.34</v>
      </c>
      <c r="D48" s="357"/>
      <c r="E48" s="358"/>
      <c r="F48" s="357"/>
      <c r="G48" s="323">
        <f>'.'!G1190</f>
        <v>466</v>
      </c>
      <c r="H48" s="323">
        <f>'.'!L1190</f>
        <v>989733.34</v>
      </c>
      <c r="I48" s="357"/>
      <c r="J48" s="357"/>
      <c r="K48" s="334"/>
      <c r="L48" s="334"/>
      <c r="M48" s="357"/>
      <c r="N48" s="357"/>
      <c r="O48" s="357"/>
      <c r="P48" s="357"/>
      <c r="Q48" s="357"/>
      <c r="R48" s="322"/>
      <c r="S48" s="359"/>
      <c r="T48" s="359"/>
      <c r="U48" s="334"/>
      <c r="V48" s="13"/>
      <c r="AA48" s="30">
        <v>1</v>
      </c>
    </row>
    <row r="49" spans="1:27" s="266" customFormat="1" ht="39" customHeight="1">
      <c r="A49" s="328">
        <f t="shared" si="0"/>
        <v>41</v>
      </c>
      <c r="B49" s="356" t="s">
        <v>1256</v>
      </c>
      <c r="C49" s="327">
        <f>'.'!L1191</f>
        <v>900497.83</v>
      </c>
      <c r="D49" s="357"/>
      <c r="E49" s="358"/>
      <c r="F49" s="357"/>
      <c r="G49" s="323">
        <f>'.'!G1191</f>
        <v>355</v>
      </c>
      <c r="H49" s="323">
        <f>'.'!L1191</f>
        <v>900497.83</v>
      </c>
      <c r="I49" s="357"/>
      <c r="J49" s="357"/>
      <c r="K49" s="334"/>
      <c r="L49" s="334"/>
      <c r="M49" s="357"/>
      <c r="N49" s="357"/>
      <c r="O49" s="357"/>
      <c r="P49" s="357"/>
      <c r="Q49" s="357"/>
      <c r="R49" s="322"/>
      <c r="S49" s="359"/>
      <c r="T49" s="359"/>
      <c r="U49" s="334"/>
      <c r="V49" s="13"/>
      <c r="AA49" s="30">
        <v>1</v>
      </c>
    </row>
    <row r="50" spans="1:27" s="266" customFormat="1" ht="39" customHeight="1">
      <c r="A50" s="328">
        <f t="shared" si="0"/>
        <v>42</v>
      </c>
      <c r="B50" s="356" t="s">
        <v>1257</v>
      </c>
      <c r="C50" s="327">
        <f>'.'!L1192</f>
        <v>3019579</v>
      </c>
      <c r="D50" s="357"/>
      <c r="E50" s="358"/>
      <c r="F50" s="357"/>
      <c r="G50" s="323">
        <f>'.'!G1192</f>
        <v>2100</v>
      </c>
      <c r="H50" s="323">
        <f>'.'!L1192</f>
        <v>3019579</v>
      </c>
      <c r="I50" s="357"/>
      <c r="J50" s="357"/>
      <c r="K50" s="334"/>
      <c r="L50" s="334"/>
      <c r="M50" s="357"/>
      <c r="N50" s="357"/>
      <c r="O50" s="357"/>
      <c r="P50" s="357"/>
      <c r="Q50" s="357"/>
      <c r="R50" s="322"/>
      <c r="S50" s="359"/>
      <c r="T50" s="359"/>
      <c r="U50" s="334"/>
      <c r="V50" s="13"/>
      <c r="AA50" s="30">
        <v>1</v>
      </c>
    </row>
    <row r="51" spans="1:27" s="266" customFormat="1" ht="39" customHeight="1">
      <c r="A51" s="328">
        <f t="shared" si="0"/>
        <v>43</v>
      </c>
      <c r="B51" s="356" t="s">
        <v>1258</v>
      </c>
      <c r="C51" s="327">
        <f>'.'!L1193</f>
        <v>1158582.1499999999</v>
      </c>
      <c r="D51" s="357"/>
      <c r="E51" s="358"/>
      <c r="F51" s="357"/>
      <c r="G51" s="323">
        <f>'.'!G1193</f>
        <v>655</v>
      </c>
      <c r="H51" s="323">
        <f>'.'!L1193</f>
        <v>1158582.1499999999</v>
      </c>
      <c r="I51" s="357"/>
      <c r="J51" s="357"/>
      <c r="K51" s="334"/>
      <c r="L51" s="334"/>
      <c r="M51" s="357"/>
      <c r="N51" s="357"/>
      <c r="O51" s="357"/>
      <c r="P51" s="357"/>
      <c r="Q51" s="357"/>
      <c r="R51" s="322"/>
      <c r="S51" s="359"/>
      <c r="T51" s="359"/>
      <c r="U51" s="334"/>
      <c r="V51" s="13"/>
      <c r="AA51" s="30">
        <v>1</v>
      </c>
    </row>
    <row r="52" spans="1:27" s="266" customFormat="1" ht="39" customHeight="1">
      <c r="A52" s="328">
        <f t="shared" si="0"/>
        <v>44</v>
      </c>
      <c r="B52" s="356" t="s">
        <v>1259</v>
      </c>
      <c r="C52" s="327">
        <f>'.'!L1194</f>
        <v>3257268.81</v>
      </c>
      <c r="D52" s="357"/>
      <c r="E52" s="358"/>
      <c r="F52" s="357"/>
      <c r="G52" s="323">
        <f>'.'!G1194</f>
        <v>1470</v>
      </c>
      <c r="H52" s="323">
        <f>'.'!L1194</f>
        <v>3257268.81</v>
      </c>
      <c r="I52" s="357"/>
      <c r="J52" s="357"/>
      <c r="K52" s="334"/>
      <c r="L52" s="334"/>
      <c r="M52" s="357"/>
      <c r="N52" s="357"/>
      <c r="O52" s="357"/>
      <c r="P52" s="357"/>
      <c r="Q52" s="357"/>
      <c r="R52" s="322"/>
      <c r="S52" s="359"/>
      <c r="T52" s="359"/>
      <c r="U52" s="334"/>
      <c r="V52" s="13"/>
      <c r="AA52" s="30">
        <v>1</v>
      </c>
    </row>
    <row r="53" spans="1:27" s="266" customFormat="1" ht="39" customHeight="1">
      <c r="A53" s="328">
        <f t="shared" si="0"/>
        <v>45</v>
      </c>
      <c r="B53" s="356" t="s">
        <v>1260</v>
      </c>
      <c r="C53" s="327">
        <f>'.'!L1195</f>
        <v>2008223.46</v>
      </c>
      <c r="D53" s="357"/>
      <c r="E53" s="358"/>
      <c r="F53" s="357"/>
      <c r="G53" s="323">
        <f>'.'!G1195</f>
        <v>937</v>
      </c>
      <c r="H53" s="323">
        <f>'.'!L1195</f>
        <v>2008223.46</v>
      </c>
      <c r="I53" s="357"/>
      <c r="J53" s="357"/>
      <c r="K53" s="334"/>
      <c r="L53" s="334"/>
      <c r="M53" s="357"/>
      <c r="N53" s="357"/>
      <c r="O53" s="357"/>
      <c r="P53" s="357"/>
      <c r="Q53" s="357"/>
      <c r="R53" s="322"/>
      <c r="S53" s="359"/>
      <c r="T53" s="359"/>
      <c r="U53" s="334"/>
      <c r="V53" s="13"/>
      <c r="AA53" s="30">
        <v>1</v>
      </c>
    </row>
    <row r="54" spans="1:27" s="266" customFormat="1" ht="39" customHeight="1">
      <c r="A54" s="328">
        <f t="shared" si="0"/>
        <v>46</v>
      </c>
      <c r="B54" s="356" t="s">
        <v>1261</v>
      </c>
      <c r="C54" s="327">
        <f>'.'!L1196</f>
        <v>1849815.8399999999</v>
      </c>
      <c r="D54" s="357"/>
      <c r="E54" s="358"/>
      <c r="F54" s="357"/>
      <c r="G54" s="323">
        <f>'.'!G1196</f>
        <v>1008</v>
      </c>
      <c r="H54" s="323">
        <f>'.'!L1196</f>
        <v>1849815.8399999999</v>
      </c>
      <c r="I54" s="357"/>
      <c r="J54" s="357"/>
      <c r="K54" s="334"/>
      <c r="L54" s="334"/>
      <c r="M54" s="357"/>
      <c r="N54" s="357"/>
      <c r="O54" s="357"/>
      <c r="P54" s="357"/>
      <c r="Q54" s="357"/>
      <c r="R54" s="322"/>
      <c r="S54" s="359"/>
      <c r="T54" s="359"/>
      <c r="U54" s="334"/>
      <c r="V54" s="13"/>
      <c r="AA54" s="30">
        <v>1</v>
      </c>
    </row>
    <row r="55" spans="1:27" s="266" customFormat="1" ht="39" customHeight="1">
      <c r="A55" s="328">
        <f t="shared" si="0"/>
        <v>47</v>
      </c>
      <c r="B55" s="356" t="s">
        <v>1262</v>
      </c>
      <c r="C55" s="327">
        <f>'.'!L1197</f>
        <v>2089526.48</v>
      </c>
      <c r="D55" s="324"/>
      <c r="E55" s="358"/>
      <c r="F55" s="357"/>
      <c r="G55" s="323">
        <f>'.'!G1197</f>
        <v>966</v>
      </c>
      <c r="H55" s="323">
        <f>'.'!L1197</f>
        <v>2089526.48</v>
      </c>
      <c r="I55" s="357"/>
      <c r="J55" s="357"/>
      <c r="K55" s="334"/>
      <c r="L55" s="334"/>
      <c r="M55" s="357"/>
      <c r="N55" s="357"/>
      <c r="O55" s="357"/>
      <c r="P55" s="357"/>
      <c r="Q55" s="357"/>
      <c r="R55" s="322"/>
      <c r="S55" s="359"/>
      <c r="T55" s="359"/>
      <c r="U55" s="334"/>
      <c r="V55" s="13"/>
      <c r="AA55" s="30">
        <v>1</v>
      </c>
    </row>
    <row r="56" spans="1:27" s="266" customFormat="1" ht="39" customHeight="1">
      <c r="A56" s="328">
        <f t="shared" si="0"/>
        <v>48</v>
      </c>
      <c r="B56" s="356" t="s">
        <v>1263</v>
      </c>
      <c r="C56" s="327">
        <f>'.'!L1198</f>
        <v>3443596.46</v>
      </c>
      <c r="D56" s="324"/>
      <c r="E56" s="358"/>
      <c r="F56" s="357"/>
      <c r="G56" s="323">
        <f>'.'!G1198</f>
        <v>1846</v>
      </c>
      <c r="H56" s="323">
        <f>'.'!L1198</f>
        <v>3443596.46</v>
      </c>
      <c r="I56" s="357"/>
      <c r="J56" s="357"/>
      <c r="K56" s="334"/>
      <c r="L56" s="334"/>
      <c r="M56" s="357"/>
      <c r="N56" s="357"/>
      <c r="O56" s="357"/>
      <c r="P56" s="357"/>
      <c r="Q56" s="357"/>
      <c r="R56" s="322"/>
      <c r="S56" s="359"/>
      <c r="T56" s="359"/>
      <c r="U56" s="334"/>
      <c r="V56" s="13"/>
      <c r="AA56" s="30">
        <v>1</v>
      </c>
    </row>
    <row r="57" spans="1:27" s="266" customFormat="1" ht="39" customHeight="1">
      <c r="A57" s="328">
        <f t="shared" si="0"/>
        <v>49</v>
      </c>
      <c r="B57" s="356" t="s">
        <v>1264</v>
      </c>
      <c r="C57" s="327">
        <f>'.'!L1199</f>
        <v>2655209.66</v>
      </c>
      <c r="D57" s="357"/>
      <c r="E57" s="358"/>
      <c r="F57" s="357"/>
      <c r="G57" s="323">
        <f>'.'!G1199</f>
        <v>1423</v>
      </c>
      <c r="H57" s="323">
        <f>'.'!L1199</f>
        <v>2655209.66</v>
      </c>
      <c r="I57" s="357"/>
      <c r="J57" s="357"/>
      <c r="K57" s="334"/>
      <c r="L57" s="334"/>
      <c r="M57" s="357"/>
      <c r="N57" s="357"/>
      <c r="O57" s="357"/>
      <c r="P57" s="357"/>
      <c r="Q57" s="357"/>
      <c r="R57" s="322"/>
      <c r="S57" s="359"/>
      <c r="T57" s="359"/>
      <c r="U57" s="334"/>
      <c r="V57" s="13"/>
      <c r="AA57" s="30">
        <v>1</v>
      </c>
    </row>
    <row r="58" spans="1:27" s="266" customFormat="1" ht="39" customHeight="1">
      <c r="A58" s="328">
        <f t="shared" si="0"/>
        <v>50</v>
      </c>
      <c r="B58" s="356" t="s">
        <v>3793</v>
      </c>
      <c r="C58" s="327">
        <f>'.'!L1200</f>
        <v>987192.74</v>
      </c>
      <c r="D58" s="357"/>
      <c r="E58" s="358"/>
      <c r="F58" s="357"/>
      <c r="G58" s="323">
        <f>'.'!G1200</f>
        <v>490</v>
      </c>
      <c r="H58" s="323">
        <f>'.'!L1200</f>
        <v>987192.74</v>
      </c>
      <c r="I58" s="357"/>
      <c r="J58" s="357"/>
      <c r="K58" s="334"/>
      <c r="L58" s="334"/>
      <c r="M58" s="357"/>
      <c r="N58" s="357"/>
      <c r="O58" s="357"/>
      <c r="P58" s="357"/>
      <c r="Q58" s="357"/>
      <c r="R58" s="322"/>
      <c r="S58" s="359"/>
      <c r="T58" s="359"/>
      <c r="U58" s="334"/>
      <c r="V58" s="13"/>
      <c r="AA58" s="30">
        <v>1</v>
      </c>
    </row>
    <row r="59" spans="1:27" s="266" customFormat="1" ht="39" customHeight="1">
      <c r="A59" s="328">
        <f t="shared" si="0"/>
        <v>51</v>
      </c>
      <c r="B59" s="356" t="s">
        <v>1266</v>
      </c>
      <c r="C59" s="327">
        <f>'.'!L1201</f>
        <v>2873979.1100000003</v>
      </c>
      <c r="D59" s="357"/>
      <c r="E59" s="358"/>
      <c r="F59" s="357"/>
      <c r="G59" s="323">
        <f>'.'!G1201</f>
        <v>1150</v>
      </c>
      <c r="H59" s="323">
        <f>'.'!L1201</f>
        <v>2873979.1100000003</v>
      </c>
      <c r="I59" s="357"/>
      <c r="J59" s="357"/>
      <c r="K59" s="334"/>
      <c r="L59" s="334"/>
      <c r="M59" s="357"/>
      <c r="N59" s="357"/>
      <c r="O59" s="357"/>
      <c r="P59" s="357"/>
      <c r="Q59" s="357"/>
      <c r="R59" s="322"/>
      <c r="S59" s="359"/>
      <c r="T59" s="359"/>
      <c r="U59" s="334"/>
      <c r="V59" s="13"/>
      <c r="AA59" s="30">
        <v>1</v>
      </c>
    </row>
    <row r="60" spans="1:27" s="266" customFormat="1" ht="39" customHeight="1">
      <c r="A60" s="328">
        <f t="shared" si="0"/>
        <v>52</v>
      </c>
      <c r="B60" s="356" t="s">
        <v>1267</v>
      </c>
      <c r="C60" s="327">
        <f>'.'!L1202</f>
        <v>2258562.6100000003</v>
      </c>
      <c r="D60" s="357"/>
      <c r="E60" s="358"/>
      <c r="F60" s="357"/>
      <c r="G60" s="323">
        <f>'.'!G1202</f>
        <v>1400</v>
      </c>
      <c r="H60" s="323">
        <f>'.'!L1202</f>
        <v>2258562.6100000003</v>
      </c>
      <c r="I60" s="357"/>
      <c r="J60" s="357"/>
      <c r="K60" s="334"/>
      <c r="L60" s="334"/>
      <c r="M60" s="357"/>
      <c r="N60" s="357"/>
      <c r="O60" s="357"/>
      <c r="P60" s="357"/>
      <c r="Q60" s="357"/>
      <c r="R60" s="322"/>
      <c r="S60" s="359"/>
      <c r="T60" s="359"/>
      <c r="U60" s="334"/>
      <c r="V60" s="13"/>
      <c r="AA60" s="30">
        <v>1</v>
      </c>
    </row>
    <row r="61" spans="1:27" s="266" customFormat="1" ht="39" customHeight="1">
      <c r="A61" s="328">
        <f t="shared" si="0"/>
        <v>53</v>
      </c>
      <c r="B61" s="356" t="s">
        <v>1268</v>
      </c>
      <c r="C61" s="327">
        <f>'.'!L1203</f>
        <v>2848543.53</v>
      </c>
      <c r="D61" s="357"/>
      <c r="E61" s="358"/>
      <c r="F61" s="357"/>
      <c r="G61" s="323">
        <f>'.'!G1203</f>
        <v>1005</v>
      </c>
      <c r="H61" s="323">
        <f>'.'!L1203</f>
        <v>2848543.53</v>
      </c>
      <c r="I61" s="357"/>
      <c r="J61" s="357"/>
      <c r="K61" s="334"/>
      <c r="L61" s="334"/>
      <c r="M61" s="357"/>
      <c r="N61" s="357"/>
      <c r="O61" s="357"/>
      <c r="P61" s="357"/>
      <c r="Q61" s="357"/>
      <c r="R61" s="322"/>
      <c r="S61" s="359"/>
      <c r="T61" s="359"/>
      <c r="U61" s="334"/>
      <c r="V61" s="13"/>
      <c r="AA61" s="30">
        <v>1</v>
      </c>
    </row>
    <row r="62" spans="1:27" s="266" customFormat="1" ht="39" customHeight="1">
      <c r="A62" s="328">
        <f t="shared" si="0"/>
        <v>54</v>
      </c>
      <c r="B62" s="356" t="s">
        <v>1269</v>
      </c>
      <c r="C62" s="327">
        <f>'.'!L1204</f>
        <v>2377251.96</v>
      </c>
      <c r="D62" s="357"/>
      <c r="E62" s="358"/>
      <c r="F62" s="357"/>
      <c r="G62" s="323">
        <f>'.'!G1204</f>
        <v>1261</v>
      </c>
      <c r="H62" s="323">
        <f>'.'!L1204</f>
        <v>2377251.96</v>
      </c>
      <c r="I62" s="357"/>
      <c r="J62" s="357"/>
      <c r="K62" s="334"/>
      <c r="L62" s="334"/>
      <c r="M62" s="357"/>
      <c r="N62" s="357"/>
      <c r="O62" s="357"/>
      <c r="P62" s="357"/>
      <c r="Q62" s="357"/>
      <c r="R62" s="322"/>
      <c r="S62" s="359"/>
      <c r="T62" s="359"/>
      <c r="U62" s="334"/>
      <c r="V62" s="13"/>
      <c r="AA62" s="30">
        <v>1</v>
      </c>
    </row>
    <row r="63" spans="1:27" s="266" customFormat="1" ht="39" customHeight="1">
      <c r="A63" s="328">
        <f t="shared" si="0"/>
        <v>55</v>
      </c>
      <c r="B63" s="356" t="s">
        <v>1270</v>
      </c>
      <c r="C63" s="327">
        <f>'.'!L1205</f>
        <v>1999604.68</v>
      </c>
      <c r="D63" s="357"/>
      <c r="E63" s="358"/>
      <c r="F63" s="357"/>
      <c r="G63" s="323">
        <f>'.'!G1205</f>
        <v>1161</v>
      </c>
      <c r="H63" s="323">
        <f>'.'!L1205</f>
        <v>1999604.68</v>
      </c>
      <c r="I63" s="357"/>
      <c r="J63" s="357"/>
      <c r="K63" s="334"/>
      <c r="L63" s="334"/>
      <c r="M63" s="357"/>
      <c r="N63" s="357"/>
      <c r="O63" s="357"/>
      <c r="P63" s="357"/>
      <c r="Q63" s="357"/>
      <c r="R63" s="322"/>
      <c r="S63" s="359"/>
      <c r="T63" s="359"/>
      <c r="U63" s="334"/>
      <c r="V63" s="13"/>
      <c r="AA63" s="30">
        <v>1</v>
      </c>
    </row>
    <row r="64" spans="1:27" s="266" customFormat="1" ht="39" customHeight="1">
      <c r="A64" s="328">
        <f t="shared" si="0"/>
        <v>56</v>
      </c>
      <c r="B64" s="356" t="s">
        <v>1271</v>
      </c>
      <c r="C64" s="327">
        <f>'.'!L1206</f>
        <v>4365089.8499999996</v>
      </c>
      <c r="D64" s="357"/>
      <c r="E64" s="358"/>
      <c r="F64" s="357"/>
      <c r="G64" s="323">
        <f>'.'!G1206</f>
        <v>2083</v>
      </c>
      <c r="H64" s="323">
        <f>'.'!L1206</f>
        <v>4365089.8499999996</v>
      </c>
      <c r="I64" s="357"/>
      <c r="J64" s="357"/>
      <c r="K64" s="334"/>
      <c r="L64" s="334"/>
      <c r="M64" s="357"/>
      <c r="N64" s="357"/>
      <c r="O64" s="357"/>
      <c r="P64" s="357"/>
      <c r="Q64" s="357"/>
      <c r="R64" s="322"/>
      <c r="S64" s="359"/>
      <c r="T64" s="359"/>
      <c r="U64" s="334"/>
      <c r="V64" s="13"/>
      <c r="AA64" s="30">
        <v>1</v>
      </c>
    </row>
    <row r="65" spans="1:27" s="266" customFormat="1" ht="39" customHeight="1">
      <c r="A65" s="328">
        <f t="shared" si="0"/>
        <v>57</v>
      </c>
      <c r="B65" s="356" t="s">
        <v>3792</v>
      </c>
      <c r="C65" s="327">
        <f>'.'!L1207</f>
        <v>1827597.43</v>
      </c>
      <c r="D65" s="357"/>
      <c r="E65" s="358"/>
      <c r="F65" s="357"/>
      <c r="G65" s="323">
        <f>'.'!G1207</f>
        <v>950</v>
      </c>
      <c r="H65" s="323">
        <f>'.'!L1207</f>
        <v>1827597.43</v>
      </c>
      <c r="I65" s="357"/>
      <c r="J65" s="357"/>
      <c r="K65" s="334"/>
      <c r="L65" s="334"/>
      <c r="M65" s="357"/>
      <c r="N65" s="357"/>
      <c r="O65" s="357"/>
      <c r="P65" s="357"/>
      <c r="Q65" s="357"/>
      <c r="R65" s="322"/>
      <c r="S65" s="359"/>
      <c r="T65" s="359"/>
      <c r="U65" s="334"/>
      <c r="V65" s="13"/>
      <c r="AA65" s="30">
        <v>1</v>
      </c>
    </row>
    <row r="66" spans="1:27" s="266" customFormat="1" ht="39" customHeight="1">
      <c r="A66" s="328">
        <f t="shared" si="0"/>
        <v>58</v>
      </c>
      <c r="B66" s="356" t="s">
        <v>1273</v>
      </c>
      <c r="C66" s="327">
        <f>'.'!L1208</f>
        <v>1754867.04</v>
      </c>
      <c r="D66" s="357"/>
      <c r="E66" s="358"/>
      <c r="F66" s="357"/>
      <c r="G66" s="323">
        <f>'.'!G1208</f>
        <v>1020</v>
      </c>
      <c r="H66" s="323">
        <f>'.'!L1208</f>
        <v>1754867.04</v>
      </c>
      <c r="I66" s="357"/>
      <c r="J66" s="357"/>
      <c r="K66" s="334"/>
      <c r="L66" s="334"/>
      <c r="M66" s="357"/>
      <c r="N66" s="357"/>
      <c r="O66" s="357"/>
      <c r="P66" s="357"/>
      <c r="Q66" s="357"/>
      <c r="R66" s="322"/>
      <c r="S66" s="359"/>
      <c r="T66" s="359"/>
      <c r="U66" s="334"/>
      <c r="V66" s="13"/>
      <c r="AA66" s="30">
        <v>1</v>
      </c>
    </row>
    <row r="67" spans="1:27" s="266" customFormat="1" ht="39" customHeight="1">
      <c r="A67" s="328">
        <f t="shared" si="0"/>
        <v>59</v>
      </c>
      <c r="B67" s="356" t="s">
        <v>1274</v>
      </c>
      <c r="C67" s="327">
        <f>'.'!L1209</f>
        <v>1803535.3800000001</v>
      </c>
      <c r="D67" s="357"/>
      <c r="E67" s="358"/>
      <c r="F67" s="357"/>
      <c r="G67" s="323">
        <f>'.'!G1209</f>
        <v>845</v>
      </c>
      <c r="H67" s="323">
        <f>'.'!L1209</f>
        <v>1803535.3800000001</v>
      </c>
      <c r="I67" s="357"/>
      <c r="J67" s="357"/>
      <c r="K67" s="334"/>
      <c r="L67" s="334"/>
      <c r="M67" s="357"/>
      <c r="N67" s="357"/>
      <c r="O67" s="357"/>
      <c r="P67" s="357"/>
      <c r="Q67" s="357"/>
      <c r="R67" s="322"/>
      <c r="S67" s="359"/>
      <c r="T67" s="359"/>
      <c r="U67" s="334"/>
      <c r="V67" s="13"/>
      <c r="AA67" s="30">
        <v>1</v>
      </c>
    </row>
    <row r="68" spans="1:27" s="266" customFormat="1" ht="39" customHeight="1">
      <c r="A68" s="328">
        <f t="shared" si="0"/>
        <v>60</v>
      </c>
      <c r="B68" s="356" t="s">
        <v>1275</v>
      </c>
      <c r="C68" s="327">
        <f>'.'!L1210</f>
        <v>668780.35</v>
      </c>
      <c r="D68" s="323">
        <f>'.'!L1210</f>
        <v>668780.35</v>
      </c>
      <c r="E68" s="358"/>
      <c r="F68" s="357"/>
      <c r="G68" s="323"/>
      <c r="H68" s="5"/>
      <c r="I68" s="357"/>
      <c r="J68" s="357"/>
      <c r="K68" s="334"/>
      <c r="L68" s="334"/>
      <c r="M68" s="357"/>
      <c r="N68" s="357"/>
      <c r="O68" s="357"/>
      <c r="P68" s="357"/>
      <c r="Q68" s="357"/>
      <c r="R68" s="322"/>
      <c r="S68" s="359"/>
      <c r="T68" s="359"/>
      <c r="U68" s="334"/>
      <c r="V68" s="13"/>
      <c r="AA68" s="30">
        <v>1</v>
      </c>
    </row>
    <row r="69" spans="1:27" s="266" customFormat="1" ht="39" customHeight="1">
      <c r="A69" s="328">
        <f t="shared" si="0"/>
        <v>61</v>
      </c>
      <c r="B69" s="356" t="s">
        <v>1276</v>
      </c>
      <c r="C69" s="327">
        <f>'.'!L1211</f>
        <v>1019092.5800000001</v>
      </c>
      <c r="D69" s="357"/>
      <c r="E69" s="358"/>
      <c r="F69" s="357"/>
      <c r="G69" s="323">
        <f>'.'!G1211</f>
        <v>455</v>
      </c>
      <c r="H69" s="323">
        <f>'.'!L1211</f>
        <v>1019092.5800000001</v>
      </c>
      <c r="I69" s="357"/>
      <c r="J69" s="357"/>
      <c r="K69" s="334"/>
      <c r="L69" s="334"/>
      <c r="M69" s="357"/>
      <c r="N69" s="357"/>
      <c r="O69" s="357"/>
      <c r="P69" s="357"/>
      <c r="Q69" s="357"/>
      <c r="R69" s="322"/>
      <c r="S69" s="359"/>
      <c r="T69" s="359"/>
      <c r="U69" s="334"/>
      <c r="V69" s="13"/>
      <c r="AA69" s="30">
        <v>1</v>
      </c>
    </row>
    <row r="70" spans="1:27" s="266" customFormat="1" ht="39" customHeight="1">
      <c r="A70" s="328">
        <f t="shared" si="0"/>
        <v>62</v>
      </c>
      <c r="B70" s="356" t="s">
        <v>1277</v>
      </c>
      <c r="C70" s="327">
        <f>'.'!L1212</f>
        <v>1014039.37</v>
      </c>
      <c r="D70" s="357"/>
      <c r="E70" s="358"/>
      <c r="F70" s="357"/>
      <c r="G70" s="323">
        <f>'.'!G1212</f>
        <v>456</v>
      </c>
      <c r="H70" s="323">
        <f>'.'!L1212</f>
        <v>1014039.37</v>
      </c>
      <c r="I70" s="357"/>
      <c r="J70" s="357"/>
      <c r="K70" s="334"/>
      <c r="L70" s="334"/>
      <c r="M70" s="357"/>
      <c r="N70" s="357"/>
      <c r="O70" s="357"/>
      <c r="P70" s="357"/>
      <c r="Q70" s="357"/>
      <c r="R70" s="322"/>
      <c r="S70" s="359"/>
      <c r="T70" s="359"/>
      <c r="U70" s="334"/>
      <c r="V70" s="13"/>
      <c r="AA70" s="30">
        <v>1</v>
      </c>
    </row>
    <row r="71" spans="1:27" s="266" customFormat="1" ht="39" customHeight="1">
      <c r="A71" s="328">
        <f t="shared" si="0"/>
        <v>63</v>
      </c>
      <c r="B71" s="356" t="s">
        <v>1278</v>
      </c>
      <c r="C71" s="327">
        <f>'.'!L1213</f>
        <v>13683121.67</v>
      </c>
      <c r="D71" s="357"/>
      <c r="E71" s="358">
        <v>3</v>
      </c>
      <c r="F71" s="357">
        <f>'.'!M1214+'.'!N1214+'.'!O1214+'.'!P1214+'.'!Q1214</f>
        <v>6053179.7400000002</v>
      </c>
      <c r="G71" s="323"/>
      <c r="H71" s="323"/>
      <c r="I71" s="357"/>
      <c r="J71" s="357"/>
      <c r="K71" s="2">
        <v>5640</v>
      </c>
      <c r="L71" s="2">
        <f>'.'!M1213+'.'!N1213+'.'!O1213+'.'!P1213+'.'!Q1213</f>
        <v>7629941.9299999997</v>
      </c>
      <c r="M71" s="357"/>
      <c r="N71" s="357"/>
      <c r="O71" s="357"/>
      <c r="P71" s="346"/>
      <c r="Q71" s="346"/>
      <c r="R71" s="347"/>
      <c r="S71" s="348"/>
      <c r="T71" s="359"/>
      <c r="U71" s="334"/>
      <c r="V71" s="13"/>
      <c r="X71" s="30"/>
      <c r="Z71" s="30"/>
      <c r="AA71" s="30">
        <v>1</v>
      </c>
    </row>
    <row r="72" spans="1:27" s="266" customFormat="1" ht="39" customHeight="1">
      <c r="A72" s="328">
        <f t="shared" si="0"/>
        <v>64</v>
      </c>
      <c r="B72" s="356" t="s">
        <v>1279</v>
      </c>
      <c r="C72" s="327">
        <f>'.'!L1215</f>
        <v>8676554.4399999995</v>
      </c>
      <c r="D72" s="357"/>
      <c r="E72" s="358"/>
      <c r="F72" s="357"/>
      <c r="G72" s="323">
        <f>'.'!G1215</f>
        <v>2000</v>
      </c>
      <c r="H72" s="323">
        <f>'.'!L1215</f>
        <v>8676554.4399999995</v>
      </c>
      <c r="I72" s="357"/>
      <c r="J72" s="357"/>
      <c r="K72" s="334"/>
      <c r="L72" s="334"/>
      <c r="M72" s="357"/>
      <c r="N72" s="357"/>
      <c r="O72" s="357"/>
      <c r="P72" s="349"/>
      <c r="Q72" s="29"/>
      <c r="R72" s="29"/>
      <c r="S72" s="349"/>
      <c r="T72" s="359"/>
      <c r="U72" s="334"/>
      <c r="V72" s="13"/>
      <c r="AA72" s="30">
        <v>1</v>
      </c>
    </row>
    <row r="73" spans="1:27" s="266" customFormat="1" ht="39" customHeight="1">
      <c r="A73" s="328">
        <f t="shared" si="0"/>
        <v>65</v>
      </c>
      <c r="B73" s="360" t="s">
        <v>3789</v>
      </c>
      <c r="C73" s="327">
        <f>'.'!L1216</f>
        <v>8648825.7899999991</v>
      </c>
      <c r="D73" s="361"/>
      <c r="E73" s="362"/>
      <c r="F73" s="361"/>
      <c r="G73" s="361"/>
      <c r="H73" s="361"/>
      <c r="I73" s="361"/>
      <c r="J73" s="361"/>
      <c r="K73" s="320"/>
      <c r="L73" s="320"/>
      <c r="M73" s="361"/>
      <c r="N73" s="361"/>
      <c r="O73" s="361">
        <f>'.'!E1216</f>
        <v>2735</v>
      </c>
      <c r="P73" s="363">
        <f>'.'!L1216</f>
        <v>8648825.7899999991</v>
      </c>
      <c r="Q73" s="363"/>
      <c r="R73" s="351"/>
      <c r="S73" s="364"/>
      <c r="T73" s="359"/>
      <c r="U73" s="334"/>
      <c r="V73" s="13"/>
      <c r="AA73" s="30">
        <v>1</v>
      </c>
    </row>
    <row r="74" spans="1:27" s="266" customFormat="1" ht="39" customHeight="1">
      <c r="A74" s="328">
        <f t="shared" ref="A74:A92" si="1">A73+1</f>
        <v>66</v>
      </c>
      <c r="B74" s="360" t="s">
        <v>3790</v>
      </c>
      <c r="C74" s="327">
        <f>'.'!L1217</f>
        <v>6669252.5</v>
      </c>
      <c r="D74" s="361"/>
      <c r="E74" s="362"/>
      <c r="F74" s="361"/>
      <c r="G74" s="361"/>
      <c r="H74" s="361"/>
      <c r="I74" s="361"/>
      <c r="J74" s="361"/>
      <c r="K74" s="320"/>
      <c r="L74" s="320"/>
      <c r="M74" s="361"/>
      <c r="N74" s="361"/>
      <c r="O74" s="361">
        <f>'.'!E1217</f>
        <v>3088</v>
      </c>
      <c r="P74" s="361">
        <f>'.'!L1217</f>
        <v>6669252.5</v>
      </c>
      <c r="Q74" s="361"/>
      <c r="R74" s="320"/>
      <c r="S74" s="359"/>
      <c r="T74" s="359"/>
      <c r="U74" s="334"/>
      <c r="V74" s="13"/>
      <c r="AA74" s="30">
        <v>1</v>
      </c>
    </row>
    <row r="75" spans="1:27" s="266" customFormat="1" ht="39" customHeight="1">
      <c r="A75" s="328">
        <f t="shared" si="1"/>
        <v>67</v>
      </c>
      <c r="B75" s="360" t="s">
        <v>3791</v>
      </c>
      <c r="C75" s="327">
        <f>'.'!L1218</f>
        <v>6599723.6299999999</v>
      </c>
      <c r="D75" s="361"/>
      <c r="E75" s="362"/>
      <c r="F75" s="361"/>
      <c r="G75" s="361"/>
      <c r="H75" s="361"/>
      <c r="I75" s="361"/>
      <c r="J75" s="361"/>
      <c r="K75" s="320"/>
      <c r="L75" s="320"/>
      <c r="M75" s="361"/>
      <c r="N75" s="361"/>
      <c r="O75" s="361">
        <f>'.'!E1218</f>
        <v>3087</v>
      </c>
      <c r="P75" s="361">
        <f>'.'!L1218</f>
        <v>6599723.6299999999</v>
      </c>
      <c r="Q75" s="361"/>
      <c r="R75" s="320"/>
      <c r="S75" s="359"/>
      <c r="T75" s="359"/>
      <c r="U75" s="334"/>
      <c r="V75" s="13"/>
      <c r="AA75" s="30">
        <v>1</v>
      </c>
    </row>
    <row r="76" spans="1:27" s="266" customFormat="1" ht="39" customHeight="1">
      <c r="A76" s="328">
        <f t="shared" si="1"/>
        <v>68</v>
      </c>
      <c r="B76" s="360" t="s">
        <v>3950</v>
      </c>
      <c r="C76" s="327">
        <f>'.'!L1219</f>
        <v>6568518.3899999997</v>
      </c>
      <c r="D76" s="361"/>
      <c r="E76" s="362"/>
      <c r="F76" s="361"/>
      <c r="G76" s="361"/>
      <c r="H76" s="361"/>
      <c r="I76" s="361"/>
      <c r="J76" s="361"/>
      <c r="K76" s="320"/>
      <c r="L76" s="320"/>
      <c r="M76" s="361"/>
      <c r="N76" s="361"/>
      <c r="O76" s="361">
        <f>'.'!E1219</f>
        <v>3174</v>
      </c>
      <c r="P76" s="346">
        <f>'.'!L1219</f>
        <v>6568518.3899999997</v>
      </c>
      <c r="Q76" s="346"/>
      <c r="R76" s="347"/>
      <c r="S76" s="348"/>
      <c r="T76" s="359"/>
      <c r="U76" s="334"/>
      <c r="V76" s="13"/>
      <c r="AA76" s="30">
        <v>1</v>
      </c>
    </row>
    <row r="77" spans="1:27" s="266" customFormat="1" ht="39" customHeight="1">
      <c r="A77" s="328">
        <f t="shared" si="1"/>
        <v>69</v>
      </c>
      <c r="B77" s="360" t="s">
        <v>3487</v>
      </c>
      <c r="C77" s="327">
        <f>'.'!L1220</f>
        <v>3554261.85</v>
      </c>
      <c r="D77" s="361"/>
      <c r="E77" s="362"/>
      <c r="F77" s="361"/>
      <c r="G77" s="361">
        <f>'.'!G1220</f>
        <v>755</v>
      </c>
      <c r="H77" s="320">
        <f>'.'!L1220</f>
        <v>3554261.85</v>
      </c>
      <c r="I77" s="361"/>
      <c r="J77" s="361"/>
      <c r="K77" s="320"/>
      <c r="L77" s="320"/>
      <c r="M77" s="361"/>
      <c r="N77" s="361"/>
      <c r="O77" s="361"/>
      <c r="P77" s="349"/>
      <c r="Q77" s="29"/>
      <c r="R77" s="29"/>
      <c r="S77" s="349"/>
      <c r="T77" s="359"/>
      <c r="U77" s="334"/>
      <c r="V77" s="13"/>
      <c r="AA77" s="30">
        <v>1</v>
      </c>
    </row>
    <row r="78" spans="1:27" s="266" customFormat="1" ht="39" customHeight="1">
      <c r="A78" s="328">
        <f t="shared" si="1"/>
        <v>70</v>
      </c>
      <c r="B78" s="360" t="s">
        <v>3488</v>
      </c>
      <c r="C78" s="327">
        <f>'.'!L1221</f>
        <v>4485560.75</v>
      </c>
      <c r="D78" s="361"/>
      <c r="E78" s="362"/>
      <c r="F78" s="361"/>
      <c r="G78" s="361">
        <f>'.'!G1221</f>
        <v>1050</v>
      </c>
      <c r="H78" s="320">
        <f>'.'!L1221</f>
        <v>4485560.75</v>
      </c>
      <c r="I78" s="361"/>
      <c r="J78" s="361"/>
      <c r="K78" s="320"/>
      <c r="L78" s="320"/>
      <c r="M78" s="361"/>
      <c r="N78" s="361"/>
      <c r="O78" s="361"/>
      <c r="P78" s="349"/>
      <c r="Q78" s="29"/>
      <c r="R78" s="29"/>
      <c r="S78" s="349"/>
      <c r="T78" s="359"/>
      <c r="U78" s="334"/>
      <c r="V78" s="13"/>
      <c r="AA78" s="30">
        <v>1</v>
      </c>
    </row>
    <row r="79" spans="1:27" s="266" customFormat="1" ht="39" customHeight="1">
      <c r="A79" s="328">
        <f t="shared" si="1"/>
        <v>71</v>
      </c>
      <c r="B79" s="360" t="s">
        <v>3489</v>
      </c>
      <c r="C79" s="327">
        <f>'.'!L1222</f>
        <v>4798811.21</v>
      </c>
      <c r="D79" s="361"/>
      <c r="E79" s="362"/>
      <c r="F79" s="361"/>
      <c r="G79" s="361">
        <f>'.'!G1222</f>
        <v>1172</v>
      </c>
      <c r="H79" s="320">
        <f>'.'!L1222</f>
        <v>4798811.21</v>
      </c>
      <c r="I79" s="361"/>
      <c r="J79" s="361"/>
      <c r="K79" s="320"/>
      <c r="L79" s="320"/>
      <c r="M79" s="361"/>
      <c r="N79" s="361"/>
      <c r="O79" s="361"/>
      <c r="P79" s="349"/>
      <c r="Q79" s="29"/>
      <c r="R79" s="29"/>
      <c r="S79" s="349"/>
      <c r="T79" s="359"/>
      <c r="U79" s="334"/>
      <c r="V79" s="13"/>
      <c r="AA79" s="30">
        <v>1</v>
      </c>
    </row>
    <row r="80" spans="1:27" s="266" customFormat="1" ht="39" customHeight="1">
      <c r="A80" s="328">
        <f t="shared" si="1"/>
        <v>72</v>
      </c>
      <c r="B80" s="360" t="s">
        <v>3491</v>
      </c>
      <c r="C80" s="327">
        <f>'.'!L1223</f>
        <v>1478112.9</v>
      </c>
      <c r="D80" s="361">
        <f>C80</f>
        <v>1478112.9</v>
      </c>
      <c r="E80" s="362"/>
      <c r="F80" s="361"/>
      <c r="G80" s="361"/>
      <c r="H80" s="361"/>
      <c r="I80" s="361"/>
      <c r="J80" s="361"/>
      <c r="K80" s="320"/>
      <c r="L80" s="320"/>
      <c r="M80" s="361"/>
      <c r="N80" s="361"/>
      <c r="O80" s="361"/>
      <c r="P80" s="363"/>
      <c r="Q80" s="363"/>
      <c r="R80" s="351"/>
      <c r="S80" s="364"/>
      <c r="T80" s="359"/>
      <c r="U80" s="334"/>
      <c r="V80" s="13"/>
      <c r="AA80" s="30">
        <v>1</v>
      </c>
    </row>
    <row r="81" spans="1:27" s="266" customFormat="1" ht="39" customHeight="1">
      <c r="A81" s="328">
        <f t="shared" si="1"/>
        <v>73</v>
      </c>
      <c r="B81" s="360" t="s">
        <v>3787</v>
      </c>
      <c r="C81" s="327">
        <f>'.'!L1224</f>
        <v>3863003.08</v>
      </c>
      <c r="D81" s="361"/>
      <c r="E81" s="362">
        <v>2</v>
      </c>
      <c r="F81" s="361">
        <f>'.'!L1224</f>
        <v>3863003.08</v>
      </c>
      <c r="G81" s="361"/>
      <c r="H81" s="361"/>
      <c r="I81" s="361"/>
      <c r="J81" s="361"/>
      <c r="K81" s="320"/>
      <c r="L81" s="320"/>
      <c r="M81" s="361"/>
      <c r="N81" s="361"/>
      <c r="O81" s="361"/>
      <c r="P81" s="361"/>
      <c r="Q81" s="361"/>
      <c r="R81" s="320"/>
      <c r="S81" s="359"/>
      <c r="T81" s="359"/>
      <c r="U81" s="334"/>
      <c r="V81" s="13"/>
      <c r="X81" s="30"/>
      <c r="Z81" s="30"/>
      <c r="AA81" s="30">
        <v>1</v>
      </c>
    </row>
    <row r="82" spans="1:27" s="266" customFormat="1" ht="39" customHeight="1">
      <c r="A82" s="328">
        <f t="shared" si="1"/>
        <v>74</v>
      </c>
      <c r="B82" s="360" t="s">
        <v>3786</v>
      </c>
      <c r="C82" s="327">
        <f>'.'!L1225</f>
        <v>6037670.2400000002</v>
      </c>
      <c r="D82" s="361"/>
      <c r="E82" s="362">
        <v>3</v>
      </c>
      <c r="F82" s="361">
        <f>'.'!L1225</f>
        <v>6037670.2400000002</v>
      </c>
      <c r="G82" s="361"/>
      <c r="H82" s="361"/>
      <c r="I82" s="361"/>
      <c r="J82" s="361"/>
      <c r="K82" s="320"/>
      <c r="L82" s="320"/>
      <c r="M82" s="361"/>
      <c r="N82" s="361"/>
      <c r="O82" s="361"/>
      <c r="P82" s="361"/>
      <c r="Q82" s="361"/>
      <c r="R82" s="320"/>
      <c r="S82" s="359"/>
      <c r="T82" s="359"/>
      <c r="U82" s="334"/>
      <c r="V82" s="13"/>
      <c r="X82" s="30"/>
      <c r="Z82" s="30"/>
      <c r="AA82" s="30">
        <v>1</v>
      </c>
    </row>
    <row r="83" spans="1:27" s="266" customFormat="1" ht="39" customHeight="1">
      <c r="A83" s="328">
        <f t="shared" si="1"/>
        <v>75</v>
      </c>
      <c r="B83" s="360" t="s">
        <v>3785</v>
      </c>
      <c r="C83" s="327">
        <f>'.'!L1226</f>
        <v>6036941.7199999997</v>
      </c>
      <c r="D83" s="361"/>
      <c r="E83" s="362">
        <v>3</v>
      </c>
      <c r="F83" s="361">
        <f>'.'!L1226</f>
        <v>6036941.7199999997</v>
      </c>
      <c r="G83" s="361"/>
      <c r="H83" s="361"/>
      <c r="I83" s="361"/>
      <c r="J83" s="361"/>
      <c r="K83" s="320"/>
      <c r="L83" s="320"/>
      <c r="M83" s="361"/>
      <c r="N83" s="361"/>
      <c r="O83" s="361"/>
      <c r="P83" s="361"/>
      <c r="Q83" s="361"/>
      <c r="R83" s="320"/>
      <c r="S83" s="359"/>
      <c r="T83" s="359"/>
      <c r="U83" s="334"/>
      <c r="V83" s="13"/>
      <c r="X83" s="30"/>
      <c r="Z83" s="30"/>
      <c r="AA83" s="30">
        <v>1</v>
      </c>
    </row>
    <row r="84" spans="1:27" s="266" customFormat="1" ht="39" customHeight="1">
      <c r="A84" s="328">
        <f t="shared" si="1"/>
        <v>76</v>
      </c>
      <c r="B84" s="360" t="s">
        <v>2149</v>
      </c>
      <c r="C84" s="327">
        <f>'.'!L1227</f>
        <v>10027041.15</v>
      </c>
      <c r="D84" s="361"/>
      <c r="E84" s="362">
        <v>5</v>
      </c>
      <c r="F84" s="361">
        <f>'.'!L1227</f>
        <v>10027041.15</v>
      </c>
      <c r="G84" s="361"/>
      <c r="H84" s="361"/>
      <c r="I84" s="361"/>
      <c r="J84" s="361"/>
      <c r="K84" s="320"/>
      <c r="L84" s="320"/>
      <c r="M84" s="361"/>
      <c r="N84" s="361"/>
      <c r="O84" s="361"/>
      <c r="P84" s="361"/>
      <c r="Q84" s="361"/>
      <c r="R84" s="320"/>
      <c r="S84" s="359"/>
      <c r="T84" s="359"/>
      <c r="U84" s="334"/>
      <c r="V84" s="13"/>
      <c r="X84" s="30"/>
      <c r="Z84" s="30"/>
      <c r="AA84" s="30">
        <v>1</v>
      </c>
    </row>
    <row r="85" spans="1:27" s="266" customFormat="1" ht="39" customHeight="1">
      <c r="A85" s="328">
        <f t="shared" si="1"/>
        <v>77</v>
      </c>
      <c r="B85" s="360" t="s">
        <v>3783</v>
      </c>
      <c r="C85" s="327">
        <f>'.'!L1228</f>
        <v>7873183.25</v>
      </c>
      <c r="D85" s="361"/>
      <c r="E85" s="362">
        <v>4</v>
      </c>
      <c r="F85" s="361">
        <f>'.'!L1228</f>
        <v>7873183.25</v>
      </c>
      <c r="G85" s="361"/>
      <c r="H85" s="361"/>
      <c r="I85" s="361"/>
      <c r="J85" s="361"/>
      <c r="K85" s="320"/>
      <c r="L85" s="320"/>
      <c r="M85" s="361"/>
      <c r="N85" s="361"/>
      <c r="O85" s="361"/>
      <c r="P85" s="361"/>
      <c r="Q85" s="361"/>
      <c r="R85" s="320"/>
      <c r="S85" s="359"/>
      <c r="T85" s="359"/>
      <c r="U85" s="334"/>
      <c r="V85" s="13"/>
      <c r="X85" s="30"/>
      <c r="Z85" s="30"/>
      <c r="AA85" s="30">
        <v>1</v>
      </c>
    </row>
    <row r="86" spans="1:27" s="266" customFormat="1" ht="39" customHeight="1">
      <c r="A86" s="328">
        <f t="shared" si="1"/>
        <v>78</v>
      </c>
      <c r="B86" s="360" t="s">
        <v>3782</v>
      </c>
      <c r="C86" s="327">
        <f>'.'!L1229</f>
        <v>9828482.4499999993</v>
      </c>
      <c r="D86" s="361"/>
      <c r="E86" s="362">
        <v>5</v>
      </c>
      <c r="F86" s="361">
        <f>'.'!L1229</f>
        <v>9828482.4499999993</v>
      </c>
      <c r="G86" s="361"/>
      <c r="H86" s="361"/>
      <c r="I86" s="361"/>
      <c r="J86" s="361"/>
      <c r="K86" s="320"/>
      <c r="L86" s="320"/>
      <c r="M86" s="361"/>
      <c r="N86" s="361"/>
      <c r="O86" s="361"/>
      <c r="P86" s="361"/>
      <c r="Q86" s="361"/>
      <c r="R86" s="320"/>
      <c r="S86" s="359"/>
      <c r="T86" s="359"/>
      <c r="U86" s="334"/>
      <c r="V86" s="13"/>
      <c r="X86" s="30"/>
      <c r="Z86" s="30"/>
      <c r="AA86" s="30">
        <v>1</v>
      </c>
    </row>
    <row r="87" spans="1:27" s="266" customFormat="1" ht="39" customHeight="1">
      <c r="A87" s="328">
        <f t="shared" si="1"/>
        <v>79</v>
      </c>
      <c r="B87" s="360" t="s">
        <v>3457</v>
      </c>
      <c r="C87" s="327">
        <f>'.'!L1230</f>
        <v>3976911.71</v>
      </c>
      <c r="D87" s="361"/>
      <c r="E87" s="362">
        <v>2</v>
      </c>
      <c r="F87" s="361">
        <f>'.'!L1230</f>
        <v>3976911.71</v>
      </c>
      <c r="G87" s="361"/>
      <c r="H87" s="361"/>
      <c r="I87" s="361"/>
      <c r="J87" s="361"/>
      <c r="K87" s="320"/>
      <c r="L87" s="320"/>
      <c r="M87" s="361"/>
      <c r="N87" s="361"/>
      <c r="O87" s="361"/>
      <c r="P87" s="361"/>
      <c r="Q87" s="361"/>
      <c r="R87" s="320"/>
      <c r="S87" s="359"/>
      <c r="T87" s="359"/>
      <c r="U87" s="334"/>
      <c r="V87" s="13"/>
      <c r="X87" s="30"/>
      <c r="Z87" s="30"/>
      <c r="AA87" s="30">
        <v>1</v>
      </c>
    </row>
    <row r="88" spans="1:27" s="266" customFormat="1" ht="39" customHeight="1">
      <c r="A88" s="328">
        <f t="shared" si="1"/>
        <v>80</v>
      </c>
      <c r="B88" s="360" t="s">
        <v>3781</v>
      </c>
      <c r="C88" s="327">
        <f>'.'!L1231</f>
        <v>4701772.26</v>
      </c>
      <c r="D88" s="361"/>
      <c r="E88" s="362">
        <v>2</v>
      </c>
      <c r="F88" s="361">
        <f>'.'!L1231</f>
        <v>4701772.26</v>
      </c>
      <c r="G88" s="361"/>
      <c r="H88" s="361"/>
      <c r="I88" s="361"/>
      <c r="J88" s="361"/>
      <c r="K88" s="320"/>
      <c r="L88" s="320"/>
      <c r="M88" s="361"/>
      <c r="N88" s="361"/>
      <c r="O88" s="361"/>
      <c r="P88" s="361"/>
      <c r="Q88" s="361"/>
      <c r="R88" s="320"/>
      <c r="S88" s="359"/>
      <c r="T88" s="359"/>
      <c r="U88" s="334"/>
      <c r="V88" s="13"/>
      <c r="X88" s="30"/>
      <c r="Z88" s="30"/>
      <c r="AA88" s="30">
        <v>1</v>
      </c>
    </row>
    <row r="89" spans="1:27" s="266" customFormat="1" ht="39" customHeight="1">
      <c r="A89" s="328">
        <f t="shared" si="1"/>
        <v>81</v>
      </c>
      <c r="B89" s="360" t="s">
        <v>3784</v>
      </c>
      <c r="C89" s="327">
        <f>'.'!L1232</f>
        <v>5998182.2300000004</v>
      </c>
      <c r="D89" s="361"/>
      <c r="E89" s="362">
        <v>3</v>
      </c>
      <c r="F89" s="361">
        <f>'.'!L1232</f>
        <v>5998182.2300000004</v>
      </c>
      <c r="G89" s="361"/>
      <c r="H89" s="361"/>
      <c r="I89" s="361"/>
      <c r="J89" s="361"/>
      <c r="K89" s="320"/>
      <c r="L89" s="320"/>
      <c r="M89" s="361"/>
      <c r="N89" s="361"/>
      <c r="O89" s="361"/>
      <c r="P89" s="361"/>
      <c r="Q89" s="361"/>
      <c r="R89" s="320"/>
      <c r="S89" s="359"/>
      <c r="T89" s="359"/>
      <c r="U89" s="334"/>
      <c r="V89" s="13"/>
      <c r="X89" s="30"/>
      <c r="Z89" s="30"/>
      <c r="AA89" s="30">
        <v>1</v>
      </c>
    </row>
    <row r="90" spans="1:27" s="266" customFormat="1" ht="39" customHeight="1">
      <c r="A90" s="328">
        <f t="shared" si="1"/>
        <v>82</v>
      </c>
      <c r="B90" s="360" t="s">
        <v>3780</v>
      </c>
      <c r="C90" s="327">
        <f>'.'!L1233</f>
        <v>2465156.79</v>
      </c>
      <c r="D90" s="361">
        <f>'.'!L1233</f>
        <v>2465156.79</v>
      </c>
      <c r="E90" s="362"/>
      <c r="F90" s="361"/>
      <c r="G90" s="361"/>
      <c r="H90" s="361"/>
      <c r="I90" s="361"/>
      <c r="J90" s="361"/>
      <c r="K90" s="320"/>
      <c r="L90" s="320"/>
      <c r="M90" s="361"/>
      <c r="N90" s="361"/>
      <c r="O90" s="361"/>
      <c r="P90" s="361"/>
      <c r="Q90" s="361"/>
      <c r="R90" s="320"/>
      <c r="S90" s="359"/>
      <c r="T90" s="359"/>
      <c r="U90" s="334"/>
      <c r="V90" s="13"/>
      <c r="AA90" s="30">
        <v>1</v>
      </c>
    </row>
    <row r="91" spans="1:27" s="266" customFormat="1" ht="39" customHeight="1">
      <c r="A91" s="328">
        <f t="shared" si="1"/>
        <v>83</v>
      </c>
      <c r="B91" s="366" t="s">
        <v>2174</v>
      </c>
      <c r="C91" s="327">
        <f>'.'!L1234</f>
        <v>1616557.54</v>
      </c>
      <c r="D91" s="361">
        <f>'.'!L1234</f>
        <v>1616557.54</v>
      </c>
      <c r="E91" s="367"/>
      <c r="F91" s="346"/>
      <c r="G91" s="346"/>
      <c r="H91" s="346"/>
      <c r="I91" s="346"/>
      <c r="J91" s="346"/>
      <c r="K91" s="26"/>
      <c r="L91" s="26"/>
      <c r="M91" s="346"/>
      <c r="N91" s="346"/>
      <c r="O91" s="346"/>
      <c r="P91" s="346"/>
      <c r="Q91" s="346"/>
      <c r="R91" s="26"/>
      <c r="S91" s="348"/>
      <c r="T91" s="348"/>
      <c r="U91" s="368"/>
      <c r="V91" s="13"/>
      <c r="AA91" s="30">
        <v>1</v>
      </c>
    </row>
    <row r="92" spans="1:27" s="266" customFormat="1" ht="39" customHeight="1">
      <c r="A92" s="328">
        <f t="shared" si="1"/>
        <v>84</v>
      </c>
      <c r="B92" s="360" t="s">
        <v>2218</v>
      </c>
      <c r="C92" s="327">
        <f>'.'!L1235</f>
        <v>186992.61</v>
      </c>
      <c r="D92" s="361">
        <f>'.'!L1235</f>
        <v>186992.61</v>
      </c>
      <c r="E92" s="362"/>
      <c r="F92" s="361"/>
      <c r="G92" s="361"/>
      <c r="H92" s="361"/>
      <c r="I92" s="361"/>
      <c r="J92" s="361"/>
      <c r="K92" s="320"/>
      <c r="L92" s="320"/>
      <c r="M92" s="361"/>
      <c r="N92" s="361"/>
      <c r="O92" s="361"/>
      <c r="P92" s="361"/>
      <c r="Q92" s="361"/>
      <c r="R92" s="320"/>
      <c r="S92" s="359"/>
      <c r="T92" s="359"/>
      <c r="U92" s="334"/>
      <c r="V92" s="13"/>
      <c r="AA92" s="30">
        <v>1</v>
      </c>
    </row>
    <row r="93" spans="1:27" s="266" customFormat="1" ht="67.5" customHeight="1">
      <c r="A93" s="1091" t="s">
        <v>146</v>
      </c>
      <c r="B93" s="1092"/>
      <c r="C93" s="325">
        <f t="shared" ref="C93:S93" si="2">SUM(C9:C92)</f>
        <v>299513212.53000009</v>
      </c>
      <c r="D93" s="325">
        <f t="shared" si="2"/>
        <v>19003129.049999997</v>
      </c>
      <c r="E93" s="365">
        <f t="shared" si="2"/>
        <v>32</v>
      </c>
      <c r="F93" s="325">
        <f t="shared" si="2"/>
        <v>64396367.829999998</v>
      </c>
      <c r="G93" s="325">
        <f t="shared" si="2"/>
        <v>60239.6</v>
      </c>
      <c r="H93" s="325">
        <f t="shared" si="2"/>
        <v>133904510.53999998</v>
      </c>
      <c r="I93" s="325">
        <f t="shared" si="2"/>
        <v>0</v>
      </c>
      <c r="J93" s="325">
        <f t="shared" si="2"/>
        <v>0</v>
      </c>
      <c r="K93" s="325">
        <f t="shared" si="2"/>
        <v>5640</v>
      </c>
      <c r="L93" s="325">
        <f t="shared" si="2"/>
        <v>7629941.9299999997</v>
      </c>
      <c r="M93" s="325">
        <f t="shared" si="2"/>
        <v>0</v>
      </c>
      <c r="N93" s="325">
        <f t="shared" si="2"/>
        <v>0</v>
      </c>
      <c r="O93" s="325">
        <f t="shared" si="2"/>
        <v>32184</v>
      </c>
      <c r="P93" s="325">
        <f t="shared" si="2"/>
        <v>74579263.180000007</v>
      </c>
      <c r="Q93" s="325">
        <f t="shared" si="2"/>
        <v>0</v>
      </c>
      <c r="R93" s="325">
        <f t="shared" si="2"/>
        <v>0</v>
      </c>
      <c r="S93" s="321">
        <f t="shared" si="2"/>
        <v>0</v>
      </c>
      <c r="T93" s="321"/>
      <c r="U93" s="2"/>
      <c r="V93" s="13"/>
      <c r="W93" s="13"/>
      <c r="X93" s="13"/>
      <c r="AA93" s="30"/>
    </row>
    <row r="94" spans="1:27" s="159" customFormat="1" ht="34.5" customHeight="1">
      <c r="A94" s="1100" t="s">
        <v>145</v>
      </c>
      <c r="B94" s="1101"/>
      <c r="C94" s="1101"/>
      <c r="D94" s="1101"/>
      <c r="E94" s="1101"/>
      <c r="F94" s="1101"/>
      <c r="G94" s="1101"/>
      <c r="H94" s="1101"/>
      <c r="I94" s="1101"/>
      <c r="J94" s="1101"/>
      <c r="K94" s="1101"/>
      <c r="L94" s="1101"/>
      <c r="M94" s="1101"/>
      <c r="N94" s="1101"/>
      <c r="O94" s="1101"/>
      <c r="P94" s="1101"/>
      <c r="Q94" s="1101"/>
      <c r="R94" s="1101"/>
      <c r="S94" s="1101"/>
      <c r="T94" s="96"/>
      <c r="U94" s="92"/>
      <c r="V94" s="89"/>
      <c r="AA94" s="90">
        <v>1</v>
      </c>
    </row>
    <row r="95" spans="1:27" s="159" customFormat="1" ht="39" customHeight="1">
      <c r="A95" s="55">
        <v>1</v>
      </c>
      <c r="B95" s="51" t="s">
        <v>2145</v>
      </c>
      <c r="C95" s="94">
        <f>'.'!L2646</f>
        <v>4506250</v>
      </c>
      <c r="D95" s="94"/>
      <c r="E95" s="53">
        <v>2</v>
      </c>
      <c r="F95" s="94">
        <f>'.'!L2646</f>
        <v>4506250</v>
      </c>
      <c r="G95" s="94"/>
      <c r="H95" s="94"/>
      <c r="I95" s="94"/>
      <c r="J95" s="93"/>
      <c r="K95" s="94"/>
      <c r="L95" s="94"/>
      <c r="M95" s="94"/>
      <c r="N95" s="94"/>
      <c r="O95" s="94"/>
      <c r="P95" s="94"/>
      <c r="Q95" s="94"/>
      <c r="R95" s="94"/>
      <c r="S95" s="94"/>
      <c r="T95" s="94"/>
      <c r="U95" s="94"/>
      <c r="V95" s="89"/>
      <c r="X95" s="90"/>
      <c r="Z95" s="90"/>
      <c r="AA95" s="90">
        <v>1</v>
      </c>
    </row>
    <row r="96" spans="1:27" s="159" customFormat="1" ht="39" customHeight="1">
      <c r="A96" s="55">
        <f>A95+1</f>
        <v>2</v>
      </c>
      <c r="B96" s="101" t="s">
        <v>2149</v>
      </c>
      <c r="C96" s="94">
        <f>'.'!L2647</f>
        <v>10717570</v>
      </c>
      <c r="D96" s="94"/>
      <c r="E96" s="53">
        <v>5</v>
      </c>
      <c r="F96" s="94">
        <f>'.'!L2647</f>
        <v>10717570</v>
      </c>
      <c r="G96" s="94"/>
      <c r="H96" s="94"/>
      <c r="I96" s="94"/>
      <c r="J96" s="94"/>
      <c r="K96" s="94"/>
      <c r="L96" s="94"/>
      <c r="M96" s="94"/>
      <c r="N96" s="94"/>
      <c r="O96" s="94"/>
      <c r="P96" s="94"/>
      <c r="Q96" s="94"/>
      <c r="R96" s="94"/>
      <c r="S96" s="94"/>
      <c r="T96" s="94"/>
      <c r="U96" s="94"/>
      <c r="V96" s="89"/>
      <c r="X96" s="90"/>
      <c r="Z96" s="90"/>
      <c r="AA96" s="90">
        <v>1</v>
      </c>
    </row>
    <row r="97" spans="1:27" s="159" customFormat="1" ht="39" customHeight="1">
      <c r="A97" s="55">
        <f t="shared" ref="A97:A115" si="3">A96+1</f>
        <v>3</v>
      </c>
      <c r="B97" s="56" t="s">
        <v>2168</v>
      </c>
      <c r="C97" s="94">
        <f>'.'!L2648</f>
        <v>2200970</v>
      </c>
      <c r="D97" s="94"/>
      <c r="E97" s="53">
        <v>1</v>
      </c>
      <c r="F97" s="94">
        <f>'.'!L2648</f>
        <v>2200970</v>
      </c>
      <c r="G97" s="94"/>
      <c r="H97" s="94"/>
      <c r="I97" s="94"/>
      <c r="J97" s="94"/>
      <c r="K97" s="94"/>
      <c r="L97" s="94"/>
      <c r="M97" s="94"/>
      <c r="N97" s="94"/>
      <c r="O97" s="94"/>
      <c r="P97" s="94"/>
      <c r="Q97" s="94"/>
      <c r="R97" s="94"/>
      <c r="S97" s="94"/>
      <c r="T97" s="94"/>
      <c r="U97" s="94"/>
      <c r="V97" s="89"/>
      <c r="X97" s="90"/>
      <c r="Z97" s="90"/>
      <c r="AA97" s="90">
        <v>1</v>
      </c>
    </row>
    <row r="98" spans="1:27" s="159" customFormat="1" ht="39" customHeight="1">
      <c r="A98" s="55">
        <f t="shared" si="3"/>
        <v>4</v>
      </c>
      <c r="B98" s="56" t="s">
        <v>2184</v>
      </c>
      <c r="C98" s="94">
        <f>'.'!L2649</f>
        <v>10645810</v>
      </c>
      <c r="D98" s="94"/>
      <c r="E98" s="53">
        <v>5</v>
      </c>
      <c r="F98" s="94">
        <f>'.'!L2649</f>
        <v>10645810</v>
      </c>
      <c r="G98" s="94"/>
      <c r="H98" s="94"/>
      <c r="I98" s="94"/>
      <c r="J98" s="94"/>
      <c r="K98" s="94"/>
      <c r="L98" s="94"/>
      <c r="M98" s="94"/>
      <c r="N98" s="94"/>
      <c r="O98" s="94"/>
      <c r="P98" s="94"/>
      <c r="Q98" s="94"/>
      <c r="R98" s="94"/>
      <c r="S98" s="94"/>
      <c r="T98" s="94"/>
      <c r="U98" s="94"/>
      <c r="V98" s="89"/>
      <c r="X98" s="90"/>
      <c r="Z98" s="90"/>
      <c r="AA98" s="90">
        <v>1</v>
      </c>
    </row>
    <row r="99" spans="1:27" s="159" customFormat="1" ht="39" customHeight="1">
      <c r="A99" s="55">
        <f t="shared" si="3"/>
        <v>5</v>
      </c>
      <c r="B99" s="101" t="s">
        <v>3949</v>
      </c>
      <c r="C99" s="94">
        <f>'.'!L2650</f>
        <v>4357580</v>
      </c>
      <c r="D99" s="94"/>
      <c r="E99" s="53">
        <v>2</v>
      </c>
      <c r="F99" s="94">
        <f>'.'!L2650</f>
        <v>4357580</v>
      </c>
      <c r="G99" s="94"/>
      <c r="H99" s="94"/>
      <c r="I99" s="94"/>
      <c r="J99" s="94"/>
      <c r="K99" s="94"/>
      <c r="L99" s="94"/>
      <c r="M99" s="94"/>
      <c r="N99" s="94"/>
      <c r="O99" s="94"/>
      <c r="P99" s="94"/>
      <c r="Q99" s="94"/>
      <c r="R99" s="94"/>
      <c r="S99" s="94"/>
      <c r="T99" s="94"/>
      <c r="U99" s="94"/>
      <c r="V99" s="89"/>
      <c r="X99" s="90"/>
      <c r="Z99" s="90"/>
      <c r="AA99" s="90">
        <v>1</v>
      </c>
    </row>
    <row r="100" spans="1:27" s="159" customFormat="1" ht="39" customHeight="1">
      <c r="A100" s="55">
        <f t="shared" si="3"/>
        <v>6</v>
      </c>
      <c r="B100" s="56" t="s">
        <v>2205</v>
      </c>
      <c r="C100" s="94">
        <f>'.'!L2651</f>
        <v>14310709</v>
      </c>
      <c r="D100" s="94"/>
      <c r="E100" s="53">
        <v>5</v>
      </c>
      <c r="F100" s="94">
        <f>'.'!M2652+'.'!N2652+'.'!O2652+'.'!Q2652</f>
        <v>10627480</v>
      </c>
      <c r="G100" s="94">
        <f>'.'!G2651</f>
        <v>1610</v>
      </c>
      <c r="H100" s="94">
        <f>'.'!M2651+'.'!N2651+'.'!O2651+'.'!Q2651</f>
        <v>3683229</v>
      </c>
      <c r="I100" s="94"/>
      <c r="J100" s="94"/>
      <c r="K100" s="94"/>
      <c r="L100" s="94"/>
      <c r="M100" s="94"/>
      <c r="N100" s="94"/>
      <c r="O100" s="94"/>
      <c r="P100" s="94"/>
      <c r="Q100" s="94"/>
      <c r="R100" s="94"/>
      <c r="S100" s="94"/>
      <c r="T100" s="94"/>
      <c r="U100" s="94"/>
      <c r="V100" s="89"/>
      <c r="Z100" s="90"/>
      <c r="AA100" s="90">
        <v>1</v>
      </c>
    </row>
    <row r="101" spans="1:27" s="159" customFormat="1" ht="39" customHeight="1">
      <c r="A101" s="55">
        <f t="shared" si="3"/>
        <v>7</v>
      </c>
      <c r="B101" s="56" t="s">
        <v>2210</v>
      </c>
      <c r="C101" s="94">
        <f>'.'!L2653</f>
        <v>8744790</v>
      </c>
      <c r="D101" s="94"/>
      <c r="E101" s="53">
        <v>4</v>
      </c>
      <c r="F101" s="94">
        <f>'.'!L2653</f>
        <v>8744790</v>
      </c>
      <c r="G101" s="94"/>
      <c r="H101" s="94"/>
      <c r="I101" s="94"/>
      <c r="J101" s="94"/>
      <c r="K101" s="94"/>
      <c r="L101" s="94"/>
      <c r="M101" s="94"/>
      <c r="N101" s="94"/>
      <c r="O101" s="94"/>
      <c r="P101" s="94"/>
      <c r="Q101" s="94"/>
      <c r="R101" s="94"/>
      <c r="S101" s="94"/>
      <c r="T101" s="94"/>
      <c r="U101" s="94"/>
      <c r="V101" s="89"/>
      <c r="X101" s="90"/>
      <c r="Z101" s="90"/>
      <c r="AA101" s="90">
        <v>1</v>
      </c>
    </row>
    <row r="102" spans="1:27" s="159" customFormat="1" ht="39" customHeight="1">
      <c r="A102" s="55">
        <f t="shared" si="3"/>
        <v>8</v>
      </c>
      <c r="B102" s="56" t="s">
        <v>2211</v>
      </c>
      <c r="C102" s="94">
        <f>'.'!L2654</f>
        <v>8744790</v>
      </c>
      <c r="D102" s="94"/>
      <c r="E102" s="53">
        <v>4</v>
      </c>
      <c r="F102" s="94">
        <f>'.'!L2654</f>
        <v>8744790</v>
      </c>
      <c r="G102" s="94"/>
      <c r="H102" s="94"/>
      <c r="I102" s="94"/>
      <c r="J102" s="94"/>
      <c r="K102" s="94"/>
      <c r="L102" s="94"/>
      <c r="M102" s="94"/>
      <c r="N102" s="94"/>
      <c r="O102" s="94"/>
      <c r="P102" s="94"/>
      <c r="Q102" s="94"/>
      <c r="R102" s="94"/>
      <c r="S102" s="94"/>
      <c r="T102" s="94"/>
      <c r="U102" s="94"/>
      <c r="V102" s="89"/>
      <c r="X102" s="90"/>
      <c r="Z102" s="90"/>
      <c r="AA102" s="90">
        <v>1</v>
      </c>
    </row>
    <row r="103" spans="1:27" s="159" customFormat="1" ht="39" customHeight="1">
      <c r="A103" s="55">
        <f t="shared" si="3"/>
        <v>9</v>
      </c>
      <c r="B103" s="56" t="s">
        <v>2213</v>
      </c>
      <c r="C103" s="94">
        <f>'.'!L2655</f>
        <v>2196940</v>
      </c>
      <c r="D103" s="94"/>
      <c r="E103" s="53">
        <v>1</v>
      </c>
      <c r="F103" s="94">
        <f>'.'!L2655</f>
        <v>2196940</v>
      </c>
      <c r="G103" s="94"/>
      <c r="H103" s="94"/>
      <c r="I103" s="94"/>
      <c r="J103" s="94"/>
      <c r="K103" s="94"/>
      <c r="L103" s="94"/>
      <c r="M103" s="94"/>
      <c r="N103" s="94"/>
      <c r="O103" s="94"/>
      <c r="P103" s="94"/>
      <c r="Q103" s="94"/>
      <c r="R103" s="94"/>
      <c r="S103" s="94"/>
      <c r="T103" s="94"/>
      <c r="U103" s="94"/>
      <c r="V103" s="89"/>
      <c r="X103" s="90"/>
      <c r="Z103" s="90"/>
      <c r="AA103" s="90">
        <v>1</v>
      </c>
    </row>
    <row r="104" spans="1:27" s="159" customFormat="1" ht="39" customHeight="1">
      <c r="A104" s="55">
        <f t="shared" si="3"/>
        <v>10</v>
      </c>
      <c r="B104" s="56" t="s">
        <v>2216</v>
      </c>
      <c r="C104" s="94">
        <f>'.'!L2656</f>
        <v>11102837</v>
      </c>
      <c r="D104" s="94"/>
      <c r="E104" s="53">
        <v>4</v>
      </c>
      <c r="F104" s="94">
        <f>'.'!M2657+'.'!N2657+'.'!O2657+'.'!Q2657</f>
        <v>8506290</v>
      </c>
      <c r="G104" s="94">
        <f>'.'!G2656</f>
        <v>1288</v>
      </c>
      <c r="H104" s="94">
        <f>'.'!M2656+'.'!N2656+'.'!O2656+'.'!Q2656</f>
        <v>2596547</v>
      </c>
      <c r="I104" s="94"/>
      <c r="J104" s="94"/>
      <c r="K104" s="94"/>
      <c r="L104" s="94"/>
      <c r="M104" s="94"/>
      <c r="N104" s="94"/>
      <c r="O104" s="94"/>
      <c r="P104" s="94"/>
      <c r="Q104" s="94"/>
      <c r="R104" s="94"/>
      <c r="S104" s="94"/>
      <c r="T104" s="94"/>
      <c r="U104" s="94"/>
      <c r="V104" s="89"/>
      <c r="Z104" s="90"/>
      <c r="AA104" s="90">
        <v>1</v>
      </c>
    </row>
    <row r="105" spans="1:27" s="159" customFormat="1" ht="39" customHeight="1">
      <c r="A105" s="55">
        <f t="shared" si="3"/>
        <v>11</v>
      </c>
      <c r="B105" s="56" t="s">
        <v>2230</v>
      </c>
      <c r="C105" s="94">
        <f>'.'!L2658</f>
        <v>4393510</v>
      </c>
      <c r="D105" s="94"/>
      <c r="E105" s="53">
        <v>2</v>
      </c>
      <c r="F105" s="94">
        <f>'.'!L2658</f>
        <v>4393510</v>
      </c>
      <c r="G105" s="94"/>
      <c r="H105" s="94"/>
      <c r="I105" s="94"/>
      <c r="J105" s="94"/>
      <c r="K105" s="94"/>
      <c r="L105" s="94"/>
      <c r="M105" s="94"/>
      <c r="N105" s="94"/>
      <c r="O105" s="94"/>
      <c r="P105" s="94"/>
      <c r="Q105" s="94"/>
      <c r="R105" s="94"/>
      <c r="S105" s="94"/>
      <c r="T105" s="94"/>
      <c r="U105" s="94"/>
      <c r="V105" s="89"/>
      <c r="X105" s="90"/>
      <c r="Z105" s="90"/>
      <c r="AA105" s="90">
        <v>1</v>
      </c>
    </row>
    <row r="106" spans="1:27" s="159" customFormat="1" ht="39" customHeight="1">
      <c r="A106" s="55">
        <f t="shared" si="3"/>
        <v>12</v>
      </c>
      <c r="B106" s="56" t="s">
        <v>2231</v>
      </c>
      <c r="C106" s="94">
        <f>'.'!L2659</f>
        <v>2184600</v>
      </c>
      <c r="D106" s="94"/>
      <c r="E106" s="53">
        <v>1</v>
      </c>
      <c r="F106" s="94">
        <f>'.'!L2659</f>
        <v>2184600</v>
      </c>
      <c r="G106" s="94"/>
      <c r="H106" s="94"/>
      <c r="I106" s="94"/>
      <c r="J106" s="94"/>
      <c r="K106" s="94"/>
      <c r="L106" s="94"/>
      <c r="M106" s="94"/>
      <c r="N106" s="94"/>
      <c r="O106" s="94"/>
      <c r="P106" s="94"/>
      <c r="Q106" s="94"/>
      <c r="R106" s="94"/>
      <c r="S106" s="94"/>
      <c r="T106" s="94"/>
      <c r="U106" s="94"/>
      <c r="V106" s="89"/>
      <c r="X106" s="90"/>
      <c r="Z106" s="90"/>
      <c r="AA106" s="90">
        <v>1</v>
      </c>
    </row>
    <row r="107" spans="1:27" s="159" customFormat="1" ht="39" customHeight="1">
      <c r="A107" s="55">
        <f t="shared" si="3"/>
        <v>13</v>
      </c>
      <c r="B107" s="51" t="s">
        <v>2232</v>
      </c>
      <c r="C107" s="94">
        <f>'.'!L2660</f>
        <v>8748540</v>
      </c>
      <c r="D107" s="94"/>
      <c r="E107" s="53">
        <v>4</v>
      </c>
      <c r="F107" s="94">
        <f>'.'!L2660</f>
        <v>8748540</v>
      </c>
      <c r="G107" s="94"/>
      <c r="H107" s="94"/>
      <c r="I107" s="94"/>
      <c r="J107" s="94"/>
      <c r="K107" s="94"/>
      <c r="L107" s="94"/>
      <c r="M107" s="94"/>
      <c r="N107" s="94"/>
      <c r="O107" s="94"/>
      <c r="P107" s="94"/>
      <c r="Q107" s="94"/>
      <c r="R107" s="94"/>
      <c r="S107" s="94"/>
      <c r="T107" s="94"/>
      <c r="U107" s="94"/>
      <c r="V107" s="89"/>
      <c r="X107" s="90"/>
      <c r="Z107" s="90"/>
      <c r="AA107" s="90">
        <v>1</v>
      </c>
    </row>
    <row r="108" spans="1:27" s="159" customFormat="1" ht="39" customHeight="1">
      <c r="A108" s="55">
        <f t="shared" si="3"/>
        <v>14</v>
      </c>
      <c r="B108" s="56" t="s">
        <v>2233</v>
      </c>
      <c r="C108" s="94">
        <f>'.'!L2661</f>
        <v>10877080</v>
      </c>
      <c r="D108" s="94"/>
      <c r="E108" s="53">
        <v>5</v>
      </c>
      <c r="F108" s="94">
        <f>'.'!L2661</f>
        <v>10877080</v>
      </c>
      <c r="G108" s="94"/>
      <c r="H108" s="94"/>
      <c r="I108" s="94"/>
      <c r="J108" s="94"/>
      <c r="K108" s="94"/>
      <c r="L108" s="94"/>
      <c r="M108" s="94"/>
      <c r="N108" s="94"/>
      <c r="O108" s="94"/>
      <c r="P108" s="94"/>
      <c r="Q108" s="94"/>
      <c r="R108" s="94"/>
      <c r="S108" s="94"/>
      <c r="T108" s="94"/>
      <c r="U108" s="94"/>
      <c r="V108" s="89"/>
      <c r="X108" s="90"/>
      <c r="Z108" s="90"/>
      <c r="AA108" s="90">
        <v>1</v>
      </c>
    </row>
    <row r="109" spans="1:27" s="159" customFormat="1" ht="39" customHeight="1">
      <c r="A109" s="55">
        <f t="shared" si="3"/>
        <v>15</v>
      </c>
      <c r="B109" s="52" t="s">
        <v>3856</v>
      </c>
      <c r="C109" s="94">
        <f>'.'!L2662</f>
        <v>8645210</v>
      </c>
      <c r="D109" s="94"/>
      <c r="E109" s="53">
        <v>4</v>
      </c>
      <c r="F109" s="94">
        <f>'.'!L2662</f>
        <v>8645210</v>
      </c>
      <c r="G109" s="94"/>
      <c r="H109" s="94"/>
      <c r="I109" s="94"/>
      <c r="J109" s="94"/>
      <c r="K109" s="94"/>
      <c r="L109" s="94"/>
      <c r="M109" s="94"/>
      <c r="N109" s="94"/>
      <c r="O109" s="94"/>
      <c r="P109" s="94"/>
      <c r="Q109" s="94"/>
      <c r="R109" s="94"/>
      <c r="S109" s="94"/>
      <c r="T109" s="94"/>
      <c r="U109" s="94"/>
      <c r="V109" s="89"/>
      <c r="X109" s="90"/>
      <c r="Z109" s="90"/>
      <c r="AA109" s="90">
        <v>1</v>
      </c>
    </row>
    <row r="110" spans="1:27" s="159" customFormat="1" ht="39" customHeight="1">
      <c r="A110" s="55">
        <f t="shared" si="3"/>
        <v>16</v>
      </c>
      <c r="B110" s="56" t="s">
        <v>3857</v>
      </c>
      <c r="C110" s="94">
        <f>'.'!L2663</f>
        <v>4316180</v>
      </c>
      <c r="D110" s="94"/>
      <c r="E110" s="53">
        <v>2</v>
      </c>
      <c r="F110" s="94">
        <f>'.'!L2663</f>
        <v>4316180</v>
      </c>
      <c r="G110" s="94"/>
      <c r="H110" s="94"/>
      <c r="I110" s="94"/>
      <c r="J110" s="94"/>
      <c r="K110" s="94"/>
      <c r="L110" s="94"/>
      <c r="M110" s="94"/>
      <c r="N110" s="94"/>
      <c r="O110" s="94"/>
      <c r="P110" s="94"/>
      <c r="Q110" s="94"/>
      <c r="R110" s="94"/>
      <c r="S110" s="94"/>
      <c r="T110" s="94"/>
      <c r="U110" s="94"/>
      <c r="V110" s="89"/>
      <c r="X110" s="90"/>
      <c r="Z110" s="90"/>
      <c r="AA110" s="90">
        <v>1</v>
      </c>
    </row>
    <row r="111" spans="1:27" s="159" customFormat="1" ht="39" customHeight="1">
      <c r="A111" s="55">
        <f t="shared" si="3"/>
        <v>17</v>
      </c>
      <c r="B111" s="56" t="s">
        <v>3858</v>
      </c>
      <c r="C111" s="94">
        <f>'.'!L2664</f>
        <v>6469720</v>
      </c>
      <c r="D111" s="94"/>
      <c r="E111" s="53">
        <v>3</v>
      </c>
      <c r="F111" s="94">
        <f>'.'!L2664</f>
        <v>6469720</v>
      </c>
      <c r="G111" s="94"/>
      <c r="H111" s="94"/>
      <c r="I111" s="94"/>
      <c r="J111" s="94"/>
      <c r="K111" s="94"/>
      <c r="L111" s="94"/>
      <c r="M111" s="94"/>
      <c r="N111" s="94"/>
      <c r="O111" s="94"/>
      <c r="P111" s="94"/>
      <c r="Q111" s="94"/>
      <c r="R111" s="94"/>
      <c r="S111" s="94"/>
      <c r="T111" s="94"/>
      <c r="U111" s="94"/>
      <c r="V111" s="89"/>
      <c r="X111" s="90"/>
      <c r="Z111" s="90"/>
      <c r="AA111" s="90">
        <v>1</v>
      </c>
    </row>
    <row r="112" spans="1:27" s="159" customFormat="1" ht="39" customHeight="1">
      <c r="A112" s="55">
        <f t="shared" si="3"/>
        <v>18</v>
      </c>
      <c r="B112" s="56" t="s">
        <v>3859</v>
      </c>
      <c r="C112" s="94">
        <f>'.'!L2665</f>
        <v>4319110</v>
      </c>
      <c r="D112" s="94"/>
      <c r="E112" s="53">
        <v>2</v>
      </c>
      <c r="F112" s="94">
        <f>'.'!L2665</f>
        <v>4319110</v>
      </c>
      <c r="G112" s="94"/>
      <c r="H112" s="94"/>
      <c r="I112" s="94"/>
      <c r="J112" s="94"/>
      <c r="K112" s="94"/>
      <c r="L112" s="94"/>
      <c r="M112" s="94"/>
      <c r="N112" s="94"/>
      <c r="O112" s="94"/>
      <c r="P112" s="94"/>
      <c r="Q112" s="94"/>
      <c r="R112" s="94"/>
      <c r="S112" s="94"/>
      <c r="T112" s="94"/>
      <c r="U112" s="94"/>
      <c r="V112" s="89"/>
      <c r="X112" s="90"/>
      <c r="Z112" s="90"/>
      <c r="AA112" s="90">
        <v>1</v>
      </c>
    </row>
    <row r="113" spans="1:27" s="159" customFormat="1" ht="39" customHeight="1">
      <c r="A113" s="55">
        <f t="shared" si="3"/>
        <v>19</v>
      </c>
      <c r="B113" s="56" t="s">
        <v>3122</v>
      </c>
      <c r="C113" s="94">
        <f>'.'!L2666</f>
        <v>10642760</v>
      </c>
      <c r="D113" s="94"/>
      <c r="E113" s="53">
        <v>5</v>
      </c>
      <c r="F113" s="94">
        <f>'.'!L2666</f>
        <v>10642760</v>
      </c>
      <c r="G113" s="94"/>
      <c r="H113" s="94"/>
      <c r="I113" s="94"/>
      <c r="J113" s="94"/>
      <c r="K113" s="94"/>
      <c r="L113" s="94"/>
      <c r="M113" s="94"/>
      <c r="N113" s="94"/>
      <c r="O113" s="94"/>
      <c r="P113" s="94"/>
      <c r="Q113" s="94"/>
      <c r="R113" s="94"/>
      <c r="S113" s="94"/>
      <c r="T113" s="94"/>
      <c r="U113" s="94"/>
      <c r="V113" s="89"/>
      <c r="X113" s="90"/>
      <c r="Z113" s="90"/>
      <c r="AA113" s="90">
        <v>1</v>
      </c>
    </row>
    <row r="114" spans="1:27" s="159" customFormat="1" ht="39" customHeight="1">
      <c r="A114" s="55">
        <f t="shared" si="3"/>
        <v>20</v>
      </c>
      <c r="B114" s="102" t="s">
        <v>2140</v>
      </c>
      <c r="C114" s="100">
        <f>'.'!L2667</f>
        <v>1462125.6600000001</v>
      </c>
      <c r="D114" s="103">
        <f>'.'!L2667</f>
        <v>1462125.6600000001</v>
      </c>
      <c r="E114" s="104"/>
      <c r="F114" s="103"/>
      <c r="G114" s="103"/>
      <c r="H114" s="103"/>
      <c r="I114" s="103"/>
      <c r="J114" s="103"/>
      <c r="K114" s="103"/>
      <c r="L114" s="103"/>
      <c r="M114" s="103"/>
      <c r="N114" s="103"/>
      <c r="O114" s="103"/>
      <c r="P114" s="103"/>
      <c r="Q114" s="103"/>
      <c r="R114" s="103"/>
      <c r="S114" s="91"/>
      <c r="T114" s="91"/>
      <c r="U114" s="92"/>
      <c r="V114" s="89"/>
      <c r="AA114" s="90">
        <v>1</v>
      </c>
    </row>
    <row r="115" spans="1:27" s="159" customFormat="1" ht="39" customHeight="1">
      <c r="A115" s="55">
        <f t="shared" si="3"/>
        <v>21</v>
      </c>
      <c r="B115" s="105" t="s">
        <v>1228</v>
      </c>
      <c r="C115" s="100">
        <f>'.'!L2668</f>
        <v>3319856</v>
      </c>
      <c r="D115" s="103"/>
      <c r="E115" s="104"/>
      <c r="F115" s="103"/>
      <c r="G115" s="103"/>
      <c r="H115" s="103"/>
      <c r="I115" s="103"/>
      <c r="J115" s="103"/>
      <c r="K115" s="103"/>
      <c r="L115" s="103"/>
      <c r="M115" s="103"/>
      <c r="N115" s="103"/>
      <c r="O115" s="103">
        <f>'.'!E2668</f>
        <v>1235</v>
      </c>
      <c r="P115" s="103">
        <f>'.'!L2668</f>
        <v>3319856</v>
      </c>
      <c r="Q115" s="103"/>
      <c r="R115" s="103"/>
      <c r="S115" s="91"/>
      <c r="T115" s="91"/>
      <c r="U115" s="92"/>
      <c r="V115" s="89"/>
      <c r="AA115" s="90">
        <v>1</v>
      </c>
    </row>
    <row r="116" spans="1:27" s="159" customFormat="1" ht="39" customHeight="1">
      <c r="A116" s="61">
        <f t="shared" ref="A116:A174" si="4">A115+1</f>
        <v>22</v>
      </c>
      <c r="B116" s="105" t="s">
        <v>2141</v>
      </c>
      <c r="C116" s="100">
        <f>'.'!L2669</f>
        <v>993601</v>
      </c>
      <c r="D116" s="103"/>
      <c r="E116" s="104"/>
      <c r="F116" s="103"/>
      <c r="G116" s="103">
        <f>'.'!G2669</f>
        <v>870</v>
      </c>
      <c r="H116" s="103">
        <f>'.'!L2669</f>
        <v>993601</v>
      </c>
      <c r="I116" s="103"/>
      <c r="J116" s="103"/>
      <c r="K116" s="103"/>
      <c r="L116" s="103"/>
      <c r="M116" s="103"/>
      <c r="N116" s="103"/>
      <c r="O116" s="103"/>
      <c r="P116" s="103"/>
      <c r="Q116" s="103"/>
      <c r="R116" s="103"/>
      <c r="S116" s="91"/>
      <c r="T116" s="91"/>
      <c r="U116" s="92"/>
      <c r="V116" s="89"/>
      <c r="AA116" s="90">
        <v>1</v>
      </c>
    </row>
    <row r="117" spans="1:27" s="159" customFormat="1" ht="39" customHeight="1">
      <c r="A117" s="61">
        <f t="shared" si="4"/>
        <v>23</v>
      </c>
      <c r="B117" s="106" t="s">
        <v>2142</v>
      </c>
      <c r="C117" s="100">
        <f>'.'!L2670</f>
        <v>4268972</v>
      </c>
      <c r="D117" s="103"/>
      <c r="E117" s="104"/>
      <c r="F117" s="103"/>
      <c r="G117" s="103">
        <f>'.'!G2670</f>
        <v>1760</v>
      </c>
      <c r="H117" s="103">
        <f>'.'!L2670</f>
        <v>4268972</v>
      </c>
      <c r="I117" s="103"/>
      <c r="J117" s="103"/>
      <c r="K117" s="103"/>
      <c r="L117" s="103"/>
      <c r="M117" s="103"/>
      <c r="N117" s="103"/>
      <c r="O117" s="103"/>
      <c r="P117" s="103"/>
      <c r="Q117" s="103"/>
      <c r="R117" s="103"/>
      <c r="S117" s="91"/>
      <c r="T117" s="91"/>
      <c r="U117" s="92"/>
      <c r="V117" s="89"/>
      <c r="AA117" s="90">
        <v>1</v>
      </c>
    </row>
    <row r="118" spans="1:27" s="159" customFormat="1" ht="39" customHeight="1">
      <c r="A118" s="61">
        <f t="shared" si="4"/>
        <v>24</v>
      </c>
      <c r="B118" s="106" t="s">
        <v>2143</v>
      </c>
      <c r="C118" s="100">
        <f>'.'!L2671</f>
        <v>3382705</v>
      </c>
      <c r="D118" s="103"/>
      <c r="E118" s="104"/>
      <c r="F118" s="103"/>
      <c r="G118" s="103">
        <f>'.'!G2671</f>
        <v>1392</v>
      </c>
      <c r="H118" s="103">
        <f>'.'!L2671</f>
        <v>3382705</v>
      </c>
      <c r="I118" s="103"/>
      <c r="J118" s="103"/>
      <c r="K118" s="103"/>
      <c r="L118" s="103"/>
      <c r="M118" s="103"/>
      <c r="N118" s="103"/>
      <c r="O118" s="103"/>
      <c r="P118" s="103"/>
      <c r="Q118" s="103"/>
      <c r="R118" s="103"/>
      <c r="S118" s="91"/>
      <c r="T118" s="91"/>
      <c r="U118" s="92"/>
      <c r="V118" s="89"/>
      <c r="AA118" s="90">
        <v>1</v>
      </c>
    </row>
    <row r="119" spans="1:27" s="159" customFormat="1" ht="39" customHeight="1">
      <c r="A119" s="61">
        <f t="shared" si="4"/>
        <v>25</v>
      </c>
      <c r="B119" s="106" t="s">
        <v>2144</v>
      </c>
      <c r="C119" s="100">
        <f>'.'!L2672</f>
        <v>2211884</v>
      </c>
      <c r="D119" s="103"/>
      <c r="E119" s="104"/>
      <c r="F119" s="103"/>
      <c r="G119" s="103">
        <f>'.'!G2672</f>
        <v>972</v>
      </c>
      <c r="H119" s="103">
        <f>'.'!L2672</f>
        <v>2211884</v>
      </c>
      <c r="I119" s="103"/>
      <c r="J119" s="103"/>
      <c r="K119" s="103"/>
      <c r="L119" s="103"/>
      <c r="M119" s="103"/>
      <c r="N119" s="103"/>
      <c r="O119" s="103"/>
      <c r="P119" s="103"/>
      <c r="Q119" s="103"/>
      <c r="R119" s="103"/>
      <c r="S119" s="91"/>
      <c r="T119" s="91"/>
      <c r="U119" s="92"/>
      <c r="V119" s="89"/>
      <c r="AA119" s="90">
        <v>1</v>
      </c>
    </row>
    <row r="120" spans="1:27" s="159" customFormat="1" ht="39" customHeight="1">
      <c r="A120" s="61">
        <f t="shared" si="4"/>
        <v>26</v>
      </c>
      <c r="B120" s="106" t="s">
        <v>2146</v>
      </c>
      <c r="C120" s="100">
        <f>'.'!L2673</f>
        <v>1954692</v>
      </c>
      <c r="D120" s="103"/>
      <c r="E120" s="104"/>
      <c r="F120" s="103"/>
      <c r="G120" s="103">
        <f>'.'!G2673</f>
        <v>900</v>
      </c>
      <c r="H120" s="103">
        <f>'.'!L2673</f>
        <v>1954692</v>
      </c>
      <c r="I120" s="103"/>
      <c r="J120" s="103"/>
      <c r="K120" s="103"/>
      <c r="L120" s="103"/>
      <c r="M120" s="103"/>
      <c r="N120" s="103"/>
      <c r="O120" s="103"/>
      <c r="P120" s="103"/>
      <c r="Q120" s="103"/>
      <c r="R120" s="103"/>
      <c r="S120" s="91"/>
      <c r="T120" s="91"/>
      <c r="U120" s="92"/>
      <c r="V120" s="89"/>
      <c r="AA120" s="90">
        <v>1</v>
      </c>
    </row>
    <row r="121" spans="1:27" s="159" customFormat="1" ht="39" customHeight="1">
      <c r="A121" s="61">
        <f t="shared" si="4"/>
        <v>27</v>
      </c>
      <c r="B121" s="106" t="s">
        <v>2147</v>
      </c>
      <c r="C121" s="100">
        <f>'.'!L2674</f>
        <v>1554198</v>
      </c>
      <c r="D121" s="103"/>
      <c r="E121" s="104"/>
      <c r="F121" s="103"/>
      <c r="G121" s="103">
        <f>'.'!G2674</f>
        <v>638</v>
      </c>
      <c r="H121" s="103">
        <f>'.'!L2674</f>
        <v>1554198</v>
      </c>
      <c r="I121" s="103"/>
      <c r="J121" s="103"/>
      <c r="K121" s="103"/>
      <c r="L121" s="103"/>
      <c r="M121" s="103"/>
      <c r="N121" s="103"/>
      <c r="O121" s="103"/>
      <c r="P121" s="103"/>
      <c r="Q121" s="103"/>
      <c r="R121" s="103"/>
      <c r="S121" s="91"/>
      <c r="T121" s="91"/>
      <c r="U121" s="92"/>
      <c r="V121" s="89"/>
      <c r="AA121" s="90">
        <v>1</v>
      </c>
    </row>
    <row r="122" spans="1:27" s="159" customFormat="1" ht="39" customHeight="1">
      <c r="A122" s="61">
        <f t="shared" si="4"/>
        <v>28</v>
      </c>
      <c r="B122" s="106" t="s">
        <v>2148</v>
      </c>
      <c r="C122" s="100">
        <f>'.'!L2675</f>
        <v>5648500.6500000004</v>
      </c>
      <c r="D122" s="103"/>
      <c r="E122" s="104"/>
      <c r="F122" s="103"/>
      <c r="G122" s="103"/>
      <c r="H122" s="103"/>
      <c r="I122" s="103"/>
      <c r="J122" s="103"/>
      <c r="K122" s="103"/>
      <c r="L122" s="103"/>
      <c r="M122" s="103"/>
      <c r="N122" s="103"/>
      <c r="O122" s="103">
        <f>'.'!E2675</f>
        <v>1576</v>
      </c>
      <c r="P122" s="103">
        <f>'.'!L2675</f>
        <v>5648500.6500000004</v>
      </c>
      <c r="Q122" s="103"/>
      <c r="R122" s="103"/>
      <c r="S122" s="91"/>
      <c r="T122" s="91"/>
      <c r="U122" s="92"/>
      <c r="V122" s="89"/>
      <c r="AA122" s="90">
        <v>1</v>
      </c>
    </row>
    <row r="123" spans="1:27" s="159" customFormat="1" ht="39" customHeight="1">
      <c r="A123" s="61">
        <f t="shared" si="4"/>
        <v>29</v>
      </c>
      <c r="B123" s="102" t="s">
        <v>2150</v>
      </c>
      <c r="C123" s="100">
        <f>'.'!L2676</f>
        <v>2434324</v>
      </c>
      <c r="D123" s="103"/>
      <c r="E123" s="104"/>
      <c r="F123" s="103"/>
      <c r="G123" s="103">
        <f>'.'!G2676</f>
        <v>934</v>
      </c>
      <c r="H123" s="103">
        <f>'.'!L2676</f>
        <v>2434324</v>
      </c>
      <c r="I123" s="103"/>
      <c r="J123" s="103"/>
      <c r="K123" s="103"/>
      <c r="L123" s="103"/>
      <c r="M123" s="103"/>
      <c r="N123" s="103"/>
      <c r="O123" s="103"/>
      <c r="P123" s="103"/>
      <c r="Q123" s="103"/>
      <c r="R123" s="103"/>
      <c r="S123" s="91"/>
      <c r="T123" s="91"/>
      <c r="U123" s="92"/>
      <c r="V123" s="89"/>
      <c r="AA123" s="90">
        <v>1</v>
      </c>
    </row>
    <row r="124" spans="1:27" s="159" customFormat="1" ht="39" customHeight="1">
      <c r="A124" s="61">
        <f t="shared" si="4"/>
        <v>30</v>
      </c>
      <c r="B124" s="105" t="s">
        <v>2151</v>
      </c>
      <c r="C124" s="100">
        <f>'.'!L2677</f>
        <v>2423345</v>
      </c>
      <c r="D124" s="103"/>
      <c r="E124" s="104"/>
      <c r="F124" s="103"/>
      <c r="G124" s="103">
        <f>'.'!G2677</f>
        <v>961</v>
      </c>
      <c r="H124" s="103">
        <f>'.'!L2677</f>
        <v>2423345</v>
      </c>
      <c r="I124" s="103"/>
      <c r="J124" s="103"/>
      <c r="K124" s="103"/>
      <c r="L124" s="103"/>
      <c r="M124" s="103"/>
      <c r="N124" s="103"/>
      <c r="O124" s="103"/>
      <c r="P124" s="103"/>
      <c r="Q124" s="103"/>
      <c r="R124" s="103"/>
      <c r="S124" s="91"/>
      <c r="T124" s="91"/>
      <c r="U124" s="92"/>
      <c r="V124" s="89"/>
      <c r="AA124" s="90">
        <v>1</v>
      </c>
    </row>
    <row r="125" spans="1:27" s="159" customFormat="1" ht="39" customHeight="1">
      <c r="A125" s="61">
        <f t="shared" si="4"/>
        <v>31</v>
      </c>
      <c r="B125" s="105" t="s">
        <v>2152</v>
      </c>
      <c r="C125" s="100">
        <f>'.'!L2678</f>
        <v>2423410</v>
      </c>
      <c r="D125" s="103"/>
      <c r="E125" s="104"/>
      <c r="F125" s="103"/>
      <c r="G125" s="103">
        <f>'.'!G2678</f>
        <v>996</v>
      </c>
      <c r="H125" s="103">
        <f>'.'!L2678</f>
        <v>2423410</v>
      </c>
      <c r="I125" s="103"/>
      <c r="J125" s="103"/>
      <c r="K125" s="103"/>
      <c r="L125" s="103"/>
      <c r="M125" s="103"/>
      <c r="N125" s="103"/>
      <c r="O125" s="103"/>
      <c r="P125" s="103"/>
      <c r="Q125" s="103"/>
      <c r="R125" s="103"/>
      <c r="S125" s="91"/>
      <c r="T125" s="91"/>
      <c r="U125" s="92"/>
      <c r="V125" s="89"/>
      <c r="AA125" s="90">
        <v>1</v>
      </c>
    </row>
    <row r="126" spans="1:27" s="159" customFormat="1" ht="39" customHeight="1">
      <c r="A126" s="61">
        <f t="shared" si="4"/>
        <v>32</v>
      </c>
      <c r="B126" s="102" t="s">
        <v>2153</v>
      </c>
      <c r="C126" s="100">
        <f>'.'!L2679</f>
        <v>2174446</v>
      </c>
      <c r="D126" s="103"/>
      <c r="E126" s="104"/>
      <c r="F126" s="103"/>
      <c r="G126" s="103">
        <f>'.'!G2679</f>
        <v>845</v>
      </c>
      <c r="H126" s="103">
        <f>'.'!L2679</f>
        <v>2174446</v>
      </c>
      <c r="I126" s="103"/>
      <c r="J126" s="103"/>
      <c r="K126" s="103"/>
      <c r="L126" s="103"/>
      <c r="M126" s="103"/>
      <c r="N126" s="103"/>
      <c r="O126" s="103"/>
      <c r="P126" s="103"/>
      <c r="Q126" s="103"/>
      <c r="R126" s="103"/>
      <c r="S126" s="91"/>
      <c r="T126" s="91"/>
      <c r="U126" s="92"/>
      <c r="V126" s="89"/>
      <c r="AA126" s="90">
        <v>1</v>
      </c>
    </row>
    <row r="127" spans="1:27" s="159" customFormat="1" ht="39" customHeight="1">
      <c r="A127" s="61">
        <f t="shared" si="4"/>
        <v>33</v>
      </c>
      <c r="B127" s="105" t="s">
        <v>2154</v>
      </c>
      <c r="C127" s="100">
        <f>'.'!L2680</f>
        <v>2366139</v>
      </c>
      <c r="D127" s="103"/>
      <c r="E127" s="104"/>
      <c r="F127" s="103"/>
      <c r="G127" s="103">
        <f>'.'!G2680</f>
        <v>929</v>
      </c>
      <c r="H127" s="103">
        <f>'.'!L2680</f>
        <v>2366139</v>
      </c>
      <c r="I127" s="103"/>
      <c r="J127" s="103"/>
      <c r="K127" s="103"/>
      <c r="L127" s="103"/>
      <c r="M127" s="103"/>
      <c r="N127" s="103"/>
      <c r="O127" s="103"/>
      <c r="P127" s="103"/>
      <c r="Q127" s="103"/>
      <c r="R127" s="103"/>
      <c r="S127" s="91"/>
      <c r="T127" s="91"/>
      <c r="U127" s="92"/>
      <c r="V127" s="89"/>
      <c r="AA127" s="90">
        <v>1</v>
      </c>
    </row>
    <row r="128" spans="1:27" s="159" customFormat="1" ht="39" customHeight="1">
      <c r="A128" s="61">
        <f t="shared" si="4"/>
        <v>34</v>
      </c>
      <c r="B128" s="105" t="s">
        <v>2155</v>
      </c>
      <c r="C128" s="100">
        <f>'.'!L2681</f>
        <v>2441667</v>
      </c>
      <c r="D128" s="103"/>
      <c r="E128" s="104"/>
      <c r="F128" s="103"/>
      <c r="G128" s="103">
        <f>'.'!G2681</f>
        <v>1100</v>
      </c>
      <c r="H128" s="103">
        <f>'.'!L2681</f>
        <v>2441667</v>
      </c>
      <c r="I128" s="103"/>
      <c r="J128" s="103"/>
      <c r="K128" s="103"/>
      <c r="L128" s="103"/>
      <c r="M128" s="103"/>
      <c r="N128" s="103"/>
      <c r="O128" s="103"/>
      <c r="P128" s="103"/>
      <c r="Q128" s="103"/>
      <c r="R128" s="103"/>
      <c r="S128" s="91"/>
      <c r="T128" s="91"/>
      <c r="U128" s="92"/>
      <c r="V128" s="89"/>
      <c r="AA128" s="90">
        <v>1</v>
      </c>
    </row>
    <row r="129" spans="1:27" s="159" customFormat="1" ht="39" customHeight="1">
      <c r="A129" s="61">
        <f t="shared" si="4"/>
        <v>35</v>
      </c>
      <c r="B129" s="105" t="s">
        <v>2156</v>
      </c>
      <c r="C129" s="100">
        <f>'.'!L2682</f>
        <v>1252846</v>
      </c>
      <c r="D129" s="103"/>
      <c r="E129" s="104"/>
      <c r="F129" s="103"/>
      <c r="G129" s="103">
        <f>'.'!G2682</f>
        <v>500</v>
      </c>
      <c r="H129" s="103">
        <f>'.'!L2682</f>
        <v>1252846</v>
      </c>
      <c r="I129" s="103"/>
      <c r="J129" s="103"/>
      <c r="K129" s="103"/>
      <c r="L129" s="103"/>
      <c r="M129" s="103"/>
      <c r="N129" s="103"/>
      <c r="O129" s="103"/>
      <c r="P129" s="103"/>
      <c r="Q129" s="103"/>
      <c r="R129" s="103"/>
      <c r="S129" s="91"/>
      <c r="T129" s="91"/>
      <c r="U129" s="92"/>
      <c r="V129" s="89"/>
      <c r="AA129" s="90">
        <v>1</v>
      </c>
    </row>
    <row r="130" spans="1:27" s="159" customFormat="1" ht="39" customHeight="1">
      <c r="A130" s="61">
        <f t="shared" si="4"/>
        <v>36</v>
      </c>
      <c r="B130" s="105" t="s">
        <v>2159</v>
      </c>
      <c r="C130" s="100">
        <f>'.'!L2683</f>
        <v>3141420</v>
      </c>
      <c r="D130" s="103"/>
      <c r="E130" s="104"/>
      <c r="F130" s="103"/>
      <c r="G130" s="103">
        <f>'.'!G2683</f>
        <v>996</v>
      </c>
      <c r="H130" s="103">
        <f>'.'!L2683</f>
        <v>3141420</v>
      </c>
      <c r="I130" s="103"/>
      <c r="J130" s="103"/>
      <c r="K130" s="103"/>
      <c r="L130" s="103"/>
      <c r="M130" s="103"/>
      <c r="N130" s="103"/>
      <c r="O130" s="103"/>
      <c r="P130" s="103"/>
      <c r="Q130" s="103"/>
      <c r="R130" s="103"/>
      <c r="S130" s="91"/>
      <c r="T130" s="91"/>
      <c r="U130" s="92"/>
      <c r="V130" s="89"/>
      <c r="AA130" s="90">
        <v>1</v>
      </c>
    </row>
    <row r="131" spans="1:27" s="159" customFormat="1" ht="39" customHeight="1">
      <c r="A131" s="61">
        <f t="shared" si="4"/>
        <v>37</v>
      </c>
      <c r="B131" s="107" t="s">
        <v>2160</v>
      </c>
      <c r="C131" s="100">
        <f>'.'!L2684</f>
        <v>3074893</v>
      </c>
      <c r="D131" s="103"/>
      <c r="E131" s="104"/>
      <c r="F131" s="103"/>
      <c r="G131" s="103">
        <f>'.'!G2684</f>
        <v>962</v>
      </c>
      <c r="H131" s="103">
        <f>'.'!L2684</f>
        <v>3074893</v>
      </c>
      <c r="I131" s="103"/>
      <c r="J131" s="103"/>
      <c r="K131" s="103"/>
      <c r="L131" s="103"/>
      <c r="M131" s="103"/>
      <c r="N131" s="103"/>
      <c r="O131" s="103"/>
      <c r="P131" s="103"/>
      <c r="Q131" s="103"/>
      <c r="R131" s="103"/>
      <c r="S131" s="91"/>
      <c r="T131" s="91"/>
      <c r="U131" s="92"/>
      <c r="V131" s="89"/>
      <c r="AA131" s="90">
        <v>1</v>
      </c>
    </row>
    <row r="132" spans="1:27" s="159" customFormat="1" ht="39" customHeight="1">
      <c r="A132" s="61">
        <f t="shared" si="4"/>
        <v>38</v>
      </c>
      <c r="B132" s="107" t="s">
        <v>2161</v>
      </c>
      <c r="C132" s="100">
        <f>'.'!L2685</f>
        <v>3065560</v>
      </c>
      <c r="D132" s="103"/>
      <c r="E132" s="104"/>
      <c r="F132" s="103"/>
      <c r="G132" s="103">
        <f>'.'!G2685</f>
        <v>971</v>
      </c>
      <c r="H132" s="103">
        <f>'.'!L2685</f>
        <v>3065560</v>
      </c>
      <c r="I132" s="103"/>
      <c r="J132" s="103"/>
      <c r="K132" s="103"/>
      <c r="L132" s="103"/>
      <c r="M132" s="103"/>
      <c r="N132" s="103"/>
      <c r="O132" s="103"/>
      <c r="P132" s="103"/>
      <c r="Q132" s="103"/>
      <c r="R132" s="103"/>
      <c r="S132" s="91"/>
      <c r="T132" s="91"/>
      <c r="U132" s="92"/>
      <c r="V132" s="89"/>
      <c r="AA132" s="90">
        <v>1</v>
      </c>
    </row>
    <row r="133" spans="1:27" s="159" customFormat="1" ht="39" customHeight="1">
      <c r="A133" s="61">
        <f t="shared" si="4"/>
        <v>39</v>
      </c>
      <c r="B133" s="105" t="s">
        <v>2162</v>
      </c>
      <c r="C133" s="100">
        <f>'.'!L2686</f>
        <v>3698272</v>
      </c>
      <c r="D133" s="103"/>
      <c r="E133" s="104"/>
      <c r="F133" s="103"/>
      <c r="G133" s="103">
        <f>'.'!G2686</f>
        <v>1520</v>
      </c>
      <c r="H133" s="103">
        <f>'.'!L2686</f>
        <v>3698272</v>
      </c>
      <c r="I133" s="103"/>
      <c r="J133" s="103"/>
      <c r="K133" s="103"/>
      <c r="L133" s="103"/>
      <c r="M133" s="103"/>
      <c r="N133" s="103"/>
      <c r="O133" s="103"/>
      <c r="P133" s="103"/>
      <c r="Q133" s="103"/>
      <c r="R133" s="103"/>
      <c r="S133" s="91"/>
      <c r="T133" s="91"/>
      <c r="U133" s="92"/>
      <c r="V133" s="89"/>
      <c r="AA133" s="90">
        <v>1</v>
      </c>
    </row>
    <row r="134" spans="1:27" s="159" customFormat="1" ht="39" customHeight="1">
      <c r="A134" s="61">
        <f t="shared" si="4"/>
        <v>40</v>
      </c>
      <c r="B134" s="102" t="s">
        <v>2163</v>
      </c>
      <c r="C134" s="100">
        <f>'.'!L2687</f>
        <v>2247930.75</v>
      </c>
      <c r="D134" s="103"/>
      <c r="E134" s="104"/>
      <c r="F134" s="103"/>
      <c r="G134" s="103">
        <f>'.'!G2687</f>
        <v>890</v>
      </c>
      <c r="H134" s="103">
        <f>'.'!L2687</f>
        <v>2247930.75</v>
      </c>
      <c r="I134" s="103"/>
      <c r="J134" s="103"/>
      <c r="K134" s="103"/>
      <c r="L134" s="103"/>
      <c r="M134" s="103"/>
      <c r="N134" s="103"/>
      <c r="O134" s="103"/>
      <c r="P134" s="103"/>
      <c r="Q134" s="103"/>
      <c r="R134" s="103"/>
      <c r="S134" s="91"/>
      <c r="T134" s="91"/>
      <c r="U134" s="92"/>
      <c r="V134" s="89"/>
      <c r="AA134" s="90">
        <v>1</v>
      </c>
    </row>
    <row r="135" spans="1:27" s="159" customFormat="1" ht="39" customHeight="1">
      <c r="A135" s="61">
        <f t="shared" si="4"/>
        <v>41</v>
      </c>
      <c r="B135" s="105" t="s">
        <v>2164</v>
      </c>
      <c r="C135" s="100">
        <f>'.'!L2688</f>
        <v>3332549.98</v>
      </c>
      <c r="D135" s="103"/>
      <c r="E135" s="104"/>
      <c r="F135" s="103"/>
      <c r="G135" s="103">
        <f>'.'!G2688</f>
        <v>1168</v>
      </c>
      <c r="H135" s="103">
        <f>'.'!L2688</f>
        <v>3332549.98</v>
      </c>
      <c r="I135" s="103"/>
      <c r="J135" s="103"/>
      <c r="K135" s="103"/>
      <c r="L135" s="103"/>
      <c r="M135" s="103"/>
      <c r="N135" s="103"/>
      <c r="O135" s="103"/>
      <c r="P135" s="103"/>
      <c r="Q135" s="103"/>
      <c r="R135" s="103"/>
      <c r="S135" s="91"/>
      <c r="T135" s="91"/>
      <c r="U135" s="92"/>
      <c r="V135" s="89"/>
      <c r="AA135" s="90">
        <v>1</v>
      </c>
    </row>
    <row r="136" spans="1:27" s="159" customFormat="1" ht="39" customHeight="1">
      <c r="A136" s="61">
        <f t="shared" si="4"/>
        <v>42</v>
      </c>
      <c r="B136" s="105" t="s">
        <v>2165</v>
      </c>
      <c r="C136" s="100">
        <f>'.'!L2689</f>
        <v>2850626.37</v>
      </c>
      <c r="D136" s="103"/>
      <c r="E136" s="104"/>
      <c r="F136" s="103"/>
      <c r="G136" s="103">
        <f>'.'!G2689</f>
        <v>1322</v>
      </c>
      <c r="H136" s="103">
        <f>'.'!L2689</f>
        <v>2850626.37</v>
      </c>
      <c r="I136" s="103"/>
      <c r="J136" s="103"/>
      <c r="K136" s="103"/>
      <c r="L136" s="103"/>
      <c r="M136" s="103"/>
      <c r="N136" s="103"/>
      <c r="O136" s="103"/>
      <c r="P136" s="103"/>
      <c r="Q136" s="103"/>
      <c r="R136" s="103"/>
      <c r="S136" s="91"/>
      <c r="T136" s="91"/>
      <c r="U136" s="92"/>
      <c r="V136" s="89"/>
      <c r="AA136" s="90">
        <v>1</v>
      </c>
    </row>
    <row r="137" spans="1:27" s="159" customFormat="1" ht="39" customHeight="1">
      <c r="A137" s="61">
        <f t="shared" si="4"/>
        <v>43</v>
      </c>
      <c r="B137" s="105" t="s">
        <v>2167</v>
      </c>
      <c r="C137" s="100">
        <f>'.'!L2690</f>
        <v>1432442</v>
      </c>
      <c r="D137" s="103"/>
      <c r="E137" s="104"/>
      <c r="F137" s="103"/>
      <c r="G137" s="103">
        <f>'.'!G2690</f>
        <v>654</v>
      </c>
      <c r="H137" s="103">
        <f>'.'!L2690</f>
        <v>1432442</v>
      </c>
      <c r="I137" s="103"/>
      <c r="J137" s="103"/>
      <c r="K137" s="103"/>
      <c r="L137" s="103"/>
      <c r="M137" s="103"/>
      <c r="N137" s="103"/>
      <c r="O137" s="103"/>
      <c r="P137" s="103"/>
      <c r="Q137" s="103"/>
      <c r="R137" s="103"/>
      <c r="S137" s="91"/>
      <c r="T137" s="91"/>
      <c r="U137" s="92"/>
      <c r="V137" s="89"/>
      <c r="AA137" s="90">
        <v>1</v>
      </c>
    </row>
    <row r="138" spans="1:27" s="159" customFormat="1" ht="39" customHeight="1">
      <c r="A138" s="61">
        <f t="shared" si="4"/>
        <v>44</v>
      </c>
      <c r="B138" s="105" t="s">
        <v>2169</v>
      </c>
      <c r="C138" s="100">
        <f>'.'!L2691</f>
        <v>2298182</v>
      </c>
      <c r="D138" s="103"/>
      <c r="E138" s="104"/>
      <c r="F138" s="103"/>
      <c r="G138" s="103">
        <f>'.'!G2691</f>
        <v>952</v>
      </c>
      <c r="H138" s="103">
        <f>'.'!L2691</f>
        <v>2298182</v>
      </c>
      <c r="I138" s="103"/>
      <c r="J138" s="103"/>
      <c r="K138" s="103"/>
      <c r="L138" s="103"/>
      <c r="M138" s="103"/>
      <c r="N138" s="103"/>
      <c r="O138" s="103"/>
      <c r="P138" s="103"/>
      <c r="Q138" s="103"/>
      <c r="R138" s="103"/>
      <c r="S138" s="91"/>
      <c r="T138" s="91"/>
      <c r="U138" s="92"/>
      <c r="V138" s="89"/>
      <c r="AA138" s="90">
        <v>1</v>
      </c>
    </row>
    <row r="139" spans="1:27" s="159" customFormat="1" ht="39" customHeight="1">
      <c r="A139" s="61">
        <f t="shared" si="4"/>
        <v>45</v>
      </c>
      <c r="B139" s="102" t="s">
        <v>2170</v>
      </c>
      <c r="C139" s="100">
        <f>'.'!L2692</f>
        <v>2323993</v>
      </c>
      <c r="D139" s="103"/>
      <c r="E139" s="104"/>
      <c r="F139" s="103"/>
      <c r="G139" s="103">
        <f>'.'!G2692</f>
        <v>951</v>
      </c>
      <c r="H139" s="103">
        <f>'.'!L2692</f>
        <v>2323993</v>
      </c>
      <c r="I139" s="103"/>
      <c r="J139" s="103"/>
      <c r="K139" s="103"/>
      <c r="L139" s="103"/>
      <c r="M139" s="103"/>
      <c r="N139" s="103"/>
      <c r="O139" s="103"/>
      <c r="P139" s="103"/>
      <c r="Q139" s="103"/>
      <c r="R139" s="103"/>
      <c r="S139" s="91"/>
      <c r="T139" s="91"/>
      <c r="U139" s="92"/>
      <c r="V139" s="89"/>
      <c r="AA139" s="90">
        <v>1</v>
      </c>
    </row>
    <row r="140" spans="1:27" s="159" customFormat="1" ht="39" customHeight="1">
      <c r="A140" s="61">
        <f t="shared" si="4"/>
        <v>46</v>
      </c>
      <c r="B140" s="102" t="s">
        <v>2171</v>
      </c>
      <c r="C140" s="100">
        <f>'.'!L2693</f>
        <v>2292398</v>
      </c>
      <c r="D140" s="103"/>
      <c r="E140" s="104"/>
      <c r="F140" s="103"/>
      <c r="G140" s="103">
        <f>'.'!G2693</f>
        <v>938</v>
      </c>
      <c r="H140" s="103">
        <f>'.'!L2693</f>
        <v>2292398</v>
      </c>
      <c r="I140" s="103"/>
      <c r="J140" s="103"/>
      <c r="K140" s="103"/>
      <c r="L140" s="103"/>
      <c r="M140" s="103"/>
      <c r="N140" s="103"/>
      <c r="O140" s="103"/>
      <c r="P140" s="103"/>
      <c r="Q140" s="103"/>
      <c r="R140" s="103"/>
      <c r="S140" s="91"/>
      <c r="T140" s="91"/>
      <c r="U140" s="92"/>
      <c r="V140" s="89"/>
      <c r="AA140" s="90">
        <v>1</v>
      </c>
    </row>
    <row r="141" spans="1:27" s="159" customFormat="1" ht="39" customHeight="1">
      <c r="A141" s="61">
        <f t="shared" si="4"/>
        <v>47</v>
      </c>
      <c r="B141" s="105" t="s">
        <v>2172</v>
      </c>
      <c r="C141" s="100">
        <f>'.'!L2694</f>
        <v>2320268</v>
      </c>
      <c r="D141" s="103"/>
      <c r="E141" s="104"/>
      <c r="F141" s="103"/>
      <c r="G141" s="103">
        <f>'.'!G2694</f>
        <v>954</v>
      </c>
      <c r="H141" s="103">
        <f>'.'!L2694</f>
        <v>2320268</v>
      </c>
      <c r="I141" s="103"/>
      <c r="J141" s="103"/>
      <c r="K141" s="103"/>
      <c r="L141" s="103"/>
      <c r="M141" s="103"/>
      <c r="N141" s="103"/>
      <c r="O141" s="103"/>
      <c r="P141" s="103"/>
      <c r="Q141" s="103"/>
      <c r="R141" s="103"/>
      <c r="S141" s="91"/>
      <c r="T141" s="91"/>
      <c r="U141" s="92"/>
      <c r="V141" s="89"/>
      <c r="AA141" s="90">
        <v>1</v>
      </c>
    </row>
    <row r="142" spans="1:27" s="159" customFormat="1" ht="39" customHeight="1">
      <c r="A142" s="61">
        <f t="shared" si="4"/>
        <v>48</v>
      </c>
      <c r="B142" s="102" t="s">
        <v>2173</v>
      </c>
      <c r="C142" s="100">
        <f>'.'!L2695</f>
        <v>2405506</v>
      </c>
      <c r="D142" s="103"/>
      <c r="E142" s="104"/>
      <c r="F142" s="103"/>
      <c r="G142" s="103">
        <f>'.'!G2695</f>
        <v>1050</v>
      </c>
      <c r="H142" s="103">
        <f>'.'!L2695</f>
        <v>2405506</v>
      </c>
      <c r="I142" s="103"/>
      <c r="J142" s="103"/>
      <c r="K142" s="103"/>
      <c r="L142" s="103"/>
      <c r="M142" s="103"/>
      <c r="N142" s="103"/>
      <c r="O142" s="103"/>
      <c r="P142" s="103"/>
      <c r="Q142" s="103"/>
      <c r="R142" s="103"/>
      <c r="S142" s="91"/>
      <c r="T142" s="91"/>
      <c r="U142" s="92"/>
      <c r="V142" s="89"/>
      <c r="AA142" s="90">
        <v>1</v>
      </c>
    </row>
    <row r="143" spans="1:27" s="159" customFormat="1" ht="39" customHeight="1">
      <c r="A143" s="61">
        <f t="shared" si="4"/>
        <v>49</v>
      </c>
      <c r="B143" s="105" t="s">
        <v>2175</v>
      </c>
      <c r="C143" s="100">
        <f>'.'!L2696</f>
        <v>3208846</v>
      </c>
      <c r="D143" s="103"/>
      <c r="E143" s="104"/>
      <c r="F143" s="103"/>
      <c r="G143" s="103">
        <f>'.'!G2696</f>
        <v>1377</v>
      </c>
      <c r="H143" s="103">
        <f>'.'!L2696</f>
        <v>3208846</v>
      </c>
      <c r="I143" s="103"/>
      <c r="J143" s="103"/>
      <c r="K143" s="103"/>
      <c r="L143" s="103"/>
      <c r="M143" s="103"/>
      <c r="N143" s="103"/>
      <c r="O143" s="103"/>
      <c r="P143" s="103"/>
      <c r="Q143" s="103"/>
      <c r="R143" s="103"/>
      <c r="S143" s="91"/>
      <c r="T143" s="91"/>
      <c r="U143" s="92"/>
      <c r="V143" s="89"/>
      <c r="AA143" s="90">
        <v>1</v>
      </c>
    </row>
    <row r="144" spans="1:27" s="159" customFormat="1" ht="39" customHeight="1">
      <c r="A144" s="61">
        <f t="shared" si="4"/>
        <v>50</v>
      </c>
      <c r="B144" s="105" t="s">
        <v>2176</v>
      </c>
      <c r="C144" s="100">
        <f>'.'!L2697</f>
        <v>3018381</v>
      </c>
      <c r="D144" s="103"/>
      <c r="E144" s="104"/>
      <c r="F144" s="103"/>
      <c r="G144" s="103">
        <f>'.'!G2697</f>
        <v>1240</v>
      </c>
      <c r="H144" s="103">
        <f>'.'!L2697</f>
        <v>3018381</v>
      </c>
      <c r="I144" s="103"/>
      <c r="J144" s="103"/>
      <c r="K144" s="103"/>
      <c r="L144" s="103"/>
      <c r="M144" s="103"/>
      <c r="N144" s="103"/>
      <c r="O144" s="103"/>
      <c r="P144" s="103"/>
      <c r="Q144" s="103"/>
      <c r="R144" s="103"/>
      <c r="S144" s="91"/>
      <c r="T144" s="91"/>
      <c r="U144" s="92"/>
      <c r="V144" s="89"/>
      <c r="AA144" s="90">
        <v>1</v>
      </c>
    </row>
    <row r="145" spans="1:27" s="159" customFormat="1" ht="39" customHeight="1">
      <c r="A145" s="61">
        <f t="shared" si="4"/>
        <v>51</v>
      </c>
      <c r="B145" s="102" t="s">
        <v>2177</v>
      </c>
      <c r="C145" s="100">
        <f>'.'!L2698</f>
        <v>993328</v>
      </c>
      <c r="D145" s="103"/>
      <c r="E145" s="104"/>
      <c r="F145" s="103"/>
      <c r="G145" s="103">
        <f>'.'!G2698</f>
        <v>442</v>
      </c>
      <c r="H145" s="103">
        <f>'.'!L2698</f>
        <v>993328</v>
      </c>
      <c r="I145" s="103"/>
      <c r="J145" s="103"/>
      <c r="K145" s="103"/>
      <c r="L145" s="103"/>
      <c r="M145" s="103"/>
      <c r="N145" s="103"/>
      <c r="O145" s="103"/>
      <c r="P145" s="103"/>
      <c r="Q145" s="103"/>
      <c r="R145" s="103"/>
      <c r="S145" s="91"/>
      <c r="T145" s="91"/>
      <c r="U145" s="92"/>
      <c r="V145" s="89"/>
      <c r="AA145" s="90">
        <v>1</v>
      </c>
    </row>
    <row r="146" spans="1:27" s="159" customFormat="1" ht="39" customHeight="1">
      <c r="A146" s="61">
        <f t="shared" si="4"/>
        <v>52</v>
      </c>
      <c r="B146" s="105" t="s">
        <v>2178</v>
      </c>
      <c r="C146" s="100">
        <f>'.'!L2699</f>
        <v>2316717</v>
      </c>
      <c r="D146" s="103"/>
      <c r="E146" s="104"/>
      <c r="F146" s="103"/>
      <c r="G146" s="103">
        <f>'.'!G2699</f>
        <v>1042</v>
      </c>
      <c r="H146" s="103">
        <f>'.'!L2699</f>
        <v>2316717</v>
      </c>
      <c r="I146" s="103"/>
      <c r="J146" s="103"/>
      <c r="K146" s="103"/>
      <c r="L146" s="103"/>
      <c r="M146" s="103"/>
      <c r="N146" s="103"/>
      <c r="O146" s="103"/>
      <c r="P146" s="103"/>
      <c r="Q146" s="103"/>
      <c r="R146" s="103"/>
      <c r="S146" s="91"/>
      <c r="T146" s="91"/>
      <c r="U146" s="92"/>
      <c r="V146" s="89"/>
      <c r="AA146" s="90">
        <v>1</v>
      </c>
    </row>
    <row r="147" spans="1:27" s="159" customFormat="1" ht="39" customHeight="1">
      <c r="A147" s="61">
        <f t="shared" si="4"/>
        <v>53</v>
      </c>
      <c r="B147" s="105" t="s">
        <v>2179</v>
      </c>
      <c r="C147" s="100">
        <f>'.'!L2700</f>
        <v>733593.61</v>
      </c>
      <c r="D147" s="103"/>
      <c r="E147" s="104"/>
      <c r="F147" s="103"/>
      <c r="G147" s="103">
        <f>'.'!G2700</f>
        <v>209</v>
      </c>
      <c r="H147" s="103">
        <f>'.'!L2700</f>
        <v>733593.61</v>
      </c>
      <c r="I147" s="103"/>
      <c r="J147" s="103"/>
      <c r="K147" s="103"/>
      <c r="L147" s="103"/>
      <c r="M147" s="103"/>
      <c r="N147" s="103"/>
      <c r="O147" s="103"/>
      <c r="P147" s="103"/>
      <c r="Q147" s="103"/>
      <c r="R147" s="103"/>
      <c r="S147" s="91"/>
      <c r="T147" s="91"/>
      <c r="U147" s="92"/>
      <c r="V147" s="89"/>
      <c r="AA147" s="90">
        <v>1</v>
      </c>
    </row>
    <row r="148" spans="1:27" s="159" customFormat="1" ht="39" customHeight="1">
      <c r="A148" s="61">
        <f t="shared" si="4"/>
        <v>54</v>
      </c>
      <c r="B148" s="105" t="s">
        <v>2180</v>
      </c>
      <c r="C148" s="100">
        <f>'.'!L2701</f>
        <v>1586456</v>
      </c>
      <c r="D148" s="103"/>
      <c r="E148" s="104"/>
      <c r="F148" s="103"/>
      <c r="G148" s="103">
        <f>'.'!G2701</f>
        <v>638</v>
      </c>
      <c r="H148" s="103">
        <f>'.'!L2701</f>
        <v>1586456</v>
      </c>
      <c r="I148" s="103"/>
      <c r="J148" s="103"/>
      <c r="K148" s="103"/>
      <c r="L148" s="103"/>
      <c r="M148" s="103"/>
      <c r="N148" s="103"/>
      <c r="O148" s="103"/>
      <c r="P148" s="103"/>
      <c r="Q148" s="103"/>
      <c r="R148" s="103"/>
      <c r="S148" s="91"/>
      <c r="T148" s="91"/>
      <c r="U148" s="92"/>
      <c r="V148" s="89"/>
      <c r="AA148" s="90">
        <v>1</v>
      </c>
    </row>
    <row r="149" spans="1:27" s="159" customFormat="1" ht="39" customHeight="1">
      <c r="A149" s="61">
        <f t="shared" si="4"/>
        <v>55</v>
      </c>
      <c r="B149" s="102" t="s">
        <v>2181</v>
      </c>
      <c r="C149" s="100">
        <f>'.'!L2702</f>
        <v>1585525.23</v>
      </c>
      <c r="D149" s="103">
        <f>'.'!L2702</f>
        <v>1585525.23</v>
      </c>
      <c r="E149" s="104"/>
      <c r="F149" s="103"/>
      <c r="G149" s="103"/>
      <c r="H149" s="103"/>
      <c r="I149" s="103"/>
      <c r="J149" s="103"/>
      <c r="K149" s="103"/>
      <c r="L149" s="103"/>
      <c r="M149" s="103"/>
      <c r="N149" s="103"/>
      <c r="O149" s="103"/>
      <c r="P149" s="103"/>
      <c r="Q149" s="103"/>
      <c r="R149" s="103"/>
      <c r="S149" s="91"/>
      <c r="T149" s="91"/>
      <c r="U149" s="92"/>
      <c r="V149" s="89"/>
      <c r="AA149" s="90">
        <v>1</v>
      </c>
    </row>
    <row r="150" spans="1:27" s="159" customFormat="1" ht="39" customHeight="1">
      <c r="A150" s="61">
        <f t="shared" si="4"/>
        <v>56</v>
      </c>
      <c r="B150" s="105" t="s">
        <v>2182</v>
      </c>
      <c r="C150" s="100">
        <f>'.'!L2703</f>
        <v>1955131</v>
      </c>
      <c r="D150" s="103"/>
      <c r="E150" s="104"/>
      <c r="F150" s="103"/>
      <c r="G150" s="103">
        <f>'.'!G2703</f>
        <v>757</v>
      </c>
      <c r="H150" s="103">
        <f>'.'!L2703</f>
        <v>1955131</v>
      </c>
      <c r="I150" s="103"/>
      <c r="J150" s="103"/>
      <c r="K150" s="103"/>
      <c r="L150" s="103"/>
      <c r="M150" s="103"/>
      <c r="N150" s="103"/>
      <c r="O150" s="103"/>
      <c r="P150" s="103"/>
      <c r="Q150" s="103"/>
      <c r="R150" s="103"/>
      <c r="S150" s="91"/>
      <c r="T150" s="91"/>
      <c r="U150" s="92"/>
      <c r="V150" s="89"/>
      <c r="AA150" s="90">
        <v>1</v>
      </c>
    </row>
    <row r="151" spans="1:27" s="159" customFormat="1" ht="39" customHeight="1">
      <c r="A151" s="61">
        <f t="shared" si="4"/>
        <v>57</v>
      </c>
      <c r="B151" s="105" t="s">
        <v>2183</v>
      </c>
      <c r="C151" s="100">
        <f>'.'!L2704</f>
        <v>5081462</v>
      </c>
      <c r="D151" s="103"/>
      <c r="E151" s="104"/>
      <c r="F151" s="103"/>
      <c r="G151" s="103"/>
      <c r="H151" s="103"/>
      <c r="I151" s="103"/>
      <c r="J151" s="103"/>
      <c r="K151" s="103"/>
      <c r="L151" s="103"/>
      <c r="M151" s="103"/>
      <c r="N151" s="103"/>
      <c r="O151" s="103">
        <f>'.'!E2704</f>
        <v>1391</v>
      </c>
      <c r="P151" s="103">
        <f>'.'!L2704</f>
        <v>5081462</v>
      </c>
      <c r="Q151" s="103"/>
      <c r="R151" s="103"/>
      <c r="S151" s="91"/>
      <c r="T151" s="91"/>
      <c r="U151" s="92"/>
      <c r="V151" s="89"/>
      <c r="AA151" s="90">
        <v>1</v>
      </c>
    </row>
    <row r="152" spans="1:27" s="159" customFormat="1" ht="39" customHeight="1">
      <c r="A152" s="61">
        <f t="shared" si="4"/>
        <v>58</v>
      </c>
      <c r="B152" s="105" t="s">
        <v>2186</v>
      </c>
      <c r="C152" s="100">
        <f>'.'!L2705</f>
        <v>2432625</v>
      </c>
      <c r="D152" s="103"/>
      <c r="E152" s="104"/>
      <c r="F152" s="103"/>
      <c r="G152" s="103">
        <f>'.'!G2705</f>
        <v>900</v>
      </c>
      <c r="H152" s="103">
        <f>'.'!L2705</f>
        <v>2432625</v>
      </c>
      <c r="I152" s="103"/>
      <c r="J152" s="103"/>
      <c r="K152" s="103"/>
      <c r="L152" s="103"/>
      <c r="M152" s="103"/>
      <c r="N152" s="103"/>
      <c r="O152" s="103"/>
      <c r="P152" s="103"/>
      <c r="Q152" s="103"/>
      <c r="R152" s="103"/>
      <c r="S152" s="91"/>
      <c r="T152" s="91"/>
      <c r="U152" s="92"/>
      <c r="V152" s="89"/>
      <c r="AA152" s="90">
        <v>1</v>
      </c>
    </row>
    <row r="153" spans="1:27" s="159" customFormat="1" ht="39" customHeight="1">
      <c r="A153" s="61">
        <f t="shared" si="4"/>
        <v>59</v>
      </c>
      <c r="B153" s="105" t="s">
        <v>2187</v>
      </c>
      <c r="C153" s="100">
        <f>'.'!L2706</f>
        <v>5927135</v>
      </c>
      <c r="D153" s="103"/>
      <c r="E153" s="104"/>
      <c r="F153" s="103"/>
      <c r="G153" s="103">
        <f>'.'!G2706</f>
        <v>2014</v>
      </c>
      <c r="H153" s="103">
        <f>'.'!L2706</f>
        <v>5927135</v>
      </c>
      <c r="I153" s="103"/>
      <c r="J153" s="103"/>
      <c r="K153" s="103"/>
      <c r="L153" s="103"/>
      <c r="M153" s="103"/>
      <c r="N153" s="103"/>
      <c r="O153" s="103"/>
      <c r="P153" s="103"/>
      <c r="Q153" s="103"/>
      <c r="R153" s="103"/>
      <c r="S153" s="91"/>
      <c r="T153" s="91"/>
      <c r="U153" s="92"/>
      <c r="V153" s="89"/>
      <c r="AA153" s="90">
        <v>1</v>
      </c>
    </row>
    <row r="154" spans="1:27" s="159" customFormat="1" ht="39" customHeight="1">
      <c r="A154" s="61">
        <f t="shared" si="4"/>
        <v>60</v>
      </c>
      <c r="B154" s="105" t="s">
        <v>2188</v>
      </c>
      <c r="C154" s="100">
        <f>'.'!L2707</f>
        <v>1499459</v>
      </c>
      <c r="D154" s="103"/>
      <c r="E154" s="104"/>
      <c r="F154" s="103"/>
      <c r="G154" s="103">
        <f>'.'!G2707</f>
        <v>638</v>
      </c>
      <c r="H154" s="103">
        <f>'.'!L2707</f>
        <v>1499459</v>
      </c>
      <c r="I154" s="103"/>
      <c r="J154" s="103"/>
      <c r="K154" s="103"/>
      <c r="L154" s="103"/>
      <c r="M154" s="103"/>
      <c r="N154" s="103"/>
      <c r="O154" s="103"/>
      <c r="P154" s="103"/>
      <c r="Q154" s="103"/>
      <c r="R154" s="103"/>
      <c r="S154" s="91"/>
      <c r="T154" s="91"/>
      <c r="U154" s="92"/>
      <c r="V154" s="89"/>
      <c r="AA154" s="90">
        <v>1</v>
      </c>
    </row>
    <row r="155" spans="1:27" s="159" customFormat="1" ht="39" customHeight="1">
      <c r="A155" s="61">
        <f t="shared" si="4"/>
        <v>61</v>
      </c>
      <c r="B155" s="105" t="s">
        <v>2189</v>
      </c>
      <c r="C155" s="100">
        <f>'.'!L2708</f>
        <v>2003248.82</v>
      </c>
      <c r="D155" s="103"/>
      <c r="E155" s="104"/>
      <c r="F155" s="103"/>
      <c r="G155" s="103">
        <f>'.'!G2708</f>
        <v>675.2</v>
      </c>
      <c r="H155" s="103">
        <f>'.'!L2708</f>
        <v>2003248.82</v>
      </c>
      <c r="I155" s="103"/>
      <c r="J155" s="103"/>
      <c r="K155" s="103"/>
      <c r="L155" s="103"/>
      <c r="M155" s="103"/>
      <c r="N155" s="103"/>
      <c r="O155" s="103"/>
      <c r="P155" s="103"/>
      <c r="Q155" s="103"/>
      <c r="R155" s="103"/>
      <c r="S155" s="91"/>
      <c r="T155" s="91"/>
      <c r="U155" s="92"/>
      <c r="V155" s="89"/>
      <c r="AA155" s="90">
        <v>1</v>
      </c>
    </row>
    <row r="156" spans="1:27" s="159" customFormat="1" ht="39" customHeight="1">
      <c r="A156" s="61">
        <f t="shared" si="4"/>
        <v>62</v>
      </c>
      <c r="B156" s="102" t="s">
        <v>2190</v>
      </c>
      <c r="C156" s="100">
        <f>'.'!L2709</f>
        <v>2298843</v>
      </c>
      <c r="D156" s="103"/>
      <c r="E156" s="104"/>
      <c r="F156" s="103"/>
      <c r="G156" s="103">
        <f>'.'!G2709</f>
        <v>928</v>
      </c>
      <c r="H156" s="103">
        <f>'.'!L2709</f>
        <v>2298843</v>
      </c>
      <c r="I156" s="103"/>
      <c r="J156" s="103"/>
      <c r="K156" s="103"/>
      <c r="L156" s="103"/>
      <c r="M156" s="103"/>
      <c r="N156" s="103"/>
      <c r="O156" s="103"/>
      <c r="P156" s="103"/>
      <c r="Q156" s="103"/>
      <c r="R156" s="103"/>
      <c r="S156" s="91"/>
      <c r="T156" s="91"/>
      <c r="U156" s="92"/>
      <c r="V156" s="89"/>
      <c r="AA156" s="90">
        <v>1</v>
      </c>
    </row>
    <row r="157" spans="1:27" s="159" customFormat="1" ht="39" customHeight="1">
      <c r="A157" s="61">
        <f t="shared" si="4"/>
        <v>63</v>
      </c>
      <c r="B157" s="107" t="s">
        <v>2191</v>
      </c>
      <c r="C157" s="100">
        <f>'.'!L2710</f>
        <v>2352358</v>
      </c>
      <c r="D157" s="103"/>
      <c r="E157" s="104"/>
      <c r="F157" s="103"/>
      <c r="G157" s="103">
        <f>'.'!G2710</f>
        <v>941</v>
      </c>
      <c r="H157" s="103">
        <f>'.'!L2710</f>
        <v>2352358</v>
      </c>
      <c r="I157" s="103"/>
      <c r="J157" s="103"/>
      <c r="K157" s="103"/>
      <c r="L157" s="103"/>
      <c r="M157" s="103"/>
      <c r="N157" s="103"/>
      <c r="O157" s="103"/>
      <c r="P157" s="103"/>
      <c r="Q157" s="103"/>
      <c r="R157" s="103"/>
      <c r="S157" s="91"/>
      <c r="T157" s="91"/>
      <c r="U157" s="92"/>
      <c r="V157" s="89"/>
      <c r="AA157" s="90">
        <v>1</v>
      </c>
    </row>
    <row r="158" spans="1:27" s="159" customFormat="1" ht="39" customHeight="1">
      <c r="A158" s="61">
        <f t="shared" si="4"/>
        <v>64</v>
      </c>
      <c r="B158" s="105" t="s">
        <v>2192</v>
      </c>
      <c r="C158" s="100">
        <f>'.'!L2711</f>
        <v>3331142</v>
      </c>
      <c r="D158" s="103"/>
      <c r="E158" s="104"/>
      <c r="F158" s="103"/>
      <c r="G158" s="103">
        <f>'.'!G2711</f>
        <v>1147</v>
      </c>
      <c r="H158" s="103">
        <f>'.'!L2711</f>
        <v>3331142</v>
      </c>
      <c r="I158" s="103"/>
      <c r="J158" s="103"/>
      <c r="K158" s="103"/>
      <c r="L158" s="103"/>
      <c r="M158" s="103"/>
      <c r="N158" s="103"/>
      <c r="O158" s="103"/>
      <c r="P158" s="103"/>
      <c r="Q158" s="103"/>
      <c r="R158" s="103"/>
      <c r="S158" s="91"/>
      <c r="T158" s="91"/>
      <c r="U158" s="92"/>
      <c r="V158" s="89"/>
      <c r="AA158" s="90">
        <v>1</v>
      </c>
    </row>
    <row r="159" spans="1:27" s="159" customFormat="1" ht="39" customHeight="1">
      <c r="A159" s="61">
        <f t="shared" si="4"/>
        <v>65</v>
      </c>
      <c r="B159" s="105" t="s">
        <v>2193</v>
      </c>
      <c r="C159" s="100">
        <f>'.'!L2712</f>
        <v>3030401</v>
      </c>
      <c r="D159" s="103"/>
      <c r="E159" s="104"/>
      <c r="F159" s="103"/>
      <c r="G159" s="103">
        <f>'.'!G2712</f>
        <v>1400</v>
      </c>
      <c r="H159" s="103">
        <f>'.'!L2712</f>
        <v>3030401</v>
      </c>
      <c r="I159" s="103"/>
      <c r="J159" s="103"/>
      <c r="K159" s="103"/>
      <c r="L159" s="103"/>
      <c r="M159" s="103"/>
      <c r="N159" s="103"/>
      <c r="O159" s="103"/>
      <c r="P159" s="103"/>
      <c r="Q159" s="103"/>
      <c r="R159" s="103"/>
      <c r="S159" s="91"/>
      <c r="T159" s="91"/>
      <c r="U159" s="92"/>
      <c r="V159" s="89"/>
      <c r="AA159" s="90">
        <v>1</v>
      </c>
    </row>
    <row r="160" spans="1:27" s="159" customFormat="1" ht="39" customHeight="1">
      <c r="A160" s="61">
        <f t="shared" si="4"/>
        <v>66</v>
      </c>
      <c r="B160" s="105" t="s">
        <v>2194</v>
      </c>
      <c r="C160" s="100">
        <f>'.'!L2713</f>
        <v>1427797.35</v>
      </c>
      <c r="D160" s="103"/>
      <c r="E160" s="104"/>
      <c r="F160" s="103"/>
      <c r="G160" s="103">
        <f>'.'!G2713</f>
        <v>536</v>
      </c>
      <c r="H160" s="103">
        <f>'.'!L2713</f>
        <v>1427797.35</v>
      </c>
      <c r="I160" s="103"/>
      <c r="J160" s="103"/>
      <c r="K160" s="103"/>
      <c r="L160" s="103"/>
      <c r="M160" s="103"/>
      <c r="N160" s="103"/>
      <c r="O160" s="103"/>
      <c r="P160" s="103"/>
      <c r="Q160" s="103"/>
      <c r="R160" s="103"/>
      <c r="S160" s="91"/>
      <c r="T160" s="91"/>
      <c r="U160" s="92"/>
      <c r="V160" s="89"/>
      <c r="AA160" s="90">
        <v>1</v>
      </c>
    </row>
    <row r="161" spans="1:27" s="159" customFormat="1" ht="39" customHeight="1">
      <c r="A161" s="61">
        <f t="shared" si="4"/>
        <v>67</v>
      </c>
      <c r="B161" s="105" t="s">
        <v>2195</v>
      </c>
      <c r="C161" s="100">
        <f>'.'!L2714</f>
        <v>1079861.1000000001</v>
      </c>
      <c r="D161" s="103"/>
      <c r="E161" s="104"/>
      <c r="F161" s="103"/>
      <c r="G161" s="103">
        <f>'.'!G2714</f>
        <v>517</v>
      </c>
      <c r="H161" s="103">
        <f>'.'!L2714</f>
        <v>1079861.1000000001</v>
      </c>
      <c r="I161" s="103"/>
      <c r="J161" s="103"/>
      <c r="K161" s="103"/>
      <c r="L161" s="103"/>
      <c r="M161" s="103"/>
      <c r="N161" s="103"/>
      <c r="O161" s="103"/>
      <c r="P161" s="103"/>
      <c r="Q161" s="103"/>
      <c r="R161" s="103"/>
      <c r="S161" s="91"/>
      <c r="T161" s="91"/>
      <c r="U161" s="92"/>
      <c r="V161" s="89"/>
      <c r="AA161" s="90">
        <v>1</v>
      </c>
    </row>
    <row r="162" spans="1:27" s="159" customFormat="1" ht="39" customHeight="1">
      <c r="A162" s="61">
        <f t="shared" si="4"/>
        <v>68</v>
      </c>
      <c r="B162" s="105" t="s">
        <v>2196</v>
      </c>
      <c r="C162" s="100">
        <f>'.'!L2715</f>
        <v>1848473.41</v>
      </c>
      <c r="D162" s="103">
        <f>'.'!L2715</f>
        <v>1848473.41</v>
      </c>
      <c r="E162" s="104"/>
      <c r="F162" s="103"/>
      <c r="G162" s="103"/>
      <c r="H162" s="103"/>
      <c r="I162" s="103"/>
      <c r="J162" s="103"/>
      <c r="K162" s="103"/>
      <c r="L162" s="103"/>
      <c r="M162" s="103"/>
      <c r="N162" s="103"/>
      <c r="O162" s="103"/>
      <c r="P162" s="103"/>
      <c r="Q162" s="103"/>
      <c r="R162" s="103"/>
      <c r="S162" s="91"/>
      <c r="T162" s="91"/>
      <c r="U162" s="92"/>
      <c r="V162" s="89"/>
      <c r="AA162" s="90">
        <v>1</v>
      </c>
    </row>
    <row r="163" spans="1:27" s="159" customFormat="1" ht="39" customHeight="1">
      <c r="A163" s="61">
        <f t="shared" si="4"/>
        <v>69</v>
      </c>
      <c r="B163" s="105" t="s">
        <v>2197</v>
      </c>
      <c r="C163" s="100">
        <f>'.'!L2716</f>
        <v>2492198.94</v>
      </c>
      <c r="D163" s="103"/>
      <c r="E163" s="104"/>
      <c r="F163" s="103"/>
      <c r="G163" s="103">
        <f>'.'!G2716</f>
        <v>892</v>
      </c>
      <c r="H163" s="103">
        <f>'.'!L2716</f>
        <v>2492198.94</v>
      </c>
      <c r="I163" s="103"/>
      <c r="J163" s="103"/>
      <c r="K163" s="103"/>
      <c r="L163" s="103"/>
      <c r="M163" s="103"/>
      <c r="N163" s="103"/>
      <c r="O163" s="103"/>
      <c r="P163" s="103"/>
      <c r="Q163" s="103"/>
      <c r="R163" s="103"/>
      <c r="S163" s="91"/>
      <c r="T163" s="91"/>
      <c r="U163" s="92"/>
      <c r="V163" s="89"/>
      <c r="AA163" s="90">
        <v>1</v>
      </c>
    </row>
    <row r="164" spans="1:27" s="159" customFormat="1" ht="39" customHeight="1">
      <c r="A164" s="61">
        <f t="shared" si="4"/>
        <v>70</v>
      </c>
      <c r="B164" s="107" t="s">
        <v>2198</v>
      </c>
      <c r="C164" s="100">
        <f>'.'!L2717</f>
        <v>3313532.95</v>
      </c>
      <c r="D164" s="103"/>
      <c r="E164" s="104"/>
      <c r="F164" s="103"/>
      <c r="G164" s="103">
        <f>'.'!G2717</f>
        <v>1136</v>
      </c>
      <c r="H164" s="103">
        <f>'.'!L2717</f>
        <v>3313532.95</v>
      </c>
      <c r="I164" s="103"/>
      <c r="J164" s="103"/>
      <c r="K164" s="103"/>
      <c r="L164" s="103"/>
      <c r="M164" s="103"/>
      <c r="N164" s="103"/>
      <c r="O164" s="103"/>
      <c r="P164" s="103"/>
      <c r="Q164" s="103"/>
      <c r="R164" s="103"/>
      <c r="S164" s="91"/>
      <c r="T164" s="91"/>
      <c r="U164" s="92"/>
      <c r="V164" s="89"/>
      <c r="AA164" s="90">
        <v>1</v>
      </c>
    </row>
    <row r="165" spans="1:27" s="159" customFormat="1" ht="39" customHeight="1">
      <c r="A165" s="61">
        <f t="shared" si="4"/>
        <v>71</v>
      </c>
      <c r="B165" s="105" t="s">
        <v>2199</v>
      </c>
      <c r="C165" s="100">
        <f>'.'!L2718</f>
        <v>2246453</v>
      </c>
      <c r="D165" s="103"/>
      <c r="E165" s="104"/>
      <c r="F165" s="103"/>
      <c r="G165" s="103">
        <f>'.'!G2718</f>
        <v>1050</v>
      </c>
      <c r="H165" s="103">
        <f>'.'!L2718</f>
        <v>2246453</v>
      </c>
      <c r="I165" s="103"/>
      <c r="J165" s="103"/>
      <c r="K165" s="103"/>
      <c r="L165" s="103"/>
      <c r="M165" s="103"/>
      <c r="N165" s="103"/>
      <c r="O165" s="103"/>
      <c r="P165" s="103"/>
      <c r="Q165" s="103"/>
      <c r="R165" s="103"/>
      <c r="S165" s="91"/>
      <c r="T165" s="91"/>
      <c r="U165" s="92"/>
      <c r="V165" s="89"/>
      <c r="AA165" s="90">
        <v>1</v>
      </c>
    </row>
    <row r="166" spans="1:27" s="159" customFormat="1" ht="39" customHeight="1">
      <c r="A166" s="61">
        <f t="shared" si="4"/>
        <v>72</v>
      </c>
      <c r="B166" s="105" t="s">
        <v>2200</v>
      </c>
      <c r="C166" s="100">
        <f>'.'!L2719</f>
        <v>2246453</v>
      </c>
      <c r="D166" s="103"/>
      <c r="E166" s="104"/>
      <c r="F166" s="103"/>
      <c r="G166" s="103">
        <f>'.'!G2719</f>
        <v>1050</v>
      </c>
      <c r="H166" s="103">
        <f>'.'!L2719</f>
        <v>2246453</v>
      </c>
      <c r="I166" s="103"/>
      <c r="J166" s="103"/>
      <c r="K166" s="103"/>
      <c r="L166" s="103"/>
      <c r="M166" s="103"/>
      <c r="N166" s="103"/>
      <c r="O166" s="103"/>
      <c r="P166" s="103"/>
      <c r="Q166" s="103"/>
      <c r="R166" s="103"/>
      <c r="S166" s="91"/>
      <c r="T166" s="91"/>
      <c r="U166" s="92"/>
      <c r="V166" s="89"/>
      <c r="AA166" s="90">
        <v>1</v>
      </c>
    </row>
    <row r="167" spans="1:27" s="159" customFormat="1" ht="39" customHeight="1">
      <c r="A167" s="61">
        <f t="shared" si="4"/>
        <v>73</v>
      </c>
      <c r="B167" s="105" t="s">
        <v>2201</v>
      </c>
      <c r="C167" s="100">
        <f>'.'!L2720</f>
        <v>2309628.3499999996</v>
      </c>
      <c r="D167" s="103"/>
      <c r="E167" s="104"/>
      <c r="F167" s="103"/>
      <c r="G167" s="103">
        <f>'.'!G2720</f>
        <v>1310</v>
      </c>
      <c r="H167" s="103">
        <f>'.'!L2720</f>
        <v>2309628.3499999996</v>
      </c>
      <c r="I167" s="103"/>
      <c r="J167" s="103"/>
      <c r="K167" s="103"/>
      <c r="L167" s="103"/>
      <c r="M167" s="103"/>
      <c r="N167" s="103"/>
      <c r="O167" s="103"/>
      <c r="P167" s="103"/>
      <c r="Q167" s="103"/>
      <c r="R167" s="103"/>
      <c r="S167" s="91"/>
      <c r="T167" s="91"/>
      <c r="U167" s="92"/>
      <c r="V167" s="89"/>
      <c r="AA167" s="90">
        <v>1</v>
      </c>
    </row>
    <row r="168" spans="1:27" s="159" customFormat="1" ht="39" customHeight="1">
      <c r="A168" s="61">
        <f t="shared" si="4"/>
        <v>74</v>
      </c>
      <c r="B168" s="107" t="s">
        <v>2202</v>
      </c>
      <c r="C168" s="100">
        <f>'.'!L2721</f>
        <v>2122844</v>
      </c>
      <c r="D168" s="103"/>
      <c r="E168" s="104"/>
      <c r="F168" s="103"/>
      <c r="G168" s="103">
        <f>'.'!G2721</f>
        <v>1050</v>
      </c>
      <c r="H168" s="103">
        <f>'.'!L2721</f>
        <v>2122844</v>
      </c>
      <c r="I168" s="103"/>
      <c r="J168" s="103"/>
      <c r="K168" s="103"/>
      <c r="L168" s="103"/>
      <c r="M168" s="103"/>
      <c r="N168" s="103"/>
      <c r="O168" s="103"/>
      <c r="P168" s="103"/>
      <c r="Q168" s="103"/>
      <c r="R168" s="103"/>
      <c r="S168" s="91"/>
      <c r="T168" s="91"/>
      <c r="U168" s="92"/>
      <c r="V168" s="89"/>
      <c r="AA168" s="90">
        <v>1</v>
      </c>
    </row>
    <row r="169" spans="1:27" s="159" customFormat="1" ht="39" customHeight="1">
      <c r="A169" s="61">
        <f t="shared" si="4"/>
        <v>75</v>
      </c>
      <c r="B169" s="102" t="s">
        <v>2207</v>
      </c>
      <c r="C169" s="100">
        <f>'.'!L2722</f>
        <v>2882961</v>
      </c>
      <c r="D169" s="103"/>
      <c r="E169" s="104"/>
      <c r="F169" s="103"/>
      <c r="G169" s="103">
        <f>'.'!G2722</f>
        <v>1269</v>
      </c>
      <c r="H169" s="103">
        <f>'.'!L2722</f>
        <v>2882961</v>
      </c>
      <c r="I169" s="103"/>
      <c r="J169" s="103"/>
      <c r="K169" s="103"/>
      <c r="L169" s="103"/>
      <c r="M169" s="103"/>
      <c r="N169" s="103"/>
      <c r="O169" s="103"/>
      <c r="P169" s="103"/>
      <c r="Q169" s="103"/>
      <c r="R169" s="103"/>
      <c r="S169" s="91"/>
      <c r="T169" s="91"/>
      <c r="U169" s="92"/>
      <c r="V169" s="89"/>
      <c r="AA169" s="90">
        <v>1</v>
      </c>
    </row>
    <row r="170" spans="1:27" s="159" customFormat="1" ht="39" customHeight="1">
      <c r="A170" s="61">
        <f t="shared" si="4"/>
        <v>76</v>
      </c>
      <c r="B170" s="105" t="s">
        <v>2208</v>
      </c>
      <c r="C170" s="100">
        <f>'.'!L2723</f>
        <v>3073024</v>
      </c>
      <c r="D170" s="103"/>
      <c r="E170" s="104"/>
      <c r="F170" s="103"/>
      <c r="G170" s="103"/>
      <c r="H170" s="103"/>
      <c r="I170" s="103"/>
      <c r="J170" s="103"/>
      <c r="K170" s="103">
        <f>'.'!E2723</f>
        <v>1862</v>
      </c>
      <c r="L170" s="103">
        <f>'.'!L2723</f>
        <v>3073024</v>
      </c>
      <c r="M170" s="103"/>
      <c r="N170" s="103"/>
      <c r="O170" s="103"/>
      <c r="P170" s="103"/>
      <c r="Q170" s="103"/>
      <c r="R170" s="103"/>
      <c r="S170" s="91"/>
      <c r="T170" s="91"/>
      <c r="U170" s="92"/>
      <c r="V170" s="89"/>
      <c r="AA170" s="90">
        <v>1</v>
      </c>
    </row>
    <row r="171" spans="1:27" s="159" customFormat="1" ht="39" customHeight="1">
      <c r="A171" s="61">
        <f t="shared" si="4"/>
        <v>77</v>
      </c>
      <c r="B171" s="105" t="s">
        <v>2209</v>
      </c>
      <c r="C171" s="100">
        <f>'.'!L2724</f>
        <v>3757871.28</v>
      </c>
      <c r="D171" s="103"/>
      <c r="E171" s="104"/>
      <c r="F171" s="103"/>
      <c r="G171" s="103">
        <f>'.'!G2724</f>
        <v>1366</v>
      </c>
      <c r="H171" s="103">
        <f>'.'!L2724</f>
        <v>3757871.28</v>
      </c>
      <c r="I171" s="103"/>
      <c r="J171" s="103"/>
      <c r="K171" s="103"/>
      <c r="L171" s="103"/>
      <c r="M171" s="103"/>
      <c r="N171" s="103"/>
      <c r="O171" s="103"/>
      <c r="P171" s="103"/>
      <c r="Q171" s="103"/>
      <c r="R171" s="103"/>
      <c r="S171" s="91"/>
      <c r="T171" s="91"/>
      <c r="U171" s="92"/>
      <c r="V171" s="89"/>
      <c r="AA171" s="90">
        <v>1</v>
      </c>
    </row>
    <row r="172" spans="1:27" s="159" customFormat="1" ht="39" customHeight="1">
      <c r="A172" s="61">
        <f t="shared" si="4"/>
        <v>78</v>
      </c>
      <c r="B172" s="105" t="s">
        <v>2212</v>
      </c>
      <c r="C172" s="100">
        <f>'.'!L2725</f>
        <v>2434417</v>
      </c>
      <c r="D172" s="103"/>
      <c r="E172" s="104"/>
      <c r="F172" s="103"/>
      <c r="G172" s="103">
        <f>'.'!G2725</f>
        <v>1015.9</v>
      </c>
      <c r="H172" s="103">
        <f>'.'!L2725</f>
        <v>2434417</v>
      </c>
      <c r="I172" s="103"/>
      <c r="J172" s="103"/>
      <c r="K172" s="103"/>
      <c r="L172" s="103"/>
      <c r="M172" s="103"/>
      <c r="N172" s="103"/>
      <c r="O172" s="103"/>
      <c r="P172" s="103"/>
      <c r="Q172" s="103"/>
      <c r="R172" s="103"/>
      <c r="S172" s="91"/>
      <c r="T172" s="91"/>
      <c r="U172" s="92"/>
      <c r="V172" s="89"/>
      <c r="AA172" s="90">
        <v>1</v>
      </c>
    </row>
    <row r="173" spans="1:27" s="159" customFormat="1" ht="39" customHeight="1">
      <c r="A173" s="61">
        <f t="shared" si="4"/>
        <v>79</v>
      </c>
      <c r="B173" s="107" t="s">
        <v>2214</v>
      </c>
      <c r="C173" s="100">
        <f>'.'!L2726</f>
        <v>926158.17999999993</v>
      </c>
      <c r="D173" s="103">
        <f>'.'!L2726</f>
        <v>926158.17999999993</v>
      </c>
      <c r="E173" s="104"/>
      <c r="F173" s="103"/>
      <c r="G173" s="103"/>
      <c r="H173" s="103"/>
      <c r="I173" s="103"/>
      <c r="J173" s="103"/>
      <c r="K173" s="103"/>
      <c r="L173" s="103"/>
      <c r="M173" s="103"/>
      <c r="N173" s="103"/>
      <c r="O173" s="103"/>
      <c r="P173" s="103"/>
      <c r="Q173" s="103"/>
      <c r="R173" s="103"/>
      <c r="S173" s="91"/>
      <c r="T173" s="91"/>
      <c r="U173" s="92"/>
      <c r="V173" s="89"/>
      <c r="AA173" s="90">
        <v>1</v>
      </c>
    </row>
    <row r="174" spans="1:27" s="159" customFormat="1" ht="39" customHeight="1">
      <c r="A174" s="61">
        <f t="shared" si="4"/>
        <v>80</v>
      </c>
      <c r="B174" s="105" t="s">
        <v>2215</v>
      </c>
      <c r="C174" s="100">
        <f>'.'!L2727</f>
        <v>4320446</v>
      </c>
      <c r="D174" s="103"/>
      <c r="E174" s="104"/>
      <c r="F174" s="103"/>
      <c r="G174" s="103">
        <f>'.'!G2727</f>
        <v>1781</v>
      </c>
      <c r="H174" s="103">
        <f>'.'!L2727</f>
        <v>4320446</v>
      </c>
      <c r="I174" s="103"/>
      <c r="J174" s="103"/>
      <c r="K174" s="103"/>
      <c r="L174" s="103"/>
      <c r="M174" s="103"/>
      <c r="N174" s="103"/>
      <c r="O174" s="103"/>
      <c r="P174" s="103"/>
      <c r="Q174" s="103"/>
      <c r="R174" s="103"/>
      <c r="S174" s="91"/>
      <c r="T174" s="91"/>
      <c r="U174" s="92"/>
      <c r="V174" s="89"/>
      <c r="AA174" s="90">
        <v>1</v>
      </c>
    </row>
    <row r="175" spans="1:27" s="159" customFormat="1" ht="39" customHeight="1">
      <c r="A175" s="61">
        <f t="shared" ref="A175:A199" si="5">A174+1</f>
        <v>81</v>
      </c>
      <c r="B175" s="105" t="s">
        <v>2217</v>
      </c>
      <c r="C175" s="100">
        <f>'.'!L2728</f>
        <v>1615369</v>
      </c>
      <c r="D175" s="103"/>
      <c r="E175" s="104"/>
      <c r="F175" s="103"/>
      <c r="G175" s="103">
        <f>'.'!G2728</f>
        <v>684</v>
      </c>
      <c r="H175" s="103">
        <f>'.'!L2728</f>
        <v>1615369</v>
      </c>
      <c r="I175" s="103"/>
      <c r="J175" s="103"/>
      <c r="K175" s="103"/>
      <c r="L175" s="103"/>
      <c r="M175" s="103"/>
      <c r="N175" s="103"/>
      <c r="O175" s="103"/>
      <c r="P175" s="103"/>
      <c r="Q175" s="103"/>
      <c r="R175" s="103"/>
      <c r="S175" s="91"/>
      <c r="T175" s="91"/>
      <c r="U175" s="92"/>
      <c r="V175" s="89"/>
      <c r="AA175" s="90">
        <v>1</v>
      </c>
    </row>
    <row r="176" spans="1:27" s="159" customFormat="1" ht="39" customHeight="1">
      <c r="A176" s="61">
        <f t="shared" si="5"/>
        <v>82</v>
      </c>
      <c r="B176" s="102" t="s">
        <v>2219</v>
      </c>
      <c r="C176" s="100">
        <f>'.'!L2729</f>
        <v>1586686.43</v>
      </c>
      <c r="D176" s="103"/>
      <c r="E176" s="104"/>
      <c r="F176" s="103"/>
      <c r="G176" s="103">
        <f>'.'!G2729</f>
        <v>532.5</v>
      </c>
      <c r="H176" s="103">
        <f>'.'!L2729</f>
        <v>1586686.43</v>
      </c>
      <c r="I176" s="103"/>
      <c r="J176" s="103"/>
      <c r="K176" s="103"/>
      <c r="L176" s="103"/>
      <c r="M176" s="103"/>
      <c r="N176" s="103"/>
      <c r="O176" s="103"/>
      <c r="P176" s="103"/>
      <c r="Q176" s="103"/>
      <c r="R176" s="103"/>
      <c r="S176" s="91"/>
      <c r="T176" s="91"/>
      <c r="U176" s="92"/>
      <c r="V176" s="89"/>
      <c r="AA176" s="90">
        <v>1</v>
      </c>
    </row>
    <row r="177" spans="1:27" s="159" customFormat="1" ht="39" customHeight="1">
      <c r="A177" s="61">
        <f t="shared" si="5"/>
        <v>83</v>
      </c>
      <c r="B177" s="102" t="s">
        <v>2220</v>
      </c>
      <c r="C177" s="100">
        <f>'.'!L2730</f>
        <v>2296444.5199999996</v>
      </c>
      <c r="D177" s="103"/>
      <c r="E177" s="104"/>
      <c r="F177" s="103"/>
      <c r="G177" s="103">
        <f>'.'!G2730</f>
        <v>675</v>
      </c>
      <c r="H177" s="103">
        <f>'.'!L2730</f>
        <v>2296444.5199999996</v>
      </c>
      <c r="I177" s="103"/>
      <c r="J177" s="103"/>
      <c r="K177" s="103"/>
      <c r="L177" s="103"/>
      <c r="M177" s="103"/>
      <c r="N177" s="103"/>
      <c r="O177" s="103"/>
      <c r="P177" s="103"/>
      <c r="Q177" s="103"/>
      <c r="R177" s="103"/>
      <c r="S177" s="91"/>
      <c r="T177" s="91"/>
      <c r="U177" s="92"/>
      <c r="V177" s="89"/>
      <c r="AA177" s="90">
        <v>1</v>
      </c>
    </row>
    <row r="178" spans="1:27" s="159" customFormat="1" ht="39" customHeight="1">
      <c r="A178" s="61">
        <f t="shared" si="5"/>
        <v>84</v>
      </c>
      <c r="B178" s="102" t="s">
        <v>2221</v>
      </c>
      <c r="C178" s="100">
        <f>'.'!L2731</f>
        <v>3614286.3600000003</v>
      </c>
      <c r="D178" s="103">
        <f>'.'!L2731</f>
        <v>3614286.3600000003</v>
      </c>
      <c r="E178" s="104"/>
      <c r="F178" s="103"/>
      <c r="G178" s="103"/>
      <c r="H178" s="103"/>
      <c r="I178" s="103"/>
      <c r="J178" s="103"/>
      <c r="K178" s="103"/>
      <c r="L178" s="103"/>
      <c r="M178" s="103"/>
      <c r="N178" s="103"/>
      <c r="O178" s="103"/>
      <c r="P178" s="103"/>
      <c r="Q178" s="103"/>
      <c r="R178" s="103"/>
      <c r="S178" s="91"/>
      <c r="T178" s="91"/>
      <c r="U178" s="92"/>
      <c r="V178" s="89"/>
      <c r="AA178" s="90">
        <v>1</v>
      </c>
    </row>
    <row r="179" spans="1:27" s="159" customFormat="1" ht="39" customHeight="1">
      <c r="A179" s="61">
        <f t="shared" si="5"/>
        <v>85</v>
      </c>
      <c r="B179" s="105" t="s">
        <v>2222</v>
      </c>
      <c r="C179" s="100">
        <f>'.'!L2732</f>
        <v>1182315.6200000001</v>
      </c>
      <c r="D179" s="103"/>
      <c r="E179" s="104"/>
      <c r="F179" s="103"/>
      <c r="G179" s="103">
        <f>'.'!G2732</f>
        <v>476</v>
      </c>
      <c r="H179" s="103">
        <f>'.'!L2732</f>
        <v>1182315.6200000001</v>
      </c>
      <c r="I179" s="103"/>
      <c r="J179" s="103"/>
      <c r="K179" s="103"/>
      <c r="L179" s="103"/>
      <c r="M179" s="103"/>
      <c r="N179" s="103"/>
      <c r="O179" s="103"/>
      <c r="P179" s="103"/>
      <c r="Q179" s="103"/>
      <c r="R179" s="103"/>
      <c r="S179" s="91"/>
      <c r="T179" s="91"/>
      <c r="U179" s="92"/>
      <c r="V179" s="89"/>
      <c r="AA179" s="90">
        <v>1</v>
      </c>
    </row>
    <row r="180" spans="1:27" s="159" customFormat="1" ht="39" customHeight="1">
      <c r="A180" s="61">
        <f t="shared" si="5"/>
        <v>86</v>
      </c>
      <c r="B180" s="108" t="s">
        <v>2236</v>
      </c>
      <c r="C180" s="109">
        <f>'.'!L2733</f>
        <v>3055465</v>
      </c>
      <c r="D180" s="110">
        <f>'.'!L2733</f>
        <v>3055465</v>
      </c>
      <c r="E180" s="111"/>
      <c r="F180" s="110"/>
      <c r="G180" s="110"/>
      <c r="H180" s="110"/>
      <c r="I180" s="110"/>
      <c r="J180" s="110"/>
      <c r="K180" s="110"/>
      <c r="L180" s="110"/>
      <c r="M180" s="110"/>
      <c r="N180" s="110"/>
      <c r="O180" s="110"/>
      <c r="P180" s="110"/>
      <c r="Q180" s="110"/>
      <c r="R180" s="110"/>
      <c r="S180" s="97"/>
      <c r="T180" s="97"/>
      <c r="U180" s="59"/>
      <c r="V180" s="89"/>
      <c r="AA180" s="90">
        <v>1</v>
      </c>
    </row>
    <row r="181" spans="1:27" s="159" customFormat="1" ht="39" customHeight="1">
      <c r="A181" s="61">
        <f t="shared" si="5"/>
        <v>87</v>
      </c>
      <c r="B181" s="105" t="s">
        <v>2225</v>
      </c>
      <c r="C181" s="100">
        <f>'.'!L2734</f>
        <v>3055245</v>
      </c>
      <c r="D181" s="103">
        <f>'.'!L2734</f>
        <v>3055245</v>
      </c>
      <c r="E181" s="104"/>
      <c r="F181" s="103"/>
      <c r="G181" s="103"/>
      <c r="H181" s="103"/>
      <c r="I181" s="103"/>
      <c r="J181" s="103"/>
      <c r="K181" s="103"/>
      <c r="L181" s="103"/>
      <c r="M181" s="103"/>
      <c r="N181" s="103"/>
      <c r="O181" s="103"/>
      <c r="P181" s="103"/>
      <c r="Q181" s="103"/>
      <c r="R181" s="103"/>
      <c r="S181" s="91"/>
      <c r="T181" s="91"/>
      <c r="U181" s="92"/>
      <c r="V181" s="89"/>
      <c r="AA181" s="90">
        <v>1</v>
      </c>
    </row>
    <row r="182" spans="1:27" s="159" customFormat="1" ht="39" customHeight="1">
      <c r="A182" s="61">
        <f t="shared" si="5"/>
        <v>88</v>
      </c>
      <c r="B182" s="112" t="s">
        <v>2226</v>
      </c>
      <c r="C182" s="100">
        <f>'.'!L2735</f>
        <v>2314280</v>
      </c>
      <c r="D182" s="103"/>
      <c r="E182" s="104"/>
      <c r="F182" s="103"/>
      <c r="G182" s="103">
        <f>'.'!G2735</f>
        <v>972</v>
      </c>
      <c r="H182" s="103">
        <f>'.'!L2735</f>
        <v>2314280</v>
      </c>
      <c r="I182" s="103"/>
      <c r="J182" s="103"/>
      <c r="K182" s="103"/>
      <c r="L182" s="103"/>
      <c r="M182" s="103"/>
      <c r="N182" s="103"/>
      <c r="O182" s="103"/>
      <c r="P182" s="103"/>
      <c r="Q182" s="103"/>
      <c r="R182" s="103"/>
      <c r="S182" s="91"/>
      <c r="T182" s="91"/>
      <c r="U182" s="92"/>
      <c r="V182" s="89"/>
      <c r="AA182" s="90">
        <v>1</v>
      </c>
    </row>
    <row r="183" spans="1:27" s="159" customFormat="1" ht="39" customHeight="1">
      <c r="A183" s="61">
        <f t="shared" si="5"/>
        <v>89</v>
      </c>
      <c r="B183" s="105" t="s">
        <v>2227</v>
      </c>
      <c r="C183" s="100">
        <f>'.'!L2736</f>
        <v>2562319</v>
      </c>
      <c r="D183" s="103"/>
      <c r="E183" s="104"/>
      <c r="F183" s="103"/>
      <c r="G183" s="103">
        <f>'.'!G2736</f>
        <v>1050</v>
      </c>
      <c r="H183" s="103">
        <f>'.'!L2736</f>
        <v>2562319</v>
      </c>
      <c r="I183" s="103"/>
      <c r="J183" s="103"/>
      <c r="K183" s="103"/>
      <c r="L183" s="103"/>
      <c r="M183" s="103"/>
      <c r="N183" s="103"/>
      <c r="O183" s="103"/>
      <c r="P183" s="103"/>
      <c r="Q183" s="103"/>
      <c r="R183" s="103"/>
      <c r="S183" s="91"/>
      <c r="T183" s="91"/>
      <c r="U183" s="92"/>
      <c r="V183" s="89"/>
      <c r="AA183" s="90">
        <v>1</v>
      </c>
    </row>
    <row r="184" spans="1:27" s="159" customFormat="1" ht="39" customHeight="1">
      <c r="A184" s="61">
        <f t="shared" si="5"/>
        <v>90</v>
      </c>
      <c r="B184" s="105" t="s">
        <v>2228</v>
      </c>
      <c r="C184" s="100">
        <f>'.'!L2737</f>
        <v>1173386</v>
      </c>
      <c r="D184" s="60"/>
      <c r="E184" s="104"/>
      <c r="F184" s="103"/>
      <c r="G184" s="103">
        <f>'.'!G2737</f>
        <v>446</v>
      </c>
      <c r="H184" s="103">
        <f>'.'!L2737</f>
        <v>1173386</v>
      </c>
      <c r="I184" s="103"/>
      <c r="J184" s="103"/>
      <c r="K184" s="103"/>
      <c r="L184" s="103"/>
      <c r="M184" s="103"/>
      <c r="N184" s="103"/>
      <c r="O184" s="103"/>
      <c r="P184" s="103"/>
      <c r="Q184" s="103"/>
      <c r="R184" s="103"/>
      <c r="S184" s="91"/>
      <c r="T184" s="91"/>
      <c r="U184" s="92"/>
      <c r="V184" s="89"/>
      <c r="AA184" s="90">
        <v>1</v>
      </c>
    </row>
    <row r="185" spans="1:27" s="159" customFormat="1" ht="39" customHeight="1">
      <c r="A185" s="61">
        <f t="shared" si="5"/>
        <v>91</v>
      </c>
      <c r="B185" s="105" t="s">
        <v>2235</v>
      </c>
      <c r="C185" s="100">
        <f>'.'!L2738</f>
        <v>3017182</v>
      </c>
      <c r="D185" s="103"/>
      <c r="E185" s="104"/>
      <c r="F185" s="103"/>
      <c r="G185" s="103">
        <f>'.'!G2738</f>
        <v>848.5</v>
      </c>
      <c r="H185" s="103">
        <f>'.'!L2738</f>
        <v>3017182</v>
      </c>
      <c r="I185" s="103"/>
      <c r="J185" s="103"/>
      <c r="K185" s="103"/>
      <c r="L185" s="103"/>
      <c r="M185" s="103"/>
      <c r="N185" s="103"/>
      <c r="O185" s="103"/>
      <c r="P185" s="103"/>
      <c r="Q185" s="103"/>
      <c r="R185" s="103"/>
      <c r="S185" s="91"/>
      <c r="T185" s="91"/>
      <c r="U185" s="92"/>
      <c r="V185" s="89"/>
      <c r="AA185" s="90">
        <v>1</v>
      </c>
    </row>
    <row r="186" spans="1:27" s="159" customFormat="1" ht="39" customHeight="1">
      <c r="A186" s="61">
        <f t="shared" si="5"/>
        <v>92</v>
      </c>
      <c r="B186" s="105" t="s">
        <v>2237</v>
      </c>
      <c r="C186" s="100">
        <f>'.'!L2739</f>
        <v>762077.55</v>
      </c>
      <c r="D186" s="103">
        <f>'.'!L2739</f>
        <v>762077.55</v>
      </c>
      <c r="E186" s="104"/>
      <c r="F186" s="103"/>
      <c r="G186" s="103"/>
      <c r="H186" s="103"/>
      <c r="I186" s="103"/>
      <c r="J186" s="103"/>
      <c r="K186" s="103"/>
      <c r="L186" s="103"/>
      <c r="M186" s="103"/>
      <c r="N186" s="103"/>
      <c r="O186" s="103"/>
      <c r="P186" s="103"/>
      <c r="Q186" s="103"/>
      <c r="R186" s="103"/>
      <c r="S186" s="91"/>
      <c r="T186" s="91"/>
      <c r="U186" s="92"/>
      <c r="V186" s="89"/>
      <c r="AA186" s="90">
        <v>1</v>
      </c>
    </row>
    <row r="187" spans="1:27" s="159" customFormat="1" ht="39" customHeight="1">
      <c r="A187" s="61">
        <f t="shared" si="5"/>
        <v>93</v>
      </c>
      <c r="B187" s="105" t="s">
        <v>2239</v>
      </c>
      <c r="C187" s="100">
        <f>'.'!L2740</f>
        <v>3079582.92</v>
      </c>
      <c r="D187" s="103"/>
      <c r="E187" s="104"/>
      <c r="F187" s="103"/>
      <c r="G187" s="103">
        <f>'.'!G2740</f>
        <v>1050</v>
      </c>
      <c r="H187" s="103">
        <f>'.'!L2740</f>
        <v>3079582.92</v>
      </c>
      <c r="I187" s="103"/>
      <c r="J187" s="103"/>
      <c r="K187" s="103"/>
      <c r="L187" s="103"/>
      <c r="M187" s="103"/>
      <c r="N187" s="103"/>
      <c r="O187" s="103"/>
      <c r="P187" s="103"/>
      <c r="Q187" s="103"/>
      <c r="R187" s="103"/>
      <c r="S187" s="91"/>
      <c r="T187" s="91"/>
      <c r="U187" s="92"/>
      <c r="V187" s="89"/>
      <c r="AA187" s="90">
        <v>1</v>
      </c>
    </row>
    <row r="188" spans="1:27" s="159" customFormat="1" ht="39" customHeight="1">
      <c r="A188" s="61">
        <f t="shared" si="5"/>
        <v>94</v>
      </c>
      <c r="B188" s="105" t="s">
        <v>2240</v>
      </c>
      <c r="C188" s="100">
        <f>'.'!L2741</f>
        <v>4221806</v>
      </c>
      <c r="D188" s="103"/>
      <c r="E188" s="104"/>
      <c r="F188" s="103"/>
      <c r="G188" s="103">
        <f>'.'!G2741</f>
        <v>1550</v>
      </c>
      <c r="H188" s="103">
        <f>'.'!L2741</f>
        <v>4221806</v>
      </c>
      <c r="I188" s="103"/>
      <c r="J188" s="103"/>
      <c r="K188" s="103"/>
      <c r="L188" s="103"/>
      <c r="M188" s="103"/>
      <c r="N188" s="103"/>
      <c r="O188" s="103"/>
      <c r="P188" s="103"/>
      <c r="Q188" s="103"/>
      <c r="R188" s="103"/>
      <c r="S188" s="91"/>
      <c r="T188" s="91"/>
      <c r="U188" s="92"/>
      <c r="V188" s="89"/>
      <c r="AA188" s="90">
        <v>1</v>
      </c>
    </row>
    <row r="189" spans="1:27" s="159" customFormat="1" ht="39" customHeight="1">
      <c r="A189" s="61">
        <f t="shared" si="5"/>
        <v>95</v>
      </c>
      <c r="B189" s="105" t="s">
        <v>2241</v>
      </c>
      <c r="C189" s="100">
        <f>'.'!L2742</f>
        <v>2164080</v>
      </c>
      <c r="D189" s="103"/>
      <c r="E189" s="104"/>
      <c r="F189" s="103"/>
      <c r="G189" s="103">
        <f>'.'!G2742</f>
        <v>996</v>
      </c>
      <c r="H189" s="103">
        <f>'.'!L2742</f>
        <v>2164080</v>
      </c>
      <c r="I189" s="103"/>
      <c r="J189" s="103"/>
      <c r="K189" s="103"/>
      <c r="L189" s="103"/>
      <c r="M189" s="103"/>
      <c r="N189" s="103"/>
      <c r="O189" s="103"/>
      <c r="P189" s="103"/>
      <c r="Q189" s="103"/>
      <c r="R189" s="103"/>
      <c r="S189" s="91"/>
      <c r="T189" s="91"/>
      <c r="U189" s="92"/>
      <c r="V189" s="89"/>
      <c r="AA189" s="90">
        <v>1</v>
      </c>
    </row>
    <row r="190" spans="1:27" s="159" customFormat="1" ht="39" customHeight="1">
      <c r="A190" s="61">
        <f t="shared" si="5"/>
        <v>96</v>
      </c>
      <c r="B190" s="105" t="s">
        <v>2242</v>
      </c>
      <c r="C190" s="100">
        <f>'.'!L2743</f>
        <v>5837776</v>
      </c>
      <c r="D190" s="103"/>
      <c r="E190" s="104"/>
      <c r="F190" s="103"/>
      <c r="G190" s="103">
        <f>'.'!G2743</f>
        <v>1862</v>
      </c>
      <c r="H190" s="103">
        <f>'.'!L2743</f>
        <v>5837776</v>
      </c>
      <c r="I190" s="103"/>
      <c r="J190" s="103"/>
      <c r="K190" s="103"/>
      <c r="L190" s="103"/>
      <c r="M190" s="103"/>
      <c r="N190" s="103"/>
      <c r="O190" s="103"/>
      <c r="P190" s="103"/>
      <c r="Q190" s="103"/>
      <c r="R190" s="103"/>
      <c r="S190" s="91"/>
      <c r="T190" s="91"/>
      <c r="U190" s="92"/>
      <c r="V190" s="89"/>
      <c r="AA190" s="90">
        <v>1</v>
      </c>
    </row>
    <row r="191" spans="1:27" s="159" customFormat="1" ht="43.5" customHeight="1">
      <c r="A191" s="61">
        <f t="shared" si="5"/>
        <v>97</v>
      </c>
      <c r="B191" s="105" t="s">
        <v>2244</v>
      </c>
      <c r="C191" s="100">
        <f>'.'!L2744</f>
        <v>2373650</v>
      </c>
      <c r="D191" s="103"/>
      <c r="E191" s="104"/>
      <c r="F191" s="103"/>
      <c r="G191" s="113">
        <f>'.'!G2744</f>
        <v>972</v>
      </c>
      <c r="H191" s="113">
        <f>'.'!L2744</f>
        <v>2373650</v>
      </c>
      <c r="I191" s="113"/>
      <c r="J191" s="103"/>
      <c r="K191" s="103"/>
      <c r="L191" s="103"/>
      <c r="M191" s="103"/>
      <c r="N191" s="103"/>
      <c r="O191" s="103"/>
      <c r="P191" s="103"/>
      <c r="Q191" s="103"/>
      <c r="R191" s="103"/>
      <c r="S191" s="91"/>
      <c r="T191" s="91"/>
      <c r="U191" s="92"/>
      <c r="V191" s="89"/>
      <c r="AA191" s="90">
        <v>1</v>
      </c>
    </row>
    <row r="192" spans="1:27" s="159" customFormat="1" ht="39" customHeight="1">
      <c r="A192" s="61">
        <f t="shared" si="5"/>
        <v>98</v>
      </c>
      <c r="B192" s="114" t="s">
        <v>1237</v>
      </c>
      <c r="C192" s="100">
        <f>'.'!L2745</f>
        <v>1989470</v>
      </c>
      <c r="D192" s="115"/>
      <c r="E192" s="116"/>
      <c r="F192" s="115"/>
      <c r="G192" s="113">
        <f>'.'!G2745</f>
        <v>700</v>
      </c>
      <c r="H192" s="113">
        <f>'.'!L2745</f>
        <v>1989470</v>
      </c>
      <c r="I192" s="113"/>
      <c r="J192" s="115"/>
      <c r="K192" s="115"/>
      <c r="L192" s="115"/>
      <c r="M192" s="115"/>
      <c r="N192" s="115"/>
      <c r="O192" s="115"/>
      <c r="P192" s="115"/>
      <c r="Q192" s="115"/>
      <c r="R192" s="115"/>
      <c r="S192" s="95"/>
      <c r="T192" s="95"/>
      <c r="U192" s="92"/>
      <c r="V192" s="89"/>
      <c r="AA192" s="90">
        <v>1</v>
      </c>
    </row>
    <row r="193" spans="1:27" s="159" customFormat="1" ht="39" customHeight="1">
      <c r="A193" s="61">
        <f t="shared" si="5"/>
        <v>99</v>
      </c>
      <c r="B193" s="105" t="s">
        <v>2203</v>
      </c>
      <c r="C193" s="100">
        <f>'.'!L2746</f>
        <v>2449330.84</v>
      </c>
      <c r="D193" s="103"/>
      <c r="E193" s="104"/>
      <c r="F193" s="103"/>
      <c r="G193" s="113">
        <f>'.'!G2746</f>
        <v>693</v>
      </c>
      <c r="H193" s="113">
        <f>'.'!L2746</f>
        <v>2449330.84</v>
      </c>
      <c r="I193" s="103"/>
      <c r="J193" s="103"/>
      <c r="K193" s="103"/>
      <c r="L193" s="103"/>
      <c r="M193" s="103"/>
      <c r="N193" s="103"/>
      <c r="O193" s="103"/>
      <c r="P193" s="103"/>
      <c r="Q193" s="103"/>
      <c r="R193" s="103"/>
      <c r="S193" s="91"/>
      <c r="T193" s="91"/>
      <c r="U193" s="92"/>
      <c r="V193" s="89"/>
      <c r="AA193" s="90">
        <v>1</v>
      </c>
    </row>
    <row r="194" spans="1:27" s="159" customFormat="1" ht="39" customHeight="1">
      <c r="A194" s="61">
        <f t="shared" si="5"/>
        <v>100</v>
      </c>
      <c r="B194" s="307" t="s">
        <v>2157</v>
      </c>
      <c r="C194" s="370">
        <f>'.'!L2747</f>
        <v>54199.94</v>
      </c>
      <c r="D194" s="371">
        <f>C194</f>
        <v>54199.94</v>
      </c>
      <c r="E194" s="372"/>
      <c r="F194" s="371"/>
      <c r="G194" s="371"/>
      <c r="H194" s="371"/>
      <c r="I194" s="371"/>
      <c r="J194" s="371"/>
      <c r="K194" s="371"/>
      <c r="L194" s="371"/>
      <c r="M194" s="371"/>
      <c r="N194" s="371"/>
      <c r="O194" s="371"/>
      <c r="P194" s="371"/>
      <c r="Q194" s="371"/>
      <c r="R194" s="371"/>
      <c r="S194" s="369"/>
      <c r="T194" s="369"/>
      <c r="U194" s="157"/>
      <c r="V194" s="89"/>
      <c r="AA194" s="90"/>
    </row>
    <row r="195" spans="1:27" s="159" customFormat="1" ht="39" customHeight="1">
      <c r="A195" s="61">
        <f t="shared" si="5"/>
        <v>101</v>
      </c>
      <c r="B195" s="307" t="s">
        <v>2158</v>
      </c>
      <c r="C195" s="370">
        <f>'.'!L2749</f>
        <v>49340.94</v>
      </c>
      <c r="D195" s="371">
        <f t="shared" ref="D195:D199" si="6">C195</f>
        <v>49340.94</v>
      </c>
      <c r="E195" s="372"/>
      <c r="F195" s="371"/>
      <c r="G195" s="371"/>
      <c r="H195" s="371"/>
      <c r="I195" s="371"/>
      <c r="J195" s="371"/>
      <c r="K195" s="371"/>
      <c r="L195" s="371"/>
      <c r="M195" s="371"/>
      <c r="N195" s="371"/>
      <c r="O195" s="371"/>
      <c r="P195" s="371"/>
      <c r="Q195" s="371"/>
      <c r="R195" s="371"/>
      <c r="S195" s="369"/>
      <c r="T195" s="369"/>
      <c r="U195" s="157"/>
      <c r="V195" s="89"/>
      <c r="AA195" s="90"/>
    </row>
    <row r="196" spans="1:27" s="159" customFormat="1" ht="39" customHeight="1">
      <c r="A196" s="61">
        <f t="shared" si="5"/>
        <v>102</v>
      </c>
      <c r="B196" s="307" t="s">
        <v>2204</v>
      </c>
      <c r="C196" s="370">
        <f>'.'!L2751</f>
        <v>54367.94</v>
      </c>
      <c r="D196" s="371">
        <f t="shared" si="6"/>
        <v>54367.94</v>
      </c>
      <c r="E196" s="372"/>
      <c r="F196" s="371"/>
      <c r="G196" s="371"/>
      <c r="H196" s="371"/>
      <c r="I196" s="371"/>
      <c r="J196" s="371"/>
      <c r="K196" s="371"/>
      <c r="L196" s="371"/>
      <c r="M196" s="371"/>
      <c r="N196" s="371"/>
      <c r="O196" s="371"/>
      <c r="P196" s="371"/>
      <c r="Q196" s="371"/>
      <c r="R196" s="371"/>
      <c r="S196" s="369"/>
      <c r="T196" s="369"/>
      <c r="U196" s="157"/>
      <c r="V196" s="89"/>
      <c r="AA196" s="90"/>
    </row>
    <row r="197" spans="1:27" s="159" customFormat="1" ht="39" customHeight="1">
      <c r="A197" s="61">
        <f t="shared" si="5"/>
        <v>103</v>
      </c>
      <c r="B197" s="307" t="s">
        <v>2206</v>
      </c>
      <c r="C197" s="370">
        <f>'.'!L2753</f>
        <v>60954</v>
      </c>
      <c r="D197" s="371">
        <f t="shared" si="6"/>
        <v>60954</v>
      </c>
      <c r="E197" s="372"/>
      <c r="F197" s="371"/>
      <c r="G197" s="371"/>
      <c r="H197" s="371"/>
      <c r="I197" s="371"/>
      <c r="J197" s="371"/>
      <c r="K197" s="371"/>
      <c r="L197" s="371"/>
      <c r="M197" s="371"/>
      <c r="N197" s="371"/>
      <c r="O197" s="371"/>
      <c r="P197" s="371"/>
      <c r="Q197" s="371"/>
      <c r="R197" s="371"/>
      <c r="S197" s="369"/>
      <c r="T197" s="369"/>
      <c r="U197" s="157"/>
      <c r="V197" s="89"/>
      <c r="AA197" s="90"/>
    </row>
    <row r="198" spans="1:27" s="159" customFormat="1" ht="39" customHeight="1">
      <c r="A198" s="61">
        <f t="shared" si="5"/>
        <v>104</v>
      </c>
      <c r="B198" s="373" t="s">
        <v>2223</v>
      </c>
      <c r="C198" s="370">
        <f>'.'!L2755</f>
        <v>55245</v>
      </c>
      <c r="D198" s="371">
        <f t="shared" si="6"/>
        <v>55245</v>
      </c>
      <c r="E198" s="372"/>
      <c r="F198" s="371"/>
      <c r="G198" s="371"/>
      <c r="H198" s="371"/>
      <c r="I198" s="371"/>
      <c r="J198" s="371"/>
      <c r="K198" s="371"/>
      <c r="L198" s="371"/>
      <c r="M198" s="371"/>
      <c r="N198" s="371"/>
      <c r="O198" s="371"/>
      <c r="P198" s="371"/>
      <c r="Q198" s="371"/>
      <c r="R198" s="371"/>
      <c r="S198" s="369"/>
      <c r="T198" s="369"/>
      <c r="U198" s="157"/>
      <c r="V198" s="89"/>
      <c r="AA198" s="90"/>
    </row>
    <row r="199" spans="1:27" s="159" customFormat="1" ht="39" customHeight="1">
      <c r="A199" s="61">
        <f t="shared" si="5"/>
        <v>105</v>
      </c>
      <c r="B199" s="307" t="s">
        <v>2238</v>
      </c>
      <c r="C199" s="370">
        <f>'.'!L2757</f>
        <v>56480</v>
      </c>
      <c r="D199" s="371">
        <f t="shared" si="6"/>
        <v>56480</v>
      </c>
      <c r="E199" s="372"/>
      <c r="F199" s="371"/>
      <c r="G199" s="371"/>
      <c r="H199" s="371"/>
      <c r="I199" s="371"/>
      <c r="J199" s="371"/>
      <c r="K199" s="371"/>
      <c r="L199" s="371"/>
      <c r="M199" s="371"/>
      <c r="N199" s="371"/>
      <c r="O199" s="371"/>
      <c r="P199" s="371"/>
      <c r="Q199" s="371"/>
      <c r="R199" s="371"/>
      <c r="S199" s="369"/>
      <c r="T199" s="369"/>
      <c r="U199" s="157"/>
      <c r="V199" s="89"/>
      <c r="AA199" s="90"/>
    </row>
    <row r="200" spans="1:27" s="159" customFormat="1" ht="67.5" customHeight="1">
      <c r="A200" s="1102" t="s">
        <v>146</v>
      </c>
      <c r="B200" s="1103"/>
      <c r="C200" s="98">
        <f t="shared" ref="C200:U200" si="7">SUM(C95:C199)</f>
        <v>341439819.68999994</v>
      </c>
      <c r="D200" s="98">
        <f t="shared" si="7"/>
        <v>16639944.209999999</v>
      </c>
      <c r="E200" s="99">
        <f t="shared" si="7"/>
        <v>61</v>
      </c>
      <c r="F200" s="98">
        <f t="shared" si="7"/>
        <v>131845180</v>
      </c>
      <c r="G200" s="98">
        <f t="shared" si="7"/>
        <v>69851.100000000006</v>
      </c>
      <c r="H200" s="98">
        <f t="shared" si="7"/>
        <v>175831852.82999998</v>
      </c>
      <c r="I200" s="98">
        <f t="shared" si="7"/>
        <v>0</v>
      </c>
      <c r="J200" s="98">
        <f t="shared" si="7"/>
        <v>0</v>
      </c>
      <c r="K200" s="98">
        <f t="shared" si="7"/>
        <v>1862</v>
      </c>
      <c r="L200" s="98">
        <f t="shared" si="7"/>
        <v>3073024</v>
      </c>
      <c r="M200" s="98">
        <f t="shared" si="7"/>
        <v>0</v>
      </c>
      <c r="N200" s="98">
        <f t="shared" si="7"/>
        <v>0</v>
      </c>
      <c r="O200" s="98">
        <f t="shared" si="7"/>
        <v>4202</v>
      </c>
      <c r="P200" s="98">
        <f t="shared" si="7"/>
        <v>14049818.65</v>
      </c>
      <c r="Q200" s="98">
        <f t="shared" si="7"/>
        <v>0</v>
      </c>
      <c r="R200" s="98">
        <f t="shared" si="7"/>
        <v>0</v>
      </c>
      <c r="S200" s="98">
        <f t="shared" si="7"/>
        <v>0</v>
      </c>
      <c r="T200" s="98">
        <f t="shared" si="7"/>
        <v>0</v>
      </c>
      <c r="U200" s="98">
        <f t="shared" si="7"/>
        <v>0</v>
      </c>
      <c r="V200" s="89"/>
      <c r="W200" s="89"/>
      <c r="X200" s="89"/>
      <c r="Z200" s="90"/>
      <c r="AA200" s="90"/>
    </row>
    <row r="201" spans="1:27" s="76" customFormat="1" ht="34.5" customHeight="1">
      <c r="A201" s="1093" t="s">
        <v>145</v>
      </c>
      <c r="B201" s="1094"/>
      <c r="C201" s="1094"/>
      <c r="D201" s="1094"/>
      <c r="E201" s="1094"/>
      <c r="F201" s="1094"/>
      <c r="G201" s="1094"/>
      <c r="H201" s="1094"/>
      <c r="I201" s="1094"/>
      <c r="J201" s="1094"/>
      <c r="K201" s="1094"/>
      <c r="L201" s="1094"/>
      <c r="M201" s="1094"/>
      <c r="N201" s="1094"/>
      <c r="O201" s="1094"/>
      <c r="P201" s="1094"/>
      <c r="Q201" s="1094"/>
      <c r="R201" s="1094"/>
      <c r="S201" s="1094"/>
      <c r="T201" s="124"/>
      <c r="U201" s="122"/>
      <c r="V201" s="117"/>
      <c r="AA201" s="118">
        <v>1</v>
      </c>
    </row>
    <row r="202" spans="1:27" s="76" customFormat="1" ht="39" customHeight="1">
      <c r="A202" s="72">
        <v>1</v>
      </c>
      <c r="B202" s="123" t="s">
        <v>3068</v>
      </c>
      <c r="C202" s="129">
        <f>'.'!L3966</f>
        <v>6127500</v>
      </c>
      <c r="D202" s="130"/>
      <c r="E202" s="131">
        <v>3</v>
      </c>
      <c r="F202" s="129">
        <f>'.'!L3966</f>
        <v>6127500</v>
      </c>
      <c r="G202" s="130"/>
      <c r="H202" s="130"/>
      <c r="I202" s="130"/>
      <c r="J202" s="130"/>
      <c r="K202" s="130"/>
      <c r="L202" s="130"/>
      <c r="M202" s="130"/>
      <c r="N202" s="130"/>
      <c r="O202" s="130"/>
      <c r="P202" s="130"/>
      <c r="Q202" s="130"/>
      <c r="R202" s="130"/>
      <c r="S202" s="121"/>
      <c r="T202" s="121"/>
      <c r="U202" s="122"/>
      <c r="V202" s="117"/>
      <c r="X202" s="118"/>
      <c r="Z202" s="118"/>
      <c r="AA202" s="118">
        <v>1</v>
      </c>
    </row>
    <row r="203" spans="1:27" s="76" customFormat="1" ht="39" customHeight="1">
      <c r="A203" s="72">
        <f>A202+1</f>
        <v>2</v>
      </c>
      <c r="B203" s="123" t="s">
        <v>3069</v>
      </c>
      <c r="C203" s="129">
        <f>'.'!L3967</f>
        <v>6127500</v>
      </c>
      <c r="D203" s="130"/>
      <c r="E203" s="131">
        <v>3</v>
      </c>
      <c r="F203" s="129">
        <f>'.'!L3967</f>
        <v>6127500</v>
      </c>
      <c r="G203" s="130"/>
      <c r="H203" s="130"/>
      <c r="I203" s="130"/>
      <c r="J203" s="130"/>
      <c r="K203" s="130"/>
      <c r="L203" s="130"/>
      <c r="M203" s="130"/>
      <c r="N203" s="130"/>
      <c r="O203" s="130"/>
      <c r="P203" s="130"/>
      <c r="Q203" s="130"/>
      <c r="R203" s="130"/>
      <c r="S203" s="121"/>
      <c r="T203" s="121"/>
      <c r="U203" s="122"/>
      <c r="V203" s="117"/>
      <c r="X203" s="118"/>
      <c r="Z203" s="118"/>
      <c r="AA203" s="118">
        <v>1</v>
      </c>
    </row>
    <row r="204" spans="1:27" s="76" customFormat="1" ht="39" customHeight="1">
      <c r="A204" s="72">
        <f t="shared" ref="A204:A263" si="8">A203+1</f>
        <v>3</v>
      </c>
      <c r="B204" s="123" t="s">
        <v>3070</v>
      </c>
      <c r="C204" s="129">
        <f>'.'!L3968</f>
        <v>6127500</v>
      </c>
      <c r="D204" s="130"/>
      <c r="E204" s="131">
        <v>3</v>
      </c>
      <c r="F204" s="129">
        <f>'.'!L3968</f>
        <v>6127500</v>
      </c>
      <c r="G204" s="130"/>
      <c r="H204" s="130"/>
      <c r="I204" s="130"/>
      <c r="J204" s="130"/>
      <c r="K204" s="130"/>
      <c r="L204" s="130"/>
      <c r="M204" s="130"/>
      <c r="N204" s="130"/>
      <c r="O204" s="130"/>
      <c r="P204" s="130"/>
      <c r="Q204" s="130"/>
      <c r="R204" s="130"/>
      <c r="S204" s="121"/>
      <c r="T204" s="121"/>
      <c r="U204" s="122"/>
      <c r="V204" s="117"/>
      <c r="X204" s="118"/>
      <c r="Z204" s="118"/>
      <c r="AA204" s="118">
        <v>1</v>
      </c>
    </row>
    <row r="205" spans="1:27" s="76" customFormat="1" ht="39" customHeight="1">
      <c r="A205" s="72">
        <f t="shared" si="8"/>
        <v>4</v>
      </c>
      <c r="B205" s="123" t="s">
        <v>2156</v>
      </c>
      <c r="C205" s="129">
        <f>'.'!L3969</f>
        <v>2085000</v>
      </c>
      <c r="D205" s="130"/>
      <c r="E205" s="131">
        <v>1</v>
      </c>
      <c r="F205" s="130">
        <f>'.'!L3969</f>
        <v>2085000</v>
      </c>
      <c r="G205" s="130"/>
      <c r="H205" s="130"/>
      <c r="I205" s="130"/>
      <c r="J205" s="130"/>
      <c r="K205" s="130"/>
      <c r="L205" s="130"/>
      <c r="M205" s="130"/>
      <c r="N205" s="130"/>
      <c r="O205" s="130"/>
      <c r="P205" s="130"/>
      <c r="Q205" s="130"/>
      <c r="R205" s="130"/>
      <c r="S205" s="121"/>
      <c r="T205" s="121"/>
      <c r="U205" s="122"/>
      <c r="V205" s="117"/>
      <c r="X205" s="118"/>
      <c r="Z205" s="118"/>
      <c r="AA205" s="118">
        <v>1</v>
      </c>
    </row>
    <row r="206" spans="1:27" s="76" customFormat="1" ht="39" customHeight="1">
      <c r="A206" s="72">
        <f t="shared" si="8"/>
        <v>5</v>
      </c>
      <c r="B206" s="123" t="s">
        <v>3081</v>
      </c>
      <c r="C206" s="129">
        <f>'.'!L3970</f>
        <v>4106250</v>
      </c>
      <c r="D206" s="130"/>
      <c r="E206" s="131">
        <v>2</v>
      </c>
      <c r="F206" s="130">
        <f>'.'!L3970</f>
        <v>4106250</v>
      </c>
      <c r="G206" s="130"/>
      <c r="H206" s="130"/>
      <c r="I206" s="130"/>
      <c r="J206" s="130"/>
      <c r="K206" s="130"/>
      <c r="L206" s="130"/>
      <c r="M206" s="130"/>
      <c r="N206" s="130"/>
      <c r="O206" s="130"/>
      <c r="P206" s="130"/>
      <c r="Q206" s="130"/>
      <c r="R206" s="130"/>
      <c r="S206" s="121"/>
      <c r="T206" s="121"/>
      <c r="U206" s="122"/>
      <c r="V206" s="117"/>
      <c r="X206" s="118"/>
      <c r="Z206" s="118"/>
      <c r="AA206" s="118">
        <v>1</v>
      </c>
    </row>
    <row r="207" spans="1:27" s="76" customFormat="1" ht="39" customHeight="1">
      <c r="A207" s="72">
        <f t="shared" si="8"/>
        <v>6</v>
      </c>
      <c r="B207" s="123" t="s">
        <v>2167</v>
      </c>
      <c r="C207" s="129">
        <f>'.'!L3971</f>
        <v>4106250</v>
      </c>
      <c r="D207" s="130"/>
      <c r="E207" s="131">
        <v>2</v>
      </c>
      <c r="F207" s="130">
        <f>'.'!L3971</f>
        <v>4106250</v>
      </c>
      <c r="G207" s="130"/>
      <c r="H207" s="130"/>
      <c r="I207" s="130"/>
      <c r="J207" s="130"/>
      <c r="K207" s="130"/>
      <c r="L207" s="130"/>
      <c r="M207" s="130"/>
      <c r="N207" s="130"/>
      <c r="O207" s="130"/>
      <c r="P207" s="130"/>
      <c r="Q207" s="130"/>
      <c r="R207" s="130"/>
      <c r="S207" s="121"/>
      <c r="T207" s="121"/>
      <c r="U207" s="122"/>
      <c r="V207" s="117"/>
      <c r="X207" s="118"/>
      <c r="Z207" s="118"/>
      <c r="AA207" s="118">
        <v>1</v>
      </c>
    </row>
    <row r="208" spans="1:27" s="76" customFormat="1" ht="39" customHeight="1">
      <c r="A208" s="72">
        <f t="shared" si="8"/>
        <v>7</v>
      </c>
      <c r="B208" s="123" t="s">
        <v>3082</v>
      </c>
      <c r="C208" s="129">
        <f>'.'!L3972</f>
        <v>4106250</v>
      </c>
      <c r="D208" s="130"/>
      <c r="E208" s="131">
        <v>2</v>
      </c>
      <c r="F208" s="130">
        <f>'.'!L3972</f>
        <v>4106250</v>
      </c>
      <c r="G208" s="130"/>
      <c r="H208" s="130"/>
      <c r="I208" s="130"/>
      <c r="J208" s="130"/>
      <c r="K208" s="130"/>
      <c r="L208" s="130"/>
      <c r="M208" s="130"/>
      <c r="N208" s="130"/>
      <c r="O208" s="130"/>
      <c r="P208" s="130"/>
      <c r="Q208" s="130"/>
      <c r="R208" s="130"/>
      <c r="S208" s="121"/>
      <c r="T208" s="121"/>
      <c r="U208" s="122"/>
      <c r="V208" s="117"/>
      <c r="X208" s="118"/>
      <c r="Z208" s="118"/>
      <c r="AA208" s="118">
        <v>1</v>
      </c>
    </row>
    <row r="209" spans="1:27" s="76" customFormat="1" ht="39" customHeight="1">
      <c r="A209" s="72">
        <f t="shared" si="8"/>
        <v>8</v>
      </c>
      <c r="B209" s="123" t="s">
        <v>3083</v>
      </c>
      <c r="C209" s="129">
        <f>'.'!L3973</f>
        <v>4106250</v>
      </c>
      <c r="D209" s="130"/>
      <c r="E209" s="131">
        <v>2</v>
      </c>
      <c r="F209" s="130">
        <f>'.'!M3973+'.'!N3973+'.'!O3973+'.'!Q3973</f>
        <v>4106250</v>
      </c>
      <c r="G209" s="130"/>
      <c r="H209" s="130"/>
      <c r="I209" s="130"/>
      <c r="J209" s="130"/>
      <c r="K209" s="130"/>
      <c r="L209" s="130"/>
      <c r="M209" s="130"/>
      <c r="N209" s="130"/>
      <c r="O209" s="130"/>
      <c r="P209" s="130"/>
      <c r="Q209" s="130"/>
      <c r="R209" s="130"/>
      <c r="S209" s="121"/>
      <c r="T209" s="121"/>
      <c r="U209" s="122"/>
      <c r="V209" s="117"/>
      <c r="X209" s="118"/>
      <c r="Z209" s="118"/>
      <c r="AA209" s="118">
        <v>1</v>
      </c>
    </row>
    <row r="210" spans="1:27" s="76" customFormat="1" ht="39" customHeight="1">
      <c r="A210" s="72">
        <f t="shared" si="8"/>
        <v>9</v>
      </c>
      <c r="B210" s="123" t="s">
        <v>3084</v>
      </c>
      <c r="C210" s="129">
        <f>'.'!L3974</f>
        <v>2085000</v>
      </c>
      <c r="D210" s="130"/>
      <c r="E210" s="131">
        <v>1</v>
      </c>
      <c r="F210" s="130">
        <f>'.'!L3974</f>
        <v>2085000</v>
      </c>
      <c r="G210" s="130"/>
      <c r="H210" s="130"/>
      <c r="I210" s="130"/>
      <c r="J210" s="130"/>
      <c r="K210" s="130"/>
      <c r="L210" s="130"/>
      <c r="M210" s="130"/>
      <c r="N210" s="130"/>
      <c r="O210" s="130"/>
      <c r="P210" s="130"/>
      <c r="Q210" s="130"/>
      <c r="R210" s="130"/>
      <c r="S210" s="121"/>
      <c r="T210" s="121"/>
      <c r="U210" s="122"/>
      <c r="V210" s="117"/>
      <c r="X210" s="118"/>
      <c r="Z210" s="118"/>
      <c r="AA210" s="118">
        <v>1</v>
      </c>
    </row>
    <row r="211" spans="1:27" s="76" customFormat="1" ht="39" customHeight="1">
      <c r="A211" s="72">
        <f t="shared" si="8"/>
        <v>10</v>
      </c>
      <c r="B211" s="123" t="s">
        <v>3110</v>
      </c>
      <c r="C211" s="129">
        <f>'.'!L3975</f>
        <v>6127500</v>
      </c>
      <c r="D211" s="130"/>
      <c r="E211" s="131">
        <v>3</v>
      </c>
      <c r="F211" s="130">
        <f>'.'!L3975</f>
        <v>6127500</v>
      </c>
      <c r="G211" s="130"/>
      <c r="H211" s="130"/>
      <c r="I211" s="130"/>
      <c r="J211" s="130"/>
      <c r="K211" s="130"/>
      <c r="L211" s="130"/>
      <c r="M211" s="130"/>
      <c r="N211" s="130"/>
      <c r="O211" s="130"/>
      <c r="P211" s="130"/>
      <c r="Q211" s="130"/>
      <c r="R211" s="130"/>
      <c r="S211" s="121"/>
      <c r="T211" s="121"/>
      <c r="U211" s="122"/>
      <c r="V211" s="117"/>
      <c r="X211" s="118"/>
      <c r="Z211" s="118"/>
      <c r="AA211" s="118">
        <v>1</v>
      </c>
    </row>
    <row r="212" spans="1:27" s="76" customFormat="1" ht="39" customHeight="1">
      <c r="A212" s="72">
        <f t="shared" si="8"/>
        <v>11</v>
      </c>
      <c r="B212" s="123" t="s">
        <v>3860</v>
      </c>
      <c r="C212" s="129">
        <f>'.'!L3976</f>
        <v>10170000</v>
      </c>
      <c r="D212" s="130"/>
      <c r="E212" s="131">
        <v>5</v>
      </c>
      <c r="F212" s="130">
        <f>'.'!L3976</f>
        <v>10170000</v>
      </c>
      <c r="G212" s="130"/>
      <c r="H212" s="130"/>
      <c r="I212" s="130"/>
      <c r="J212" s="130"/>
      <c r="K212" s="130"/>
      <c r="L212" s="130"/>
      <c r="M212" s="130"/>
      <c r="N212" s="130"/>
      <c r="O212" s="130"/>
      <c r="P212" s="130"/>
      <c r="Q212" s="130"/>
      <c r="R212" s="130"/>
      <c r="S212" s="121"/>
      <c r="T212" s="121"/>
      <c r="U212" s="122"/>
      <c r="V212" s="117"/>
      <c r="X212" s="118"/>
      <c r="Z212" s="118"/>
      <c r="AA212" s="118">
        <v>1</v>
      </c>
    </row>
    <row r="213" spans="1:27" s="76" customFormat="1" ht="39" customHeight="1">
      <c r="A213" s="72">
        <f t="shared" si="8"/>
        <v>12</v>
      </c>
      <c r="B213" s="123" t="s">
        <v>2185</v>
      </c>
      <c r="C213" s="129">
        <f>'.'!L3977</f>
        <v>4106250</v>
      </c>
      <c r="D213" s="130"/>
      <c r="E213" s="131">
        <v>2</v>
      </c>
      <c r="F213" s="130">
        <f>'.'!L3977</f>
        <v>4106250</v>
      </c>
      <c r="G213" s="130"/>
      <c r="H213" s="130"/>
      <c r="I213" s="130"/>
      <c r="J213" s="130"/>
      <c r="K213" s="130"/>
      <c r="L213" s="130"/>
      <c r="M213" s="130"/>
      <c r="N213" s="130"/>
      <c r="O213" s="130"/>
      <c r="P213" s="130"/>
      <c r="Q213" s="130"/>
      <c r="R213" s="130"/>
      <c r="S213" s="121"/>
      <c r="T213" s="121"/>
      <c r="U213" s="122"/>
      <c r="V213" s="117"/>
      <c r="X213" s="118"/>
      <c r="Z213" s="118"/>
      <c r="AA213" s="118">
        <v>1</v>
      </c>
    </row>
    <row r="214" spans="1:27" s="76" customFormat="1" ht="39" customHeight="1">
      <c r="A214" s="72">
        <f t="shared" si="8"/>
        <v>13</v>
      </c>
      <c r="B214" s="123" t="s">
        <v>3129</v>
      </c>
      <c r="C214" s="129">
        <f>'.'!L3978</f>
        <v>2085000</v>
      </c>
      <c r="D214" s="130"/>
      <c r="E214" s="131">
        <v>1</v>
      </c>
      <c r="F214" s="130">
        <f>'.'!L3978</f>
        <v>2085000</v>
      </c>
      <c r="G214" s="130"/>
      <c r="H214" s="130"/>
      <c r="I214" s="130"/>
      <c r="J214" s="130"/>
      <c r="K214" s="130"/>
      <c r="L214" s="130"/>
      <c r="M214" s="130"/>
      <c r="N214" s="130"/>
      <c r="O214" s="130"/>
      <c r="P214" s="130"/>
      <c r="Q214" s="130"/>
      <c r="R214" s="130"/>
      <c r="S214" s="121"/>
      <c r="T214" s="121"/>
      <c r="U214" s="122"/>
      <c r="V214" s="117"/>
      <c r="X214" s="118"/>
      <c r="Z214" s="118"/>
      <c r="AA214" s="118">
        <v>1</v>
      </c>
    </row>
    <row r="215" spans="1:27" s="76" customFormat="1" ht="39" customHeight="1">
      <c r="A215" s="72">
        <f t="shared" si="8"/>
        <v>14</v>
      </c>
      <c r="B215" s="123" t="s">
        <v>3130</v>
      </c>
      <c r="C215" s="129">
        <f>'.'!L3979</f>
        <v>3142284</v>
      </c>
      <c r="D215" s="130"/>
      <c r="E215" s="131">
        <v>1</v>
      </c>
      <c r="F215" s="130">
        <f>'.'!M3980+'.'!N3980+'.'!O3980+'.'!Q3980</f>
        <v>2085000</v>
      </c>
      <c r="G215" s="130">
        <f>'.'!G3979</f>
        <v>432</v>
      </c>
      <c r="H215" s="130">
        <f>'.'!M3979+'.'!N3979+'.'!O3979+'.'!Q3979</f>
        <v>1057284</v>
      </c>
      <c r="I215" s="130"/>
      <c r="J215" s="130"/>
      <c r="K215" s="130"/>
      <c r="L215" s="130"/>
      <c r="M215" s="130"/>
      <c r="N215" s="130"/>
      <c r="O215" s="130"/>
      <c r="P215" s="130"/>
      <c r="Q215" s="130"/>
      <c r="R215" s="130"/>
      <c r="S215" s="121"/>
      <c r="T215" s="121"/>
      <c r="U215" s="122"/>
      <c r="V215" s="117"/>
      <c r="X215" s="118"/>
      <c r="Z215" s="118"/>
      <c r="AA215" s="118">
        <v>1</v>
      </c>
    </row>
    <row r="216" spans="1:27" s="76" customFormat="1" ht="39" customHeight="1">
      <c r="A216" s="72">
        <f t="shared" si="8"/>
        <v>15</v>
      </c>
      <c r="B216" s="123" t="s">
        <v>3143</v>
      </c>
      <c r="C216" s="129">
        <f>'.'!L3981</f>
        <v>4106250</v>
      </c>
      <c r="D216" s="130"/>
      <c r="E216" s="131">
        <v>2</v>
      </c>
      <c r="F216" s="130">
        <f>'.'!L3981</f>
        <v>4106250</v>
      </c>
      <c r="G216" s="130"/>
      <c r="H216" s="130"/>
      <c r="I216" s="130"/>
      <c r="J216" s="130"/>
      <c r="K216" s="130"/>
      <c r="L216" s="130"/>
      <c r="M216" s="130"/>
      <c r="N216" s="130"/>
      <c r="O216" s="130"/>
      <c r="P216" s="130"/>
      <c r="Q216" s="130"/>
      <c r="R216" s="130"/>
      <c r="S216" s="121"/>
      <c r="T216" s="121"/>
      <c r="U216" s="122"/>
      <c r="V216" s="117"/>
      <c r="X216" s="118"/>
      <c r="Z216" s="118"/>
      <c r="AA216" s="118">
        <v>1</v>
      </c>
    </row>
    <row r="217" spans="1:27" s="76" customFormat="1" ht="39" customHeight="1">
      <c r="A217" s="72">
        <f t="shared" si="8"/>
        <v>16</v>
      </c>
      <c r="B217" s="123" t="s">
        <v>3148</v>
      </c>
      <c r="C217" s="129">
        <f>'.'!L3982</f>
        <v>5879434</v>
      </c>
      <c r="D217" s="130">
        <f>'.'!M3982+'.'!N3982+'.'!O3982+'.'!Q3982</f>
        <v>1773184</v>
      </c>
      <c r="E217" s="131">
        <v>2</v>
      </c>
      <c r="F217" s="130">
        <f>'.'!M3983+'.'!N3983+'.'!O3983+'.'!Q3983</f>
        <v>4106250</v>
      </c>
      <c r="G217" s="130"/>
      <c r="H217" s="130"/>
      <c r="I217" s="130"/>
      <c r="J217" s="130"/>
      <c r="K217" s="130"/>
      <c r="L217" s="130"/>
      <c r="M217" s="130"/>
      <c r="N217" s="130"/>
      <c r="O217" s="130"/>
      <c r="P217" s="130"/>
      <c r="Q217" s="130"/>
      <c r="R217" s="130"/>
      <c r="S217" s="121"/>
      <c r="T217" s="121"/>
      <c r="U217" s="122"/>
      <c r="V217" s="117"/>
      <c r="X217" s="118"/>
      <c r="Z217" s="118"/>
      <c r="AA217" s="118">
        <v>1</v>
      </c>
    </row>
    <row r="218" spans="1:27" s="76" customFormat="1" ht="39" customHeight="1">
      <c r="A218" s="72">
        <f t="shared" si="8"/>
        <v>17</v>
      </c>
      <c r="B218" s="272" t="s">
        <v>3863</v>
      </c>
      <c r="C218" s="129">
        <f>'.'!L3984</f>
        <v>4106250</v>
      </c>
      <c r="D218" s="132"/>
      <c r="E218" s="133">
        <v>2</v>
      </c>
      <c r="F218" s="132">
        <f>'.'!L3984</f>
        <v>4106250</v>
      </c>
      <c r="G218" s="132"/>
      <c r="H218" s="132"/>
      <c r="I218" s="132"/>
      <c r="J218" s="132"/>
      <c r="K218" s="132"/>
      <c r="L218" s="132"/>
      <c r="M218" s="132"/>
      <c r="N218" s="132"/>
      <c r="O218" s="130"/>
      <c r="P218" s="132"/>
      <c r="Q218" s="132"/>
      <c r="R218" s="132"/>
      <c r="S218" s="128"/>
      <c r="T218" s="128"/>
      <c r="U218" s="127"/>
      <c r="V218" s="117"/>
      <c r="X218" s="118"/>
      <c r="Z218" s="118"/>
      <c r="AA218" s="118">
        <v>1</v>
      </c>
    </row>
    <row r="219" spans="1:27" s="76" customFormat="1" ht="39" customHeight="1">
      <c r="A219" s="72">
        <f t="shared" si="8"/>
        <v>18</v>
      </c>
      <c r="B219" s="272" t="s">
        <v>3864</v>
      </c>
      <c r="C219" s="129">
        <f>'.'!L3985</f>
        <v>4106250</v>
      </c>
      <c r="D219" s="132"/>
      <c r="E219" s="133">
        <v>2</v>
      </c>
      <c r="F219" s="132">
        <f>'.'!L3985</f>
        <v>4106250</v>
      </c>
      <c r="G219" s="132"/>
      <c r="H219" s="132"/>
      <c r="I219" s="132"/>
      <c r="J219" s="132"/>
      <c r="K219" s="132"/>
      <c r="L219" s="132"/>
      <c r="M219" s="132"/>
      <c r="N219" s="132"/>
      <c r="O219" s="130"/>
      <c r="P219" s="132"/>
      <c r="Q219" s="132"/>
      <c r="R219" s="132"/>
      <c r="S219" s="128"/>
      <c r="T219" s="128"/>
      <c r="U219" s="127"/>
      <c r="V219" s="117"/>
      <c r="X219" s="118"/>
      <c r="Z219" s="118"/>
      <c r="AA219" s="118">
        <v>1</v>
      </c>
    </row>
    <row r="220" spans="1:27" s="76" customFormat="1" ht="39" customHeight="1">
      <c r="A220" s="72">
        <f t="shared" si="8"/>
        <v>19</v>
      </c>
      <c r="B220" s="272" t="s">
        <v>3865</v>
      </c>
      <c r="C220" s="129">
        <f>'.'!L3986</f>
        <v>6127500</v>
      </c>
      <c r="D220" s="132"/>
      <c r="E220" s="133">
        <v>3</v>
      </c>
      <c r="F220" s="132">
        <f>'.'!L3986</f>
        <v>6127500</v>
      </c>
      <c r="G220" s="132"/>
      <c r="H220" s="132"/>
      <c r="I220" s="132"/>
      <c r="J220" s="132"/>
      <c r="K220" s="132"/>
      <c r="L220" s="132"/>
      <c r="M220" s="132"/>
      <c r="N220" s="132"/>
      <c r="O220" s="130"/>
      <c r="P220" s="132"/>
      <c r="Q220" s="132"/>
      <c r="R220" s="132"/>
      <c r="S220" s="128"/>
      <c r="T220" s="128"/>
      <c r="U220" s="127"/>
      <c r="V220" s="117"/>
      <c r="X220" s="118"/>
      <c r="Z220" s="118"/>
      <c r="AA220" s="118">
        <v>1</v>
      </c>
    </row>
    <row r="221" spans="1:27" s="76" customFormat="1" ht="39" customHeight="1">
      <c r="A221" s="72">
        <f t="shared" si="8"/>
        <v>20</v>
      </c>
      <c r="B221" s="272" t="s">
        <v>3866</v>
      </c>
      <c r="C221" s="129">
        <f>'.'!L3987</f>
        <v>4106250</v>
      </c>
      <c r="D221" s="132"/>
      <c r="E221" s="133">
        <v>2</v>
      </c>
      <c r="F221" s="132">
        <f>'.'!L3987</f>
        <v>4106250</v>
      </c>
      <c r="G221" s="132"/>
      <c r="H221" s="132"/>
      <c r="I221" s="132"/>
      <c r="J221" s="132"/>
      <c r="K221" s="132"/>
      <c r="L221" s="132"/>
      <c r="M221" s="132"/>
      <c r="N221" s="132"/>
      <c r="O221" s="130"/>
      <c r="P221" s="132"/>
      <c r="Q221" s="132"/>
      <c r="R221" s="132"/>
      <c r="S221" s="128"/>
      <c r="T221" s="128"/>
      <c r="U221" s="127"/>
      <c r="V221" s="117"/>
      <c r="X221" s="118"/>
      <c r="Z221" s="118"/>
      <c r="AA221" s="118">
        <v>1</v>
      </c>
    </row>
    <row r="222" spans="1:27" s="76" customFormat="1" ht="39" customHeight="1">
      <c r="A222" s="72">
        <f t="shared" si="8"/>
        <v>21</v>
      </c>
      <c r="B222" s="272" t="s">
        <v>3461</v>
      </c>
      <c r="C222" s="129">
        <f>'.'!L3988</f>
        <v>6127500</v>
      </c>
      <c r="D222" s="132"/>
      <c r="E222" s="133">
        <v>3</v>
      </c>
      <c r="F222" s="132">
        <f>'.'!L3988</f>
        <v>6127500</v>
      </c>
      <c r="G222" s="132"/>
      <c r="H222" s="132"/>
      <c r="I222" s="132"/>
      <c r="J222" s="132"/>
      <c r="K222" s="132"/>
      <c r="L222" s="132"/>
      <c r="M222" s="132"/>
      <c r="N222" s="132"/>
      <c r="O222" s="130"/>
      <c r="P222" s="132"/>
      <c r="Q222" s="132"/>
      <c r="R222" s="132"/>
      <c r="S222" s="128"/>
      <c r="T222" s="128"/>
      <c r="U222" s="127"/>
      <c r="V222" s="117"/>
      <c r="X222" s="118"/>
      <c r="Z222" s="118"/>
      <c r="AA222" s="118">
        <v>1</v>
      </c>
    </row>
    <row r="223" spans="1:27" s="76" customFormat="1" ht="39" customHeight="1">
      <c r="A223" s="72">
        <f t="shared" si="8"/>
        <v>22</v>
      </c>
      <c r="B223" s="272" t="s">
        <v>3867</v>
      </c>
      <c r="C223" s="129">
        <f>'.'!L3989</f>
        <v>4106250</v>
      </c>
      <c r="D223" s="132"/>
      <c r="E223" s="133">
        <v>2</v>
      </c>
      <c r="F223" s="132">
        <f>'.'!L3989</f>
        <v>4106250</v>
      </c>
      <c r="G223" s="132"/>
      <c r="H223" s="132"/>
      <c r="I223" s="132"/>
      <c r="J223" s="132"/>
      <c r="K223" s="132"/>
      <c r="L223" s="132"/>
      <c r="M223" s="132"/>
      <c r="N223" s="132"/>
      <c r="O223" s="130"/>
      <c r="P223" s="132"/>
      <c r="Q223" s="132"/>
      <c r="R223" s="132"/>
      <c r="S223" s="128"/>
      <c r="T223" s="128"/>
      <c r="U223" s="127"/>
      <c r="V223" s="117"/>
      <c r="X223" s="118"/>
      <c r="Z223" s="118"/>
      <c r="AA223" s="118">
        <v>1</v>
      </c>
    </row>
    <row r="224" spans="1:27" s="76" customFormat="1" ht="39" customHeight="1">
      <c r="A224" s="72">
        <f t="shared" si="8"/>
        <v>23</v>
      </c>
      <c r="B224" s="272" t="s">
        <v>3868</v>
      </c>
      <c r="C224" s="129">
        <f>'.'!L3990</f>
        <v>4106250</v>
      </c>
      <c r="D224" s="132"/>
      <c r="E224" s="133">
        <v>2</v>
      </c>
      <c r="F224" s="132">
        <f>'.'!L3990</f>
        <v>4106250</v>
      </c>
      <c r="G224" s="132"/>
      <c r="H224" s="132"/>
      <c r="I224" s="132"/>
      <c r="J224" s="132"/>
      <c r="K224" s="132"/>
      <c r="L224" s="132"/>
      <c r="M224" s="132"/>
      <c r="N224" s="132"/>
      <c r="O224" s="130"/>
      <c r="P224" s="132"/>
      <c r="Q224" s="132"/>
      <c r="R224" s="132"/>
      <c r="S224" s="128"/>
      <c r="T224" s="128"/>
      <c r="U224" s="127"/>
      <c r="V224" s="117"/>
      <c r="X224" s="118"/>
      <c r="Z224" s="118"/>
      <c r="AA224" s="118">
        <v>1</v>
      </c>
    </row>
    <row r="225" spans="1:27" s="76" customFormat="1" ht="39" customHeight="1">
      <c r="A225" s="72">
        <f t="shared" si="8"/>
        <v>24</v>
      </c>
      <c r="B225" s="272" t="s">
        <v>3869</v>
      </c>
      <c r="C225" s="129">
        <f>'.'!L3991</f>
        <v>6127500</v>
      </c>
      <c r="D225" s="132"/>
      <c r="E225" s="133">
        <v>3</v>
      </c>
      <c r="F225" s="132">
        <f>'.'!L3991</f>
        <v>6127500</v>
      </c>
      <c r="G225" s="132"/>
      <c r="H225" s="132"/>
      <c r="I225" s="132"/>
      <c r="J225" s="132"/>
      <c r="K225" s="132"/>
      <c r="L225" s="132"/>
      <c r="M225" s="132"/>
      <c r="N225" s="132"/>
      <c r="O225" s="130"/>
      <c r="P225" s="132"/>
      <c r="Q225" s="132"/>
      <c r="R225" s="132"/>
      <c r="S225" s="128"/>
      <c r="T225" s="128"/>
      <c r="U225" s="127"/>
      <c r="V225" s="117"/>
      <c r="X225" s="118"/>
      <c r="Z225" s="118"/>
      <c r="AA225" s="118">
        <v>1</v>
      </c>
    </row>
    <row r="226" spans="1:27" s="76" customFormat="1" ht="39" customHeight="1">
      <c r="A226" s="72">
        <f t="shared" si="8"/>
        <v>25</v>
      </c>
      <c r="B226" s="272" t="s">
        <v>3870</v>
      </c>
      <c r="C226" s="129">
        <f>'.'!L3992</f>
        <v>2085000</v>
      </c>
      <c r="D226" s="132"/>
      <c r="E226" s="133">
        <v>1</v>
      </c>
      <c r="F226" s="132">
        <f>'.'!L3992</f>
        <v>2085000</v>
      </c>
      <c r="G226" s="132"/>
      <c r="H226" s="132"/>
      <c r="I226" s="132"/>
      <c r="J226" s="132"/>
      <c r="K226" s="132"/>
      <c r="L226" s="132"/>
      <c r="M226" s="132"/>
      <c r="N226" s="132"/>
      <c r="O226" s="130"/>
      <c r="P226" s="132"/>
      <c r="Q226" s="132"/>
      <c r="R226" s="132"/>
      <c r="S226" s="128"/>
      <c r="T226" s="128"/>
      <c r="U226" s="127"/>
      <c r="V226" s="117"/>
      <c r="X226" s="118"/>
      <c r="Z226" s="118"/>
      <c r="AA226" s="118">
        <v>1</v>
      </c>
    </row>
    <row r="227" spans="1:27" s="76" customFormat="1" ht="39" customHeight="1">
      <c r="A227" s="72">
        <f t="shared" si="8"/>
        <v>26</v>
      </c>
      <c r="B227" s="272" t="s">
        <v>3871</v>
      </c>
      <c r="C227" s="129">
        <f>'.'!L3993</f>
        <v>4106250</v>
      </c>
      <c r="D227" s="132"/>
      <c r="E227" s="133">
        <v>2</v>
      </c>
      <c r="F227" s="132">
        <f>'.'!L3993</f>
        <v>4106250</v>
      </c>
      <c r="G227" s="132"/>
      <c r="H227" s="132"/>
      <c r="I227" s="132"/>
      <c r="J227" s="132"/>
      <c r="K227" s="132"/>
      <c r="L227" s="132"/>
      <c r="M227" s="132"/>
      <c r="N227" s="132"/>
      <c r="O227" s="130"/>
      <c r="P227" s="132"/>
      <c r="Q227" s="134"/>
      <c r="R227" s="134"/>
      <c r="S227" s="128"/>
      <c r="T227" s="128"/>
      <c r="U227" s="127"/>
      <c r="V227" s="117"/>
      <c r="X227" s="118"/>
      <c r="Z227" s="118"/>
      <c r="AA227" s="118">
        <v>1</v>
      </c>
    </row>
    <row r="228" spans="1:27" s="76" customFormat="1" ht="39" customHeight="1">
      <c r="A228" s="72">
        <f t="shared" si="8"/>
        <v>27</v>
      </c>
      <c r="B228" s="123" t="s">
        <v>3062</v>
      </c>
      <c r="C228" s="129">
        <f>'.'!L3994</f>
        <v>3784905</v>
      </c>
      <c r="D228" s="130"/>
      <c r="E228" s="131"/>
      <c r="F228" s="130"/>
      <c r="G228" s="130">
        <f>'.'!G3994</f>
        <v>1327</v>
      </c>
      <c r="H228" s="130">
        <f>'.'!L3994</f>
        <v>3784905</v>
      </c>
      <c r="I228" s="130"/>
      <c r="J228" s="130"/>
      <c r="K228" s="130"/>
      <c r="L228" s="130"/>
      <c r="M228" s="130"/>
      <c r="N228" s="130"/>
      <c r="O228" s="130"/>
      <c r="P228" s="130"/>
      <c r="Q228" s="130"/>
      <c r="R228" s="130"/>
      <c r="S228" s="121"/>
      <c r="T228" s="121"/>
      <c r="U228" s="122"/>
      <c r="V228" s="117"/>
      <c r="AA228" s="118">
        <v>1</v>
      </c>
    </row>
    <row r="229" spans="1:27" s="76" customFormat="1" ht="39" customHeight="1">
      <c r="A229" s="72">
        <f t="shared" si="8"/>
        <v>28</v>
      </c>
      <c r="B229" s="123" t="s">
        <v>3063</v>
      </c>
      <c r="C229" s="129">
        <f>'.'!L3995</f>
        <v>4348031</v>
      </c>
      <c r="D229" s="130"/>
      <c r="E229" s="131"/>
      <c r="F229" s="130"/>
      <c r="G229" s="130">
        <f>'.'!G3995</f>
        <v>1800</v>
      </c>
      <c r="H229" s="130">
        <f>'.'!L3995</f>
        <v>4348031</v>
      </c>
      <c r="I229" s="130"/>
      <c r="J229" s="130"/>
      <c r="K229" s="130"/>
      <c r="L229" s="130"/>
      <c r="M229" s="130"/>
      <c r="N229" s="130"/>
      <c r="O229" s="130"/>
      <c r="P229" s="130"/>
      <c r="Q229" s="130"/>
      <c r="R229" s="130"/>
      <c r="S229" s="121"/>
      <c r="T229" s="121"/>
      <c r="U229" s="122"/>
      <c r="V229" s="117"/>
      <c r="AA229" s="118">
        <v>1</v>
      </c>
    </row>
    <row r="230" spans="1:27" s="76" customFormat="1" ht="39" customHeight="1">
      <c r="A230" s="72">
        <f t="shared" si="8"/>
        <v>29</v>
      </c>
      <c r="B230" s="123" t="s">
        <v>3064</v>
      </c>
      <c r="C230" s="129">
        <f>'.'!L3996</f>
        <v>3537728</v>
      </c>
      <c r="D230" s="130"/>
      <c r="E230" s="131"/>
      <c r="F230" s="130"/>
      <c r="G230" s="130">
        <f>'.'!G3996</f>
        <v>1463</v>
      </c>
      <c r="H230" s="130">
        <f>'.'!L3996</f>
        <v>3537728</v>
      </c>
      <c r="I230" s="130"/>
      <c r="J230" s="130"/>
      <c r="K230" s="130"/>
      <c r="L230" s="130"/>
      <c r="M230" s="130"/>
      <c r="N230" s="130"/>
      <c r="O230" s="130"/>
      <c r="P230" s="130"/>
      <c r="Q230" s="130"/>
      <c r="R230" s="130"/>
      <c r="S230" s="121"/>
      <c r="T230" s="121"/>
      <c r="U230" s="122"/>
      <c r="V230" s="117"/>
      <c r="AA230" s="118">
        <v>1</v>
      </c>
    </row>
    <row r="231" spans="1:27" s="76" customFormat="1" ht="39" customHeight="1">
      <c r="A231" s="72">
        <f t="shared" si="8"/>
        <v>30</v>
      </c>
      <c r="B231" s="123" t="s">
        <v>3065</v>
      </c>
      <c r="C231" s="129">
        <f>'.'!L3997</f>
        <v>2275385</v>
      </c>
      <c r="D231" s="130"/>
      <c r="E231" s="131"/>
      <c r="F231" s="130"/>
      <c r="G231" s="130">
        <f>'.'!G3997</f>
        <v>938</v>
      </c>
      <c r="H231" s="130">
        <f>'.'!L3997</f>
        <v>2275385</v>
      </c>
      <c r="I231" s="130"/>
      <c r="J231" s="130"/>
      <c r="K231" s="130"/>
      <c r="L231" s="130"/>
      <c r="M231" s="130"/>
      <c r="N231" s="130"/>
      <c r="O231" s="130"/>
      <c r="P231" s="130"/>
      <c r="Q231" s="130"/>
      <c r="R231" s="130"/>
      <c r="S231" s="121"/>
      <c r="T231" s="121"/>
      <c r="U231" s="122"/>
      <c r="V231" s="117"/>
      <c r="AA231" s="118">
        <v>1</v>
      </c>
    </row>
    <row r="232" spans="1:27" s="76" customFormat="1" ht="39" customHeight="1">
      <c r="A232" s="72">
        <f t="shared" si="8"/>
        <v>31</v>
      </c>
      <c r="B232" s="123" t="s">
        <v>3066</v>
      </c>
      <c r="C232" s="129">
        <f>'.'!L3998</f>
        <v>3487234</v>
      </c>
      <c r="D232" s="130"/>
      <c r="E232" s="131"/>
      <c r="F232" s="130"/>
      <c r="G232" s="130">
        <f>'.'!G3998</f>
        <v>1442</v>
      </c>
      <c r="H232" s="130">
        <f>'.'!L3998</f>
        <v>3487234</v>
      </c>
      <c r="I232" s="130"/>
      <c r="J232" s="130"/>
      <c r="K232" s="130"/>
      <c r="L232" s="130"/>
      <c r="M232" s="130"/>
      <c r="N232" s="130"/>
      <c r="O232" s="130"/>
      <c r="P232" s="130"/>
      <c r="Q232" s="130"/>
      <c r="R232" s="130"/>
      <c r="S232" s="121"/>
      <c r="T232" s="121"/>
      <c r="U232" s="122"/>
      <c r="V232" s="117"/>
      <c r="AA232" s="118">
        <v>1</v>
      </c>
    </row>
    <row r="233" spans="1:27" s="76" customFormat="1" ht="39" customHeight="1">
      <c r="A233" s="72">
        <f t="shared" si="8"/>
        <v>32</v>
      </c>
      <c r="B233" s="123" t="s">
        <v>3067</v>
      </c>
      <c r="C233" s="129">
        <f>'.'!L3999</f>
        <v>3363070</v>
      </c>
      <c r="D233" s="130">
        <f>'.'!L3999</f>
        <v>3363070</v>
      </c>
      <c r="E233" s="131"/>
      <c r="F233" s="130"/>
      <c r="G233" s="130"/>
      <c r="H233" s="130"/>
      <c r="I233" s="130"/>
      <c r="J233" s="130"/>
      <c r="K233" s="130"/>
      <c r="L233" s="130"/>
      <c r="M233" s="130"/>
      <c r="N233" s="130"/>
      <c r="O233" s="130"/>
      <c r="P233" s="130"/>
      <c r="Q233" s="130"/>
      <c r="R233" s="130"/>
      <c r="S233" s="121"/>
      <c r="T233" s="121"/>
      <c r="U233" s="122"/>
      <c r="V233" s="117"/>
      <c r="AA233" s="118">
        <v>1</v>
      </c>
    </row>
    <row r="234" spans="1:27" s="76" customFormat="1" ht="39" customHeight="1">
      <c r="A234" s="72">
        <f t="shared" si="8"/>
        <v>33</v>
      </c>
      <c r="B234" s="123" t="s">
        <v>3071</v>
      </c>
      <c r="C234" s="129">
        <f>'.'!L4000</f>
        <v>1554046</v>
      </c>
      <c r="D234" s="130"/>
      <c r="E234" s="131"/>
      <c r="F234" s="130"/>
      <c r="G234" s="130">
        <f>'.'!G4000</f>
        <v>638</v>
      </c>
      <c r="H234" s="130">
        <f>'.'!L4000</f>
        <v>1554046</v>
      </c>
      <c r="I234" s="130"/>
      <c r="J234" s="130"/>
      <c r="K234" s="130"/>
      <c r="L234" s="130"/>
      <c r="M234" s="130"/>
      <c r="N234" s="130"/>
      <c r="O234" s="130"/>
      <c r="P234" s="130"/>
      <c r="Q234" s="130"/>
      <c r="R234" s="130"/>
      <c r="S234" s="121"/>
      <c r="T234" s="121"/>
      <c r="U234" s="122"/>
      <c r="V234" s="117"/>
      <c r="AA234" s="118">
        <v>1</v>
      </c>
    </row>
    <row r="235" spans="1:27" s="76" customFormat="1" ht="39" customHeight="1">
      <c r="A235" s="72">
        <f t="shared" si="8"/>
        <v>34</v>
      </c>
      <c r="B235" s="123" t="s">
        <v>3072</v>
      </c>
      <c r="C235" s="129">
        <f>'.'!L4001</f>
        <v>2734638</v>
      </c>
      <c r="D235" s="130"/>
      <c r="E235" s="131"/>
      <c r="F235" s="130"/>
      <c r="G235" s="130">
        <f>'.'!G4001</f>
        <v>1129</v>
      </c>
      <c r="H235" s="130">
        <f>'.'!L4001</f>
        <v>2734638</v>
      </c>
      <c r="I235" s="130"/>
      <c r="J235" s="130"/>
      <c r="K235" s="130"/>
      <c r="L235" s="130"/>
      <c r="M235" s="130"/>
      <c r="N235" s="130"/>
      <c r="O235" s="130"/>
      <c r="P235" s="130"/>
      <c r="Q235" s="130"/>
      <c r="R235" s="130"/>
      <c r="S235" s="121"/>
      <c r="T235" s="121"/>
      <c r="U235" s="122"/>
      <c r="V235" s="117"/>
      <c r="AA235" s="118">
        <v>1</v>
      </c>
    </row>
    <row r="236" spans="1:27" s="76" customFormat="1" ht="39" customHeight="1">
      <c r="A236" s="72">
        <f t="shared" si="8"/>
        <v>35</v>
      </c>
      <c r="B236" s="123" t="s">
        <v>3073</v>
      </c>
      <c r="C236" s="129">
        <f>'.'!L4002</f>
        <v>2318665</v>
      </c>
      <c r="D236" s="130"/>
      <c r="E236" s="131"/>
      <c r="F236" s="130"/>
      <c r="G236" s="130">
        <f>'.'!G4002</f>
        <v>956</v>
      </c>
      <c r="H236" s="130">
        <f>'.'!L4002</f>
        <v>2318665</v>
      </c>
      <c r="I236" s="130"/>
      <c r="J236" s="130"/>
      <c r="K236" s="130"/>
      <c r="L236" s="130"/>
      <c r="M236" s="130"/>
      <c r="N236" s="130"/>
      <c r="O236" s="130"/>
      <c r="P236" s="130"/>
      <c r="Q236" s="130"/>
      <c r="R236" s="130"/>
      <c r="S236" s="121"/>
      <c r="T236" s="121"/>
      <c r="U236" s="122"/>
      <c r="V236" s="117"/>
      <c r="AA236" s="118">
        <v>1</v>
      </c>
    </row>
    <row r="237" spans="1:27" s="76" customFormat="1" ht="39" customHeight="1">
      <c r="A237" s="72">
        <f t="shared" si="8"/>
        <v>36</v>
      </c>
      <c r="B237" s="123" t="s">
        <v>3074</v>
      </c>
      <c r="C237" s="129">
        <f>'.'!L4003</f>
        <v>2227296</v>
      </c>
      <c r="D237" s="130"/>
      <c r="E237" s="131"/>
      <c r="F237" s="130"/>
      <c r="G237" s="130">
        <f>'.'!G4003</f>
        <v>918</v>
      </c>
      <c r="H237" s="130">
        <f>'.'!L4003</f>
        <v>2227296</v>
      </c>
      <c r="I237" s="130"/>
      <c r="J237" s="130"/>
      <c r="K237" s="130"/>
      <c r="L237" s="130"/>
      <c r="M237" s="130"/>
      <c r="N237" s="130"/>
      <c r="O237" s="130"/>
      <c r="P237" s="130"/>
      <c r="Q237" s="130"/>
      <c r="R237" s="130"/>
      <c r="S237" s="121"/>
      <c r="T237" s="121"/>
      <c r="U237" s="122"/>
      <c r="V237" s="117"/>
      <c r="AA237" s="118">
        <v>1</v>
      </c>
    </row>
    <row r="238" spans="1:27" s="76" customFormat="1" ht="39" customHeight="1">
      <c r="A238" s="72">
        <f t="shared" si="8"/>
        <v>37</v>
      </c>
      <c r="B238" s="123" t="s">
        <v>3075</v>
      </c>
      <c r="C238" s="129">
        <f>'.'!L4004</f>
        <v>2227296</v>
      </c>
      <c r="D238" s="130"/>
      <c r="E238" s="131"/>
      <c r="F238" s="130"/>
      <c r="G238" s="130">
        <f>'.'!G4004</f>
        <v>918</v>
      </c>
      <c r="H238" s="130">
        <f>'.'!L4004</f>
        <v>2227296</v>
      </c>
      <c r="I238" s="130"/>
      <c r="J238" s="130"/>
      <c r="K238" s="130"/>
      <c r="L238" s="130"/>
      <c r="M238" s="130"/>
      <c r="N238" s="130"/>
      <c r="O238" s="130"/>
      <c r="P238" s="130"/>
      <c r="Q238" s="130"/>
      <c r="R238" s="130"/>
      <c r="S238" s="121"/>
      <c r="T238" s="121"/>
      <c r="U238" s="122"/>
      <c r="V238" s="117"/>
      <c r="AA238" s="118">
        <v>1</v>
      </c>
    </row>
    <row r="239" spans="1:27" s="76" customFormat="1" ht="39" customHeight="1">
      <c r="A239" s="72">
        <f t="shared" si="8"/>
        <v>38</v>
      </c>
      <c r="B239" s="123" t="s">
        <v>3076</v>
      </c>
      <c r="C239" s="129">
        <f>'.'!L4005</f>
        <v>2051770</v>
      </c>
      <c r="D239" s="130"/>
      <c r="E239" s="131"/>
      <c r="F239" s="130"/>
      <c r="G239" s="130">
        <f>'.'!G4005</f>
        <v>845</v>
      </c>
      <c r="H239" s="130">
        <f>'.'!L4005</f>
        <v>2051770</v>
      </c>
      <c r="I239" s="130"/>
      <c r="J239" s="130"/>
      <c r="K239" s="130"/>
      <c r="L239" s="130"/>
      <c r="M239" s="130"/>
      <c r="N239" s="130"/>
      <c r="O239" s="130"/>
      <c r="P239" s="130"/>
      <c r="Q239" s="130"/>
      <c r="R239" s="130"/>
      <c r="S239" s="121"/>
      <c r="T239" s="121"/>
      <c r="U239" s="122"/>
      <c r="V239" s="117"/>
      <c r="AA239" s="118">
        <v>1</v>
      </c>
    </row>
    <row r="240" spans="1:27" s="76" customFormat="1" ht="39" customHeight="1">
      <c r="A240" s="72">
        <f t="shared" si="8"/>
        <v>39</v>
      </c>
      <c r="B240" s="123" t="s">
        <v>3077</v>
      </c>
      <c r="C240" s="129">
        <f>'.'!L4006</f>
        <v>2410035</v>
      </c>
      <c r="D240" s="130"/>
      <c r="E240" s="131"/>
      <c r="F240" s="130"/>
      <c r="G240" s="130">
        <f>'.'!G4006</f>
        <v>994</v>
      </c>
      <c r="H240" s="130">
        <f>'.'!L4006</f>
        <v>2410035</v>
      </c>
      <c r="I240" s="130"/>
      <c r="J240" s="130"/>
      <c r="K240" s="130"/>
      <c r="L240" s="130"/>
      <c r="M240" s="130"/>
      <c r="N240" s="130"/>
      <c r="O240" s="130"/>
      <c r="P240" s="130"/>
      <c r="Q240" s="130"/>
      <c r="R240" s="130"/>
      <c r="S240" s="121"/>
      <c r="T240" s="121"/>
      <c r="U240" s="122"/>
      <c r="V240" s="117"/>
      <c r="AA240" s="118">
        <v>1</v>
      </c>
    </row>
    <row r="241" spans="1:27" s="76" customFormat="1" ht="39" customHeight="1">
      <c r="A241" s="72">
        <f t="shared" si="8"/>
        <v>40</v>
      </c>
      <c r="B241" s="123" t="s">
        <v>3078</v>
      </c>
      <c r="C241" s="129">
        <f>'.'!L4007</f>
        <v>2125096</v>
      </c>
      <c r="D241" s="130"/>
      <c r="E241" s="131"/>
      <c r="F241" s="130"/>
      <c r="G241" s="130">
        <f>'.'!G4007</f>
        <v>741.2</v>
      </c>
      <c r="H241" s="130">
        <f>'.'!L4007</f>
        <v>2125096</v>
      </c>
      <c r="I241" s="130"/>
      <c r="J241" s="130"/>
      <c r="K241" s="130"/>
      <c r="L241" s="130"/>
      <c r="M241" s="130"/>
      <c r="N241" s="130"/>
      <c r="O241" s="130"/>
      <c r="P241" s="130"/>
      <c r="Q241" s="130"/>
      <c r="R241" s="130"/>
      <c r="S241" s="121"/>
      <c r="T241" s="121"/>
      <c r="U241" s="122"/>
      <c r="V241" s="117"/>
      <c r="AA241" s="118">
        <v>1</v>
      </c>
    </row>
    <row r="242" spans="1:27" s="76" customFormat="1" ht="39" customHeight="1">
      <c r="A242" s="72">
        <f t="shared" si="8"/>
        <v>41</v>
      </c>
      <c r="B242" s="123" t="s">
        <v>3079</v>
      </c>
      <c r="C242" s="129">
        <f>'.'!L4008</f>
        <v>3645928</v>
      </c>
      <c r="D242" s="130"/>
      <c r="E242" s="131"/>
      <c r="F242" s="130"/>
      <c r="G242" s="130">
        <f>'.'!G4008</f>
        <v>1508</v>
      </c>
      <c r="H242" s="130">
        <f>'.'!L4008</f>
        <v>3645928</v>
      </c>
      <c r="I242" s="130"/>
      <c r="J242" s="130"/>
      <c r="K242" s="130"/>
      <c r="L242" s="130"/>
      <c r="M242" s="130"/>
      <c r="N242" s="130"/>
      <c r="O242" s="130"/>
      <c r="P242" s="130"/>
      <c r="Q242" s="130"/>
      <c r="R242" s="130"/>
      <c r="S242" s="121"/>
      <c r="T242" s="121"/>
      <c r="U242" s="122"/>
      <c r="V242" s="117"/>
      <c r="AA242" s="118">
        <v>1</v>
      </c>
    </row>
    <row r="243" spans="1:27" s="76" customFormat="1" ht="39" customHeight="1">
      <c r="A243" s="72">
        <f t="shared" si="8"/>
        <v>42</v>
      </c>
      <c r="B243" s="123" t="s">
        <v>3080</v>
      </c>
      <c r="C243" s="129">
        <f>'.'!L4009</f>
        <v>2206480</v>
      </c>
      <c r="D243" s="130">
        <f>'.'!L4009</f>
        <v>2206480</v>
      </c>
      <c r="E243" s="131"/>
      <c r="F243" s="130"/>
      <c r="G243" s="130"/>
      <c r="H243" s="130"/>
      <c r="I243" s="130"/>
      <c r="J243" s="130"/>
      <c r="K243" s="130"/>
      <c r="L243" s="130"/>
      <c r="M243" s="130"/>
      <c r="N243" s="130"/>
      <c r="O243" s="130"/>
      <c r="P243" s="130"/>
      <c r="Q243" s="130"/>
      <c r="R243" s="130"/>
      <c r="S243" s="121"/>
      <c r="T243" s="121"/>
      <c r="U243" s="122"/>
      <c r="V243" s="117"/>
      <c r="AA243" s="118">
        <v>1</v>
      </c>
    </row>
    <row r="244" spans="1:27" s="76" customFormat="1" ht="39" customHeight="1">
      <c r="A244" s="72">
        <f t="shared" si="8"/>
        <v>43</v>
      </c>
      <c r="B244" s="123" t="s">
        <v>3085</v>
      </c>
      <c r="C244" s="129">
        <f>'.'!L4010</f>
        <v>1715145</v>
      </c>
      <c r="D244" s="130"/>
      <c r="E244" s="131"/>
      <c r="F244" s="130"/>
      <c r="G244" s="130">
        <f>'.'!G4010</f>
        <v>705</v>
      </c>
      <c r="H244" s="130">
        <f>'.'!L4010</f>
        <v>1715145</v>
      </c>
      <c r="I244" s="130"/>
      <c r="J244" s="130"/>
      <c r="K244" s="130"/>
      <c r="L244" s="130"/>
      <c r="M244" s="130"/>
      <c r="N244" s="130"/>
      <c r="O244" s="130"/>
      <c r="P244" s="130"/>
      <c r="Q244" s="130"/>
      <c r="R244" s="130"/>
      <c r="S244" s="121"/>
      <c r="T244" s="121"/>
      <c r="U244" s="122"/>
      <c r="V244" s="117"/>
      <c r="AA244" s="118">
        <v>1</v>
      </c>
    </row>
    <row r="245" spans="1:27" s="76" customFormat="1" ht="39" customHeight="1">
      <c r="A245" s="72">
        <f t="shared" si="8"/>
        <v>44</v>
      </c>
      <c r="B245" s="123" t="s">
        <v>3086</v>
      </c>
      <c r="C245" s="129">
        <f>'.'!L4011</f>
        <v>1710337</v>
      </c>
      <c r="D245" s="130"/>
      <c r="E245" s="131"/>
      <c r="F245" s="130"/>
      <c r="G245" s="130">
        <f>'.'!G4011</f>
        <v>703</v>
      </c>
      <c r="H245" s="130">
        <f>'.'!L4011</f>
        <v>1710337</v>
      </c>
      <c r="I245" s="130"/>
      <c r="J245" s="130"/>
      <c r="K245" s="130"/>
      <c r="L245" s="130"/>
      <c r="M245" s="130"/>
      <c r="N245" s="130"/>
      <c r="O245" s="130"/>
      <c r="P245" s="130"/>
      <c r="Q245" s="130"/>
      <c r="R245" s="130"/>
      <c r="S245" s="121"/>
      <c r="T245" s="121"/>
      <c r="U245" s="122"/>
      <c r="V245" s="117"/>
      <c r="AA245" s="118">
        <v>1</v>
      </c>
    </row>
    <row r="246" spans="1:27" s="76" customFormat="1" ht="39" customHeight="1">
      <c r="A246" s="72">
        <f t="shared" si="8"/>
        <v>45</v>
      </c>
      <c r="B246" s="123" t="s">
        <v>3087</v>
      </c>
      <c r="C246" s="129">
        <f>'.'!L4012</f>
        <v>3775148</v>
      </c>
      <c r="D246" s="130"/>
      <c r="E246" s="131"/>
      <c r="F246" s="130"/>
      <c r="G246" s="130">
        <f>'.'!G4012</f>
        <v>1325</v>
      </c>
      <c r="H246" s="130">
        <f>'.'!L4012</f>
        <v>3775148</v>
      </c>
      <c r="I246" s="130"/>
      <c r="J246" s="130"/>
      <c r="K246" s="130"/>
      <c r="L246" s="130"/>
      <c r="M246" s="130"/>
      <c r="N246" s="130"/>
      <c r="O246" s="130"/>
      <c r="P246" s="130"/>
      <c r="Q246" s="130"/>
      <c r="R246" s="130"/>
      <c r="S246" s="121"/>
      <c r="T246" s="121"/>
      <c r="U246" s="122"/>
      <c r="V246" s="117"/>
      <c r="AA246" s="118">
        <v>1</v>
      </c>
    </row>
    <row r="247" spans="1:27" s="76" customFormat="1" ht="39" customHeight="1">
      <c r="A247" s="72">
        <f t="shared" si="8"/>
        <v>46</v>
      </c>
      <c r="B247" s="123" t="s">
        <v>3088</v>
      </c>
      <c r="C247" s="129">
        <f>'.'!L4013</f>
        <v>2541766</v>
      </c>
      <c r="D247" s="130"/>
      <c r="E247" s="131"/>
      <c r="F247" s="130"/>
      <c r="G247" s="130">
        <f>'.'!G4013</f>
        <v>890</v>
      </c>
      <c r="H247" s="130">
        <f>'.'!L4013</f>
        <v>2541766</v>
      </c>
      <c r="I247" s="130"/>
      <c r="J247" s="130"/>
      <c r="K247" s="130"/>
      <c r="L247" s="130"/>
      <c r="M247" s="130"/>
      <c r="N247" s="130"/>
      <c r="O247" s="130"/>
      <c r="P247" s="130"/>
      <c r="Q247" s="130"/>
      <c r="R247" s="130"/>
      <c r="S247" s="121"/>
      <c r="T247" s="121"/>
      <c r="U247" s="122"/>
      <c r="V247" s="117"/>
      <c r="AA247" s="118">
        <v>1</v>
      </c>
    </row>
    <row r="248" spans="1:27" s="76" customFormat="1" ht="39" customHeight="1">
      <c r="A248" s="72">
        <f t="shared" si="8"/>
        <v>47</v>
      </c>
      <c r="B248" s="123" t="s">
        <v>3089</v>
      </c>
      <c r="C248" s="129">
        <f>'.'!L4014</f>
        <v>3174654</v>
      </c>
      <c r="D248" s="130"/>
      <c r="E248" s="131"/>
      <c r="F248" s="130"/>
      <c r="G248" s="130">
        <f>'.'!G4014</f>
        <v>1312</v>
      </c>
      <c r="H248" s="130">
        <f>'.'!L4014</f>
        <v>3174654</v>
      </c>
      <c r="I248" s="130"/>
      <c r="J248" s="130"/>
      <c r="K248" s="130"/>
      <c r="L248" s="130"/>
      <c r="M248" s="130"/>
      <c r="N248" s="130"/>
      <c r="O248" s="130"/>
      <c r="P248" s="130"/>
      <c r="Q248" s="130"/>
      <c r="R248" s="130"/>
      <c r="S248" s="121"/>
      <c r="T248" s="121"/>
      <c r="U248" s="122"/>
      <c r="V248" s="117"/>
      <c r="AA248" s="118">
        <v>1</v>
      </c>
    </row>
    <row r="249" spans="1:27" s="76" customFormat="1" ht="39" customHeight="1">
      <c r="A249" s="72">
        <f t="shared" si="8"/>
        <v>48</v>
      </c>
      <c r="B249" s="123" t="s">
        <v>3090</v>
      </c>
      <c r="C249" s="129">
        <f>'.'!L4015</f>
        <v>3775167</v>
      </c>
      <c r="D249" s="130"/>
      <c r="E249" s="131"/>
      <c r="F249" s="130"/>
      <c r="G249" s="130">
        <f>'.'!G4015</f>
        <v>1325</v>
      </c>
      <c r="H249" s="130">
        <f>'.'!L4015</f>
        <v>3775167</v>
      </c>
      <c r="I249" s="130"/>
      <c r="J249" s="130"/>
      <c r="K249" s="130"/>
      <c r="L249" s="130"/>
      <c r="M249" s="130"/>
      <c r="N249" s="130"/>
      <c r="O249" s="130"/>
      <c r="P249" s="130"/>
      <c r="Q249" s="130"/>
      <c r="R249" s="130"/>
      <c r="S249" s="121"/>
      <c r="T249" s="121"/>
      <c r="U249" s="122"/>
      <c r="V249" s="117"/>
      <c r="AA249" s="118">
        <v>1</v>
      </c>
    </row>
    <row r="250" spans="1:27" s="76" customFormat="1" ht="39" customHeight="1">
      <c r="A250" s="72">
        <f t="shared" si="8"/>
        <v>49</v>
      </c>
      <c r="B250" s="123" t="s">
        <v>3091</v>
      </c>
      <c r="C250" s="129">
        <f>'.'!L4016</f>
        <v>5069370</v>
      </c>
      <c r="D250" s="130"/>
      <c r="E250" s="131"/>
      <c r="F250" s="130"/>
      <c r="G250" s="130">
        <f>'.'!G4016</f>
        <v>2100</v>
      </c>
      <c r="H250" s="130">
        <f>'.'!L4016</f>
        <v>5069370</v>
      </c>
      <c r="I250" s="130"/>
      <c r="J250" s="130"/>
      <c r="K250" s="130"/>
      <c r="L250" s="130"/>
      <c r="M250" s="130"/>
      <c r="N250" s="130"/>
      <c r="O250" s="130"/>
      <c r="P250" s="130"/>
      <c r="Q250" s="130"/>
      <c r="R250" s="130"/>
      <c r="S250" s="121"/>
      <c r="T250" s="121"/>
      <c r="U250" s="122"/>
      <c r="V250" s="117"/>
      <c r="AA250" s="118">
        <v>1</v>
      </c>
    </row>
    <row r="251" spans="1:27" s="76" customFormat="1" ht="39" customHeight="1">
      <c r="A251" s="72">
        <f t="shared" si="8"/>
        <v>50</v>
      </c>
      <c r="B251" s="123" t="s">
        <v>3092</v>
      </c>
      <c r="C251" s="129">
        <f>'.'!L4017</f>
        <v>623458</v>
      </c>
      <c r="D251" s="130">
        <f>'.'!L4017</f>
        <v>623458</v>
      </c>
      <c r="E251" s="131"/>
      <c r="F251" s="130"/>
      <c r="G251" s="130"/>
      <c r="H251" s="130"/>
      <c r="I251" s="130"/>
      <c r="J251" s="130"/>
      <c r="K251" s="130"/>
      <c r="L251" s="130"/>
      <c r="M251" s="130"/>
      <c r="N251" s="130"/>
      <c r="O251" s="130"/>
      <c r="P251" s="130"/>
      <c r="Q251" s="130"/>
      <c r="R251" s="130"/>
      <c r="S251" s="121"/>
      <c r="T251" s="121"/>
      <c r="U251" s="122"/>
      <c r="V251" s="117"/>
      <c r="AA251" s="118">
        <v>1</v>
      </c>
    </row>
    <row r="252" spans="1:27" s="76" customFormat="1" ht="39" customHeight="1">
      <c r="A252" s="72">
        <f t="shared" si="8"/>
        <v>51</v>
      </c>
      <c r="B252" s="123" t="s">
        <v>3093</v>
      </c>
      <c r="C252" s="129">
        <f>'.'!L4018</f>
        <v>623458</v>
      </c>
      <c r="D252" s="130">
        <f>'.'!L4018</f>
        <v>623458</v>
      </c>
      <c r="E252" s="131"/>
      <c r="F252" s="130"/>
      <c r="G252" s="130"/>
      <c r="H252" s="130"/>
      <c r="I252" s="130"/>
      <c r="J252" s="130"/>
      <c r="K252" s="130"/>
      <c r="L252" s="130"/>
      <c r="M252" s="130"/>
      <c r="N252" s="130"/>
      <c r="O252" s="130"/>
      <c r="P252" s="130"/>
      <c r="Q252" s="130"/>
      <c r="R252" s="130"/>
      <c r="S252" s="121"/>
      <c r="T252" s="121"/>
      <c r="U252" s="122"/>
      <c r="V252" s="117"/>
      <c r="AA252" s="118">
        <v>1</v>
      </c>
    </row>
    <row r="253" spans="1:27" s="76" customFormat="1" ht="39" customHeight="1">
      <c r="A253" s="72">
        <f t="shared" si="8"/>
        <v>52</v>
      </c>
      <c r="B253" s="123" t="s">
        <v>3094</v>
      </c>
      <c r="C253" s="129">
        <f>'.'!L4019</f>
        <v>623458</v>
      </c>
      <c r="D253" s="130">
        <f>'.'!L4019</f>
        <v>623458</v>
      </c>
      <c r="E253" s="131"/>
      <c r="F253" s="130"/>
      <c r="G253" s="130"/>
      <c r="H253" s="130"/>
      <c r="I253" s="130"/>
      <c r="J253" s="130"/>
      <c r="K253" s="130"/>
      <c r="L253" s="130"/>
      <c r="M253" s="130"/>
      <c r="N253" s="130"/>
      <c r="O253" s="130"/>
      <c r="P253" s="130"/>
      <c r="Q253" s="130"/>
      <c r="R253" s="130"/>
      <c r="S253" s="121"/>
      <c r="T253" s="121"/>
      <c r="U253" s="122"/>
      <c r="V253" s="117"/>
      <c r="AA253" s="118">
        <v>1</v>
      </c>
    </row>
    <row r="254" spans="1:27" s="76" customFormat="1" ht="39" customHeight="1">
      <c r="A254" s="72">
        <f t="shared" si="8"/>
        <v>53</v>
      </c>
      <c r="B254" s="123" t="s">
        <v>3095</v>
      </c>
      <c r="C254" s="129">
        <f>'.'!L4020</f>
        <v>2311452</v>
      </c>
      <c r="D254" s="130"/>
      <c r="E254" s="131"/>
      <c r="F254" s="130"/>
      <c r="G254" s="130">
        <f>'.'!G4020</f>
        <v>953</v>
      </c>
      <c r="H254" s="130">
        <f>'.'!L4020</f>
        <v>2311452</v>
      </c>
      <c r="I254" s="130"/>
      <c r="J254" s="130"/>
      <c r="K254" s="130"/>
      <c r="L254" s="130"/>
      <c r="M254" s="130"/>
      <c r="N254" s="130"/>
      <c r="O254" s="130"/>
      <c r="P254" s="130"/>
      <c r="Q254" s="130"/>
      <c r="R254" s="130"/>
      <c r="S254" s="121"/>
      <c r="T254" s="121"/>
      <c r="U254" s="122"/>
      <c r="V254" s="117"/>
      <c r="AA254" s="118">
        <v>1</v>
      </c>
    </row>
    <row r="255" spans="1:27" s="76" customFormat="1" ht="39" customHeight="1">
      <c r="A255" s="72">
        <f t="shared" si="8"/>
        <v>54</v>
      </c>
      <c r="B255" s="123" t="s">
        <v>3096</v>
      </c>
      <c r="C255" s="129">
        <f>'.'!L4021</f>
        <v>3188840</v>
      </c>
      <c r="D255" s="130"/>
      <c r="E255" s="131"/>
      <c r="F255" s="130"/>
      <c r="G255" s="130">
        <f>'.'!G4021</f>
        <v>1317.9</v>
      </c>
      <c r="H255" s="130">
        <f>'.'!L4021</f>
        <v>3188840</v>
      </c>
      <c r="I255" s="130"/>
      <c r="J255" s="130"/>
      <c r="K255" s="130"/>
      <c r="L255" s="130"/>
      <c r="M255" s="130"/>
      <c r="N255" s="130"/>
      <c r="O255" s="130"/>
      <c r="P255" s="130"/>
      <c r="Q255" s="130"/>
      <c r="R255" s="130"/>
      <c r="S255" s="121"/>
      <c r="T255" s="121"/>
      <c r="U255" s="122"/>
      <c r="V255" s="117"/>
      <c r="AA255" s="118">
        <v>1</v>
      </c>
    </row>
    <row r="256" spans="1:27" s="76" customFormat="1" ht="39" customHeight="1">
      <c r="A256" s="72">
        <f t="shared" si="8"/>
        <v>55</v>
      </c>
      <c r="B256" s="123" t="s">
        <v>3097</v>
      </c>
      <c r="C256" s="129">
        <f>'.'!L4022</f>
        <v>3190043</v>
      </c>
      <c r="D256" s="130"/>
      <c r="E256" s="131"/>
      <c r="F256" s="130"/>
      <c r="G256" s="130">
        <f>'.'!G4022</f>
        <v>1318.4</v>
      </c>
      <c r="H256" s="130">
        <f>'.'!L4022</f>
        <v>3190043</v>
      </c>
      <c r="I256" s="130"/>
      <c r="J256" s="130"/>
      <c r="K256" s="130"/>
      <c r="L256" s="130"/>
      <c r="M256" s="130"/>
      <c r="N256" s="130"/>
      <c r="O256" s="130"/>
      <c r="P256" s="130"/>
      <c r="Q256" s="130"/>
      <c r="R256" s="130"/>
      <c r="S256" s="121"/>
      <c r="T256" s="121"/>
      <c r="U256" s="122"/>
      <c r="V256" s="117"/>
      <c r="AA256" s="118">
        <v>1</v>
      </c>
    </row>
    <row r="257" spans="1:27" s="76" customFormat="1" ht="39" customHeight="1">
      <c r="A257" s="72">
        <f t="shared" si="8"/>
        <v>56</v>
      </c>
      <c r="B257" s="123" t="s">
        <v>3098</v>
      </c>
      <c r="C257" s="129">
        <f>'.'!L4023</f>
        <v>1805072</v>
      </c>
      <c r="D257" s="130"/>
      <c r="E257" s="131"/>
      <c r="F257" s="130"/>
      <c r="G257" s="130">
        <f>'.'!G4023</f>
        <v>742.4</v>
      </c>
      <c r="H257" s="130">
        <f>'.'!L4023</f>
        <v>1805072</v>
      </c>
      <c r="I257" s="130"/>
      <c r="J257" s="130"/>
      <c r="K257" s="130"/>
      <c r="L257" s="130"/>
      <c r="M257" s="130"/>
      <c r="N257" s="130"/>
      <c r="O257" s="130"/>
      <c r="P257" s="130"/>
      <c r="Q257" s="130"/>
      <c r="R257" s="130"/>
      <c r="S257" s="121"/>
      <c r="T257" s="121"/>
      <c r="U257" s="122"/>
      <c r="V257" s="117"/>
      <c r="AA257" s="118">
        <v>1</v>
      </c>
    </row>
    <row r="258" spans="1:27" s="76" customFormat="1" ht="39" customHeight="1">
      <c r="A258" s="72">
        <f t="shared" si="8"/>
        <v>57</v>
      </c>
      <c r="B258" s="123" t="s">
        <v>3099</v>
      </c>
      <c r="C258" s="129">
        <f>'.'!L4024</f>
        <v>3032790</v>
      </c>
      <c r="D258" s="130"/>
      <c r="E258" s="131"/>
      <c r="F258" s="130"/>
      <c r="G258" s="130">
        <f>'.'!G4024</f>
        <v>1253</v>
      </c>
      <c r="H258" s="130">
        <f>'.'!L4024</f>
        <v>3032790</v>
      </c>
      <c r="I258" s="130"/>
      <c r="J258" s="130"/>
      <c r="K258" s="130"/>
      <c r="L258" s="130"/>
      <c r="M258" s="130"/>
      <c r="N258" s="130"/>
      <c r="O258" s="130"/>
      <c r="P258" s="130"/>
      <c r="Q258" s="130"/>
      <c r="R258" s="130"/>
      <c r="S258" s="121"/>
      <c r="T258" s="121"/>
      <c r="U258" s="122"/>
      <c r="V258" s="117"/>
      <c r="AA258" s="118">
        <v>1</v>
      </c>
    </row>
    <row r="259" spans="1:27" s="76" customFormat="1" ht="39" customHeight="1">
      <c r="A259" s="72">
        <f t="shared" si="8"/>
        <v>58</v>
      </c>
      <c r="B259" s="123" t="s">
        <v>3100</v>
      </c>
      <c r="C259" s="129">
        <f>'.'!L4025</f>
        <v>2462817</v>
      </c>
      <c r="D259" s="130"/>
      <c r="E259" s="131"/>
      <c r="F259" s="130"/>
      <c r="G259" s="130">
        <f>'.'!G4025</f>
        <v>863</v>
      </c>
      <c r="H259" s="130">
        <f>'.'!L4025</f>
        <v>2462817</v>
      </c>
      <c r="I259" s="130"/>
      <c r="J259" s="130"/>
      <c r="K259" s="130"/>
      <c r="L259" s="130"/>
      <c r="M259" s="130"/>
      <c r="N259" s="130"/>
      <c r="O259" s="130"/>
      <c r="P259" s="130"/>
      <c r="Q259" s="130"/>
      <c r="R259" s="130"/>
      <c r="S259" s="121"/>
      <c r="T259" s="121"/>
      <c r="U259" s="122"/>
      <c r="V259" s="117"/>
      <c r="AA259" s="118">
        <v>1</v>
      </c>
    </row>
    <row r="260" spans="1:27" s="76" customFormat="1" ht="39" customHeight="1">
      <c r="A260" s="72">
        <f t="shared" si="8"/>
        <v>59</v>
      </c>
      <c r="B260" s="123" t="s">
        <v>3101</v>
      </c>
      <c r="C260" s="129">
        <f>'.'!L4026</f>
        <v>2333093</v>
      </c>
      <c r="D260" s="130"/>
      <c r="E260" s="131"/>
      <c r="F260" s="130"/>
      <c r="G260" s="130">
        <f>'.'!G4026</f>
        <v>962</v>
      </c>
      <c r="H260" s="130">
        <f>'.'!L4026</f>
        <v>2333093</v>
      </c>
      <c r="I260" s="130"/>
      <c r="J260" s="130"/>
      <c r="K260" s="130"/>
      <c r="L260" s="130"/>
      <c r="M260" s="130"/>
      <c r="N260" s="130"/>
      <c r="O260" s="130"/>
      <c r="P260" s="130"/>
      <c r="Q260" s="130"/>
      <c r="R260" s="130"/>
      <c r="S260" s="121"/>
      <c r="T260" s="121"/>
      <c r="U260" s="122"/>
      <c r="V260" s="117"/>
      <c r="AA260" s="118">
        <v>1</v>
      </c>
    </row>
    <row r="261" spans="1:27" s="76" customFormat="1" ht="39" customHeight="1">
      <c r="A261" s="72">
        <f t="shared" si="8"/>
        <v>60</v>
      </c>
      <c r="B261" s="123" t="s">
        <v>3102</v>
      </c>
      <c r="C261" s="129">
        <f>'.'!L4027</f>
        <v>3369016</v>
      </c>
      <c r="D261" s="130"/>
      <c r="E261" s="131"/>
      <c r="F261" s="130"/>
      <c r="G261" s="130"/>
      <c r="H261" s="130"/>
      <c r="I261" s="130"/>
      <c r="J261" s="130"/>
      <c r="K261" s="130"/>
      <c r="L261" s="130"/>
      <c r="M261" s="130"/>
      <c r="N261" s="130"/>
      <c r="O261" s="130">
        <f>'.'!E4027</f>
        <v>1323</v>
      </c>
      <c r="P261" s="130">
        <f>'.'!L4027</f>
        <v>3369016</v>
      </c>
      <c r="Q261" s="130"/>
      <c r="R261" s="130"/>
      <c r="S261" s="121"/>
      <c r="T261" s="121"/>
      <c r="U261" s="122"/>
      <c r="V261" s="117"/>
      <c r="AA261" s="118">
        <v>1</v>
      </c>
    </row>
    <row r="262" spans="1:27" s="76" customFormat="1" ht="39" customHeight="1">
      <c r="A262" s="72">
        <f t="shared" si="8"/>
        <v>61</v>
      </c>
      <c r="B262" s="123" t="s">
        <v>3103</v>
      </c>
      <c r="C262" s="129">
        <f>'.'!L4028</f>
        <v>9149200</v>
      </c>
      <c r="D262" s="130"/>
      <c r="E262" s="131"/>
      <c r="F262" s="130"/>
      <c r="G262" s="130"/>
      <c r="H262" s="130"/>
      <c r="I262" s="130"/>
      <c r="J262" s="130"/>
      <c r="K262" s="130"/>
      <c r="L262" s="130"/>
      <c r="M262" s="130"/>
      <c r="N262" s="130"/>
      <c r="O262" s="130">
        <f>'.'!E4028</f>
        <v>3492</v>
      </c>
      <c r="P262" s="130">
        <f>'.'!L4028</f>
        <v>9149200</v>
      </c>
      <c r="Q262" s="130"/>
      <c r="R262" s="130"/>
      <c r="S262" s="121"/>
      <c r="T262" s="121"/>
      <c r="U262" s="122"/>
      <c r="V262" s="117"/>
      <c r="AA262" s="118">
        <v>1</v>
      </c>
    </row>
    <row r="263" spans="1:27" s="76" customFormat="1" ht="39" customHeight="1">
      <c r="A263" s="72">
        <f t="shared" si="8"/>
        <v>62</v>
      </c>
      <c r="B263" s="123" t="s">
        <v>3104</v>
      </c>
      <c r="C263" s="129">
        <f>'.'!L4029</f>
        <v>3912583</v>
      </c>
      <c r="D263" s="130">
        <f>'.'!L4029</f>
        <v>3912583</v>
      </c>
      <c r="E263" s="131"/>
      <c r="F263" s="130"/>
      <c r="G263" s="130"/>
      <c r="H263" s="130"/>
      <c r="I263" s="130"/>
      <c r="J263" s="130"/>
      <c r="K263" s="130"/>
      <c r="L263" s="130"/>
      <c r="M263" s="130"/>
      <c r="N263" s="130"/>
      <c r="O263" s="130"/>
      <c r="P263" s="130"/>
      <c r="Q263" s="130"/>
      <c r="R263" s="130"/>
      <c r="S263" s="121"/>
      <c r="T263" s="121"/>
      <c r="U263" s="122"/>
      <c r="V263" s="117"/>
      <c r="AA263" s="118">
        <v>1</v>
      </c>
    </row>
    <row r="264" spans="1:27" s="76" customFormat="1" ht="39" customHeight="1">
      <c r="A264" s="72">
        <f t="shared" ref="A264:A312" si="9">A263+1</f>
        <v>63</v>
      </c>
      <c r="B264" s="123" t="s">
        <v>3105</v>
      </c>
      <c r="C264" s="129">
        <f>'.'!L4030</f>
        <v>1975032</v>
      </c>
      <c r="D264" s="130"/>
      <c r="E264" s="131"/>
      <c r="F264" s="130"/>
      <c r="G264" s="130">
        <f>'.'!G4030</f>
        <v>686</v>
      </c>
      <c r="H264" s="130">
        <f>'.'!L4030</f>
        <v>1975032</v>
      </c>
      <c r="I264" s="130"/>
      <c r="J264" s="130"/>
      <c r="K264" s="130"/>
      <c r="L264" s="130"/>
      <c r="M264" s="130"/>
      <c r="N264" s="130"/>
      <c r="O264" s="130"/>
      <c r="P264" s="130"/>
      <c r="Q264" s="130"/>
      <c r="R264" s="130"/>
      <c r="S264" s="121"/>
      <c r="T264" s="121"/>
      <c r="U264" s="122"/>
      <c r="V264" s="117"/>
      <c r="AA264" s="118">
        <v>1</v>
      </c>
    </row>
    <row r="265" spans="1:27" s="76" customFormat="1" ht="39" customHeight="1">
      <c r="A265" s="72">
        <f t="shared" si="9"/>
        <v>64</v>
      </c>
      <c r="B265" s="123" t="s">
        <v>3106</v>
      </c>
      <c r="C265" s="129">
        <f>'.'!L4031</f>
        <v>3302441</v>
      </c>
      <c r="D265" s="130">
        <f>'.'!L4031</f>
        <v>3302441</v>
      </c>
      <c r="E265" s="131"/>
      <c r="F265" s="130"/>
      <c r="G265" s="130"/>
      <c r="H265" s="130"/>
      <c r="I265" s="130"/>
      <c r="J265" s="130"/>
      <c r="K265" s="130"/>
      <c r="L265" s="130"/>
      <c r="M265" s="130"/>
      <c r="N265" s="130"/>
      <c r="O265" s="130"/>
      <c r="P265" s="130"/>
      <c r="Q265" s="130"/>
      <c r="R265" s="130"/>
      <c r="S265" s="121"/>
      <c r="T265" s="121"/>
      <c r="U265" s="122"/>
      <c r="V265" s="117"/>
      <c r="AA265" s="118">
        <v>1</v>
      </c>
    </row>
    <row r="266" spans="1:27" s="76" customFormat="1" ht="39" customHeight="1">
      <c r="A266" s="72">
        <f t="shared" si="9"/>
        <v>65</v>
      </c>
      <c r="B266" s="123" t="s">
        <v>3107</v>
      </c>
      <c r="C266" s="129">
        <f>'.'!L4032</f>
        <v>2159971</v>
      </c>
      <c r="D266" s="130"/>
      <c r="E266" s="131"/>
      <c r="F266" s="130"/>
      <c r="G266" s="130">
        <f>'.'!G4032</f>
        <v>890</v>
      </c>
      <c r="H266" s="130">
        <f>'.'!L4032</f>
        <v>2159971</v>
      </c>
      <c r="I266" s="130"/>
      <c r="J266" s="130"/>
      <c r="K266" s="130"/>
      <c r="L266" s="130"/>
      <c r="M266" s="130"/>
      <c r="N266" s="130"/>
      <c r="O266" s="130"/>
      <c r="P266" s="130"/>
      <c r="Q266" s="130"/>
      <c r="R266" s="130"/>
      <c r="S266" s="121"/>
      <c r="T266" s="121"/>
      <c r="U266" s="122"/>
      <c r="V266" s="117"/>
      <c r="AA266" s="118">
        <v>1</v>
      </c>
    </row>
    <row r="267" spans="1:27" s="76" customFormat="1" ht="39" customHeight="1">
      <c r="A267" s="72">
        <f t="shared" si="9"/>
        <v>66</v>
      </c>
      <c r="B267" s="123" t="s">
        <v>3108</v>
      </c>
      <c r="C267" s="129">
        <f>'.'!L4033</f>
        <v>2251341</v>
      </c>
      <c r="D267" s="130"/>
      <c r="E267" s="131"/>
      <c r="F267" s="130"/>
      <c r="G267" s="130">
        <f>'.'!G4033</f>
        <v>928</v>
      </c>
      <c r="H267" s="130">
        <f>'.'!L4033</f>
        <v>2251341</v>
      </c>
      <c r="I267" s="130"/>
      <c r="J267" s="130"/>
      <c r="K267" s="130"/>
      <c r="L267" s="130"/>
      <c r="M267" s="130"/>
      <c r="N267" s="130"/>
      <c r="O267" s="130"/>
      <c r="P267" s="130"/>
      <c r="Q267" s="130"/>
      <c r="R267" s="130"/>
      <c r="S267" s="121"/>
      <c r="T267" s="121"/>
      <c r="U267" s="122"/>
      <c r="V267" s="117"/>
      <c r="AA267" s="118">
        <v>1</v>
      </c>
    </row>
    <row r="268" spans="1:27" s="76" customFormat="1" ht="39" customHeight="1">
      <c r="A268" s="72">
        <f t="shared" si="9"/>
        <v>67</v>
      </c>
      <c r="B268" s="123" t="s">
        <v>3109</v>
      </c>
      <c r="C268" s="129">
        <f>'.'!L4034</f>
        <v>2275385</v>
      </c>
      <c r="D268" s="130"/>
      <c r="E268" s="131"/>
      <c r="F268" s="130"/>
      <c r="G268" s="130">
        <f>'.'!G4034</f>
        <v>938</v>
      </c>
      <c r="H268" s="130">
        <f>'.'!L4034</f>
        <v>2275385</v>
      </c>
      <c r="I268" s="130"/>
      <c r="J268" s="130"/>
      <c r="K268" s="130"/>
      <c r="L268" s="130"/>
      <c r="M268" s="130"/>
      <c r="N268" s="130"/>
      <c r="O268" s="130"/>
      <c r="P268" s="130"/>
      <c r="Q268" s="130"/>
      <c r="R268" s="130"/>
      <c r="S268" s="121"/>
      <c r="T268" s="121"/>
      <c r="U268" s="122"/>
      <c r="V268" s="117"/>
      <c r="AA268" s="118">
        <v>1</v>
      </c>
    </row>
    <row r="269" spans="1:27" s="76" customFormat="1" ht="39" customHeight="1">
      <c r="A269" s="72">
        <f t="shared" si="9"/>
        <v>68</v>
      </c>
      <c r="B269" s="123" t="s">
        <v>3111</v>
      </c>
      <c r="C269" s="129">
        <f>'.'!L4035</f>
        <v>4321867</v>
      </c>
      <c r="D269" s="130"/>
      <c r="E269" s="131"/>
      <c r="F269" s="130"/>
      <c r="G269" s="130">
        <f>'.'!G4035</f>
        <v>1790</v>
      </c>
      <c r="H269" s="130">
        <f>'.'!L4035</f>
        <v>4321867</v>
      </c>
      <c r="I269" s="130"/>
      <c r="J269" s="130"/>
      <c r="K269" s="130"/>
      <c r="L269" s="130"/>
      <c r="M269" s="130"/>
      <c r="N269" s="130"/>
      <c r="O269" s="130"/>
      <c r="P269" s="130"/>
      <c r="Q269" s="130"/>
      <c r="R269" s="130"/>
      <c r="S269" s="121"/>
      <c r="T269" s="121"/>
      <c r="U269" s="122"/>
      <c r="V269" s="117"/>
      <c r="AA269" s="118">
        <v>1</v>
      </c>
    </row>
    <row r="270" spans="1:27" s="76" customFormat="1" ht="39" customHeight="1">
      <c r="A270" s="72">
        <f t="shared" si="9"/>
        <v>69</v>
      </c>
      <c r="B270" s="123" t="s">
        <v>3112</v>
      </c>
      <c r="C270" s="129">
        <f>'.'!L4036</f>
        <v>2655748</v>
      </c>
      <c r="D270" s="130"/>
      <c r="E270" s="131"/>
      <c r="F270" s="130"/>
      <c r="G270" s="130">
        <f>'.'!G4036</f>
        <v>927</v>
      </c>
      <c r="H270" s="130">
        <f>'.'!L4036</f>
        <v>2655748</v>
      </c>
      <c r="I270" s="130"/>
      <c r="J270" s="130"/>
      <c r="K270" s="130"/>
      <c r="L270" s="130"/>
      <c r="M270" s="130"/>
      <c r="N270" s="130"/>
      <c r="O270" s="130"/>
      <c r="P270" s="130"/>
      <c r="Q270" s="130"/>
      <c r="R270" s="130"/>
      <c r="S270" s="121"/>
      <c r="T270" s="121"/>
      <c r="U270" s="122"/>
      <c r="V270" s="117"/>
      <c r="AA270" s="118">
        <v>1</v>
      </c>
    </row>
    <row r="271" spans="1:27" s="76" customFormat="1" ht="39" customHeight="1">
      <c r="A271" s="72">
        <f t="shared" si="9"/>
        <v>70</v>
      </c>
      <c r="B271" s="123" t="s">
        <v>3113</v>
      </c>
      <c r="C271" s="129">
        <f>'.'!L4037</f>
        <v>2950833</v>
      </c>
      <c r="D271" s="130">
        <f>'.'!L4037</f>
        <v>2950833</v>
      </c>
      <c r="E271" s="131"/>
      <c r="F271" s="130"/>
      <c r="G271" s="130"/>
      <c r="H271" s="130"/>
      <c r="I271" s="130"/>
      <c r="J271" s="130"/>
      <c r="K271" s="130"/>
      <c r="L271" s="130"/>
      <c r="M271" s="130"/>
      <c r="N271" s="130"/>
      <c r="O271" s="130"/>
      <c r="P271" s="130"/>
      <c r="Q271" s="130"/>
      <c r="R271" s="130"/>
      <c r="S271" s="121"/>
      <c r="T271" s="121"/>
      <c r="U271" s="122"/>
      <c r="V271" s="117"/>
      <c r="AA271" s="118">
        <v>1</v>
      </c>
    </row>
    <row r="272" spans="1:27" s="76" customFormat="1" ht="39" customHeight="1">
      <c r="A272" s="72">
        <f t="shared" si="9"/>
        <v>71</v>
      </c>
      <c r="B272" s="123" t="s">
        <v>3114</v>
      </c>
      <c r="C272" s="129">
        <f>'.'!L4038</f>
        <v>308618</v>
      </c>
      <c r="D272" s="130">
        <f>'.'!L4038</f>
        <v>308618</v>
      </c>
      <c r="E272" s="131"/>
      <c r="F272" s="130"/>
      <c r="G272" s="130"/>
      <c r="H272" s="130"/>
      <c r="I272" s="130"/>
      <c r="J272" s="130"/>
      <c r="K272" s="130"/>
      <c r="L272" s="130"/>
      <c r="M272" s="130"/>
      <c r="N272" s="130"/>
      <c r="O272" s="130"/>
      <c r="P272" s="130"/>
      <c r="Q272" s="130"/>
      <c r="R272" s="130"/>
      <c r="S272" s="121"/>
      <c r="T272" s="121"/>
      <c r="U272" s="122"/>
      <c r="V272" s="117"/>
      <c r="AA272" s="118">
        <v>1</v>
      </c>
    </row>
    <row r="273" spans="1:27" s="76" customFormat="1" ht="39" customHeight="1">
      <c r="A273" s="72">
        <f t="shared" si="9"/>
        <v>72</v>
      </c>
      <c r="B273" s="123" t="s">
        <v>3115</v>
      </c>
      <c r="C273" s="129">
        <f>'.'!L4039</f>
        <v>2366000</v>
      </c>
      <c r="D273" s="130"/>
      <c r="E273" s="131"/>
      <c r="F273" s="130"/>
      <c r="G273" s="130">
        <f>'.'!G4039</f>
        <v>820</v>
      </c>
      <c r="H273" s="130">
        <f>'.'!L4039</f>
        <v>2366000</v>
      </c>
      <c r="I273" s="130"/>
      <c r="J273" s="130"/>
      <c r="K273" s="130"/>
      <c r="L273" s="130"/>
      <c r="M273" s="130"/>
      <c r="N273" s="130"/>
      <c r="O273" s="130"/>
      <c r="P273" s="130"/>
      <c r="Q273" s="130"/>
      <c r="R273" s="130"/>
      <c r="S273" s="121"/>
      <c r="T273" s="121"/>
      <c r="U273" s="122"/>
      <c r="V273" s="117"/>
      <c r="AA273" s="118">
        <v>1</v>
      </c>
    </row>
    <row r="274" spans="1:27" s="76" customFormat="1" ht="39" customHeight="1">
      <c r="A274" s="72">
        <f t="shared" si="9"/>
        <v>73</v>
      </c>
      <c r="B274" s="123" t="s">
        <v>3116</v>
      </c>
      <c r="C274" s="129">
        <f>'.'!L4040</f>
        <v>1758426</v>
      </c>
      <c r="D274" s="130"/>
      <c r="E274" s="131"/>
      <c r="F274" s="130"/>
      <c r="G274" s="130">
        <f>'.'!G4040</f>
        <v>723</v>
      </c>
      <c r="H274" s="130">
        <f>'.'!L4040</f>
        <v>1758426</v>
      </c>
      <c r="I274" s="130"/>
      <c r="J274" s="130"/>
      <c r="K274" s="130"/>
      <c r="L274" s="130"/>
      <c r="M274" s="130"/>
      <c r="N274" s="130"/>
      <c r="O274" s="130"/>
      <c r="P274" s="130"/>
      <c r="Q274" s="130"/>
      <c r="R274" s="130"/>
      <c r="S274" s="121"/>
      <c r="T274" s="121"/>
      <c r="U274" s="122"/>
      <c r="V274" s="117"/>
      <c r="AA274" s="118">
        <v>1</v>
      </c>
    </row>
    <row r="275" spans="1:27" s="76" customFormat="1" ht="39" customHeight="1">
      <c r="A275" s="72">
        <f t="shared" si="9"/>
        <v>74</v>
      </c>
      <c r="B275" s="123" t="s">
        <v>3117</v>
      </c>
      <c r="C275" s="129">
        <f>'.'!L4041</f>
        <v>2206480</v>
      </c>
      <c r="D275" s="130">
        <f>'.'!L4041</f>
        <v>2206480</v>
      </c>
      <c r="E275" s="131"/>
      <c r="F275" s="130"/>
      <c r="G275" s="130"/>
      <c r="H275" s="130"/>
      <c r="I275" s="130"/>
      <c r="J275" s="130"/>
      <c r="K275" s="130"/>
      <c r="L275" s="130"/>
      <c r="M275" s="130"/>
      <c r="N275" s="130"/>
      <c r="O275" s="130"/>
      <c r="P275" s="130"/>
      <c r="Q275" s="130"/>
      <c r="R275" s="130"/>
      <c r="S275" s="121"/>
      <c r="T275" s="121"/>
      <c r="U275" s="122"/>
      <c r="V275" s="117"/>
      <c r="AA275" s="118">
        <v>1</v>
      </c>
    </row>
    <row r="276" spans="1:27" s="76" customFormat="1" ht="39" customHeight="1">
      <c r="A276" s="72">
        <f t="shared" si="9"/>
        <v>75</v>
      </c>
      <c r="B276" s="123" t="s">
        <v>3118</v>
      </c>
      <c r="C276" s="129">
        <f>'.'!L4042</f>
        <v>1311618</v>
      </c>
      <c r="D276" s="130">
        <f>'.'!L4042</f>
        <v>1311618</v>
      </c>
      <c r="E276" s="131"/>
      <c r="F276" s="130"/>
      <c r="G276" s="130"/>
      <c r="H276" s="130"/>
      <c r="I276" s="130"/>
      <c r="J276" s="130"/>
      <c r="K276" s="130"/>
      <c r="L276" s="130"/>
      <c r="M276" s="130"/>
      <c r="N276" s="130"/>
      <c r="O276" s="130"/>
      <c r="P276" s="130"/>
      <c r="Q276" s="130"/>
      <c r="R276" s="130"/>
      <c r="S276" s="121"/>
      <c r="T276" s="121"/>
      <c r="U276" s="122"/>
      <c r="V276" s="117"/>
      <c r="AA276" s="118">
        <v>1</v>
      </c>
    </row>
    <row r="277" spans="1:27" s="76" customFormat="1" ht="39" customHeight="1">
      <c r="A277" s="72">
        <f t="shared" si="9"/>
        <v>76</v>
      </c>
      <c r="B277" s="123" t="s">
        <v>3119</v>
      </c>
      <c r="C277" s="129">
        <f>'.'!L4043</f>
        <v>2184016</v>
      </c>
      <c r="D277" s="130"/>
      <c r="E277" s="131"/>
      <c r="F277" s="130"/>
      <c r="G277" s="130">
        <f>'.'!G4043</f>
        <v>900</v>
      </c>
      <c r="H277" s="130">
        <f>'.'!L4043</f>
        <v>2184016</v>
      </c>
      <c r="I277" s="130"/>
      <c r="J277" s="130"/>
      <c r="K277" s="130"/>
      <c r="L277" s="130"/>
      <c r="M277" s="130"/>
      <c r="N277" s="130"/>
      <c r="O277" s="130"/>
      <c r="P277" s="130"/>
      <c r="Q277" s="130"/>
      <c r="R277" s="130"/>
      <c r="S277" s="121"/>
      <c r="T277" s="121"/>
      <c r="U277" s="122"/>
      <c r="V277" s="117"/>
      <c r="AA277" s="118">
        <v>1</v>
      </c>
    </row>
    <row r="278" spans="1:27" s="76" customFormat="1" ht="39" customHeight="1">
      <c r="A278" s="72">
        <f t="shared" si="9"/>
        <v>77</v>
      </c>
      <c r="B278" s="123" t="s">
        <v>3120</v>
      </c>
      <c r="C278" s="129">
        <f>'.'!L4044</f>
        <v>2270577</v>
      </c>
      <c r="D278" s="130"/>
      <c r="E278" s="131"/>
      <c r="F278" s="130"/>
      <c r="G278" s="130">
        <f>'.'!G4044</f>
        <v>936</v>
      </c>
      <c r="H278" s="130">
        <f>'.'!L4044</f>
        <v>2270577</v>
      </c>
      <c r="I278" s="130"/>
      <c r="J278" s="130"/>
      <c r="K278" s="130"/>
      <c r="L278" s="130"/>
      <c r="M278" s="130"/>
      <c r="N278" s="130"/>
      <c r="O278" s="130"/>
      <c r="P278" s="130"/>
      <c r="Q278" s="130"/>
      <c r="R278" s="130"/>
      <c r="S278" s="121"/>
      <c r="T278" s="121"/>
      <c r="U278" s="122"/>
      <c r="V278" s="117"/>
      <c r="AA278" s="118">
        <v>1</v>
      </c>
    </row>
    <row r="279" spans="1:27" s="76" customFormat="1" ht="39" customHeight="1">
      <c r="A279" s="72">
        <f t="shared" si="9"/>
        <v>78</v>
      </c>
      <c r="B279" s="123" t="s">
        <v>3121</v>
      </c>
      <c r="C279" s="129">
        <f>'.'!L4045</f>
        <v>4540389</v>
      </c>
      <c r="D279" s="130"/>
      <c r="E279" s="131"/>
      <c r="F279" s="130"/>
      <c r="G279" s="130">
        <f>'.'!G4045</f>
        <v>1880</v>
      </c>
      <c r="H279" s="130">
        <f>'.'!L4045</f>
        <v>4540389</v>
      </c>
      <c r="I279" s="130"/>
      <c r="J279" s="130"/>
      <c r="K279" s="130"/>
      <c r="L279" s="130"/>
      <c r="M279" s="130"/>
      <c r="N279" s="130"/>
      <c r="O279" s="130"/>
      <c r="P279" s="130"/>
      <c r="Q279" s="130"/>
      <c r="R279" s="130"/>
      <c r="S279" s="121"/>
      <c r="T279" s="121"/>
      <c r="U279" s="122"/>
      <c r="V279" s="117"/>
      <c r="AA279" s="118">
        <v>1</v>
      </c>
    </row>
    <row r="280" spans="1:27" s="76" customFormat="1" ht="39" customHeight="1">
      <c r="A280" s="72">
        <f t="shared" si="9"/>
        <v>79</v>
      </c>
      <c r="B280" s="123" t="s">
        <v>3123</v>
      </c>
      <c r="C280" s="129">
        <f>'.'!L4046</f>
        <v>474524</v>
      </c>
      <c r="D280" s="130">
        <f>'.'!L4046</f>
        <v>474524</v>
      </c>
      <c r="E280" s="131"/>
      <c r="F280" s="130"/>
      <c r="G280" s="130"/>
      <c r="H280" s="130"/>
      <c r="I280" s="130"/>
      <c r="J280" s="130"/>
      <c r="K280" s="130"/>
      <c r="L280" s="130"/>
      <c r="M280" s="130"/>
      <c r="N280" s="130"/>
      <c r="O280" s="130"/>
      <c r="P280" s="130"/>
      <c r="Q280" s="130"/>
      <c r="R280" s="130"/>
      <c r="S280" s="121"/>
      <c r="T280" s="121"/>
      <c r="U280" s="122"/>
      <c r="V280" s="117"/>
      <c r="AA280" s="118">
        <v>1</v>
      </c>
    </row>
    <row r="281" spans="1:27" s="76" customFormat="1" ht="39" customHeight="1">
      <c r="A281" s="72">
        <f t="shared" si="9"/>
        <v>80</v>
      </c>
      <c r="B281" s="123" t="s">
        <v>3124</v>
      </c>
      <c r="C281" s="129">
        <f>'.'!L4047</f>
        <v>1462677</v>
      </c>
      <c r="D281" s="130"/>
      <c r="E281" s="131"/>
      <c r="F281" s="130"/>
      <c r="G281" s="130">
        <f>'.'!G4047</f>
        <v>600</v>
      </c>
      <c r="H281" s="130">
        <f>'.'!L4047</f>
        <v>1462677</v>
      </c>
      <c r="I281" s="130"/>
      <c r="J281" s="130"/>
      <c r="K281" s="130"/>
      <c r="L281" s="130"/>
      <c r="M281" s="130"/>
      <c r="N281" s="130"/>
      <c r="O281" s="130"/>
      <c r="P281" s="130"/>
      <c r="Q281" s="130"/>
      <c r="R281" s="130"/>
      <c r="S281" s="121"/>
      <c r="T281" s="121"/>
      <c r="U281" s="122"/>
      <c r="V281" s="117"/>
      <c r="AA281" s="118">
        <v>1</v>
      </c>
    </row>
    <row r="282" spans="1:27" s="76" customFormat="1" ht="39" customHeight="1">
      <c r="A282" s="72">
        <f t="shared" si="9"/>
        <v>81</v>
      </c>
      <c r="B282" s="123" t="s">
        <v>2213</v>
      </c>
      <c r="C282" s="129">
        <f>'.'!L4048</f>
        <v>2171231</v>
      </c>
      <c r="D282" s="130">
        <f>'.'!L4048</f>
        <v>2171231</v>
      </c>
      <c r="E282" s="131"/>
      <c r="F282" s="130"/>
      <c r="G282" s="130"/>
      <c r="H282" s="130"/>
      <c r="I282" s="130"/>
      <c r="J282" s="130"/>
      <c r="K282" s="130"/>
      <c r="L282" s="130"/>
      <c r="M282" s="130"/>
      <c r="N282" s="130"/>
      <c r="O282" s="130"/>
      <c r="P282" s="130"/>
      <c r="Q282" s="130"/>
      <c r="R282" s="130"/>
      <c r="S282" s="121"/>
      <c r="T282" s="121"/>
      <c r="U282" s="122"/>
      <c r="V282" s="117"/>
      <c r="AA282" s="118">
        <v>1</v>
      </c>
    </row>
    <row r="283" spans="1:27" s="76" customFormat="1" ht="39" customHeight="1">
      <c r="A283" s="72">
        <f t="shared" si="9"/>
        <v>82</v>
      </c>
      <c r="B283" s="123" t="s">
        <v>3125</v>
      </c>
      <c r="C283" s="129">
        <f>'.'!L4049</f>
        <v>2753833</v>
      </c>
      <c r="D283" s="130">
        <f>'.'!L4049</f>
        <v>2753833</v>
      </c>
      <c r="E283" s="131"/>
      <c r="F283" s="130"/>
      <c r="G283" s="130"/>
      <c r="H283" s="130"/>
      <c r="I283" s="130"/>
      <c r="J283" s="130"/>
      <c r="K283" s="130"/>
      <c r="L283" s="130"/>
      <c r="M283" s="130"/>
      <c r="N283" s="130"/>
      <c r="O283" s="130"/>
      <c r="P283" s="130"/>
      <c r="Q283" s="130"/>
      <c r="R283" s="130"/>
      <c r="S283" s="121"/>
      <c r="T283" s="121"/>
      <c r="U283" s="122"/>
      <c r="V283" s="117"/>
      <c r="AA283" s="118">
        <v>1</v>
      </c>
    </row>
    <row r="284" spans="1:27" s="76" customFormat="1" ht="39" customHeight="1">
      <c r="A284" s="72">
        <f t="shared" si="9"/>
        <v>83</v>
      </c>
      <c r="B284" s="123" t="s">
        <v>3126</v>
      </c>
      <c r="C284" s="129">
        <f>'.'!L4050</f>
        <v>1545537</v>
      </c>
      <c r="D284" s="130">
        <f>'.'!L4050</f>
        <v>1545537</v>
      </c>
      <c r="E284" s="131"/>
      <c r="F284" s="130"/>
      <c r="G284" s="130"/>
      <c r="H284" s="130"/>
      <c r="I284" s="130"/>
      <c r="J284" s="130"/>
      <c r="K284" s="130"/>
      <c r="L284" s="130"/>
      <c r="M284" s="130"/>
      <c r="N284" s="130"/>
      <c r="O284" s="130"/>
      <c r="P284" s="130"/>
      <c r="Q284" s="130"/>
      <c r="R284" s="130"/>
      <c r="S284" s="121"/>
      <c r="T284" s="121"/>
      <c r="U284" s="122"/>
      <c r="V284" s="117"/>
      <c r="AA284" s="118">
        <v>1</v>
      </c>
    </row>
    <row r="285" spans="1:27" s="76" customFormat="1" ht="39" customHeight="1">
      <c r="A285" s="72">
        <f t="shared" si="9"/>
        <v>84</v>
      </c>
      <c r="B285" s="123" t="s">
        <v>3127</v>
      </c>
      <c r="C285" s="129">
        <f>'.'!L4051</f>
        <v>4118070</v>
      </c>
      <c r="D285" s="130">
        <f>'.'!L4051</f>
        <v>4118070</v>
      </c>
      <c r="E285" s="131"/>
      <c r="F285" s="130"/>
      <c r="G285" s="130"/>
      <c r="H285" s="130"/>
      <c r="I285" s="130"/>
      <c r="J285" s="130"/>
      <c r="K285" s="130"/>
      <c r="L285" s="130"/>
      <c r="M285" s="130"/>
      <c r="N285" s="130"/>
      <c r="O285" s="130"/>
      <c r="P285" s="130"/>
      <c r="Q285" s="130"/>
      <c r="R285" s="130"/>
      <c r="S285" s="121"/>
      <c r="T285" s="121"/>
      <c r="U285" s="122"/>
      <c r="V285" s="117"/>
      <c r="AA285" s="118">
        <v>1</v>
      </c>
    </row>
    <row r="286" spans="1:27" s="76" customFormat="1" ht="39" customHeight="1">
      <c r="A286" s="72">
        <f t="shared" si="9"/>
        <v>85</v>
      </c>
      <c r="B286" s="123" t="s">
        <v>3128</v>
      </c>
      <c r="C286" s="129">
        <f>'.'!L4052</f>
        <v>4218190</v>
      </c>
      <c r="D286" s="130"/>
      <c r="E286" s="131"/>
      <c r="F286" s="130"/>
      <c r="G286" s="130">
        <f>'.'!G4052</f>
        <v>1746</v>
      </c>
      <c r="H286" s="130">
        <f>'.'!L4052</f>
        <v>4218190</v>
      </c>
      <c r="I286" s="130"/>
      <c r="J286" s="130"/>
      <c r="K286" s="130"/>
      <c r="L286" s="130"/>
      <c r="M286" s="130"/>
      <c r="N286" s="130"/>
      <c r="O286" s="130"/>
      <c r="P286" s="130"/>
      <c r="Q286" s="130"/>
      <c r="R286" s="130"/>
      <c r="S286" s="121"/>
      <c r="T286" s="121"/>
      <c r="U286" s="122"/>
      <c r="V286" s="117"/>
      <c r="AA286" s="118">
        <v>1</v>
      </c>
    </row>
    <row r="287" spans="1:27" s="76" customFormat="1" ht="39" customHeight="1">
      <c r="A287" s="72">
        <f t="shared" si="9"/>
        <v>86</v>
      </c>
      <c r="B287" s="123" t="s">
        <v>3131</v>
      </c>
      <c r="C287" s="129">
        <f>'.'!L4053</f>
        <v>2272403</v>
      </c>
      <c r="D287" s="130"/>
      <c r="E287" s="131"/>
      <c r="F287" s="130"/>
      <c r="G287" s="130">
        <f>'.'!G4053</f>
        <v>792.4</v>
      </c>
      <c r="H287" s="130">
        <f>'.'!L4053</f>
        <v>2272403</v>
      </c>
      <c r="I287" s="130"/>
      <c r="J287" s="130"/>
      <c r="K287" s="130"/>
      <c r="L287" s="130"/>
      <c r="M287" s="130"/>
      <c r="N287" s="130"/>
      <c r="O287" s="130"/>
      <c r="P287" s="130"/>
      <c r="Q287" s="130"/>
      <c r="R287" s="130"/>
      <c r="S287" s="121"/>
      <c r="T287" s="121"/>
      <c r="U287" s="122"/>
      <c r="V287" s="117"/>
      <c r="AA287" s="118">
        <v>1</v>
      </c>
    </row>
    <row r="288" spans="1:27" s="76" customFormat="1" ht="39" customHeight="1">
      <c r="A288" s="72">
        <f t="shared" si="9"/>
        <v>87</v>
      </c>
      <c r="B288" s="123" t="s">
        <v>3132</v>
      </c>
      <c r="C288" s="129">
        <f>'.'!L4054</f>
        <v>2273333</v>
      </c>
      <c r="D288" s="130">
        <f>'.'!L4054</f>
        <v>2273333</v>
      </c>
      <c r="E288" s="131"/>
      <c r="F288" s="130"/>
      <c r="G288" s="130"/>
      <c r="H288" s="130"/>
      <c r="I288" s="130"/>
      <c r="J288" s="130"/>
      <c r="K288" s="130"/>
      <c r="L288" s="130"/>
      <c r="M288" s="130"/>
      <c r="N288" s="130"/>
      <c r="O288" s="130"/>
      <c r="P288" s="130"/>
      <c r="Q288" s="130"/>
      <c r="R288" s="130"/>
      <c r="S288" s="121"/>
      <c r="T288" s="121"/>
      <c r="U288" s="122"/>
      <c r="V288" s="117"/>
      <c r="AA288" s="118">
        <v>1</v>
      </c>
    </row>
    <row r="289" spans="1:27" s="76" customFormat="1" ht="39" customHeight="1">
      <c r="A289" s="72">
        <f t="shared" si="9"/>
        <v>88</v>
      </c>
      <c r="B289" s="123" t="s">
        <v>3133</v>
      </c>
      <c r="C289" s="129">
        <f>'.'!L4055</f>
        <v>2125279</v>
      </c>
      <c r="D289" s="130"/>
      <c r="E289" s="131"/>
      <c r="F289" s="130"/>
      <c r="G289" s="130">
        <f>'.'!G4055</f>
        <v>741.2</v>
      </c>
      <c r="H289" s="130">
        <f>'.'!L4055</f>
        <v>2125279</v>
      </c>
      <c r="I289" s="130"/>
      <c r="J289" s="130"/>
      <c r="K289" s="130"/>
      <c r="L289" s="130"/>
      <c r="M289" s="130"/>
      <c r="N289" s="130"/>
      <c r="O289" s="130"/>
      <c r="P289" s="130"/>
      <c r="Q289" s="130"/>
      <c r="R289" s="130"/>
      <c r="S289" s="121"/>
      <c r="T289" s="121"/>
      <c r="U289" s="122"/>
      <c r="V289" s="117"/>
      <c r="AA289" s="118">
        <v>1</v>
      </c>
    </row>
    <row r="290" spans="1:27" s="76" customFormat="1" ht="39" customHeight="1">
      <c r="A290" s="72">
        <f t="shared" si="9"/>
        <v>89</v>
      </c>
      <c r="B290" s="123" t="s">
        <v>3134</v>
      </c>
      <c r="C290" s="129">
        <f>'.'!L4056</f>
        <v>3049000</v>
      </c>
      <c r="D290" s="130">
        <f>'.'!L4056</f>
        <v>3049000</v>
      </c>
      <c r="E290" s="131"/>
      <c r="F290" s="130"/>
      <c r="G290" s="130"/>
      <c r="H290" s="130"/>
      <c r="I290" s="130"/>
      <c r="J290" s="130"/>
      <c r="K290" s="130"/>
      <c r="L290" s="130"/>
      <c r="M290" s="130"/>
      <c r="N290" s="130"/>
      <c r="O290" s="130"/>
      <c r="P290" s="130"/>
      <c r="Q290" s="130"/>
      <c r="R290" s="130"/>
      <c r="S290" s="121"/>
      <c r="T290" s="121"/>
      <c r="U290" s="122"/>
      <c r="V290" s="117"/>
      <c r="AA290" s="118">
        <v>1</v>
      </c>
    </row>
    <row r="291" spans="1:27" s="76" customFormat="1" ht="39" customHeight="1">
      <c r="A291" s="72">
        <f t="shared" si="9"/>
        <v>90</v>
      </c>
      <c r="B291" s="123" t="s">
        <v>3135</v>
      </c>
      <c r="C291" s="129">
        <f>'.'!L4057</f>
        <v>3076071</v>
      </c>
      <c r="D291" s="130"/>
      <c r="E291" s="131"/>
      <c r="F291" s="130"/>
      <c r="G291" s="130">
        <f>'.'!G4057</f>
        <v>1271</v>
      </c>
      <c r="H291" s="130">
        <f>'.'!L4057</f>
        <v>3076071</v>
      </c>
      <c r="I291" s="130"/>
      <c r="J291" s="130"/>
      <c r="K291" s="130"/>
      <c r="L291" s="130"/>
      <c r="M291" s="130"/>
      <c r="N291" s="130"/>
      <c r="O291" s="130"/>
      <c r="P291" s="130"/>
      <c r="Q291" s="130"/>
      <c r="R291" s="130"/>
      <c r="S291" s="121"/>
      <c r="T291" s="121"/>
      <c r="U291" s="122"/>
      <c r="V291" s="117"/>
      <c r="AA291" s="118">
        <v>1</v>
      </c>
    </row>
    <row r="292" spans="1:27" s="76" customFormat="1" ht="39" customHeight="1">
      <c r="A292" s="72">
        <f t="shared" si="9"/>
        <v>91</v>
      </c>
      <c r="B292" s="123" t="s">
        <v>3136</v>
      </c>
      <c r="C292" s="129">
        <f>'.'!L4058</f>
        <v>2287648</v>
      </c>
      <c r="D292" s="130"/>
      <c r="E292" s="131"/>
      <c r="F292" s="130"/>
      <c r="G292" s="130">
        <f>'.'!G4058</f>
        <v>943.1</v>
      </c>
      <c r="H292" s="130">
        <f>'.'!L4058</f>
        <v>2287648</v>
      </c>
      <c r="I292" s="130"/>
      <c r="J292" s="130"/>
      <c r="K292" s="130"/>
      <c r="L292" s="130"/>
      <c r="M292" s="130"/>
      <c r="N292" s="130"/>
      <c r="O292" s="130"/>
      <c r="P292" s="130"/>
      <c r="Q292" s="130"/>
      <c r="R292" s="130"/>
      <c r="S292" s="121"/>
      <c r="T292" s="121"/>
      <c r="U292" s="122"/>
      <c r="V292" s="117"/>
      <c r="AA292" s="118">
        <v>1</v>
      </c>
    </row>
    <row r="293" spans="1:27" s="76" customFormat="1" ht="39" customHeight="1">
      <c r="A293" s="72">
        <f t="shared" si="9"/>
        <v>92</v>
      </c>
      <c r="B293" s="123" t="s">
        <v>3137</v>
      </c>
      <c r="C293" s="129">
        <f>'.'!L4059</f>
        <v>2663101</v>
      </c>
      <c r="D293" s="130"/>
      <c r="E293" s="131"/>
      <c r="F293" s="130"/>
      <c r="G293" s="130"/>
      <c r="H293" s="130"/>
      <c r="I293" s="130"/>
      <c r="J293" s="130"/>
      <c r="K293" s="130"/>
      <c r="L293" s="130"/>
      <c r="M293" s="130"/>
      <c r="N293" s="130"/>
      <c r="O293" s="130">
        <f>'.'!E4059</f>
        <v>1004</v>
      </c>
      <c r="P293" s="130">
        <f>'.'!L4059</f>
        <v>2663101</v>
      </c>
      <c r="Q293" s="130"/>
      <c r="R293" s="130"/>
      <c r="S293" s="121"/>
      <c r="T293" s="121"/>
      <c r="U293" s="122"/>
      <c r="V293" s="117"/>
      <c r="AA293" s="118">
        <v>1</v>
      </c>
    </row>
    <row r="294" spans="1:27" s="76" customFormat="1" ht="39" customHeight="1">
      <c r="A294" s="72">
        <f t="shared" si="9"/>
        <v>93</v>
      </c>
      <c r="B294" s="123" t="s">
        <v>3138</v>
      </c>
      <c r="C294" s="129">
        <f>'.'!L4060</f>
        <v>2147708</v>
      </c>
      <c r="D294" s="130"/>
      <c r="E294" s="131"/>
      <c r="F294" s="130"/>
      <c r="G294" s="130">
        <f>'.'!G4060</f>
        <v>884.9</v>
      </c>
      <c r="H294" s="130">
        <f>'.'!L4060</f>
        <v>2147708</v>
      </c>
      <c r="I294" s="130"/>
      <c r="J294" s="130"/>
      <c r="K294" s="130"/>
      <c r="L294" s="130"/>
      <c r="M294" s="130"/>
      <c r="N294" s="130"/>
      <c r="O294" s="130"/>
      <c r="P294" s="130"/>
      <c r="Q294" s="130"/>
      <c r="R294" s="130"/>
      <c r="S294" s="121"/>
      <c r="T294" s="121"/>
      <c r="U294" s="122"/>
      <c r="V294" s="117"/>
      <c r="AA294" s="118">
        <v>1</v>
      </c>
    </row>
    <row r="295" spans="1:27" s="76" customFormat="1" ht="39" customHeight="1">
      <c r="A295" s="72">
        <f t="shared" si="9"/>
        <v>94</v>
      </c>
      <c r="B295" s="123" t="s">
        <v>3139</v>
      </c>
      <c r="C295" s="129">
        <f>'.'!L4061</f>
        <v>1070269</v>
      </c>
      <c r="D295" s="130"/>
      <c r="E295" s="131"/>
      <c r="F295" s="130"/>
      <c r="G295" s="130">
        <f>'.'!G4061</f>
        <v>436.8</v>
      </c>
      <c r="H295" s="130">
        <f>'.'!L4061</f>
        <v>1070269</v>
      </c>
      <c r="I295" s="130"/>
      <c r="J295" s="130"/>
      <c r="K295" s="130"/>
      <c r="L295" s="130"/>
      <c r="M295" s="130"/>
      <c r="N295" s="130"/>
      <c r="O295" s="130"/>
      <c r="P295" s="130"/>
      <c r="Q295" s="130"/>
      <c r="R295" s="130"/>
      <c r="S295" s="121"/>
      <c r="T295" s="121"/>
      <c r="U295" s="122"/>
      <c r="V295" s="117"/>
      <c r="AA295" s="118">
        <v>1</v>
      </c>
    </row>
    <row r="296" spans="1:27" s="76" customFormat="1" ht="39" customHeight="1">
      <c r="A296" s="72">
        <f t="shared" si="9"/>
        <v>95</v>
      </c>
      <c r="B296" s="123" t="s">
        <v>3140</v>
      </c>
      <c r="C296" s="129">
        <f>'.'!L4062</f>
        <v>621800</v>
      </c>
      <c r="D296" s="130"/>
      <c r="E296" s="131"/>
      <c r="F296" s="130"/>
      <c r="G296" s="130">
        <f>'.'!G4062</f>
        <v>466.3</v>
      </c>
      <c r="H296" s="130">
        <f>'.'!L4062</f>
        <v>621800</v>
      </c>
      <c r="I296" s="130"/>
      <c r="J296" s="130"/>
      <c r="K296" s="130"/>
      <c r="L296" s="130"/>
      <c r="M296" s="130"/>
      <c r="N296" s="130"/>
      <c r="O296" s="130"/>
      <c r="P296" s="130"/>
      <c r="Q296" s="130"/>
      <c r="R296" s="130"/>
      <c r="S296" s="121"/>
      <c r="T296" s="121"/>
      <c r="U296" s="122"/>
      <c r="V296" s="117"/>
      <c r="AA296" s="118">
        <v>1</v>
      </c>
    </row>
    <row r="297" spans="1:27" s="76" customFormat="1" ht="39" customHeight="1">
      <c r="A297" s="72">
        <f t="shared" si="9"/>
        <v>96</v>
      </c>
      <c r="B297" s="123" t="s">
        <v>3141</v>
      </c>
      <c r="C297" s="129">
        <f>'.'!L4063</f>
        <v>1065940</v>
      </c>
      <c r="D297" s="130"/>
      <c r="E297" s="131"/>
      <c r="F297" s="130"/>
      <c r="G297" s="130">
        <f>'.'!G4063</f>
        <v>435</v>
      </c>
      <c r="H297" s="130">
        <f>'.'!L4063</f>
        <v>1065940</v>
      </c>
      <c r="I297" s="130"/>
      <c r="J297" s="130"/>
      <c r="K297" s="130"/>
      <c r="L297" s="130"/>
      <c r="M297" s="130"/>
      <c r="N297" s="130"/>
      <c r="O297" s="130"/>
      <c r="P297" s="130"/>
      <c r="Q297" s="130"/>
      <c r="R297" s="130"/>
      <c r="S297" s="121"/>
      <c r="T297" s="121"/>
      <c r="U297" s="122"/>
      <c r="V297" s="117"/>
      <c r="AA297" s="118">
        <v>1</v>
      </c>
    </row>
    <row r="298" spans="1:27" s="76" customFormat="1" ht="39" customHeight="1">
      <c r="A298" s="72">
        <f t="shared" si="9"/>
        <v>97</v>
      </c>
      <c r="B298" s="123" t="s">
        <v>3142</v>
      </c>
      <c r="C298" s="129">
        <f>'.'!L4064</f>
        <v>1548785</v>
      </c>
      <c r="D298" s="130"/>
      <c r="E298" s="131"/>
      <c r="F298" s="130"/>
      <c r="G298" s="130">
        <f>'.'!G4064</f>
        <v>534</v>
      </c>
      <c r="H298" s="130">
        <f>'.'!L4064</f>
        <v>1548785</v>
      </c>
      <c r="I298" s="130"/>
      <c r="J298" s="130"/>
      <c r="K298" s="130"/>
      <c r="L298" s="130"/>
      <c r="M298" s="130"/>
      <c r="N298" s="130"/>
      <c r="O298" s="130"/>
      <c r="P298" s="130"/>
      <c r="Q298" s="130"/>
      <c r="R298" s="130"/>
      <c r="S298" s="121"/>
      <c r="T298" s="121"/>
      <c r="U298" s="122"/>
      <c r="V298" s="117"/>
      <c r="AA298" s="118">
        <v>1</v>
      </c>
    </row>
    <row r="299" spans="1:27" s="76" customFormat="1" ht="39" customHeight="1">
      <c r="A299" s="72">
        <f t="shared" si="9"/>
        <v>98</v>
      </c>
      <c r="B299" s="123" t="s">
        <v>3144</v>
      </c>
      <c r="C299" s="129">
        <f>'.'!L4065</f>
        <v>7954724</v>
      </c>
      <c r="D299" s="130"/>
      <c r="E299" s="131"/>
      <c r="F299" s="130"/>
      <c r="G299" s="130">
        <f>'.'!G4065</f>
        <v>3300</v>
      </c>
      <c r="H299" s="130">
        <f>'.'!L4065</f>
        <v>7954724</v>
      </c>
      <c r="I299" s="130"/>
      <c r="J299" s="130"/>
      <c r="K299" s="130"/>
      <c r="L299" s="130"/>
      <c r="M299" s="130"/>
      <c r="N299" s="130"/>
      <c r="O299" s="130"/>
      <c r="P299" s="130"/>
      <c r="Q299" s="130"/>
      <c r="R299" s="130"/>
      <c r="S299" s="121"/>
      <c r="T299" s="121"/>
      <c r="U299" s="122"/>
      <c r="V299" s="117"/>
      <c r="AA299" s="118">
        <v>1</v>
      </c>
    </row>
    <row r="300" spans="1:27" s="76" customFormat="1" ht="39" customHeight="1">
      <c r="A300" s="72">
        <f t="shared" si="9"/>
        <v>99</v>
      </c>
      <c r="B300" s="123" t="s">
        <v>3145</v>
      </c>
      <c r="C300" s="129">
        <f>'.'!L4066</f>
        <v>1311618</v>
      </c>
      <c r="D300" s="130">
        <f>'.'!L4066</f>
        <v>1311618</v>
      </c>
      <c r="E300" s="131"/>
      <c r="F300" s="130"/>
      <c r="G300" s="130"/>
      <c r="H300" s="130"/>
      <c r="I300" s="130"/>
      <c r="J300" s="130"/>
      <c r="K300" s="130"/>
      <c r="L300" s="130"/>
      <c r="M300" s="130"/>
      <c r="N300" s="130"/>
      <c r="O300" s="130"/>
      <c r="P300" s="130"/>
      <c r="Q300" s="130"/>
      <c r="R300" s="130"/>
      <c r="S300" s="121"/>
      <c r="T300" s="121"/>
      <c r="U300" s="122"/>
      <c r="V300" s="117"/>
      <c r="AA300" s="118">
        <v>1</v>
      </c>
    </row>
    <row r="301" spans="1:27" s="76" customFormat="1" ht="39" customHeight="1">
      <c r="A301" s="72">
        <f t="shared" si="9"/>
        <v>100</v>
      </c>
      <c r="B301" s="123" t="s">
        <v>3146</v>
      </c>
      <c r="C301" s="129">
        <f>'.'!L4067</f>
        <v>663578</v>
      </c>
      <c r="D301" s="130">
        <f>'.'!L4067</f>
        <v>663578</v>
      </c>
      <c r="E301" s="131"/>
      <c r="F301" s="130"/>
      <c r="G301" s="130"/>
      <c r="H301" s="130"/>
      <c r="I301" s="130"/>
      <c r="J301" s="130"/>
      <c r="K301" s="130"/>
      <c r="L301" s="130"/>
      <c r="M301" s="130"/>
      <c r="N301" s="130"/>
      <c r="O301" s="130"/>
      <c r="P301" s="130"/>
      <c r="Q301" s="130"/>
      <c r="R301" s="130"/>
      <c r="S301" s="121"/>
      <c r="T301" s="121"/>
      <c r="U301" s="122"/>
      <c r="V301" s="117"/>
      <c r="AA301" s="118">
        <v>1</v>
      </c>
    </row>
    <row r="302" spans="1:27" s="76" customFormat="1" ht="39" customHeight="1">
      <c r="A302" s="72">
        <f t="shared" si="9"/>
        <v>101</v>
      </c>
      <c r="B302" s="123" t="s">
        <v>3147</v>
      </c>
      <c r="C302" s="129">
        <f>'.'!L4068</f>
        <v>2797154</v>
      </c>
      <c r="D302" s="130"/>
      <c r="E302" s="131"/>
      <c r="F302" s="130"/>
      <c r="G302" s="130">
        <f>'.'!G4068</f>
        <v>1155</v>
      </c>
      <c r="H302" s="130">
        <f>'.'!L4068</f>
        <v>2797154</v>
      </c>
      <c r="I302" s="130"/>
      <c r="J302" s="130"/>
      <c r="K302" s="130"/>
      <c r="L302" s="130"/>
      <c r="M302" s="130"/>
      <c r="N302" s="130"/>
      <c r="O302" s="130"/>
      <c r="P302" s="130"/>
      <c r="Q302" s="130"/>
      <c r="R302" s="130"/>
      <c r="S302" s="121"/>
      <c r="T302" s="121"/>
      <c r="U302" s="122"/>
      <c r="V302" s="117"/>
      <c r="AA302" s="118">
        <v>1</v>
      </c>
    </row>
    <row r="303" spans="1:27" s="76" customFormat="1" ht="39" customHeight="1">
      <c r="A303" s="72">
        <f t="shared" si="9"/>
        <v>102</v>
      </c>
      <c r="B303" s="123" t="s">
        <v>3149</v>
      </c>
      <c r="C303" s="129">
        <f>'.'!L4069</f>
        <v>3049622</v>
      </c>
      <c r="D303" s="130"/>
      <c r="E303" s="131"/>
      <c r="F303" s="130"/>
      <c r="G303" s="130">
        <f>'.'!G4069</f>
        <v>1260</v>
      </c>
      <c r="H303" s="130">
        <f>'.'!L4069</f>
        <v>3049622</v>
      </c>
      <c r="I303" s="130"/>
      <c r="J303" s="130"/>
      <c r="K303" s="130"/>
      <c r="L303" s="130"/>
      <c r="M303" s="130"/>
      <c r="N303" s="130"/>
      <c r="O303" s="130"/>
      <c r="P303" s="130"/>
      <c r="Q303" s="130"/>
      <c r="R303" s="130"/>
      <c r="S303" s="121"/>
      <c r="T303" s="121"/>
      <c r="U303" s="122"/>
      <c r="V303" s="117"/>
      <c r="AA303" s="118">
        <v>1</v>
      </c>
    </row>
    <row r="304" spans="1:27" s="76" customFormat="1" ht="39" customHeight="1">
      <c r="A304" s="72">
        <f t="shared" si="9"/>
        <v>103</v>
      </c>
      <c r="B304" s="123" t="s">
        <v>3150</v>
      </c>
      <c r="C304" s="129">
        <f>'.'!L4070</f>
        <v>2495153</v>
      </c>
      <c r="D304" s="130"/>
      <c r="E304" s="131"/>
      <c r="F304" s="130"/>
      <c r="G304" s="130">
        <f>'.'!G4070</f>
        <v>1029.4000000000001</v>
      </c>
      <c r="H304" s="130">
        <f>'.'!L4070</f>
        <v>2495153</v>
      </c>
      <c r="I304" s="130"/>
      <c r="J304" s="130"/>
      <c r="K304" s="130"/>
      <c r="L304" s="130"/>
      <c r="M304" s="130"/>
      <c r="N304" s="130"/>
      <c r="O304" s="130"/>
      <c r="P304" s="130"/>
      <c r="Q304" s="130"/>
      <c r="R304" s="130"/>
      <c r="S304" s="121"/>
      <c r="T304" s="121"/>
      <c r="U304" s="122"/>
      <c r="V304" s="117"/>
      <c r="AA304" s="118">
        <v>1</v>
      </c>
    </row>
    <row r="305" spans="1:27" s="76" customFormat="1" ht="39" customHeight="1">
      <c r="A305" s="72">
        <f t="shared" si="9"/>
        <v>104</v>
      </c>
      <c r="B305" s="123" t="s">
        <v>3151</v>
      </c>
      <c r="C305" s="129">
        <f>'.'!L4071</f>
        <v>2145422</v>
      </c>
      <c r="D305" s="130"/>
      <c r="E305" s="131"/>
      <c r="F305" s="130"/>
      <c r="G305" s="130">
        <f>'.'!G4071</f>
        <v>884.2</v>
      </c>
      <c r="H305" s="130">
        <f>'.'!L4071</f>
        <v>2145422</v>
      </c>
      <c r="I305" s="130"/>
      <c r="J305" s="130"/>
      <c r="K305" s="130"/>
      <c r="L305" s="130"/>
      <c r="M305" s="130"/>
      <c r="N305" s="130"/>
      <c r="O305" s="130"/>
      <c r="P305" s="130"/>
      <c r="Q305" s="130"/>
      <c r="R305" s="130"/>
      <c r="S305" s="121"/>
      <c r="T305" s="121"/>
      <c r="U305" s="122"/>
      <c r="V305" s="117"/>
      <c r="AA305" s="118">
        <v>1</v>
      </c>
    </row>
    <row r="306" spans="1:27" s="76" customFormat="1" ht="39" customHeight="1">
      <c r="A306" s="72">
        <f t="shared" si="9"/>
        <v>105</v>
      </c>
      <c r="B306" s="123" t="s">
        <v>3152</v>
      </c>
      <c r="C306" s="129">
        <f>'.'!L4072</f>
        <v>2347519</v>
      </c>
      <c r="D306" s="130"/>
      <c r="E306" s="131"/>
      <c r="F306" s="130"/>
      <c r="G306" s="130">
        <f>'.'!G4072</f>
        <v>968</v>
      </c>
      <c r="H306" s="130">
        <f>'.'!L4072</f>
        <v>2347519</v>
      </c>
      <c r="I306" s="130"/>
      <c r="J306" s="130"/>
      <c r="K306" s="130"/>
      <c r="L306" s="130"/>
      <c r="M306" s="130"/>
      <c r="N306" s="130"/>
      <c r="O306" s="130"/>
      <c r="P306" s="130"/>
      <c r="Q306" s="130"/>
      <c r="R306" s="130"/>
      <c r="S306" s="121"/>
      <c r="T306" s="121"/>
      <c r="U306" s="122"/>
      <c r="V306" s="117"/>
      <c r="AA306" s="118">
        <v>1</v>
      </c>
    </row>
    <row r="307" spans="1:27" s="76" customFormat="1" ht="39" customHeight="1">
      <c r="A307" s="72">
        <f t="shared" si="9"/>
        <v>106</v>
      </c>
      <c r="B307" s="123" t="s">
        <v>3153</v>
      </c>
      <c r="C307" s="129">
        <f>'.'!L4073</f>
        <v>2330687</v>
      </c>
      <c r="D307" s="130"/>
      <c r="E307" s="131"/>
      <c r="F307" s="130"/>
      <c r="G307" s="130">
        <f>'.'!G4073</f>
        <v>961</v>
      </c>
      <c r="H307" s="130">
        <f>'.'!L4073</f>
        <v>2330687</v>
      </c>
      <c r="I307" s="130"/>
      <c r="J307" s="130"/>
      <c r="K307" s="130"/>
      <c r="L307" s="130"/>
      <c r="M307" s="130"/>
      <c r="N307" s="130"/>
      <c r="O307" s="130"/>
      <c r="P307" s="130"/>
      <c r="Q307" s="130"/>
      <c r="R307" s="130"/>
      <c r="S307" s="121"/>
      <c r="T307" s="121"/>
      <c r="U307" s="122"/>
      <c r="V307" s="117"/>
      <c r="AA307" s="118">
        <v>1</v>
      </c>
    </row>
    <row r="308" spans="1:27" s="76" customFormat="1" ht="39" customHeight="1">
      <c r="A308" s="72">
        <f t="shared" si="9"/>
        <v>107</v>
      </c>
      <c r="B308" s="123" t="s">
        <v>3154</v>
      </c>
      <c r="C308" s="129">
        <f>'.'!L4074</f>
        <v>2551898</v>
      </c>
      <c r="D308" s="130"/>
      <c r="E308" s="131"/>
      <c r="F308" s="130"/>
      <c r="G308" s="130">
        <f>'.'!G4074</f>
        <v>1053</v>
      </c>
      <c r="H308" s="130">
        <f>'.'!L4074</f>
        <v>2551898</v>
      </c>
      <c r="I308" s="130"/>
      <c r="J308" s="130"/>
      <c r="K308" s="130"/>
      <c r="L308" s="130"/>
      <c r="M308" s="130"/>
      <c r="N308" s="130"/>
      <c r="O308" s="130"/>
      <c r="P308" s="130"/>
      <c r="Q308" s="130"/>
      <c r="R308" s="130"/>
      <c r="S308" s="121"/>
      <c r="T308" s="121"/>
      <c r="U308" s="122"/>
      <c r="V308" s="117"/>
      <c r="AA308" s="118">
        <v>1</v>
      </c>
    </row>
    <row r="309" spans="1:27" s="76" customFormat="1" ht="39" customHeight="1">
      <c r="A309" s="72">
        <f t="shared" si="9"/>
        <v>108</v>
      </c>
      <c r="B309" s="123" t="s">
        <v>3155</v>
      </c>
      <c r="C309" s="129">
        <f>'.'!L4075</f>
        <v>2501405</v>
      </c>
      <c r="D309" s="130"/>
      <c r="E309" s="131"/>
      <c r="F309" s="130"/>
      <c r="G309" s="130">
        <f>'.'!G4075</f>
        <v>1032</v>
      </c>
      <c r="H309" s="130">
        <f>'.'!L4075</f>
        <v>2501405</v>
      </c>
      <c r="I309" s="130"/>
      <c r="J309" s="130"/>
      <c r="K309" s="130"/>
      <c r="L309" s="130"/>
      <c r="M309" s="130"/>
      <c r="N309" s="130"/>
      <c r="O309" s="130"/>
      <c r="P309" s="130"/>
      <c r="Q309" s="130"/>
      <c r="R309" s="130"/>
      <c r="S309" s="121"/>
      <c r="T309" s="121"/>
      <c r="U309" s="122"/>
      <c r="V309" s="117"/>
      <c r="AA309" s="118">
        <v>1</v>
      </c>
    </row>
    <row r="310" spans="1:27" s="76" customFormat="1" ht="39" customHeight="1">
      <c r="A310" s="72">
        <f t="shared" si="9"/>
        <v>109</v>
      </c>
      <c r="B310" s="272" t="s">
        <v>4156</v>
      </c>
      <c r="C310" s="129">
        <f>'.'!L4076</f>
        <v>4334800</v>
      </c>
      <c r="D310" s="132"/>
      <c r="E310" s="133"/>
      <c r="F310" s="132"/>
      <c r="G310" s="130">
        <f>'.'!G4076</f>
        <v>1866</v>
      </c>
      <c r="H310" s="130">
        <f>'.'!L4076</f>
        <v>4334800</v>
      </c>
      <c r="I310" s="132"/>
      <c r="J310" s="132"/>
      <c r="K310" s="132"/>
      <c r="L310" s="132"/>
      <c r="M310" s="132"/>
      <c r="N310" s="132"/>
      <c r="O310" s="132"/>
      <c r="P310" s="132"/>
      <c r="Q310" s="75"/>
      <c r="R310" s="75"/>
      <c r="S310" s="128"/>
      <c r="T310" s="128"/>
      <c r="U310" s="127"/>
      <c r="V310" s="117"/>
      <c r="AA310" s="118">
        <v>1</v>
      </c>
    </row>
    <row r="311" spans="1:27" s="76" customFormat="1" ht="39" customHeight="1">
      <c r="A311" s="72">
        <f t="shared" si="9"/>
        <v>110</v>
      </c>
      <c r="B311" s="77" t="s">
        <v>4155</v>
      </c>
      <c r="C311" s="129">
        <f>'.'!L4077</f>
        <v>16668758.02</v>
      </c>
      <c r="D311" s="134"/>
      <c r="E311" s="135"/>
      <c r="F311" s="134"/>
      <c r="G311" s="134"/>
      <c r="H311" s="134"/>
      <c r="I311" s="134"/>
      <c r="J311" s="134"/>
      <c r="K311" s="134">
        <f>'.'!E4077</f>
        <v>4894.6499999999996</v>
      </c>
      <c r="L311" s="134">
        <f>'.'!M4078+'.'!N4078+'.'!O4078+'.'!Q4078</f>
        <v>8237456.0199999996</v>
      </c>
      <c r="M311" s="134"/>
      <c r="N311" s="134"/>
      <c r="O311" s="134"/>
      <c r="P311" s="134"/>
      <c r="Q311" s="132">
        <f>'.'!G4077</f>
        <v>2012.78</v>
      </c>
      <c r="R311" s="132">
        <f>'.'!M4077+'.'!N4077+'.'!O4077+'.'!Q4077</f>
        <v>8431302</v>
      </c>
      <c r="S311" s="126"/>
      <c r="T311" s="126"/>
      <c r="U311" s="125"/>
      <c r="V311" s="117"/>
      <c r="AA311" s="118">
        <v>1</v>
      </c>
    </row>
    <row r="312" spans="1:27" s="76" customFormat="1" ht="39" customHeight="1">
      <c r="A312" s="72">
        <f t="shared" si="9"/>
        <v>111</v>
      </c>
      <c r="B312" s="272" t="s">
        <v>1280</v>
      </c>
      <c r="C312" s="129">
        <f>'.'!L4079</f>
        <v>18364241</v>
      </c>
      <c r="D312" s="132"/>
      <c r="E312" s="133"/>
      <c r="F312" s="132"/>
      <c r="G312" s="132"/>
      <c r="H312" s="132"/>
      <c r="I312" s="132"/>
      <c r="J312" s="132"/>
      <c r="K312" s="132">
        <f>'.'!E4079</f>
        <v>10850</v>
      </c>
      <c r="L312" s="132">
        <f>'.'!L4079</f>
        <v>18364241</v>
      </c>
      <c r="M312" s="132"/>
      <c r="N312" s="132"/>
      <c r="O312" s="132"/>
      <c r="P312" s="132"/>
      <c r="Q312" s="132"/>
      <c r="R312" s="132"/>
      <c r="S312" s="128"/>
      <c r="T312" s="128"/>
      <c r="U312" s="127"/>
      <c r="V312" s="117"/>
      <c r="AA312" s="118">
        <v>1</v>
      </c>
    </row>
    <row r="313" spans="1:27" s="76" customFormat="1" ht="52.5" customHeight="1">
      <c r="A313" s="1104" t="s">
        <v>146</v>
      </c>
      <c r="B313" s="1105"/>
      <c r="C313" s="119">
        <f t="shared" ref="C313:H313" si="10">SUM(C202:C312)</f>
        <v>371684408.01999998</v>
      </c>
      <c r="D313" s="119">
        <f t="shared" si="10"/>
        <v>41566405</v>
      </c>
      <c r="E313" s="120">
        <f t="shared" si="10"/>
        <v>57</v>
      </c>
      <c r="F313" s="119">
        <f t="shared" si="10"/>
        <v>116868750</v>
      </c>
      <c r="G313" s="119">
        <f t="shared" si="10"/>
        <v>65596.200000000012</v>
      </c>
      <c r="H313" s="119">
        <f t="shared" si="10"/>
        <v>163034937</v>
      </c>
      <c r="I313" s="119"/>
      <c r="J313" s="119"/>
      <c r="K313" s="119">
        <f>SUM(K202:K312)</f>
        <v>15744.65</v>
      </c>
      <c r="L313" s="119">
        <f>SUM(L202:L312)</f>
        <v>26601697.02</v>
      </c>
      <c r="M313" s="119"/>
      <c r="N313" s="119"/>
      <c r="O313" s="119">
        <f>SUM(O202:O312)</f>
        <v>5819</v>
      </c>
      <c r="P313" s="119">
        <f>SUM(P202:P312)</f>
        <v>15181317</v>
      </c>
      <c r="Q313" s="119">
        <f>SUM(Q202:Q312)</f>
        <v>2012.78</v>
      </c>
      <c r="R313" s="119">
        <f>SUM(R202:R312)</f>
        <v>8431302</v>
      </c>
      <c r="S313" s="121"/>
      <c r="T313" s="121"/>
      <c r="U313" s="122"/>
      <c r="V313" s="117"/>
      <c r="W313" s="117"/>
      <c r="X313" s="117"/>
      <c r="AA313" s="118"/>
    </row>
    <row r="314" spans="1:27" s="18" customFormat="1" ht="64.5" customHeight="1">
      <c r="A314" s="1106" t="s">
        <v>90</v>
      </c>
      <c r="B314" s="1107"/>
      <c r="C314" s="1107"/>
      <c r="D314" s="1107"/>
      <c r="E314" s="1107"/>
      <c r="F314" s="1107"/>
      <c r="G314" s="1107"/>
      <c r="H314" s="1107"/>
      <c r="I314" s="1107"/>
      <c r="J314" s="1107"/>
      <c r="K314" s="1107"/>
      <c r="L314" s="1107"/>
      <c r="M314" s="1107"/>
      <c r="N314" s="1107"/>
      <c r="O314" s="1107"/>
      <c r="P314" s="1107"/>
      <c r="Q314" s="1107"/>
      <c r="R314" s="1107"/>
      <c r="S314" s="1108"/>
      <c r="T314" s="32"/>
      <c r="U314" s="33"/>
      <c r="V314" s="24"/>
    </row>
    <row r="315" spans="1:27" s="88" customFormat="1" ht="34.5" customHeight="1">
      <c r="A315" s="1085" t="s">
        <v>145</v>
      </c>
      <c r="B315" s="1086"/>
      <c r="C315" s="1086"/>
      <c r="D315" s="1086"/>
      <c r="E315" s="1086"/>
      <c r="F315" s="1086"/>
      <c r="G315" s="1086"/>
      <c r="H315" s="1086"/>
      <c r="I315" s="1086"/>
      <c r="J315" s="1086"/>
      <c r="K315" s="1086"/>
      <c r="L315" s="1086"/>
      <c r="M315" s="1086"/>
      <c r="N315" s="1086"/>
      <c r="O315" s="1086"/>
      <c r="P315" s="1086"/>
      <c r="Q315" s="1086"/>
      <c r="R315" s="1086"/>
      <c r="S315" s="1086"/>
      <c r="T315" s="140"/>
      <c r="U315" s="138"/>
      <c r="V315" s="136"/>
    </row>
    <row r="316" spans="1:27" s="88" customFormat="1" ht="39" customHeight="1">
      <c r="A316" s="85">
        <v>1</v>
      </c>
      <c r="B316" s="146" t="s">
        <v>3450</v>
      </c>
      <c r="C316" s="144">
        <f>'.'!L4696</f>
        <v>3398044</v>
      </c>
      <c r="D316" s="147"/>
      <c r="E316" s="148"/>
      <c r="F316" s="147"/>
      <c r="G316" s="142">
        <f>'.'!G4696</f>
        <v>1395</v>
      </c>
      <c r="H316" s="142">
        <f>'.'!L4696</f>
        <v>3398044</v>
      </c>
      <c r="I316" s="147"/>
      <c r="J316" s="147"/>
      <c r="K316" s="147"/>
      <c r="L316" s="147"/>
      <c r="M316" s="147"/>
      <c r="N316" s="147"/>
      <c r="O316" s="147"/>
      <c r="P316" s="145"/>
      <c r="Q316" s="147"/>
      <c r="R316" s="147"/>
      <c r="S316" s="137"/>
      <c r="T316" s="137"/>
      <c r="U316" s="138"/>
      <c r="V316" s="136"/>
    </row>
    <row r="317" spans="1:27" s="88" customFormat="1" ht="39" customHeight="1">
      <c r="A317" s="85">
        <f>A316+1</f>
        <v>2</v>
      </c>
      <c r="B317" s="149" t="s">
        <v>2145</v>
      </c>
      <c r="C317" s="144">
        <f>'.'!L4697</f>
        <v>2129728</v>
      </c>
      <c r="D317" s="147">
        <f>'.'!L4697</f>
        <v>2129728</v>
      </c>
      <c r="E317" s="148"/>
      <c r="F317" s="147"/>
      <c r="G317" s="142"/>
      <c r="H317" s="142"/>
      <c r="I317" s="147"/>
      <c r="J317" s="147"/>
      <c r="K317" s="147"/>
      <c r="L317" s="147"/>
      <c r="M317" s="147"/>
      <c r="N317" s="147"/>
      <c r="O317" s="147"/>
      <c r="P317" s="145"/>
      <c r="Q317" s="147"/>
      <c r="R317" s="147"/>
      <c r="S317" s="137"/>
      <c r="T317" s="137"/>
      <c r="U317" s="138"/>
      <c r="V317" s="136"/>
    </row>
    <row r="318" spans="1:27" s="88" customFormat="1" ht="39" customHeight="1">
      <c r="A318" s="85">
        <f t="shared" ref="A318:A347" si="11">A317+1</f>
        <v>3</v>
      </c>
      <c r="B318" s="150" t="s">
        <v>3451</v>
      </c>
      <c r="C318" s="144">
        <f>'.'!L4698</f>
        <v>8626482</v>
      </c>
      <c r="D318" s="147"/>
      <c r="E318" s="148"/>
      <c r="F318" s="147"/>
      <c r="G318" s="142">
        <f>'.'!G4698</f>
        <v>3567</v>
      </c>
      <c r="H318" s="142">
        <f>'.'!L4698</f>
        <v>8626482</v>
      </c>
      <c r="I318" s="147"/>
      <c r="J318" s="147"/>
      <c r="K318" s="147"/>
      <c r="L318" s="147"/>
      <c r="M318" s="147"/>
      <c r="N318" s="147"/>
      <c r="O318" s="147"/>
      <c r="P318" s="145"/>
      <c r="Q318" s="147"/>
      <c r="R318" s="147"/>
      <c r="S318" s="137"/>
      <c r="T318" s="137"/>
      <c r="U318" s="138"/>
      <c r="V318" s="136"/>
    </row>
    <row r="319" spans="1:27" s="88" customFormat="1" ht="39" customHeight="1">
      <c r="A319" s="85">
        <f t="shared" si="11"/>
        <v>4</v>
      </c>
      <c r="B319" s="146" t="s">
        <v>3452</v>
      </c>
      <c r="C319" s="144">
        <f>'.'!L4699</f>
        <v>9747000</v>
      </c>
      <c r="D319" s="147"/>
      <c r="E319" s="148"/>
      <c r="F319" s="147"/>
      <c r="G319" s="142"/>
      <c r="H319" s="142"/>
      <c r="I319" s="147"/>
      <c r="J319" s="147"/>
      <c r="K319" s="147"/>
      <c r="L319" s="147"/>
      <c r="M319" s="147"/>
      <c r="N319" s="147"/>
      <c r="O319" s="145">
        <f>'.'!E4699</f>
        <v>3720</v>
      </c>
      <c r="P319" s="145">
        <f>'.'!L4699</f>
        <v>9747000</v>
      </c>
      <c r="Q319" s="147"/>
      <c r="R319" s="147"/>
      <c r="S319" s="137"/>
      <c r="T319" s="137"/>
      <c r="U319" s="138"/>
      <c r="V319" s="136"/>
    </row>
    <row r="320" spans="1:27" s="88" customFormat="1" ht="39" customHeight="1">
      <c r="A320" s="85">
        <f t="shared" si="11"/>
        <v>5</v>
      </c>
      <c r="B320" s="146" t="s">
        <v>3453</v>
      </c>
      <c r="C320" s="144">
        <f>'.'!L4700</f>
        <v>5202200</v>
      </c>
      <c r="D320" s="147"/>
      <c r="E320" s="148"/>
      <c r="F320" s="147"/>
      <c r="G320" s="142"/>
      <c r="H320" s="142"/>
      <c r="I320" s="147"/>
      <c r="J320" s="147"/>
      <c r="K320" s="147"/>
      <c r="L320" s="147"/>
      <c r="M320" s="147"/>
      <c r="N320" s="147"/>
      <c r="O320" s="145">
        <f>'.'!E4700</f>
        <v>1972</v>
      </c>
      <c r="P320" s="145">
        <f>'.'!L4700</f>
        <v>5202200</v>
      </c>
      <c r="Q320" s="147"/>
      <c r="R320" s="147"/>
      <c r="S320" s="137"/>
      <c r="T320" s="137"/>
      <c r="U320" s="138"/>
      <c r="V320" s="136"/>
    </row>
    <row r="321" spans="1:22" s="88" customFormat="1" ht="39" customHeight="1">
      <c r="A321" s="85">
        <f t="shared" si="11"/>
        <v>6</v>
      </c>
      <c r="B321" s="150" t="s">
        <v>3454</v>
      </c>
      <c r="C321" s="144">
        <f>'.'!L4701</f>
        <v>3790600</v>
      </c>
      <c r="D321" s="147"/>
      <c r="E321" s="148"/>
      <c r="F321" s="147"/>
      <c r="G321" s="142">
        <f>'.'!G4701</f>
        <v>1327</v>
      </c>
      <c r="H321" s="142">
        <f>'.'!L4701</f>
        <v>3790600</v>
      </c>
      <c r="I321" s="147"/>
      <c r="J321" s="147"/>
      <c r="K321" s="147"/>
      <c r="L321" s="147"/>
      <c r="M321" s="147"/>
      <c r="N321" s="147"/>
      <c r="O321" s="147"/>
      <c r="P321" s="145"/>
      <c r="Q321" s="147"/>
      <c r="R321" s="147"/>
      <c r="S321" s="137"/>
      <c r="T321" s="137"/>
      <c r="U321" s="138"/>
      <c r="V321" s="136"/>
    </row>
    <row r="322" spans="1:22" s="88" customFormat="1" ht="39" customHeight="1">
      <c r="A322" s="85">
        <f t="shared" si="11"/>
        <v>7</v>
      </c>
      <c r="B322" s="150" t="s">
        <v>3455</v>
      </c>
      <c r="C322" s="144">
        <f>'.'!L4702</f>
        <v>3276688</v>
      </c>
      <c r="D322" s="147"/>
      <c r="E322" s="148"/>
      <c r="F322" s="147"/>
      <c r="G322" s="142"/>
      <c r="H322" s="142"/>
      <c r="I322" s="147"/>
      <c r="J322" s="147"/>
      <c r="K322" s="147"/>
      <c r="L322" s="147"/>
      <c r="M322" s="147"/>
      <c r="N322" s="147"/>
      <c r="O322" s="145">
        <f>'.'!E4702</f>
        <v>1235</v>
      </c>
      <c r="P322" s="145">
        <f>'.'!L4702</f>
        <v>3276688</v>
      </c>
      <c r="Q322" s="147"/>
      <c r="R322" s="147"/>
      <c r="S322" s="137"/>
      <c r="T322" s="137"/>
      <c r="U322" s="138"/>
      <c r="V322" s="136"/>
    </row>
    <row r="323" spans="1:22" s="88" customFormat="1" ht="39" customHeight="1">
      <c r="A323" s="85">
        <f t="shared" si="11"/>
        <v>8</v>
      </c>
      <c r="B323" s="150" t="s">
        <v>3456</v>
      </c>
      <c r="C323" s="144">
        <f>'.'!L4703</f>
        <v>11185000</v>
      </c>
      <c r="D323" s="147">
        <f>'.'!L4703</f>
        <v>11185000</v>
      </c>
      <c r="E323" s="148"/>
      <c r="F323" s="147"/>
      <c r="G323" s="142"/>
      <c r="H323" s="142"/>
      <c r="I323" s="147"/>
      <c r="J323" s="147"/>
      <c r="K323" s="147"/>
      <c r="L323" s="147"/>
      <c r="M323" s="147"/>
      <c r="N323" s="147"/>
      <c r="O323" s="147"/>
      <c r="P323" s="145"/>
      <c r="Q323" s="147"/>
      <c r="R323" s="147"/>
      <c r="S323" s="137"/>
      <c r="T323" s="137"/>
      <c r="U323" s="138"/>
      <c r="V323" s="136"/>
    </row>
    <row r="324" spans="1:22" s="88" customFormat="1" ht="39" customHeight="1">
      <c r="A324" s="85">
        <f t="shared" si="11"/>
        <v>9</v>
      </c>
      <c r="B324" s="150" t="s">
        <v>3457</v>
      </c>
      <c r="C324" s="144">
        <f>'.'!L4704</f>
        <v>9409568</v>
      </c>
      <c r="D324" s="147"/>
      <c r="E324" s="148"/>
      <c r="F324" s="147"/>
      <c r="G324" s="142"/>
      <c r="H324" s="142"/>
      <c r="I324" s="147"/>
      <c r="J324" s="147"/>
      <c r="K324" s="147"/>
      <c r="L324" s="147"/>
      <c r="M324" s="147"/>
      <c r="N324" s="147"/>
      <c r="O324" s="145">
        <f>'.'!E4704</f>
        <v>3568</v>
      </c>
      <c r="P324" s="145">
        <f>'.'!L4704</f>
        <v>9409568</v>
      </c>
      <c r="Q324" s="147"/>
      <c r="R324" s="147"/>
      <c r="S324" s="137"/>
      <c r="T324" s="137"/>
      <c r="U324" s="138"/>
      <c r="V324" s="136"/>
    </row>
    <row r="325" spans="1:22" s="88" customFormat="1" ht="39" customHeight="1">
      <c r="A325" s="85">
        <f t="shared" si="11"/>
        <v>10</v>
      </c>
      <c r="B325" s="150" t="s">
        <v>2184</v>
      </c>
      <c r="C325" s="144">
        <f>'.'!L4705</f>
        <v>25872000</v>
      </c>
      <c r="D325" s="147"/>
      <c r="E325" s="148"/>
      <c r="F325" s="147"/>
      <c r="G325" s="142"/>
      <c r="H325" s="142"/>
      <c r="I325" s="147"/>
      <c r="J325" s="147"/>
      <c r="K325" s="147"/>
      <c r="L325" s="147"/>
      <c r="M325" s="147"/>
      <c r="N325" s="147"/>
      <c r="O325" s="145">
        <f>'.'!E4705</f>
        <v>9920</v>
      </c>
      <c r="P325" s="145">
        <f>'.'!L4705</f>
        <v>25872000</v>
      </c>
      <c r="Q325" s="147"/>
      <c r="R325" s="147"/>
      <c r="S325" s="137"/>
      <c r="T325" s="137"/>
      <c r="U325" s="138"/>
      <c r="V325" s="136"/>
    </row>
    <row r="326" spans="1:22" s="88" customFormat="1" ht="39" customHeight="1">
      <c r="A326" s="85">
        <f t="shared" si="11"/>
        <v>11</v>
      </c>
      <c r="B326" s="146" t="s">
        <v>3458</v>
      </c>
      <c r="C326" s="144">
        <f>'.'!L4706</f>
        <v>10167090</v>
      </c>
      <c r="D326" s="147"/>
      <c r="E326" s="148"/>
      <c r="F326" s="147"/>
      <c r="G326" s="142">
        <f>'.'!G4706</f>
        <v>4207</v>
      </c>
      <c r="H326" s="142">
        <f>'.'!L4706</f>
        <v>10167090</v>
      </c>
      <c r="I326" s="147"/>
      <c r="J326" s="147"/>
      <c r="K326" s="147"/>
      <c r="L326" s="147"/>
      <c r="M326" s="147"/>
      <c r="N326" s="147"/>
      <c r="O326" s="147"/>
      <c r="P326" s="145"/>
      <c r="Q326" s="147"/>
      <c r="R326" s="147"/>
      <c r="S326" s="137"/>
      <c r="T326" s="137"/>
      <c r="U326" s="138"/>
      <c r="V326" s="136"/>
    </row>
    <row r="327" spans="1:22" s="88" customFormat="1" ht="39" customHeight="1">
      <c r="A327" s="85">
        <f t="shared" si="11"/>
        <v>12</v>
      </c>
      <c r="B327" s="146" t="s">
        <v>3459</v>
      </c>
      <c r="C327" s="144">
        <f>'.'!L4707</f>
        <v>9167976</v>
      </c>
      <c r="D327" s="147"/>
      <c r="E327" s="148"/>
      <c r="F327" s="147"/>
      <c r="G327" s="142"/>
      <c r="H327" s="142"/>
      <c r="I327" s="147"/>
      <c r="J327" s="147"/>
      <c r="K327" s="147"/>
      <c r="L327" s="147"/>
      <c r="M327" s="147"/>
      <c r="N327" s="147"/>
      <c r="O327" s="145">
        <f>'.'!E4707</f>
        <v>3476</v>
      </c>
      <c r="P327" s="145">
        <f>'.'!L4707</f>
        <v>9167976</v>
      </c>
      <c r="Q327" s="147"/>
      <c r="R327" s="147"/>
      <c r="S327" s="137"/>
      <c r="T327" s="137"/>
      <c r="U327" s="138"/>
      <c r="V327" s="136"/>
    </row>
    <row r="328" spans="1:22" s="88" customFormat="1" ht="39" customHeight="1">
      <c r="A328" s="85">
        <f t="shared" si="11"/>
        <v>13</v>
      </c>
      <c r="B328" s="146" t="s">
        <v>3460</v>
      </c>
      <c r="C328" s="144">
        <f>'.'!L4708</f>
        <v>5489901</v>
      </c>
      <c r="D328" s="147"/>
      <c r="E328" s="148"/>
      <c r="F328" s="147"/>
      <c r="G328" s="142">
        <f>'.'!G4708</f>
        <v>2264</v>
      </c>
      <c r="H328" s="142">
        <f>'.'!L4708</f>
        <v>5489901</v>
      </c>
      <c r="I328" s="147"/>
      <c r="J328" s="147"/>
      <c r="K328" s="147"/>
      <c r="L328" s="147"/>
      <c r="M328" s="147"/>
      <c r="N328" s="147"/>
      <c r="O328" s="147"/>
      <c r="P328" s="145"/>
      <c r="Q328" s="147"/>
      <c r="R328" s="147"/>
      <c r="S328" s="137"/>
      <c r="T328" s="137"/>
      <c r="U328" s="138"/>
      <c r="V328" s="136"/>
    </row>
    <row r="329" spans="1:22" s="88" customFormat="1" ht="39" customHeight="1">
      <c r="A329" s="85">
        <f t="shared" si="11"/>
        <v>14</v>
      </c>
      <c r="B329" s="146" t="s">
        <v>3461</v>
      </c>
      <c r="C329" s="144">
        <f>'.'!L4709</f>
        <v>9441080</v>
      </c>
      <c r="D329" s="147"/>
      <c r="E329" s="148"/>
      <c r="F329" s="147"/>
      <c r="G329" s="142"/>
      <c r="H329" s="142"/>
      <c r="I329" s="147"/>
      <c r="J329" s="147"/>
      <c r="K329" s="147"/>
      <c r="L329" s="147"/>
      <c r="M329" s="147"/>
      <c r="N329" s="147"/>
      <c r="O329" s="145">
        <f>'.'!E4709</f>
        <v>3580</v>
      </c>
      <c r="P329" s="145">
        <f>'.'!L4709</f>
        <v>9441080</v>
      </c>
      <c r="Q329" s="147"/>
      <c r="R329" s="147"/>
      <c r="S329" s="137"/>
      <c r="T329" s="137"/>
      <c r="U329" s="138"/>
      <c r="V329" s="136"/>
    </row>
    <row r="330" spans="1:22" s="88" customFormat="1" ht="39" customHeight="1">
      <c r="A330" s="85">
        <f t="shared" si="11"/>
        <v>15</v>
      </c>
      <c r="B330" s="146" t="s">
        <v>3462</v>
      </c>
      <c r="C330" s="144">
        <f>'.'!L4710</f>
        <v>3290520.0000000005</v>
      </c>
      <c r="D330" s="147"/>
      <c r="E330" s="148"/>
      <c r="F330" s="147"/>
      <c r="G330" s="142">
        <f>'.'!G4710</f>
        <v>1148.4000000000001</v>
      </c>
      <c r="H330" s="142">
        <f>'.'!L4710</f>
        <v>3290520.0000000005</v>
      </c>
      <c r="I330" s="147"/>
      <c r="J330" s="147"/>
      <c r="K330" s="147"/>
      <c r="L330" s="147"/>
      <c r="M330" s="147"/>
      <c r="N330" s="147"/>
      <c r="O330" s="147"/>
      <c r="P330" s="145"/>
      <c r="Q330" s="147"/>
      <c r="R330" s="147"/>
      <c r="S330" s="81"/>
      <c r="T330" s="81"/>
      <c r="U330" s="138"/>
      <c r="V330" s="136"/>
    </row>
    <row r="331" spans="1:22" s="88" customFormat="1" ht="39" customHeight="1">
      <c r="A331" s="85">
        <f t="shared" si="11"/>
        <v>16</v>
      </c>
      <c r="B331" s="149" t="s">
        <v>3463</v>
      </c>
      <c r="C331" s="144">
        <f>'.'!L4711</f>
        <v>6990790</v>
      </c>
      <c r="D331" s="147">
        <f>'.'!L4711</f>
        <v>6990790</v>
      </c>
      <c r="E331" s="148"/>
      <c r="F331" s="147"/>
      <c r="G331" s="142"/>
      <c r="H331" s="142"/>
      <c r="I331" s="147"/>
      <c r="J331" s="147"/>
      <c r="K331" s="147"/>
      <c r="L331" s="147"/>
      <c r="M331" s="147"/>
      <c r="N331" s="147"/>
      <c r="O331" s="147"/>
      <c r="P331" s="145"/>
      <c r="Q331" s="147"/>
      <c r="R331" s="147"/>
      <c r="S331" s="137"/>
      <c r="T331" s="137"/>
      <c r="U331" s="138"/>
      <c r="V331" s="136"/>
    </row>
    <row r="332" spans="1:22" s="88" customFormat="1" ht="39" customHeight="1">
      <c r="A332" s="85">
        <f t="shared" si="11"/>
        <v>17</v>
      </c>
      <c r="B332" s="150" t="s">
        <v>3464</v>
      </c>
      <c r="C332" s="144">
        <f>'.'!L4712</f>
        <v>7857382</v>
      </c>
      <c r="D332" s="147"/>
      <c r="E332" s="148"/>
      <c r="F332" s="147"/>
      <c r="G332" s="142"/>
      <c r="H332" s="142"/>
      <c r="I332" s="147"/>
      <c r="J332" s="147"/>
      <c r="K332" s="147">
        <f>'.'!E4712</f>
        <v>4730</v>
      </c>
      <c r="L332" s="147">
        <f>'.'!L4712</f>
        <v>7857382</v>
      </c>
      <c r="M332" s="147"/>
      <c r="N332" s="147"/>
      <c r="O332" s="147"/>
      <c r="P332" s="145"/>
      <c r="Q332" s="147"/>
      <c r="R332" s="147"/>
      <c r="S332" s="137"/>
      <c r="T332" s="137"/>
      <c r="U332" s="138"/>
      <c r="V332" s="136"/>
    </row>
    <row r="333" spans="1:22" s="88" customFormat="1" ht="39" customHeight="1">
      <c r="A333" s="85">
        <f t="shared" si="11"/>
        <v>18</v>
      </c>
      <c r="B333" s="146" t="s">
        <v>3465</v>
      </c>
      <c r="C333" s="144">
        <f>'.'!L4713</f>
        <v>9635000</v>
      </c>
      <c r="D333" s="147"/>
      <c r="E333" s="148"/>
      <c r="F333" s="147"/>
      <c r="G333" s="142"/>
      <c r="H333" s="142"/>
      <c r="I333" s="147"/>
      <c r="J333" s="147"/>
      <c r="K333" s="147"/>
      <c r="L333" s="147"/>
      <c r="M333" s="147"/>
      <c r="N333" s="147"/>
      <c r="O333" s="145">
        <f>'.'!E4713</f>
        <v>3675</v>
      </c>
      <c r="P333" s="145">
        <f>'.'!L4713</f>
        <v>9635000</v>
      </c>
      <c r="Q333" s="147"/>
      <c r="R333" s="147"/>
      <c r="S333" s="137"/>
      <c r="T333" s="137"/>
      <c r="U333" s="138"/>
      <c r="V333" s="136"/>
    </row>
    <row r="334" spans="1:22" s="88" customFormat="1" ht="39" customHeight="1">
      <c r="A334" s="85">
        <f t="shared" si="11"/>
        <v>19</v>
      </c>
      <c r="B334" s="151" t="s">
        <v>3466</v>
      </c>
      <c r="C334" s="144">
        <f>'.'!L4714</f>
        <v>6783000</v>
      </c>
      <c r="D334" s="147"/>
      <c r="E334" s="148"/>
      <c r="F334" s="147"/>
      <c r="G334" s="142"/>
      <c r="H334" s="142"/>
      <c r="I334" s="147"/>
      <c r="J334" s="147"/>
      <c r="K334" s="147"/>
      <c r="L334" s="147"/>
      <c r="M334" s="147"/>
      <c r="N334" s="147"/>
      <c r="O334" s="145">
        <f>'.'!E4714</f>
        <v>2580</v>
      </c>
      <c r="P334" s="145">
        <f>'.'!L4714</f>
        <v>6783000</v>
      </c>
      <c r="Q334" s="147"/>
      <c r="R334" s="147"/>
      <c r="S334" s="137"/>
      <c r="T334" s="137"/>
      <c r="U334" s="138"/>
      <c r="V334" s="136"/>
    </row>
    <row r="335" spans="1:22" s="88" customFormat="1" ht="39" customHeight="1">
      <c r="A335" s="85">
        <f t="shared" si="11"/>
        <v>20</v>
      </c>
      <c r="B335" s="146" t="s">
        <v>3467</v>
      </c>
      <c r="C335" s="144">
        <f>'.'!L4715</f>
        <v>5155300</v>
      </c>
      <c r="D335" s="144">
        <f>'.'!L4715</f>
        <v>5155300</v>
      </c>
      <c r="E335" s="148"/>
      <c r="F335" s="147"/>
      <c r="G335" s="142"/>
      <c r="H335" s="142"/>
      <c r="I335" s="147"/>
      <c r="J335" s="147"/>
      <c r="K335" s="147"/>
      <c r="L335" s="147"/>
      <c r="M335" s="147"/>
      <c r="N335" s="147"/>
      <c r="O335" s="147"/>
      <c r="P335" s="145"/>
      <c r="Q335" s="147"/>
      <c r="R335" s="147"/>
      <c r="S335" s="137"/>
      <c r="T335" s="137"/>
      <c r="U335" s="138"/>
      <c r="V335" s="136"/>
    </row>
    <row r="336" spans="1:22" s="88" customFormat="1" ht="39" customHeight="1">
      <c r="A336" s="85">
        <f t="shared" si="11"/>
        <v>21</v>
      </c>
      <c r="B336" s="152" t="s">
        <v>2157</v>
      </c>
      <c r="C336" s="144">
        <f>'.'!L4716</f>
        <v>2214199.94</v>
      </c>
      <c r="D336" s="144">
        <f>'.'!L4716</f>
        <v>2214199.94</v>
      </c>
      <c r="E336" s="86"/>
      <c r="F336" s="139"/>
      <c r="G336" s="139"/>
      <c r="H336" s="139"/>
      <c r="I336" s="139"/>
      <c r="J336" s="139"/>
      <c r="K336" s="139"/>
      <c r="L336" s="139"/>
      <c r="M336" s="139"/>
      <c r="N336" s="139"/>
      <c r="O336" s="139"/>
      <c r="P336" s="153"/>
      <c r="Q336" s="139"/>
      <c r="R336" s="139"/>
      <c r="S336" s="141"/>
      <c r="T336" s="141"/>
      <c r="U336" s="139"/>
      <c r="V336" s="136"/>
    </row>
    <row r="337" spans="1:24" s="88" customFormat="1" ht="39" customHeight="1">
      <c r="A337" s="85">
        <f t="shared" si="11"/>
        <v>22</v>
      </c>
      <c r="B337" s="152" t="s">
        <v>2158</v>
      </c>
      <c r="C337" s="144">
        <f>'.'!L4717</f>
        <v>3649340.94</v>
      </c>
      <c r="D337" s="144">
        <f>'.'!L4717</f>
        <v>3649340.94</v>
      </c>
      <c r="E337" s="86"/>
      <c r="F337" s="139"/>
      <c r="G337" s="139"/>
      <c r="H337" s="139"/>
      <c r="I337" s="139"/>
      <c r="J337" s="139"/>
      <c r="K337" s="139"/>
      <c r="L337" s="139"/>
      <c r="M337" s="139"/>
      <c r="N337" s="139"/>
      <c r="O337" s="139"/>
      <c r="P337" s="153"/>
      <c r="Q337" s="139"/>
      <c r="R337" s="139"/>
      <c r="S337" s="141"/>
      <c r="T337" s="141"/>
      <c r="U337" s="139"/>
      <c r="V337" s="136"/>
    </row>
    <row r="338" spans="1:24" s="88" customFormat="1" ht="39" customHeight="1">
      <c r="A338" s="85">
        <f t="shared" si="11"/>
        <v>23</v>
      </c>
      <c r="B338" s="152" t="s">
        <v>2204</v>
      </c>
      <c r="C338" s="144">
        <f>'.'!L4718</f>
        <v>1674367.94</v>
      </c>
      <c r="D338" s="144">
        <f>'.'!L4718</f>
        <v>1674367.94</v>
      </c>
      <c r="E338" s="86"/>
      <c r="F338" s="139"/>
      <c r="G338" s="139"/>
      <c r="H338" s="139"/>
      <c r="I338" s="139"/>
      <c r="J338" s="139"/>
      <c r="K338" s="139"/>
      <c r="L338" s="139"/>
      <c r="M338" s="139"/>
      <c r="N338" s="139"/>
      <c r="O338" s="139"/>
      <c r="P338" s="153"/>
      <c r="Q338" s="139"/>
      <c r="R338" s="139"/>
      <c r="S338" s="141"/>
      <c r="T338" s="141"/>
      <c r="U338" s="139"/>
      <c r="V338" s="136"/>
    </row>
    <row r="339" spans="1:24" s="88" customFormat="1" ht="39" customHeight="1">
      <c r="A339" s="85">
        <f t="shared" si="11"/>
        <v>24</v>
      </c>
      <c r="B339" s="152" t="s">
        <v>2206</v>
      </c>
      <c r="C339" s="144">
        <f>'.'!L4719</f>
        <v>3300954</v>
      </c>
      <c r="D339" s="144">
        <f>'.'!L4719</f>
        <v>3300954</v>
      </c>
      <c r="E339" s="86"/>
      <c r="F339" s="139"/>
      <c r="G339" s="139"/>
      <c r="H339" s="139"/>
      <c r="I339" s="139"/>
      <c r="J339" s="139"/>
      <c r="K339" s="139"/>
      <c r="L339" s="139"/>
      <c r="M339" s="139"/>
      <c r="N339" s="139"/>
      <c r="O339" s="139"/>
      <c r="P339" s="153"/>
      <c r="Q339" s="139"/>
      <c r="R339" s="139"/>
      <c r="S339" s="141"/>
      <c r="T339" s="141"/>
      <c r="U339" s="139"/>
      <c r="V339" s="136"/>
    </row>
    <row r="340" spans="1:24" s="88" customFormat="1" ht="39" customHeight="1">
      <c r="A340" s="85">
        <f t="shared" si="11"/>
        <v>25</v>
      </c>
      <c r="B340" s="152" t="s">
        <v>2223</v>
      </c>
      <c r="C340" s="144">
        <f>'.'!L4720</f>
        <v>3055245</v>
      </c>
      <c r="D340" s="144">
        <f>'.'!L4720</f>
        <v>3055245</v>
      </c>
      <c r="E340" s="86"/>
      <c r="F340" s="139"/>
      <c r="G340" s="139"/>
      <c r="H340" s="139"/>
      <c r="I340" s="139"/>
      <c r="J340" s="139"/>
      <c r="K340" s="139"/>
      <c r="L340" s="139"/>
      <c r="M340" s="139"/>
      <c r="N340" s="139"/>
      <c r="O340" s="139"/>
      <c r="P340" s="153"/>
      <c r="Q340" s="139"/>
      <c r="R340" s="139"/>
      <c r="S340" s="141"/>
      <c r="T340" s="141"/>
      <c r="U340" s="139"/>
      <c r="V340" s="136"/>
    </row>
    <row r="341" spans="1:24" s="88" customFormat="1" ht="39" customHeight="1">
      <c r="A341" s="85">
        <f t="shared" si="11"/>
        <v>26</v>
      </c>
      <c r="B341" s="152" t="s">
        <v>2238</v>
      </c>
      <c r="C341" s="144">
        <f>'.'!L4721</f>
        <v>3656480</v>
      </c>
      <c r="D341" s="144">
        <f>'.'!L4721</f>
        <v>3656480</v>
      </c>
      <c r="E341" s="86"/>
      <c r="F341" s="139"/>
      <c r="G341" s="139"/>
      <c r="H341" s="139"/>
      <c r="I341" s="139"/>
      <c r="J341" s="139"/>
      <c r="K341" s="139"/>
      <c r="L341" s="139"/>
      <c r="M341" s="139"/>
      <c r="N341" s="139"/>
      <c r="O341" s="139"/>
      <c r="P341" s="153"/>
      <c r="Q341" s="139"/>
      <c r="R341" s="139"/>
      <c r="S341" s="141"/>
      <c r="T341" s="141"/>
      <c r="U341" s="139"/>
      <c r="V341" s="136"/>
    </row>
    <row r="342" spans="1:24" s="88" customFormat="1" ht="39" customHeight="1">
      <c r="A342" s="85">
        <f t="shared" si="11"/>
        <v>27</v>
      </c>
      <c r="B342" s="152" t="s">
        <v>2243</v>
      </c>
      <c r="C342" s="144">
        <f>'.'!L4722</f>
        <v>2808280</v>
      </c>
      <c r="D342" s="144">
        <f>'.'!L4722</f>
        <v>2808280</v>
      </c>
      <c r="E342" s="86"/>
      <c r="F342" s="139"/>
      <c r="G342" s="139"/>
      <c r="H342" s="139"/>
      <c r="I342" s="139"/>
      <c r="J342" s="139"/>
      <c r="K342" s="139"/>
      <c r="L342" s="139"/>
      <c r="M342" s="139"/>
      <c r="N342" s="139"/>
      <c r="O342" s="139"/>
      <c r="P342" s="153"/>
      <c r="Q342" s="139"/>
      <c r="R342" s="139"/>
      <c r="S342" s="141"/>
      <c r="T342" s="141"/>
      <c r="U342" s="139"/>
      <c r="V342" s="136"/>
    </row>
    <row r="343" spans="1:24" s="88" customFormat="1" ht="39" customHeight="1">
      <c r="A343" s="85">
        <f t="shared" si="11"/>
        <v>28</v>
      </c>
      <c r="B343" s="152" t="s">
        <v>3788</v>
      </c>
      <c r="C343" s="144">
        <f>'.'!L4723</f>
        <v>4879587.55</v>
      </c>
      <c r="D343" s="144"/>
      <c r="E343" s="86"/>
      <c r="F343" s="139"/>
      <c r="G343" s="142">
        <f>'.'!G4723</f>
        <v>2100</v>
      </c>
      <c r="H343" s="142">
        <f>'.'!L4723</f>
        <v>4879587.55</v>
      </c>
      <c r="I343" s="139"/>
      <c r="J343" s="139"/>
      <c r="K343" s="139"/>
      <c r="L343" s="139"/>
      <c r="M343" s="139"/>
      <c r="N343" s="139"/>
      <c r="O343" s="139"/>
      <c r="P343" s="153"/>
      <c r="Q343" s="139"/>
      <c r="R343" s="139"/>
      <c r="S343" s="141"/>
      <c r="T343" s="141"/>
      <c r="U343" s="139"/>
      <c r="V343" s="136"/>
    </row>
    <row r="344" spans="1:24" s="88" customFormat="1" ht="39" customHeight="1">
      <c r="A344" s="85">
        <f t="shared" si="11"/>
        <v>29</v>
      </c>
      <c r="B344" s="245" t="s">
        <v>2166</v>
      </c>
      <c r="C344" s="144">
        <f>'.'!L4724</f>
        <v>2140886</v>
      </c>
      <c r="D344" s="144">
        <f>'.'!L4724</f>
        <v>2140886</v>
      </c>
      <c r="E344" s="248"/>
      <c r="F344" s="223"/>
      <c r="G344" s="223"/>
      <c r="H344" s="223"/>
      <c r="I344" s="223"/>
      <c r="J344" s="223"/>
      <c r="K344" s="223"/>
      <c r="L344" s="223"/>
      <c r="M344" s="223"/>
      <c r="N344" s="223"/>
      <c r="O344" s="223"/>
      <c r="P344" s="375"/>
      <c r="Q344" s="223"/>
      <c r="R344" s="223"/>
      <c r="S344" s="374"/>
      <c r="T344" s="374"/>
      <c r="U344" s="223"/>
      <c r="V344" s="136"/>
    </row>
    <row r="345" spans="1:24" s="88" customFormat="1" ht="39" customHeight="1">
      <c r="A345" s="85">
        <f t="shared" si="11"/>
        <v>30</v>
      </c>
      <c r="B345" s="245" t="s">
        <v>2224</v>
      </c>
      <c r="C345" s="144">
        <f>'.'!L4725</f>
        <v>2139865</v>
      </c>
      <c r="D345" s="144">
        <f>'.'!L4725</f>
        <v>2139865</v>
      </c>
      <c r="E345" s="248"/>
      <c r="F345" s="223"/>
      <c r="G345" s="223"/>
      <c r="H345" s="223"/>
      <c r="I345" s="223"/>
      <c r="J345" s="223"/>
      <c r="K345" s="223"/>
      <c r="L345" s="223"/>
      <c r="M345" s="223"/>
      <c r="N345" s="223"/>
      <c r="O345" s="223"/>
      <c r="P345" s="375"/>
      <c r="Q345" s="223"/>
      <c r="R345" s="223"/>
      <c r="S345" s="374"/>
      <c r="T345" s="374"/>
      <c r="U345" s="223"/>
      <c r="V345" s="136"/>
    </row>
    <row r="346" spans="1:24" s="88" customFormat="1" ht="39" customHeight="1">
      <c r="A346" s="85">
        <f t="shared" si="11"/>
        <v>31</v>
      </c>
      <c r="B346" s="245" t="s">
        <v>2229</v>
      </c>
      <c r="C346" s="144">
        <f>'.'!L4726</f>
        <v>2322344</v>
      </c>
      <c r="D346" s="144">
        <f>'.'!L4726</f>
        <v>2322344</v>
      </c>
      <c r="E346" s="248"/>
      <c r="F346" s="223"/>
      <c r="G346" s="223"/>
      <c r="H346" s="223"/>
      <c r="I346" s="223"/>
      <c r="J346" s="223"/>
      <c r="K346" s="223"/>
      <c r="L346" s="223"/>
      <c r="M346" s="223"/>
      <c r="N346" s="223"/>
      <c r="O346" s="223"/>
      <c r="P346" s="375"/>
      <c r="Q346" s="223"/>
      <c r="R346" s="223"/>
      <c r="S346" s="374"/>
      <c r="T346" s="374"/>
      <c r="U346" s="223"/>
      <c r="V346" s="136"/>
    </row>
    <row r="347" spans="1:24" s="88" customFormat="1" ht="39" customHeight="1">
      <c r="A347" s="85">
        <f t="shared" si="11"/>
        <v>32</v>
      </c>
      <c r="B347" s="152" t="s">
        <v>2234</v>
      </c>
      <c r="C347" s="144">
        <f>'.'!L4727</f>
        <v>3372546</v>
      </c>
      <c r="D347" s="144">
        <f>'.'!L4727</f>
        <v>3372546</v>
      </c>
      <c r="E347" s="86"/>
      <c r="F347" s="139"/>
      <c r="G347" s="139"/>
      <c r="H347" s="139"/>
      <c r="I347" s="139"/>
      <c r="J347" s="139"/>
      <c r="K347" s="139"/>
      <c r="L347" s="139"/>
      <c r="M347" s="139"/>
      <c r="N347" s="139"/>
      <c r="O347" s="139"/>
      <c r="P347" s="153"/>
      <c r="Q347" s="139"/>
      <c r="R347" s="139"/>
      <c r="S347" s="141"/>
      <c r="T347" s="141"/>
      <c r="U347" s="139"/>
      <c r="V347" s="136"/>
    </row>
    <row r="348" spans="1:24" s="88" customFormat="1" ht="46.5" customHeight="1">
      <c r="A348" s="1083" t="s">
        <v>146</v>
      </c>
      <c r="B348" s="1084"/>
      <c r="C348" s="142">
        <f>SUM(C316:C347)</f>
        <v>191829445.37</v>
      </c>
      <c r="D348" s="142">
        <f>SUM(D316:D347)</f>
        <v>55795326.820000008</v>
      </c>
      <c r="E348" s="143"/>
      <c r="F348" s="142">
        <f>SUM(F316:F347)</f>
        <v>0</v>
      </c>
      <c r="G348" s="142">
        <f>SUM(G316:G347)</f>
        <v>16008.4</v>
      </c>
      <c r="H348" s="142">
        <f>SUM(H316:H347)</f>
        <v>39642224.549999997</v>
      </c>
      <c r="I348" s="142"/>
      <c r="J348" s="142"/>
      <c r="K348" s="142">
        <f>SUM(K316:K347)</f>
        <v>4730</v>
      </c>
      <c r="L348" s="142">
        <f>SUM(L316:L347)</f>
        <v>7857382</v>
      </c>
      <c r="M348" s="142"/>
      <c r="N348" s="142"/>
      <c r="O348" s="142">
        <f>SUM(O316:O347)</f>
        <v>33726</v>
      </c>
      <c r="P348" s="142">
        <f>SUM(P316:P347)</f>
        <v>88534512</v>
      </c>
      <c r="Q348" s="142"/>
      <c r="R348" s="142"/>
      <c r="S348" s="137"/>
      <c r="T348" s="137"/>
      <c r="U348" s="138"/>
      <c r="V348" s="136"/>
      <c r="W348" s="136"/>
      <c r="X348" s="136"/>
    </row>
    <row r="349" spans="1:24" ht="39" hidden="1" customHeight="1"/>
    <row r="350" spans="1:24" ht="39" hidden="1" customHeight="1"/>
    <row r="351" spans="1:24" ht="39" hidden="1" customHeight="1"/>
    <row r="352" spans="1:24" s="3" customFormat="1" ht="39" hidden="1" customHeight="1">
      <c r="A352" s="1055" t="s">
        <v>207</v>
      </c>
      <c r="B352" s="1055"/>
      <c r="C352" s="1055"/>
      <c r="D352" s="1055"/>
      <c r="E352" s="1055"/>
      <c r="F352" s="1055"/>
      <c r="G352" s="1055"/>
      <c r="H352" s="1055"/>
      <c r="I352" s="1055"/>
      <c r="J352" s="1055"/>
      <c r="K352" s="1055"/>
      <c r="L352" s="1055"/>
      <c r="M352" s="1055"/>
      <c r="N352" s="1055"/>
      <c r="O352" s="1055"/>
      <c r="P352" s="1055"/>
      <c r="Q352" s="1055"/>
      <c r="R352" s="1055"/>
      <c r="S352" s="1055"/>
      <c r="T352" s="5"/>
      <c r="U352" s="5"/>
      <c r="V352" s="20"/>
    </row>
    <row r="353" spans="1:21" ht="39" hidden="1" customHeight="1"/>
    <row r="354" spans="1:21" ht="39" hidden="1" customHeight="1"/>
    <row r="355" spans="1:21" ht="39" hidden="1" customHeight="1"/>
    <row r="359" spans="1:21" ht="39" customHeight="1">
      <c r="A359" s="1055"/>
      <c r="B359" s="1055"/>
      <c r="C359" s="1055"/>
      <c r="D359" s="1055"/>
      <c r="E359" s="1055"/>
      <c r="F359" s="1055"/>
      <c r="G359" s="1082"/>
      <c r="H359" s="1055"/>
      <c r="I359" s="1055"/>
      <c r="J359" s="1055"/>
      <c r="K359" s="1055"/>
      <c r="L359" s="1055"/>
      <c r="M359" s="1055"/>
      <c r="N359" s="1055"/>
      <c r="O359" s="1055"/>
      <c r="P359" s="1055"/>
      <c r="Q359" s="1055"/>
      <c r="R359" s="1055"/>
      <c r="S359" s="1055"/>
      <c r="T359" s="1055"/>
      <c r="U359" s="1055"/>
    </row>
  </sheetData>
  <sheetProtection selectLockedCells="1" selectUnlockedCells="1"/>
  <sortState ref="A2696:AG2819">
    <sortCondition ref="B2696:B2819"/>
  </sortState>
  <mergeCells count="26">
    <mergeCell ref="A313:B313"/>
    <mergeCell ref="A314:S314"/>
    <mergeCell ref="A201:S201"/>
    <mergeCell ref="A94:S94"/>
    <mergeCell ref="A200:B200"/>
    <mergeCell ref="O1:S1"/>
    <mergeCell ref="A2:S2"/>
    <mergeCell ref="A4:A6"/>
    <mergeCell ref="B4:B6"/>
    <mergeCell ref="C4:C5"/>
    <mergeCell ref="D4:N4"/>
    <mergeCell ref="E5:F5"/>
    <mergeCell ref="G5:H5"/>
    <mergeCell ref="I5:J5"/>
    <mergeCell ref="K5:L5"/>
    <mergeCell ref="M5:N5"/>
    <mergeCell ref="O5:P5"/>
    <mergeCell ref="Q5:R5"/>
    <mergeCell ref="O4:U4"/>
    <mergeCell ref="T5:U5"/>
    <mergeCell ref="A352:S352"/>
    <mergeCell ref="A8:S8"/>
    <mergeCell ref="A93:B93"/>
    <mergeCell ref="A359:U359"/>
    <mergeCell ref="A348:B348"/>
    <mergeCell ref="A315:S315"/>
  </mergeCells>
  <conditionalFormatting sqref="H315 D315:D334">
    <cfRule type="cellIs" dxfId="119" priority="25" stopIfTrue="1" operator="equal">
      <formula>"н/д"</formula>
    </cfRule>
  </conditionalFormatting>
  <dataValidations count="2">
    <dataValidation type="decimal" operator="greaterThan" allowBlank="1" showInputMessage="1" showErrorMessage="1" error="Введите положительное число." sqref="IR333 WVD333 WLH333 WBL333 VRP333 VHT333 UXX333 UOB333 UEF333 TUJ333 TKN333 TAR333 SQV333 SGZ333 RXD333 RNH333 RDL333 QTP333 QJT333 PZX333 PQB333 PGF333 OWJ333 OMN333 OCR333 NSV333 NIZ333 MZD333 MPH333 MFL333 LVP333 LLT333 LBX333 KSB333 KIF333 JYJ333 JON333 JER333 IUV333 IKZ333 IBD333 HRH333 HHL333 GXP333 GNT333 GDX333 FUB333 FKF333 FAJ333 EQN333 EGR333 DWV333 DMZ333 DDD333 CTH333 CJL333 BZP333 BPT333 BFX333 AWB333 AMF333 ACJ333 SN333 BZP157:BZP159 CJL157:CJL159 CTH157:CTH159 DDD157:DDD159 DMZ157:DMZ159 DWV157:DWV159 EGR157:EGR159 EQN157:EQN159 FAJ157:FAJ159 FKF157:FKF159 FUB157:FUB159 GDX157:GDX159 GNT157:GNT159 GXP157:GXP159 HHL157:HHL159 HRH157:HRH159 IBD157:IBD159 IKZ157:IKZ159 IUV157:IUV159 JER157:JER159 JON157:JON159 JYJ157:JYJ159 KIF157:KIF159 KSB157:KSB159 LBX157:LBX159 LLT157:LLT159 LVP157:LVP159 MFL157:MFL159 MPH157:MPH159 MZD157:MZD159 NIZ157:NIZ159 NSV157:NSV159 OCR157:OCR159 OMN157:OMN159 OWJ157:OWJ159 PGF157:PGF159 PQB157:PQB159 PZX157:PZX159 QJT157:QJT159 QTP157:QTP159 RDL157:RDL159 RNH157:RNH159 RXD157:RXD159 SGZ157:SGZ159 SQV157:SQV159 TAR157:TAR159 TKN157:TKN159 TUJ157:TUJ159 UEF157:UEF159 UOB157:UOB159 UXX157:UXX159 VHT157:VHT159 VRP157:VRP159 WBL157:WBL159 WLH157:WLH159 WVD157:WVD159 WVD152 WLH152 WBL152 VRP152 VHT152 UXX152 UOB152 UEF152 TUJ152 TKN152 TAR152 SQV152 SGZ152 RXD152 RNH152 RDL152 QTP152 QJT152 PZX152 PQB152 PGF152 OWJ152 OMN152 OCR152 NSV152 NIZ152 MZD152 MPH152 MFL152 LVP152 LLT152 LBX152 KSB152 KIF152 JYJ152 JON152 JER152 IUV152 IKZ152 IBD152 HRH152 HHL152 GXP152 GNT152 GDX152 FUB152 FKF152 FAJ152 EQN152 EGR152 DWV152 DMZ152 DDD152 CTH152 CJL152 BZP152 BPT152 BFX152 AWB152 AMF152 ACJ152 SN152 IR152 IR157:IR159 WVD140 WLH140 WBL140 VRP140 VHT140 UXX140 UOB140 UEF140 TUJ140 TKN140 TAR140 SQV140 SGZ140 RXD140 RNH140 RDL140 QTP140 QJT140 PZX140 PQB140 PGF140 OWJ140 OMN140 OCR140 NSV140 NIZ140 MZD140 MPH140 MFL140 LVP140 LLT140 LBX140 KSB140 KIF140 JYJ140 JON140 JER140 IUV140 IKZ140 IBD140 HRH140 HHL140 GXP140 GNT140 GDX140 FUB140 FKF140 FAJ140 EQN140 EGR140 DWV140 DMZ140 DDD140 CTH140 CJL140 BZP140 BPT140 BFX140 AWB140 AMF140 ACJ140 SN140 IR140 SN157:SN159 ACJ157:ACJ159 WVD164 WLH164 WBL164 VRP164 VHT164 UXX164 UOB164 UEF164 TUJ164 TKN164 TAR164 SQV164 SGZ164 RXD164 RNH164 RDL164 QTP164 QJT164 PZX164 PQB164 PGF164 OWJ164 OMN164 OCR164 NSV164 NIZ164 MZD164 MPH164 MFL164 LVP164 LLT164 LBX164 KSB164 KIF164 JYJ164 JON164 JER164 IUV164 IKZ164 IBD164 HRH164 HHL164 GXP164 GNT164 GDX164 FUB164 FKF164 FAJ164 EQN164 EGR164 DWV164 DMZ164 DDD164 CTH164 CJL164 BZP164 BPT164 BFX164 AWB164 AMF164 ACJ164 SN164 IR164 AMF157:AMF159 AWB157:AWB159 BFX157:BFX159 BPT157:BPT159 UOB280 UXX280 VHT280 VRP280 WBL280 WLH280 WVD280 IR273 SN273 ACJ273 AMF273 AWB273 BFX273 BPT273 BZP273 CJL273 CTH273 DDD273 DMZ273 DWV273 EGR273 EQN273 FAJ273 FKF273 FUB273 GDX273 GNT273 GXP273 HHL273 HRH273 IBD273 IKZ273 IUV273 JER273 JON273 JYJ273 KIF273 KSB273 LBX273 LLT273 LVP273 MFL273 MPH273 MZD273 NIZ273 NSV273 OCR273 OMN273 OWJ273 PGF273 PQB273 PZX273 QJT273 QTP273 RDL273 RNH273 RXD273 SGZ273 SQV273 TAR273 TKN273 TUJ273 UEF273 UOB273 UXX273 VHT273 VRP273 WBL273 WLH273 WVD273 IR287:IR291 SN287:SN291 ACJ287:ACJ291 AMF287:AMF291 AWB287:AWB291 BFX287:BFX291 BPT287:BPT291 BZP287:BZP291 CJL287:CJL291 CTH287:CTH291 DDD287:DDD291 DMZ287:DMZ291 DWV287:DWV291 EGR287:EGR291 EQN287:EQN291 FAJ287:FAJ291 FKF287:FKF291 FUB287:FUB291 GDX287:GDX291 GNT287:GNT291 GXP287:GXP291 HHL287:HHL291 HRH287:HRH291 IBD287:IBD291 IKZ287:IKZ291 IUV287:IUV291 JER287:JER291 JON287:JON291 JYJ287:JYJ291 KIF287:KIF291 KSB287:KSB291 LBX287:LBX291 LLT287:LLT291 LVP287:LVP291 MFL287:MFL291 MPH287:MPH291 MZD287:MZD291 NIZ287:NIZ291 NSV287:NSV291 OCR287:OCR291 OMN287:OMN291 OWJ287:OWJ291 PGF287:PGF291 PQB287:PQB291 PZX287:PZX291 QJT287:QJT291 QTP287:QTP291 RDL287:RDL291 RNH287:RNH291 RXD287:RXD291 SGZ287:SGZ291 SQV287:SQV291 TAR287:TAR291 TKN287:TKN291 TUJ287:TUJ291 UEF287:UEF291 UOB287:UOB291 UXX287:UXX291 VHT287:VHT291 VRP287:VRP291 WBL287:WBL291 WLH287:WLH291 WVD287:WVD291 IR250 SN250 ACJ250 AMF250 AWB250 BFX250 BPT250 BZP250 CJL250 CTH250 DDD250 DMZ250 DWV250 EGR250 EQN250 FAJ250 FKF250 FUB250 GDX250 GNT250 GXP250 HHL250 HRH250 IBD250 IKZ250 IUV250 JER250 JON250 JYJ250 KIF250 KSB250 LBX250 LLT250 LVP250 MFL250 MPH250 MZD250 NIZ250 NSV250 OCR250 OMN250 OWJ250 PGF250 PQB250 PZX250 QJT250 QTP250 RDL250 RNH250 RXD250 SGZ250 SQV250 TAR250 TKN250 TUJ250 UEF250 UOB250 UXX250 VHT250 VRP250 WBL250 WLH250 WVD250 IR263 SN263 ACJ263 AMF263 AWB263 BFX263 BPT263 BZP263 CJL263 CTH263 DDD263 DMZ263 DWV263 EGR263 EQN263 FAJ263 FKF263 FUB263 GDX263 GNT263 GXP263 HHL263 HRH263 IBD263 IKZ263 IUV263 JER263 JON263 JYJ263 KIF263 KSB263 LBX263 LLT263 LVP263 MFL263 MPH263 MZD263 NIZ263 NSV263 OCR263 OMN263 OWJ263 PGF263 PQB263 PZX263 QJT263 QTP263 RDL263 RNH263 RXD263 SGZ263 SQV263 TAR263 TKN263 TUJ263 UEF263 UOB263 UXX263 VHT263 VRP263 WBL263 WLH263 WVD263 IR213 SN213 ACJ213 AMF213 AWB213 BFX213 BPT213 BZP213 CJL213 CTH213 DDD213 DMZ213 DWV213 EGR213 EQN213 FAJ213 FKF213 FUB213 GDX213 GNT213 GXP213 HHL213 HRH213 IBD213 IKZ213 IUV213 JER213 JON213 JYJ213 KIF213 KSB213 LBX213 LLT213 LVP213 MFL213 MPH213 MZD213 NIZ213 NSV213 OCR213 OMN213 OWJ213 PGF213 PQB213 PZX213 QJT213 QTP213 RDL213 RNH213 RXD213 SGZ213 SQV213 TAR213 TKN213 TUJ213 UEF213 UOB213 UXX213 VHT213 VRP213 WBL213 WLH213 WVD213 IR253 SN253 ACJ253 AMF253 AWB253 BFX253 BPT253 BZP253 CJL253 CTH253 DDD253 DMZ253 DWV253 EGR253 EQN253 FAJ253 FKF253 FUB253 GDX253 GNT253 GXP253 HHL253 HRH253 IBD253 IKZ253 IUV253 JER253 JON253 JYJ253 KIF253 KSB253 LBX253 LLT253 LVP253 MFL253 MPH253 MZD253 NIZ253 NSV253 OCR253 OMN253 OWJ253 PGF253 PQB253 PZX253 QJT253 QTP253 RDL253 RNH253 RXD253 SGZ253 SQV253 TAR253 TKN253 TUJ253 UEF253 UOB253 UXX253 VHT253 VRP253 WBL253 WLH253 WVD253 IR285 SN285 ACJ285 AMF285 AWB285 BFX285 BPT285 BZP285 CJL285 CTH285 DDD285 DMZ285 DWV285 EGR285 EQN285 FAJ285 FKF285 FUB285 GDX285 GNT285 GXP285 HHL285 HRH285 IBD285 IKZ285 IUV285 JER285 JON285 JYJ285 KIF285 KSB285 LBX285 LLT285 LVP285 MFL285 MPH285 MZD285 NIZ285 NSV285 OCR285 OMN285 OWJ285 PGF285 PQB285 PZX285 QJT285 QTP285 RDL285 RNH285 RXD285 SGZ285 SQV285 TAR285 TKN285 TUJ285 UEF285 UOB285 UXX285 VHT285 VRP285 WBL285 WLH285 WVD285 IR280 SN280 ACJ280 AMF280 AWB280 BFX280 BPT280 BZP280 CJL280 CTH280 DDD280 DMZ280 DWV280 EGR280 EQN280 FAJ280 FKF280 FUB280 GDX280 GNT280 GXP280 HHL280 HRH280 IBD280 IKZ280 IUV280 JER280 JON280 JYJ280 KIF280 KSB280 LBX280 LLT280 LVP280 MFL280 MPH280 MZD280 NIZ280 NSV280 OCR280 OMN280 OWJ280 PGF280 PQB280 PZX280 QJT280 QTP280 RDL280 RNH280 RXD280 SGZ280 SQV280 TAR280 TKN280 TUJ280 UEF280 IR33 SN33 ACJ33 AMF33 AWB33 BFX33 BPT33 BZP33 CJL33 CTH33 DDD33 DMZ33 DWV33 EGR33 EQN33 FAJ33 FKF33 FUB33 GDX33 GNT33 GXP33 HHL33 HRH33 IBD33 IKZ33 IUV33 JER33 JON33 JYJ33 KIF33 KSB33 LBX33 LLT33 LVP33 MFL33 MPH33 MZD33 NIZ33 NSV33 OCR33 OMN33 OWJ33 PGF33 PQB33 PZX33 QJT33 QTP33 RDL33 RNH33 RXD33 SGZ33 SQV33 TAR33 TKN33 TUJ33 UEF33 UOB33 UXX33 VHT33 VRP33 WBL33 WLH33 WVD33 IR43 SN43 ACJ43 AMF43 AWB43 BFX43 BPT43 BZP43 CJL43 CTH43 DDD43 DMZ43 DWV43 EGR43 EQN43 FAJ43 FKF43 FUB43 GDX43 GNT43 GXP43 HHL43 HRH43 IBD43 IKZ43 IUV43 JER43 JON43 JYJ43 KIF43 KSB43 LBX43 LLT43 LVP43 MFL43 MPH43 MZD43 NIZ43 NSV43 OCR43 OMN43 OWJ43 PGF43 PQB43 PZX43 QJT43 QTP43 RDL43 RNH43 RXD43 SGZ43 SQV43 TAR43 TKN43 TUJ43 UEF43 UOB43 UXX43 VHT43 VRP43 WBL43 WLH43 WVD43 WVD175:WVD177 WLH175:WLH177 WBL175:WBL177 VRP175:VRP177 VHT175:VHT177 UXX175:UXX177 UOB175:UOB177 UEF175:UEF177 TUJ175:TUJ177 TKN175:TKN177 TAR175:TAR177 SQV175:SQV177 SGZ175:SGZ177 RXD175:RXD177 RNH175:RNH177 RDL175:RDL177 QTP175:QTP177 QJT175:QJT177 PZX175:PZX177 PQB175:PQB177 PGF175:PGF177 OWJ175:OWJ177 OMN175:OMN177 OCR175:OCR177 NSV175:NSV177 NIZ175:NIZ177 MZD175:MZD177 MPH175:MPH177 MFL175:MFL177 LVP175:LVP177 LLT175:LLT177 LBX175:LBX177 KSB175:KSB177 KIF175:KIF177 JYJ175:JYJ177 JON175:JON177 JER175:JER177 IUV175:IUV177 IKZ175:IKZ177 IBD175:IBD177 HRH175:HRH177 HHL175:HHL177 GXP175:GXP177 GNT175:GNT177 GDX175:GDX177 FUB175:FUB177 FKF175:FKF177 FAJ175:FAJ177 EQN175:EQN177 EGR175:EGR177 DWV175:DWV177 DMZ175:DMZ177 DDD175:DDD177 CTH175:CTH177 CJL175:CJL177 BZP175:BZP177 BPT175:BPT177 BFX175:BFX177 AWB175:AWB177 AMF175:AMF177 ACJ175:ACJ177 SN175:SN177 IR175:IR177 BPT73:BPT92 BFX73:BFX92 AWB73:AWB92 AMF73:AMF92 ACJ73:ACJ92 SN73:SN92 IR73:IR92 WVD73:WVD92 WLH73:WLH92 WBL73:WBL92 VRP73:VRP92 VHT73:VHT92 UXX73:UXX92 UOB73:UOB92 UEF73:UEF92 TUJ73:TUJ92 TKN73:TKN92 TAR73:TAR92 SQV73:SQV92 SGZ73:SGZ92 RXD73:RXD92 RNH73:RNH92 RDL73:RDL92 QTP73:QTP92 QJT73:QJT92 PZX73:PZX92 PQB73:PQB92 PGF73:PGF92 OWJ73:OWJ92 OMN73:OMN92 OCR73:OCR92 NSV73:NSV92 NIZ73:NIZ92 MZD73:MZD92 MPH73:MPH92 MFL73:MFL92 LVP73:LVP92 LLT73:LLT92 LBX73:LBX92 KSB73:KSB92 KIF73:KIF92 JYJ73:JYJ92 JON73:JON92 JER73:JER92 IUV73:IUV92 IKZ73:IKZ92 IBD73:IBD92 HRH73:HRH92 HHL73:HHL92 GXP73:GXP92 GNT73:GNT92 GDX73:GDX92 FUB73:FUB92 FKF73:FKF92 FAJ73:FAJ92 EQN73:EQN92 EGR73:EGR92 DWV73:DWV92 DMZ73:DMZ92 DDD73:DDD92 CTH73:CTH92 CJL73:CJL92 BZP73:BZP92 BFX211 AWB267:AWB268 BPT211 BFX267:BFX268 BZP211 BPT267:BPT268 CJL211 BZP267:BZP268 CTH211 CJL267:CJL268 DDD211 CTH267:CTH268 DMZ211 DDD267:DDD268 DWV211 DMZ267:DMZ268 EGR211 DWV267:DWV268 EQN211 EGR267:EGR268 FAJ211 EQN267:EQN268 FKF211 FAJ267:FAJ268 FUB211 FKF267:FKF268 GDX211 FUB267:FUB268 GNT211 GDX267:GDX268 GXP211 GNT267:GNT268 HHL211 GXP267:GXP268 HRH211 HHL267:HHL268 IBD211 HRH267:HRH268 IKZ211 IBD267:IBD268 IUV211 IKZ267:IKZ268 JER211 IUV267:IUV268 JON211 JER267:JER268 JYJ211 JON267:JON268 KIF211 JYJ267:JYJ268 KSB211 KIF267:KIF268 LBX211 KSB267:KSB268 LLT211 LBX267:LBX268 LVP211 LLT267:LLT268 MFL211 LVP267:LVP268 MPH211 MFL267:MFL268 MZD211 MPH267:MPH268 NIZ211 MZD267:MZD268 NSV211 NIZ267:NIZ268 OCR211 NSV267:NSV268 OMN211 OCR267:OCR268 OWJ211 OMN267:OMN268 PGF211 OWJ267:OWJ268 PQB211 PGF267:PGF268 PZX211 PQB267:PQB268 QJT211 PZX267:PZX268 QTP211 QJT267:QJT268 RDL211 QTP267:QTP268 RNH211 RDL267:RDL268 RXD211 RNH267:RNH268 SGZ211 RXD267:RXD268 SQV211 SGZ267:SGZ268 TAR211 SQV267:SQV268 TKN211 TAR267:TAR268 TUJ211 TKN267:TKN268 UEF211 TUJ267:TUJ268 UOB211 UEF267:UEF268 UXX211 UOB267:UOB268 VHT211 UXX267:UXX268 VRP211 VHT267:VHT268 WBL211 VRP267:VRP268 WLH211 WBL267:WBL268 WVD211 WLH267:WLH268 IR211 WVD267:WVD268 SN211 IR267:IR268 ACJ211 SN267:SN268 AMF211 ACJ267:ACJ268 AMF267:AMF268 AWB211">
      <formula1>0</formula1>
      <formula2>0</formula2>
    </dataValidation>
    <dataValidation type="whole" operator="greaterThanOrEqual" allowBlank="1" showInputMessage="1" showErrorMessage="1" error="Введите целое положительное число." sqref="WVL315 WLP315 WBT315 VRX315 VIB315 UYF315 UOJ315 UEN315 TUR315 TKV315 TAZ315 SRD315 SHH315 RXL315 RNP315 RDT315 QTX315 QKB315 QAF315 PQJ315 PGN315 OWR315 OMV315 OCZ315 NTD315 NJH315 MZL315 MPP315 MFT315 LVX315 LMB315 LCF315 KSJ315 KIN315 JYR315 JOV315 JEZ315 IVD315 ILH315 IBL315 HRP315 HHT315 GXX315 GOB315 GEF315 FUJ315 FKN315 FAR315 EQV315 EGZ315 DXD315 DNH315 DDL315 CTP315 CJT315 BZX315 BQB315 BGF315 AWJ315 AMN315 ACR315 SV315 IZ315 WVD315 WLH315 WBL315 VRP315 VHT315 UXX315 UOB315 UEF315 TUJ315 TKN315 TAR315 SQV315 SGZ315 RXD315 RNH315 RDL315 QTP315 QJT315 PZX315 PQB315 PGF315 OWJ315 OMN315 OCR315 NSV315 NIZ315 MZD315 MPH315 MFL315 LVP315 LLT315 LBX315 KSB315 KIF315 JYJ315 JON315 JER315 IUV315 IKZ315 IBD315 HRH315 HHL315 GXP315 GNT315 GDX315 FUB315 FKF315 FAJ315 EQN315 EGR315 DWV315 DMZ315 DDD315 CTH315 CJL315 BZP315 BPT315 BFX315 AWB315 AMF315 ACJ315 SN315 IR315 WVD328:WVD329 WLH328:WLH329 WBL328:WBL329 VRP328:VRP329 VHT328:VHT329 UXX328:UXX329 UOB328:UOB329 UEF328:UEF329 TUJ328:TUJ329 TKN328:TKN329 TAR328:TAR329 SQV328:SQV329 SGZ328:SGZ329 RXD328:RXD329 RNH328:RNH329 RDL328:RDL329 QTP328:QTP329 QJT328:QJT329 PZX328:PZX329 PQB328:PQB329 PGF328:PGF329 OWJ328:OWJ329 OMN328:OMN329 OCR328:OCR329 NSV328:NSV329 NIZ328:NIZ329 MZD328:MZD329 MPH328:MPH329 MFL328:MFL329 LVP328:LVP329 LLT328:LLT329 LBX328:LBX329 KSB328:KSB329 KIF328:KIF329 JYJ328:JYJ329 JON328:JON329 JER328:JER329 IUV328:IUV329 IKZ328:IKZ329 IBD328:IBD329 HRH328:HRH329 HHL328:HHL329 GXP328:GXP329 GNT328:GNT329 GDX328:GDX329 FUB328:FUB329 FKF328:FKF329 FAJ328:FAJ329 EQN328:EQN329 EGR328:EGR329 DWV328:DWV329 DMZ328:DMZ329 DDD328:DDD329 CTH328:CTH329 CJL328:CJL329 BZP328:BZP329 BPT328:BPT329 BFX328:BFX329 AWB328:AWB329 AMF328:AMF329 ACJ328:ACJ329 SN328:SN329 IR328:IR329 WVH327 WLL327 WBP327 VRT327 VHX327 UYB327 UOF327 UEJ327 TUN327 TKR327 TAV327 SQZ327 SHD327 RXH327 RNL327 RDP327 QTT327 QJX327 QAB327 PQF327 PGJ327 OWN327 OMR327 OCV327 NSZ327 NJD327 MZH327 MPL327 MFP327 LVT327 LLX327 LCB327 KSF327 KIJ327 JYN327 JOR327 JEV327 IUZ327 ILD327 IBH327 HRL327 HHP327 GXT327 GNX327 GEB327 FUF327 FKJ327 FAN327 EQR327 EGV327 DWZ327 DND327 DDH327 CTL327 CJP327 BZT327 BPX327 BGB327 AWF327 AMJ327 ACN327 SR327 IV327 WVL317:WVL318 WLP317:WLP318 WBT317:WBT318 VRX317:VRX318 VIB317:VIB318 UYF317:UYF318 UOJ317:UOJ318 UEN317:UEN318 TUR317:TUR318 TKV317:TKV318 TAZ317:TAZ318 SRD317:SRD318 SHH317:SHH318 RXL317:RXL318 RNP317:RNP318 RDT317:RDT318 QTX317:QTX318 QKB317:QKB318 QAF317:QAF318 PQJ317:PQJ318 PGN317:PGN318 OWR317:OWR318 OMV317:OMV318 OCZ317:OCZ318 NTD317:NTD318 NJH317:NJH318 MZL317:MZL318 MPP317:MPP318 MFT317:MFT318 LVX317:LVX318 LMB317:LMB318 LCF317:LCF318 KSJ317:KSJ318 KIN317:KIN318 JYR317:JYR318 JOV317:JOV318 JEZ317:JEZ318 IVD317:IVD318 ILH317:ILH318 IBL317:IBL318 HRP317:HRP318 HHT317:HHT318 GXX317:GXX318 GOB317:GOB318 GEF317:GEF318 FUJ317:FUJ318 FKN317:FKN318 FAR317:FAR318 EQV317:EQV318 EGZ317:EGZ318 DXD317:DXD318 DNH317:DNH318 DDL317:DDL318 CTP317:CTP318 CJT317:CJT318 BZX317:BZX318 BQB317:BQB318 BGF317:BGF318 AWJ317:AWJ318 AMN317:AMN318 ACR317:ACR318 SV317:SV318 IZ317:IZ318 WVD317 WLH317 WBL317 VRP317 VHT317 UXX317 UOB317 UEF317 TUJ317 TKN317 TAR317 SQV317 SGZ317 RXD317 RNH317 RDL317 QTP317 QJT317 PZX317 PQB317 PGF317 OWJ317 OMN317 OCR317 NSV317 NIZ317 MZD317 MPH317 MFL317 LVP317 LLT317 LBX317 KSB317 KIF317 JYJ317 JON317 JER317 IUV317 IKZ317 IBD317 HRH317 HHL317 GXP317 GNT317 GDX317 FUB317 FKF317 FAJ317 EQN317 EGR317 DWV317 DMZ317 DDD317 CTH317 CJL317 BZP317 BPT317 BFX317 AWB317 AMF317 ACJ317 SN317 IR317 WVH325 WLL325 WBP325 VRT325 VHX325 UYB325 UOF325 UEJ325 TUN325 TKR325 TAV325 SQZ325 SHD325 RXH325 RNL325 RDP325 QTT325 QJX325 QAB325 PQF325 PGJ325 OWN325 OMR325 OCV325 NSZ325 NJD325 MZH325 MPL325 MFP325 LVT325 LLX325 LCB325 KSF325 KIJ325 JYN325 JOR325 JEV325 IUZ325 ILD325 IBH325 HRL325 HHP325 GXT325 GNX325 GEB325 FUF325 FKJ325 FAN325 EQR325 EGV325 DWZ325 DND325 DDH325 CTL325 CJP325 BZT325 BPX325 BGB325 AWF325 AMJ325 ACN325 SR325 IV325 IR212 WVL329 WLP329 WBT329 VRX329 VIB329 UYF329 UOJ329 UEN329 TUR329 TKV329 TAZ329 SRD329 SHH329 RXL329 RNP329 RDT329 QTX329 QKB329 QAF329 PQJ329 PGN329 OWR329 OMV329 OCZ329 NTD329 NJH329 MZL329 MPP329 MFT329 LVX329 LMB329 LCF329 KSJ329 KIN329 JYR329 JOV329 JEZ329 IVD329 ILH329 IBL329 HRP329 HHT329 GXX329 GOB329 GEF329 FUJ329 FKN329 FAR329 EQV329 EGZ329 DXD329 DNH329 DDL329 CTP329 CJT329 BZX329 BQB329 BGF329 AWJ329 AMN329 ACR329 SV329 IZ329 BZT158:BZT159 CJP158:CJP159 CTL158:CTL159 DDH158:DDH159 DND158:DND159 DWZ158:DWZ159 EGV158:EGV159 EQR158:EQR159 FAN158:FAN159 FKJ158:FKJ159 FUF158:FUF159 GEB158:GEB159 GNX158:GNX159 GXT158:GXT159 HHP158:HHP159 HRL158:HRL159 IBH158:IBH159 ILD158:ILD159 IUZ158:IUZ159 JEV158:JEV159 JOR158:JOR159 JYN158:JYN159 KIJ158:KIJ159 KSF158:KSF159 LCB158:LCB159 LLX158:LLX159 LVT158:LVT159 MFP158:MFP159 MPL158:MPL159 MZH158:MZH159 NJD158:NJD159 NSZ158:NSZ159 OCV158:OCV159 OMR158:OMR159 OWN158:OWN159 PGJ158:PGJ159 PQF158:PQF159 QAB158:QAB159 QJX158:QJX159 QTT158:QTT159 RDP158:RDP159 RNL158:RNL159 RXH158:RXH159 SHD158:SHD159 SQZ158:SQZ159 TAV158:TAV159 TKR158:TKR159 TUN158:TUN159 UEJ158:UEJ159 UOF158:UOF159 UYB158:UYB159 VHX158:VHX159 VRT158:VRT159 WBP158:WBP159 WLL158:WLL159 WVH158:WVH159 WVH170:WVH171 WLL170:WLL171 WBP170:WBP171 VRT170:VRT171 VHX170:VHX171 UYB170:UYB171 UOF170:UOF171 UEJ170:UEJ171 TUN170:TUN171 TKR170:TKR171 TAV170:TAV171 SQZ170:SQZ171 SHD170:SHD171 RXH170:RXH171 RNL170:RNL171 RDP170:RDP171 QTT170:QTT171 QJX170:QJX171 QAB170:QAB171 PQF170:PQF171 PGJ170:PGJ171 OWN170:OWN171 OMR170:OMR171 OCV170:OCV171 NSZ170:NSZ171 NJD170:NJD171 MZH170:MZH171 MPL170:MPL171 MFP170:MFP171 LVT170:LVT171 LLX170:LLX171 LCB170:LCB171 KSF170:KSF171 KIJ170:KIJ171 JYN170:JYN171 JOR170:JOR171 JEV170:JEV171 IUZ170:IUZ171 ILD170:ILD171 IBH170:IBH171 HRL170:HRL171 HHP170:HHP171 GXT170:GXT171 GNX170:GNX171 GEB170:GEB171 FUF170:FUF171 FKJ170:FKJ171 FAN170:FAN171 EQR170:EQR171 EGV170:EGV171 DWZ170:DWZ171 DND170:DND171 DDH170:DDH171 CTL170:CTL171 CJP170:CJP171 BZT170:BZT171 BPX170:BPX171 BGB170:BGB171 AWF170:AWF171 AMJ170:AMJ171 ACN170:ACN171 SR170:SR171 IV170:IV171 AMJ158:AMJ159 AWF158:AWF159 WVD160 WLH160 WBL160 VRP160 VHT160 UXX160 UOB160 UEF160 TUJ160 TKN160 TAR160 SQV160 SGZ160 RXD160 RNH160 RDL160 QTP160 QJT160 PZX160 PQB160 PGF160 OWJ160 OMN160 OCR160 NSV160 NIZ160 MZD160 MPH160 MFL160 LVP160 LLT160 LBX160 KSB160 KIF160 JYJ160 JON160 JER160 IUV160 IKZ160 IBD160 HRH160 HHL160 GXP160 GNT160 GDX160 FUB160 FKF160 FAJ160 EQN160 EGR160 DWV160 DMZ160 DDD160 CTH160 CJL160 BZP160 BPT160 BFX160 AWB160 AMF160 ACJ160 SN160 IR160 BGB158:BGB159 WVH161 WLL161 WBP161 VRT161 VHX161 UYB161 UOF161 UEJ161 TUN161 TKR161 TAV161 SQZ161 SHD161 RXH161 RNL161 RDP161 QTT161 QJX161 QAB161 PQF161 PGJ161 OWN161 OMR161 OCV161 NSZ161 NJD161 MZH161 MPL161 MFP161 LVT161 LLX161 LCB161 KSF161 KIJ161 JYN161 JOR161 JEV161 IUZ161 ILD161 IBH161 HRL161 HHP161 GXT161 GNX161 GEB161 FUF161 FKJ161 FAN161 EQR161 EGV161 DWZ161 DND161 DDH161 CTL161 CJP161 BZT161 BPX161 BGB161 AWF161 AMJ161 ACN161 SR161 IV161 IV158:IV159 SR158:SR159 WVD162 WLH162 WBL162 VRP162 VHT162 UXX162 UOB162 UEF162 TUJ162 TKN162 TAR162 SQV162 SGZ162 RXD162 RNH162 RDL162 QTP162 QJT162 PZX162 PQB162 PGF162 OWJ162 OMN162 OCR162 NSV162 NIZ162 MZD162 MPH162 MFL162 LVP162 LLT162 LBX162 KSB162 KIF162 JYJ162 JON162 JER162 IUV162 IKZ162 IBD162 HRH162 HHL162 GXP162 GNT162 GDX162 FUB162 FKF162 FAJ162 EQN162 EGR162 DWV162 DMZ162 DDD162 CTH162 CJL162 BZP162 BPT162 BFX162 AWB162 AMF162 ACJ162 SN162 IR162 WVD169 WLH169 WBL169 VRP169 VHT169 UXX169 UOB169 UEF169 TUJ169 TKN169 TAR169 SQV169 SGZ169 RXD169 RNH169 RDL169 QTP169 QJT169 PZX169 PQB169 PGF169 OWJ169 OMN169 OCR169 NSV169 NIZ169 MZD169 MPH169 MFL169 LVP169 LLT169 LBX169 KSB169 KIF169 JYJ169 JON169 JER169 IUV169 IKZ169 IBD169 HRH169 HHL169 GXP169 GNT169 GDX169 FUB169 FKF169 FAJ169 EQN169 EGR169 DWV169 DMZ169 DDD169 CTH169 CJL169 BZP169 BPT169 BFX169 AWB169 AMF169 ACJ169 SN169 IR169 BPX158:BPX159 ACN158:ACN159 RNL282:RNL284 RXH282:RXH284 SHD282:SHD284 SQZ282:SQZ284 TAV282:TAV284 TKR282:TKR284 TUN282:TUN284 UEJ282:UEJ284 UOF282:UOF284 UYB282:UYB284 VHX282:VHX284 VRT282:VRT284 WBP282:WBP284 WLL282:WLL284 WVH282:WVH284 IZ287 SV287 ACR287 AMN287 AWJ287 BGF287 BQB287 BZX287 CJT287 CTP287 DDL287 DNH287 DXD287 EGZ287 EQV287 FAR287 FKN287 FUJ287 GEF287 GOB287 GXX287 HHT287 HRP287 IBL287 ILH287 IVD287 JEZ287 JOV287 JYR287 KIN287 KSJ287 LCF287 LMB287 LVX287 MFT287 MPP287 MZL287 NJH287 NTD287 OCZ287 OMV287 OWR287 PGN287 PQJ287 QAF287 QKB287 QTX287 RDT287 RNP287 RXL287 SHH287 SRD287 TAZ287 TKV287 TUR287 UEN287 UOJ287 UYF287 VIB287 VRX287 WBT287 WLP287 WVL287 IR281 SN281 ACJ281 AMF281 AWB281 BFX281 BPT281 BZP281 CJL281 CTH281 DDD281 DMZ281 DWV281 EGR281 EQN281 FAJ281 FKF281 FUB281 GDX281 GNT281 GXP281 HHL281 HRH281 IBD281 IKZ281 IUV281 JER281 JON281 JYJ281 KIF281 KSB281 LBX281 LLT281 LVP281 MFL281 MPH281 MZD281 NIZ281 NSV281 OCR281 OMN281 OWJ281 PGF281 PQB281 PZX281 QJT281 QTP281 RDL281 RNH281 RXD281 SGZ281 SQV281 TAR281 TKN281 TUJ281 UEF281 UOB281 UXX281 VHT281 VRP281 WBL281 WLH281 WVD281 IR271 SN271 ACJ271 AMF271 AWB271 BFX271 BPT271 BZP271 CJL271 CTH271 DDD271 DMZ271 DWV271 EGR271 EQN271 FAJ271 FKF271 FUB271 GDX271 GNT271 GXP271 HHL271 HRH271 IBD271 IKZ271 IUV271 JER271 JON271 JYJ271 KIF271 KSB271 LBX271 LLT271 LVP271 MFL271 MPH271 MZD271 NIZ271 NSV271 OCR271 OMN271 OWJ271 PGF271 PQB271 PZX271 QJT271 QTP271 RDL271 RNH271 RXD271 SGZ271 SQV271 TAR271 TKN271 TUJ271 UEF271 UOB271 UXX271 VHT271 VRP271 WBL271 WLH271 WVD271 IV270 SR270 ACN270 AMJ270 AWF270 BGB270 BPX270 BZT270 CJP270 CTL270 DDH270 DND270 DWZ270 EGV270 EQR270 FAN270 FKJ270 FUF270 GEB270 GNX270 GXT270 HHP270 HRL270 IBH270 ILD270 IUZ270 JEV270 JOR270 JYN270 KIJ270 KSF270 LCB270 LLX270 LVT270 MFP270 MPL270 MZH270 NJD270 NSZ270 OCV270 OMR270 OWN270 PGJ270 PQF270 QAB270 QJX270 QTT270 RDP270 RNL270 RXH270 SHD270 SQZ270 TAV270 TKR270 TUN270 UEJ270 UOF270 UYB270 VHX270 VRT270 WBP270 WLL270 WVH270 IR269 SN269 ACJ269 AMF269 AWB269 BFX269 BPT269 BZP269 CJL269 CTH269 DDD269 DMZ269 DWV269 EGR269 EQN269 FAJ269 FKF269 FUB269 GDX269 GNT269 GXP269 HHL269 HRH269 IBD269 IKZ269 IUV269 JER269 JON269 JYJ269 KIF269 KSB269 LBX269 LLT269 LVP269 MFL269 MPH269 MZD269 NIZ269 NSV269 OCR269 OMN269 OWJ269 PGF269 PQB269 PZX269 QJT269 QTP269 RDL269 RNH269 RXD269 SGZ269 SQV269 TAR269 TKN269 TUJ269 UEF269 UOB269 UXX269 VHT269 VRP269 WBL269 WLH269 WVD269 SN212 ACJ212 AMF212 AWB212 BFX212 BPT212 BZP212 CJL212 CTH212 DDD212 DMZ212 DWV212 EGR212 EQN212 FAJ212 FKF212 FUB212 GDX212 GNT212 GXP212 HHL212 HRH212 IBD212 IKZ212 IUV212 JER212 JON212 JYJ212 KIF212 KSB212 LBX212 LLT212 LVP212 MFL212 MPH212 MZD212 NIZ212 NSV212 OCR212 OMN212 OWJ212 PGF212 PQB212 PZX212 QJT212 QTP212 RDL212 RNH212 RXD212 SGZ212 SQV212 TAR212 TKN212 TUJ212 UEF212 UOB212 UXX212 VHT212 VRP212 WBL212 WLH212 WVD212 AMJ211 IV282:IV284 SR282:SR284 ACN282:ACN284 AMJ282:AMJ284 AWF282:AWF284 BGB282:BGB284 BPX282:BPX284 BZT282:BZT284 CJP282:CJP284 CTL282:CTL284 DDH282:DDH284 DND282:DND284 DWZ282:DWZ284 EGV282:EGV284 EQR282:EQR284 FAN282:FAN284 FKJ282:FKJ284 FUF282:FUF284 GEB282:GEB284 GNX282:GNX284 GXT282:GXT284 HHP282:HHP284 HRL282:HRL284 IBH282:IBH284 ILD282:ILD284 IUZ282:IUZ284 JEV282:JEV284 JOR282:JOR284 JYN282:JYN284 KIJ282:KIJ284 KSF282:KSF284 LCB282:LCB284 LLX282:LLX284 LVT282:LVT284 MFP282:MFP284 MPL282:MPL284 MZH282:MZH284 NJD282:NJD284 NSZ282:NSZ284 OCV282:OCV284 OMR282:OMR284 OWN282:OWN284 PGJ282:PGJ284 PQF282:PQF284 QAB282:QAB284 QJX282:QJX284 QTT282:QTT284 RDP282:RDP284 ACN73:ACN92 BZT73:BZT92 CJP73:CJP92 CTL73:CTL92 DDH73:DDH92 DND73:DND92 DWZ73:DWZ92 EGV73:EGV92 EQR73:EQR92 FAN73:FAN92 FKJ73:FKJ92 FUF73:FUF92 GEB73:GEB92 GNX73:GNX92 GXT73:GXT92 HHP73:HHP92 HRL73:HRL92 IBH73:IBH92 ILD73:ILD92 IUZ73:IUZ92 JEV73:JEV92 JOR73:JOR92 JYN73:JYN92 KIJ73:KIJ92 KSF73:KSF92 LCB73:LCB92 LLX73:LLX92 LVT73:LVT92 MFP73:MFP92 MPL73:MPL92 MZH73:MZH92 NJD73:NJD92 NSZ73:NSZ92 OCV73:OCV92 OMR73:OMR92 OWN73:OWN92 PGJ73:PGJ92 PQF73:PQF92 QAB73:QAB92 QJX73:QJX92 QTT73:QTT92 RDP73:RDP92 RNL73:RNL92 RXH73:RXH92 SHD73:SHD92 SQZ73:SQZ92 TAV73:TAV92 TKR73:TKR92 TUN73:TUN92 UEJ73:UEJ92 UOF73:UOF92 UYB73:UYB92 VHX73:VHX92 VRT73:VRT92 WBP73:WBP92 WLL73:WLL92 WVH73:WVH92 AMJ73:AMJ92 AWF73:AWF92 BGB73:BGB92 IV73:IV92 SR73:SR92 BPX73:BPX92 AWF211 AMJ268 BGB211 AWF268 IV211 BGB268 SR211 IV268 BPX211 SR268 ACN211 BPX268 BZT211 ACN268 CJP211 BZT268 CTL211 CJP268 DDH211 CTL268 DND211 DDH268 DWZ211 DND268 EGV211 DWZ268 EQR211 EGV268 FAN211 EQR268 FKJ211 FAN268 FUF211 FKJ268 GEB211 FUF268 GNX211 GEB268 GXT211 GNX268 HHP211 GXT268 HRL211 HHP268 IBH211 HRL268 ILD211 IBH268 IUZ211 ILD268 JEV211 IUZ268 JOR211 JEV268 JYN211 JOR268 KIJ211 JYN268 KSF211 KIJ268 LCB211 KSF268 LLX211 LCB268 LVT211 LLX268 MFP211 LVT268 MPL211 MFP268 MZH211 MPL268 NJD211 MZH268 NSZ211 NJD268 OCV211 NSZ268 OMR211 OCV268 OWN211 OMR268 PGJ211 OWN268 PQF211 PGJ268 QAB211 PQF268 QJX211 QAB268 QTT211 QJX268 RDP211 QTT268 RNL211 RDP268 RXH211 RNL268 SHD211 RXH268 SQZ211 SHD268 TAV211 SQZ268 TKR211 TAV268 TUN211 TKR268 UEJ211 TUN268 UOF211 UEJ268 UYB211 UOF268 VHX211 UYB268 VRT211 VHX268 WBP211 VRT268 WLL211 WBP268 WVH211 WLL268 WVH268 IV335:IV347 SR335:SR347 ACN335:ACN347 AMJ335:AMJ347 AWF335:AWF347 BGB335:BGB347 BPX335:BPX347 BZT335:BZT347 CJP335:CJP347 CTL335:CTL347 DDH335:DDH347 DND335:DND347 DWZ335:DWZ347 EGV335:EGV347 EQR335:EQR347 FAN335:FAN347 FKJ335:FKJ347 FUF335:FUF347 GEB335:GEB347 GNX335:GNX347 GXT335:GXT347 HHP335:HHP347 HRL335:HRL347 IBH335:IBH347 ILD335:ILD347 IUZ335:IUZ347 JEV335:JEV347 JOR335:JOR347 JYN335:JYN347 KIJ335:KIJ347 KSF335:KSF347 LCB335:LCB347 LLX335:LLX347 LVT335:LVT347 MFP335:MFP347 MPL335:MPL347 MZH335:MZH347 NJD335:NJD347 NSZ335:NSZ347 OCV335:OCV347 OMR335:OMR347 OWN335:OWN347 PGJ335:PGJ347 PQF335:PQF347 QAB335:QAB347 QJX335:QJX347 QTT335:QTT347 RDP335:RDP347 RNL335:RNL347 RXH335:RXH347 SHD335:SHD347 SQZ335:SQZ347 TAV335:TAV347 TKR335:TKR347 TUN335:TUN347 UEJ335:UEJ347 UOF335:UOF347 UYB335:UYB347 VHX335:VHX347 VRT335:VRT347 WBP335:WBP347 WLL335:WLL347 WVH335:WVH347">
      <formula1>1</formula1>
      <formula2>0</formula2>
    </dataValidation>
  </dataValidations>
  <pageMargins left="0.19685039370078741" right="0.19685039370078741" top="0.78740157480314965" bottom="0.39370078740157483" header="0.51181102362204722" footer="0.51181102362204722"/>
  <pageSetup paperSize="9" scale="34" firstPageNumber="0" fitToHeight="0" orientation="landscape" r:id="rId1"/>
  <headerFooter alignWithMargins="0"/>
  <colBreaks count="1" manualBreakCount="1">
    <brk id="2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B4781"/>
  <sheetViews>
    <sheetView topLeftCell="A2298" zoomScale="50" zoomScaleNormal="50" zoomScaleSheetLayoutView="50" workbookViewId="0">
      <selection activeCell="AG2301" sqref="AG2301"/>
    </sheetView>
  </sheetViews>
  <sheetFormatPr defaultColWidth="8.85546875" defaultRowHeight="18.75" outlineLevelRow="1"/>
  <cols>
    <col min="1" max="1" width="0.28515625" style="380" customWidth="1"/>
    <col min="2" max="2" width="39.85546875" style="381" hidden="1" customWidth="1"/>
    <col min="3" max="3" width="14.85546875" style="382" hidden="1" customWidth="1"/>
    <col min="4" max="4" width="17.85546875" style="382" hidden="1" customWidth="1"/>
    <col min="5" max="5" width="24.28515625" style="383" hidden="1" customWidth="1"/>
    <col min="6" max="6" width="14.85546875" style="383" hidden="1" customWidth="1"/>
    <col min="7" max="7" width="18" style="383" hidden="1" customWidth="1"/>
    <col min="8" max="10" width="14.85546875" style="382" hidden="1" customWidth="1"/>
    <col min="11" max="11" width="28" style="377" hidden="1" customWidth="1"/>
    <col min="12" max="12" width="24.85546875" style="384" hidden="1" customWidth="1"/>
    <col min="13" max="13" width="27.5703125" style="384" hidden="1" customWidth="1"/>
    <col min="14" max="14" width="24" style="383" hidden="1" customWidth="1"/>
    <col min="15" max="15" width="22.140625" style="385" hidden="1" customWidth="1"/>
    <col min="16" max="16" width="25.28515625" style="383" hidden="1" customWidth="1"/>
    <col min="17" max="17" width="21.28515625" style="383" hidden="1" customWidth="1"/>
    <col min="18" max="18" width="32.7109375" style="382" hidden="1" customWidth="1"/>
    <col min="19" max="19" width="28.7109375" style="376" hidden="1" customWidth="1"/>
    <col min="20" max="20" width="29.28515625" style="377" hidden="1" customWidth="1"/>
    <col min="21" max="21" width="32.85546875" style="379" hidden="1" customWidth="1"/>
    <col min="22" max="22" width="25" style="381" hidden="1" customWidth="1"/>
    <col min="23" max="23" width="23.140625" style="381" hidden="1" customWidth="1"/>
    <col min="24" max="24" width="19.42578125" style="381" hidden="1" customWidth="1"/>
    <col min="25" max="25" width="28.140625" style="381" hidden="1" customWidth="1"/>
    <col min="26" max="26" width="43.5703125" style="381" hidden="1" customWidth="1"/>
    <col min="27" max="27" width="15.28515625" style="381" hidden="1" customWidth="1"/>
    <col min="28" max="16381" width="8.85546875" style="381"/>
    <col min="16382" max="16382" width="12" style="381" bestFit="1" customWidth="1"/>
    <col min="16383" max="16384" width="12" style="381" customWidth="1"/>
  </cols>
  <sheetData>
    <row r="1" spans="1:26" s="377" customFormat="1" hidden="1">
      <c r="A1" s="1136" t="s">
        <v>212</v>
      </c>
      <c r="B1" s="1136"/>
      <c r="C1" s="1136"/>
      <c r="D1" s="1136"/>
      <c r="E1" s="1136"/>
      <c r="F1" s="1136"/>
      <c r="G1" s="1136"/>
      <c r="H1" s="1136"/>
      <c r="I1" s="1136"/>
      <c r="J1" s="1156"/>
      <c r="K1" s="1136"/>
      <c r="L1" s="1136"/>
      <c r="M1" s="1136"/>
      <c r="N1" s="1157"/>
      <c r="O1" s="1136"/>
      <c r="P1" s="1136"/>
      <c r="Q1" s="1136"/>
      <c r="R1" s="1136"/>
      <c r="S1" s="376"/>
      <c r="U1" s="378"/>
    </row>
    <row r="2" spans="1:26" s="377" customFormat="1" hidden="1">
      <c r="A2" s="1136" t="s">
        <v>429</v>
      </c>
      <c r="B2" s="1136"/>
      <c r="C2" s="1136"/>
      <c r="D2" s="1136"/>
      <c r="E2" s="1136"/>
      <c r="F2" s="1136"/>
      <c r="G2" s="1136"/>
      <c r="H2" s="1136"/>
      <c r="I2" s="1136"/>
      <c r="J2" s="1156"/>
      <c r="K2" s="1136"/>
      <c r="L2" s="1136"/>
      <c r="M2" s="1136"/>
      <c r="N2" s="1157"/>
      <c r="O2" s="1136"/>
      <c r="P2" s="1136"/>
      <c r="Q2" s="1136"/>
      <c r="R2" s="1136"/>
      <c r="S2" s="376"/>
      <c r="U2" s="379"/>
    </row>
    <row r="3" spans="1:26" s="377" customFormat="1" hidden="1">
      <c r="A3" s="380"/>
      <c r="B3" s="381"/>
      <c r="C3" s="382"/>
      <c r="D3" s="382"/>
      <c r="E3" s="383"/>
      <c r="F3" s="383"/>
      <c r="G3" s="383"/>
      <c r="H3" s="382"/>
      <c r="I3" s="382"/>
      <c r="J3" s="382"/>
      <c r="L3" s="384"/>
      <c r="M3" s="384"/>
      <c r="N3" s="383"/>
      <c r="O3" s="385"/>
      <c r="P3" s="383"/>
      <c r="Q3" s="383"/>
      <c r="R3" s="382"/>
      <c r="S3" s="376"/>
      <c r="U3" s="378"/>
    </row>
    <row r="4" spans="1:26" s="377" customFormat="1" ht="18" hidden="1" customHeight="1">
      <c r="A4" s="1158" t="s">
        <v>1</v>
      </c>
      <c r="B4" s="1159" t="s">
        <v>2</v>
      </c>
      <c r="C4" s="1160" t="s">
        <v>4</v>
      </c>
      <c r="D4" s="1160" t="s">
        <v>107</v>
      </c>
      <c r="E4" s="1161" t="s">
        <v>108</v>
      </c>
      <c r="F4" s="1161" t="s">
        <v>109</v>
      </c>
      <c r="G4" s="1161" t="s">
        <v>110</v>
      </c>
      <c r="H4" s="1160" t="s">
        <v>5</v>
      </c>
      <c r="I4" s="1160" t="s">
        <v>6</v>
      </c>
      <c r="J4" s="1160" t="s">
        <v>111</v>
      </c>
      <c r="K4" s="1165" t="s">
        <v>10</v>
      </c>
      <c r="L4" s="1162" t="s">
        <v>11</v>
      </c>
      <c r="M4" s="1162"/>
      <c r="N4" s="1162"/>
      <c r="O4" s="1162"/>
      <c r="P4" s="1162"/>
      <c r="Q4" s="1162"/>
      <c r="R4" s="1163" t="s">
        <v>112</v>
      </c>
      <c r="S4" s="376"/>
      <c r="U4" s="378"/>
      <c r="V4" s="377">
        <v>4343381.0599999996</v>
      </c>
      <c r="W4" s="377">
        <v>0</v>
      </c>
      <c r="X4" s="377">
        <v>38461660.880000003</v>
      </c>
    </row>
    <row r="5" spans="1:26" s="377" customFormat="1" ht="24" hidden="1" customHeight="1">
      <c r="A5" s="1158"/>
      <c r="B5" s="1159"/>
      <c r="C5" s="1160"/>
      <c r="D5" s="1160"/>
      <c r="E5" s="1161"/>
      <c r="F5" s="1161"/>
      <c r="G5" s="1161"/>
      <c r="H5" s="1160"/>
      <c r="I5" s="1160"/>
      <c r="J5" s="1160"/>
      <c r="K5" s="1165"/>
      <c r="L5" s="1164" t="s">
        <v>17</v>
      </c>
      <c r="M5" s="1162" t="s">
        <v>19</v>
      </c>
      <c r="N5" s="1162"/>
      <c r="O5" s="1162"/>
      <c r="P5" s="1162"/>
      <c r="Q5" s="1162"/>
      <c r="R5" s="1163"/>
      <c r="S5" s="384"/>
      <c r="T5" s="384"/>
      <c r="U5" s="384"/>
    </row>
    <row r="6" spans="1:26" s="377" customFormat="1" ht="77.25" hidden="1" customHeight="1">
      <c r="A6" s="1158"/>
      <c r="B6" s="1159"/>
      <c r="C6" s="1160"/>
      <c r="D6" s="1160"/>
      <c r="E6" s="1161"/>
      <c r="F6" s="1161"/>
      <c r="G6" s="1161"/>
      <c r="H6" s="1160"/>
      <c r="I6" s="1160"/>
      <c r="J6" s="1160"/>
      <c r="K6" s="1165"/>
      <c r="L6" s="1164"/>
      <c r="M6" s="521" t="s">
        <v>113</v>
      </c>
      <c r="N6" s="522" t="s">
        <v>4144</v>
      </c>
      <c r="O6" s="523" t="s">
        <v>114</v>
      </c>
      <c r="P6" s="522" t="s">
        <v>115</v>
      </c>
      <c r="Q6" s="522" t="s">
        <v>3795</v>
      </c>
      <c r="R6" s="1163"/>
      <c r="S6" s="376"/>
      <c r="U6" s="378"/>
    </row>
    <row r="7" spans="1:26" s="377" customFormat="1" hidden="1">
      <c r="A7" s="1158"/>
      <c r="B7" s="1159"/>
      <c r="C7" s="1160"/>
      <c r="D7" s="1160"/>
      <c r="E7" s="1161"/>
      <c r="F7" s="1161"/>
      <c r="G7" s="1161"/>
      <c r="H7" s="1160"/>
      <c r="I7" s="1160"/>
      <c r="J7" s="1160"/>
      <c r="K7" s="1165"/>
      <c r="L7" s="384" t="s">
        <v>26</v>
      </c>
      <c r="M7" s="384" t="s">
        <v>26</v>
      </c>
      <c r="N7" s="383" t="s">
        <v>26</v>
      </c>
      <c r="O7" s="385" t="s">
        <v>26</v>
      </c>
      <c r="P7" s="383" t="s">
        <v>26</v>
      </c>
      <c r="Q7" s="383" t="s">
        <v>26</v>
      </c>
      <c r="R7" s="382" t="s">
        <v>27</v>
      </c>
      <c r="S7" s="376"/>
      <c r="U7" s="379"/>
    </row>
    <row r="8" spans="1:26" s="386" customFormat="1" ht="42.75" hidden="1" customHeight="1">
      <c r="A8" s="386">
        <v>1</v>
      </c>
      <c r="B8" s="386">
        <v>2</v>
      </c>
      <c r="C8" s="386">
        <v>3</v>
      </c>
      <c r="D8" s="386">
        <v>4</v>
      </c>
      <c r="E8" s="386">
        <v>5</v>
      </c>
      <c r="F8" s="386">
        <v>6</v>
      </c>
      <c r="G8" s="386">
        <v>7</v>
      </c>
      <c r="H8" s="386">
        <v>8</v>
      </c>
      <c r="I8" s="386">
        <v>9</v>
      </c>
      <c r="J8" s="386">
        <v>10</v>
      </c>
      <c r="K8" s="386">
        <v>11</v>
      </c>
      <c r="L8" s="386">
        <v>12</v>
      </c>
      <c r="N8" s="386">
        <v>14</v>
      </c>
      <c r="O8" s="386">
        <v>15</v>
      </c>
      <c r="P8" s="386">
        <v>16</v>
      </c>
      <c r="Q8" s="386">
        <v>17</v>
      </c>
      <c r="R8" s="386">
        <v>18</v>
      </c>
    </row>
    <row r="9" spans="1:26" s="975" customFormat="1" ht="47.25" hidden="1" customHeight="1">
      <c r="A9" s="1134" t="s">
        <v>211</v>
      </c>
      <c r="B9" s="1134"/>
      <c r="C9" s="524" t="s">
        <v>28</v>
      </c>
      <c r="D9" s="524">
        <f>D10+D1463+D2964</f>
        <v>51240714.819349431</v>
      </c>
      <c r="E9" s="407">
        <f>E10+E1463+E2964</f>
        <v>9322797.5069999993</v>
      </c>
      <c r="F9" s="407" t="s">
        <v>28</v>
      </c>
      <c r="G9" s="407">
        <f>G10+G1463+G2964</f>
        <v>3642483.0769999996</v>
      </c>
      <c r="H9" s="524" t="s">
        <v>28</v>
      </c>
      <c r="I9" s="524" t="s">
        <v>28</v>
      </c>
      <c r="J9" s="524">
        <f>J10+J1463+J2964</f>
        <v>246441</v>
      </c>
      <c r="K9" s="525" t="s">
        <v>28</v>
      </c>
      <c r="L9" s="526">
        <f t="shared" ref="L9:Q9" si="0">L10+L1463+L2964</f>
        <v>11067121180.080002</v>
      </c>
      <c r="M9" s="526">
        <f t="shared" si="0"/>
        <v>10896045343.43</v>
      </c>
      <c r="N9" s="407">
        <f t="shared" si="0"/>
        <v>106859127.75</v>
      </c>
      <c r="O9" s="527">
        <f t="shared" si="0"/>
        <v>21031524.609999999</v>
      </c>
      <c r="P9" s="407">
        <f t="shared" si="0"/>
        <v>0</v>
      </c>
      <c r="Q9" s="407">
        <f t="shared" si="0"/>
        <v>43185184.290000007</v>
      </c>
      <c r="R9" s="524"/>
      <c r="S9" s="383">
        <f>L9-M9-N9-O9-P9-Q9</f>
        <v>1.5199184417724609E-6</v>
      </c>
      <c r="T9" s="387" t="e">
        <f>'1.перечень МКД'!#REF!</f>
        <v>#REF!</v>
      </c>
      <c r="U9" s="378" t="e">
        <f>T9-L9</f>
        <v>#REF!</v>
      </c>
      <c r="V9" s="459"/>
      <c r="W9" s="459"/>
    </row>
    <row r="10" spans="1:26" s="975" customFormat="1" ht="50.25" hidden="1" customHeight="1">
      <c r="A10" s="1134" t="s">
        <v>210</v>
      </c>
      <c r="B10" s="1134"/>
      <c r="C10" s="524" t="s">
        <v>28</v>
      </c>
      <c r="D10" s="524">
        <f>D12+D522+D1023</f>
        <v>14844886.019910347</v>
      </c>
      <c r="E10" s="407">
        <f>E12+E522+E1023</f>
        <v>2731255.3499999992</v>
      </c>
      <c r="F10" s="407" t="s">
        <v>28</v>
      </c>
      <c r="G10" s="407">
        <f>G12+G522+G1023</f>
        <v>1168155.085</v>
      </c>
      <c r="H10" s="524" t="s">
        <v>28</v>
      </c>
      <c r="I10" s="524" t="s">
        <v>28</v>
      </c>
      <c r="J10" s="524">
        <f>J12+J522+J1023</f>
        <v>75545</v>
      </c>
      <c r="K10" s="525" t="s">
        <v>28</v>
      </c>
      <c r="L10" s="526">
        <f>M10+N10+O10+P10+Q10</f>
        <v>3001346877.3599997</v>
      </c>
      <c r="M10" s="526">
        <f>M12+M522+M1023</f>
        <v>2965567689.1599994</v>
      </c>
      <c r="N10" s="407">
        <f>N12+N522+N1023</f>
        <v>29130359.549999997</v>
      </c>
      <c r="O10" s="527">
        <f>O12+O522+O1023</f>
        <v>4523414.3499999996</v>
      </c>
      <c r="P10" s="407">
        <f>P12+P522+P1023</f>
        <v>0</v>
      </c>
      <c r="Q10" s="407">
        <f>Q12+Q522+Q1023</f>
        <v>2125414.2999999998</v>
      </c>
      <c r="R10" s="524"/>
      <c r="S10" s="383">
        <f>L10-M10-N10-O10-P10-Q10</f>
        <v>2.8964132070541382E-7</v>
      </c>
      <c r="T10" s="387" t="e">
        <f>'1.перечень МКД'!#REF!</f>
        <v>#REF!</v>
      </c>
      <c r="U10" s="378" t="e">
        <f>L10-T10</f>
        <v>#REF!</v>
      </c>
      <c r="V10" s="459"/>
      <c r="W10" s="459"/>
    </row>
    <row r="11" spans="1:26" s="377" customFormat="1" ht="30.75" hidden="1" customHeight="1">
      <c r="A11" s="1126" t="s">
        <v>140</v>
      </c>
      <c r="B11" s="1126"/>
      <c r="C11" s="1126"/>
      <c r="D11" s="1126"/>
      <c r="E11" s="1126"/>
      <c r="F11" s="1126"/>
      <c r="G11" s="1126"/>
      <c r="H11" s="1126"/>
      <c r="I11" s="1126"/>
      <c r="J11" s="1126"/>
      <c r="K11" s="1126"/>
      <c r="L11" s="1126"/>
      <c r="M11" s="1126"/>
      <c r="N11" s="1126"/>
      <c r="O11" s="1126"/>
      <c r="P11" s="1126"/>
      <c r="Q11" s="1126"/>
      <c r="R11" s="1126"/>
      <c r="S11" s="376"/>
      <c r="U11" s="379"/>
    </row>
    <row r="12" spans="1:26" s="458" customFormat="1" ht="32.25" hidden="1" customHeight="1">
      <c r="A12" s="493"/>
      <c r="B12" s="427" t="s">
        <v>163</v>
      </c>
      <c r="C12" s="382" t="s">
        <v>28</v>
      </c>
      <c r="D12" s="446">
        <f>D520</f>
        <v>6474382.3100000005</v>
      </c>
      <c r="E12" s="388">
        <f>E520</f>
        <v>1053124.9899999998</v>
      </c>
      <c r="F12" s="383" t="s">
        <v>28</v>
      </c>
      <c r="G12" s="388">
        <f>G520</f>
        <v>404363.7</v>
      </c>
      <c r="H12" s="382" t="s">
        <v>28</v>
      </c>
      <c r="I12" s="382" t="s">
        <v>28</v>
      </c>
      <c r="J12" s="446">
        <f>J520</f>
        <v>30298</v>
      </c>
      <c r="K12" s="386" t="s">
        <v>28</v>
      </c>
      <c r="L12" s="519">
        <f t="shared" ref="L12:Q12" si="1">L520</f>
        <v>1318476124.4699993</v>
      </c>
      <c r="M12" s="519">
        <f t="shared" si="1"/>
        <v>1304583626.0799992</v>
      </c>
      <c r="N12" s="388">
        <f t="shared" si="1"/>
        <v>10378423.139999999</v>
      </c>
      <c r="O12" s="473">
        <f t="shared" si="1"/>
        <v>2434408.19</v>
      </c>
      <c r="P12" s="388">
        <f t="shared" si="1"/>
        <v>0</v>
      </c>
      <c r="Q12" s="388">
        <f t="shared" si="1"/>
        <v>1079667.06</v>
      </c>
      <c r="R12" s="446"/>
      <c r="S12" s="388">
        <f>L12-M12-N12-O12-P12-Q12</f>
        <v>1.0617077350616455E-7</v>
      </c>
      <c r="T12" s="389" t="e">
        <f>'1.перечень МКД'!#REF!</f>
        <v>#REF!</v>
      </c>
      <c r="U12" s="390" t="e">
        <f>T12-L12</f>
        <v>#REF!</v>
      </c>
      <c r="V12" s="459"/>
      <c r="W12" s="459"/>
    </row>
    <row r="13" spans="1:26" s="377" customFormat="1" ht="31.5" hidden="1" customHeight="1">
      <c r="A13" s="1126" t="s">
        <v>139</v>
      </c>
      <c r="B13" s="1126"/>
      <c r="C13" s="1126"/>
      <c r="D13" s="1126"/>
      <c r="E13" s="1126"/>
      <c r="F13" s="1126"/>
      <c r="G13" s="1126"/>
      <c r="H13" s="1126"/>
      <c r="I13" s="1126"/>
      <c r="J13" s="1126"/>
      <c r="K13" s="1126"/>
      <c r="L13" s="1126"/>
      <c r="M13" s="1126"/>
      <c r="N13" s="1126"/>
      <c r="O13" s="1126"/>
      <c r="P13" s="1126"/>
      <c r="Q13" s="1126"/>
      <c r="R13" s="1126"/>
      <c r="S13" s="376"/>
      <c r="U13" s="379"/>
      <c r="W13" s="387"/>
    </row>
    <row r="14" spans="1:26" s="416" customFormat="1" ht="43.9" hidden="1" customHeight="1">
      <c r="A14" s="404">
        <v>1</v>
      </c>
      <c r="B14" s="403" t="s">
        <v>430</v>
      </c>
      <c r="C14" s="455" t="s">
        <v>218</v>
      </c>
      <c r="D14" s="487">
        <v>61588</v>
      </c>
      <c r="E14" s="391">
        <v>10121</v>
      </c>
      <c r="F14" s="391" t="s">
        <v>234</v>
      </c>
      <c r="G14" s="391">
        <v>2568</v>
      </c>
      <c r="H14" s="528">
        <v>9</v>
      </c>
      <c r="I14" s="528">
        <v>7</v>
      </c>
      <c r="J14" s="528">
        <v>266</v>
      </c>
      <c r="K14" s="458" t="s">
        <v>285</v>
      </c>
      <c r="L14" s="529">
        <f>M14+N14+O14+P14+Q14</f>
        <v>30013663.920000002</v>
      </c>
      <c r="M14" s="529">
        <v>29968708.920000002</v>
      </c>
      <c r="N14" s="391">
        <v>44955</v>
      </c>
      <c r="O14" s="530"/>
      <c r="P14" s="391"/>
      <c r="Q14" s="391"/>
      <c r="R14" s="528">
        <f>M14/E14</f>
        <v>2961.0422804070745</v>
      </c>
      <c r="S14" s="388">
        <f t="shared" ref="S14:S61" si="2">L14-M14-N14-O14-P14-Q14</f>
        <v>0</v>
      </c>
      <c r="T14" s="389"/>
      <c r="U14" s="391"/>
      <c r="V14" s="391"/>
      <c r="W14" s="387"/>
      <c r="Z14" s="419"/>
    </row>
    <row r="15" spans="1:26" s="416" customFormat="1" ht="60" hidden="1" customHeight="1">
      <c r="A15" s="1112">
        <v>2</v>
      </c>
      <c r="B15" s="1153" t="s">
        <v>431</v>
      </c>
      <c r="C15" s="531" t="s">
        <v>272</v>
      </c>
      <c r="D15" s="532">
        <v>15087</v>
      </c>
      <c r="E15" s="391">
        <v>2636</v>
      </c>
      <c r="F15" s="533" t="s">
        <v>234</v>
      </c>
      <c r="G15" s="391">
        <v>1342</v>
      </c>
      <c r="H15" s="528">
        <v>5</v>
      </c>
      <c r="I15" s="528">
        <v>4</v>
      </c>
      <c r="J15" s="528">
        <v>56</v>
      </c>
      <c r="K15" s="458" t="s">
        <v>33</v>
      </c>
      <c r="L15" s="1128">
        <f>M15+N15+O15+P15+Q15+M16+N16+O16+P16+Q16</f>
        <v>4204687.7000000011</v>
      </c>
      <c r="M15" s="519">
        <v>2611151.41</v>
      </c>
      <c r="N15" s="388"/>
      <c r="O15" s="473">
        <v>8412.33</v>
      </c>
      <c r="P15" s="388"/>
      <c r="Q15" s="388"/>
      <c r="R15" s="446">
        <f>M15/G15</f>
        <v>1945.7164008941879</v>
      </c>
      <c r="S15" s="388">
        <f t="shared" si="2"/>
        <v>1585123.9600000009</v>
      </c>
      <c r="T15" s="392"/>
      <c r="U15" s="391"/>
      <c r="V15" s="388"/>
      <c r="W15" s="387"/>
      <c r="Z15" s="419"/>
    </row>
    <row r="16" spans="1:26" s="416" customFormat="1" ht="66.75" hidden="1" customHeight="1">
      <c r="A16" s="1112"/>
      <c r="B16" s="1153"/>
      <c r="C16" s="455"/>
      <c r="D16" s="532"/>
      <c r="E16" s="391"/>
      <c r="F16" s="391"/>
      <c r="G16" s="391"/>
      <c r="H16" s="528"/>
      <c r="I16" s="528"/>
      <c r="J16" s="528"/>
      <c r="K16" s="397" t="s">
        <v>30</v>
      </c>
      <c r="L16" s="1128"/>
      <c r="M16" s="519">
        <v>1580610.6400000001</v>
      </c>
      <c r="N16" s="388"/>
      <c r="O16" s="473">
        <v>4513.32</v>
      </c>
      <c r="P16" s="388"/>
      <c r="Q16" s="388"/>
      <c r="R16" s="446">
        <f>M16/J15</f>
        <v>28225.190000000002</v>
      </c>
      <c r="S16" s="388">
        <f t="shared" si="2"/>
        <v>-1585123.9600000002</v>
      </c>
      <c r="T16" s="389"/>
      <c r="U16" s="391"/>
      <c r="V16" s="388"/>
      <c r="W16" s="387"/>
      <c r="Z16" s="419"/>
    </row>
    <row r="17" spans="1:29" s="404" customFormat="1" ht="62.25" hidden="1" customHeight="1">
      <c r="A17" s="404">
        <v>3</v>
      </c>
      <c r="B17" s="403" t="s">
        <v>432</v>
      </c>
      <c r="C17" s="455" t="s">
        <v>272</v>
      </c>
      <c r="D17" s="487">
        <v>51205</v>
      </c>
      <c r="E17" s="391">
        <v>4500</v>
      </c>
      <c r="F17" s="391" t="s">
        <v>234</v>
      </c>
      <c r="G17" s="391">
        <v>1637</v>
      </c>
      <c r="H17" s="528">
        <v>9</v>
      </c>
      <c r="I17" s="528">
        <v>4</v>
      </c>
      <c r="J17" s="528">
        <v>130</v>
      </c>
      <c r="K17" s="458" t="s">
        <v>30</v>
      </c>
      <c r="L17" s="529">
        <f>M17+N17+O17+P17+Q17</f>
        <v>4411499.07</v>
      </c>
      <c r="M17" s="534">
        <v>4399081.4700000007</v>
      </c>
      <c r="N17" s="391"/>
      <c r="O17" s="473">
        <v>12417.6</v>
      </c>
      <c r="P17" s="487"/>
      <c r="Q17" s="391"/>
      <c r="R17" s="528">
        <f>M17/J17</f>
        <v>33839.088230769237</v>
      </c>
      <c r="S17" s="388">
        <f t="shared" si="2"/>
        <v>-3.7289282772690058E-10</v>
      </c>
      <c r="T17" s="389"/>
      <c r="U17" s="391"/>
      <c r="V17" s="391"/>
      <c r="W17" s="387"/>
      <c r="X17" s="390"/>
      <c r="Z17" s="419"/>
      <c r="AA17" s="388"/>
      <c r="AC17" s="390"/>
    </row>
    <row r="18" spans="1:29" s="416" customFormat="1" ht="53.25" hidden="1" customHeight="1">
      <c r="A18" s="404">
        <f t="shared" ref="A18:A70" si="3">A17+1</f>
        <v>4</v>
      </c>
      <c r="B18" s="403" t="s">
        <v>433</v>
      </c>
      <c r="C18" s="531" t="s">
        <v>272</v>
      </c>
      <c r="D18" s="532">
        <v>12609</v>
      </c>
      <c r="E18" s="391">
        <v>2360</v>
      </c>
      <c r="F18" s="391" t="s">
        <v>223</v>
      </c>
      <c r="G18" s="535">
        <v>1031</v>
      </c>
      <c r="H18" s="536">
        <v>5</v>
      </c>
      <c r="I18" s="536">
        <v>4</v>
      </c>
      <c r="J18" s="536">
        <v>70</v>
      </c>
      <c r="K18" s="537" t="s">
        <v>225</v>
      </c>
      <c r="L18" s="529">
        <f>M18+N18+O18+P18+Q18</f>
        <v>1145172.1499999999</v>
      </c>
      <c r="M18" s="519">
        <v>1110207.1499999999</v>
      </c>
      <c r="N18" s="388">
        <v>34965</v>
      </c>
      <c r="O18" s="473"/>
      <c r="P18" s="388"/>
      <c r="Q18" s="388"/>
      <c r="R18" s="446">
        <f>M18/J18</f>
        <v>15860.102142857142</v>
      </c>
      <c r="S18" s="388">
        <f t="shared" si="2"/>
        <v>0</v>
      </c>
      <c r="T18" s="392"/>
      <c r="U18" s="391"/>
      <c r="V18" s="388"/>
      <c r="W18" s="387"/>
      <c r="Z18" s="419"/>
    </row>
    <row r="19" spans="1:29" s="416" customFormat="1" ht="43.5" hidden="1" customHeight="1">
      <c r="A19" s="1112">
        <v>5</v>
      </c>
      <c r="B19" s="403" t="s">
        <v>434</v>
      </c>
      <c r="C19" s="531" t="s">
        <v>272</v>
      </c>
      <c r="D19" s="532">
        <v>26851</v>
      </c>
      <c r="E19" s="391">
        <v>3865</v>
      </c>
      <c r="F19" s="533" t="s">
        <v>234</v>
      </c>
      <c r="G19" s="535">
        <v>705</v>
      </c>
      <c r="H19" s="536">
        <v>13</v>
      </c>
      <c r="I19" s="536">
        <v>1</v>
      </c>
      <c r="J19" s="536">
        <v>72</v>
      </c>
      <c r="K19" s="458" t="s">
        <v>33</v>
      </c>
      <c r="L19" s="1128">
        <f>M19+N19+O19+P19+Q19+M20+N20+O20+P20+Q20</f>
        <v>2961415.9299999997</v>
      </c>
      <c r="M19" s="538">
        <v>1235220.25</v>
      </c>
      <c r="N19" s="539"/>
      <c r="O19" s="540">
        <v>4419.29</v>
      </c>
      <c r="P19" s="388"/>
      <c r="Q19" s="541"/>
      <c r="R19" s="446">
        <f>M19/G19</f>
        <v>1752.0854609929079</v>
      </c>
      <c r="S19" s="388">
        <f t="shared" si="2"/>
        <v>1721776.3899999997</v>
      </c>
      <c r="T19" s="392"/>
      <c r="U19" s="391"/>
      <c r="V19" s="539"/>
      <c r="W19" s="387"/>
      <c r="Z19" s="419"/>
    </row>
    <row r="20" spans="1:29" s="416" customFormat="1" ht="43.5" hidden="1" customHeight="1">
      <c r="A20" s="1112"/>
      <c r="B20" s="403"/>
      <c r="C20" s="455"/>
      <c r="D20" s="532"/>
      <c r="E20" s="391"/>
      <c r="F20" s="542"/>
      <c r="G20" s="535"/>
      <c r="H20" s="536"/>
      <c r="I20" s="536"/>
      <c r="J20" s="536"/>
      <c r="K20" s="458" t="s">
        <v>225</v>
      </c>
      <c r="L20" s="1128"/>
      <c r="M20" s="538">
        <v>1681816.39</v>
      </c>
      <c r="N20" s="539">
        <v>39960</v>
      </c>
      <c r="O20" s="540"/>
      <c r="P20" s="388"/>
      <c r="Q20" s="541"/>
      <c r="R20" s="446">
        <f>M20/J19</f>
        <v>23358.560972222222</v>
      </c>
      <c r="S20" s="388">
        <f t="shared" si="2"/>
        <v>-1721776.39</v>
      </c>
      <c r="T20" s="389"/>
      <c r="U20" s="391"/>
      <c r="V20" s="539"/>
      <c r="W20" s="387"/>
      <c r="Z20" s="419"/>
    </row>
    <row r="21" spans="1:29" s="458" customFormat="1" ht="56.45" hidden="1" customHeight="1">
      <c r="A21" s="404">
        <v>6</v>
      </c>
      <c r="B21" s="543" t="s">
        <v>435</v>
      </c>
      <c r="C21" s="544" t="s">
        <v>272</v>
      </c>
      <c r="D21" s="545">
        <v>12507</v>
      </c>
      <c r="E21" s="391">
        <v>1979</v>
      </c>
      <c r="F21" s="391" t="s">
        <v>223</v>
      </c>
      <c r="G21" s="391">
        <v>1430</v>
      </c>
      <c r="H21" s="528">
        <v>5</v>
      </c>
      <c r="I21" s="528">
        <v>2</v>
      </c>
      <c r="J21" s="528">
        <v>127</v>
      </c>
      <c r="K21" s="537" t="s">
        <v>225</v>
      </c>
      <c r="L21" s="529">
        <f t="shared" ref="L21:L27" si="4">M21+N21+O21+P21+Q21</f>
        <v>1744050.3900000001</v>
      </c>
      <c r="M21" s="529">
        <v>1709085.3900000001</v>
      </c>
      <c r="N21" s="383">
        <v>34965</v>
      </c>
      <c r="O21" s="530"/>
      <c r="P21" s="391"/>
      <c r="Q21" s="391"/>
      <c r="R21" s="446">
        <f>M21/J21</f>
        <v>13457.365275590551</v>
      </c>
      <c r="S21" s="388">
        <f t="shared" si="2"/>
        <v>0</v>
      </c>
      <c r="T21" s="389"/>
      <c r="U21" s="391"/>
      <c r="V21" s="391"/>
      <c r="W21" s="387"/>
      <c r="Z21" s="419"/>
    </row>
    <row r="22" spans="1:29" s="458" customFormat="1" ht="60.75" hidden="1" customHeight="1">
      <c r="A22" s="404">
        <f t="shared" si="3"/>
        <v>7</v>
      </c>
      <c r="B22" s="403" t="s">
        <v>436</v>
      </c>
      <c r="C22" s="455" t="s">
        <v>272</v>
      </c>
      <c r="D22" s="487">
        <v>22481</v>
      </c>
      <c r="E22" s="391">
        <v>2508</v>
      </c>
      <c r="F22" s="391" t="s">
        <v>234</v>
      </c>
      <c r="G22" s="391">
        <v>674</v>
      </c>
      <c r="H22" s="528">
        <v>12</v>
      </c>
      <c r="I22" s="528">
        <v>1</v>
      </c>
      <c r="J22" s="528">
        <v>80</v>
      </c>
      <c r="K22" s="458" t="s">
        <v>30</v>
      </c>
      <c r="L22" s="529">
        <f t="shared" si="4"/>
        <v>2673638.35</v>
      </c>
      <c r="M22" s="529">
        <v>2665826.11</v>
      </c>
      <c r="N22" s="391"/>
      <c r="O22" s="473">
        <v>7812.24</v>
      </c>
      <c r="P22" s="487"/>
      <c r="Q22" s="391"/>
      <c r="R22" s="528">
        <f>M22/J22</f>
        <v>33322.826374999997</v>
      </c>
      <c r="S22" s="388">
        <f t="shared" si="2"/>
        <v>2.2373569663614035E-10</v>
      </c>
      <c r="T22" s="389"/>
      <c r="U22" s="391"/>
      <c r="V22" s="391"/>
      <c r="W22" s="387"/>
      <c r="Z22" s="419"/>
    </row>
    <row r="23" spans="1:29" s="458" customFormat="1" ht="54.75" hidden="1" customHeight="1">
      <c r="A23" s="404">
        <f t="shared" si="3"/>
        <v>8</v>
      </c>
      <c r="B23" s="403" t="s">
        <v>437</v>
      </c>
      <c r="C23" s="544" t="s">
        <v>272</v>
      </c>
      <c r="D23" s="545">
        <v>11006</v>
      </c>
      <c r="E23" s="391">
        <v>2289</v>
      </c>
      <c r="F23" s="391" t="s">
        <v>223</v>
      </c>
      <c r="G23" s="391">
        <v>917</v>
      </c>
      <c r="H23" s="528">
        <v>5</v>
      </c>
      <c r="I23" s="528">
        <v>3</v>
      </c>
      <c r="J23" s="528">
        <v>58</v>
      </c>
      <c r="K23" s="537" t="s">
        <v>30</v>
      </c>
      <c r="L23" s="529">
        <f t="shared" si="4"/>
        <v>1198901.9600000002</v>
      </c>
      <c r="M23" s="529">
        <v>1194227.4500000002</v>
      </c>
      <c r="N23" s="388"/>
      <c r="O23" s="530">
        <v>4674.51</v>
      </c>
      <c r="P23" s="391"/>
      <c r="Q23" s="391"/>
      <c r="R23" s="528">
        <f>M23/J23</f>
        <v>20590.128448275864</v>
      </c>
      <c r="S23" s="388">
        <f t="shared" si="2"/>
        <v>9.0949470177292824E-12</v>
      </c>
      <c r="T23" s="389"/>
      <c r="U23" s="391"/>
      <c r="V23" s="391"/>
      <c r="W23" s="387"/>
      <c r="Z23" s="419"/>
    </row>
    <row r="24" spans="1:29" s="458" customFormat="1" ht="52.15" hidden="1" customHeight="1">
      <c r="A24" s="404">
        <f t="shared" si="3"/>
        <v>9</v>
      </c>
      <c r="B24" s="546" t="s">
        <v>438</v>
      </c>
      <c r="C24" s="455" t="s">
        <v>218</v>
      </c>
      <c r="D24" s="487">
        <v>15577</v>
      </c>
      <c r="E24" s="388">
        <v>3339</v>
      </c>
      <c r="F24" s="388" t="s">
        <v>234</v>
      </c>
      <c r="G24" s="391">
        <v>627.5</v>
      </c>
      <c r="H24" s="446">
        <v>9</v>
      </c>
      <c r="I24" s="446">
        <v>2</v>
      </c>
      <c r="J24" s="446">
        <v>72</v>
      </c>
      <c r="K24" s="458" t="s">
        <v>33</v>
      </c>
      <c r="L24" s="529">
        <f t="shared" si="4"/>
        <v>1278166.8899999999</v>
      </c>
      <c r="M24" s="519">
        <v>1274233.4099999999</v>
      </c>
      <c r="N24" s="388"/>
      <c r="O24" s="473">
        <v>3933.48</v>
      </c>
      <c r="P24" s="388"/>
      <c r="Q24" s="388"/>
      <c r="R24" s="446">
        <f>M24/G24</f>
        <v>2030.6508525896413</v>
      </c>
      <c r="S24" s="388">
        <f t="shared" si="2"/>
        <v>-1.8644641386345029E-11</v>
      </c>
      <c r="T24" s="389"/>
      <c r="U24" s="391"/>
      <c r="V24" s="388"/>
      <c r="W24" s="387"/>
      <c r="Z24" s="419"/>
    </row>
    <row r="25" spans="1:29" s="458" customFormat="1" ht="54.75" hidden="1" customHeight="1">
      <c r="A25" s="404">
        <f t="shared" si="3"/>
        <v>10</v>
      </c>
      <c r="B25" s="427" t="s">
        <v>439</v>
      </c>
      <c r="C25" s="531" t="s">
        <v>272</v>
      </c>
      <c r="D25" s="532">
        <v>6330</v>
      </c>
      <c r="E25" s="391">
        <v>1792</v>
      </c>
      <c r="F25" s="391" t="s">
        <v>223</v>
      </c>
      <c r="G25" s="391">
        <v>773</v>
      </c>
      <c r="H25" s="528">
        <v>3</v>
      </c>
      <c r="I25" s="528">
        <v>4</v>
      </c>
      <c r="J25" s="528">
        <v>24</v>
      </c>
      <c r="K25" s="397" t="s">
        <v>30</v>
      </c>
      <c r="L25" s="529">
        <f t="shared" si="4"/>
        <v>338221.85000000003</v>
      </c>
      <c r="M25" s="547">
        <v>336287.57</v>
      </c>
      <c r="N25" s="388"/>
      <c r="O25" s="473">
        <v>1934.28</v>
      </c>
      <c r="P25" s="388"/>
      <c r="Q25" s="388"/>
      <c r="R25" s="528">
        <f>M25/J25</f>
        <v>14011.982083333334</v>
      </c>
      <c r="S25" s="388">
        <f t="shared" si="2"/>
        <v>2.7966962079517543E-11</v>
      </c>
      <c r="T25" s="389"/>
      <c r="U25" s="391"/>
      <c r="V25" s="388"/>
      <c r="W25" s="387"/>
      <c r="Z25" s="419"/>
    </row>
    <row r="26" spans="1:29" s="458" customFormat="1" ht="54" hidden="1" customHeight="1">
      <c r="A26" s="404">
        <f t="shared" si="3"/>
        <v>11</v>
      </c>
      <c r="B26" s="548" t="s">
        <v>440</v>
      </c>
      <c r="C26" s="455" t="s">
        <v>272</v>
      </c>
      <c r="D26" s="549">
        <v>31692</v>
      </c>
      <c r="E26" s="550">
        <v>5040</v>
      </c>
      <c r="F26" s="550" t="s">
        <v>234</v>
      </c>
      <c r="G26" s="550">
        <v>1026</v>
      </c>
      <c r="H26" s="549">
        <v>13</v>
      </c>
      <c r="I26" s="549">
        <v>2</v>
      </c>
      <c r="J26" s="549">
        <v>99</v>
      </c>
      <c r="K26" s="397" t="s">
        <v>33</v>
      </c>
      <c r="L26" s="529">
        <f t="shared" si="4"/>
        <v>1635801.1099999999</v>
      </c>
      <c r="M26" s="551">
        <v>1629369.63</v>
      </c>
      <c r="N26" s="550"/>
      <c r="O26" s="473">
        <v>6431.48</v>
      </c>
      <c r="P26" s="388"/>
      <c r="Q26" s="388"/>
      <c r="R26" s="446">
        <f>M26/G26</f>
        <v>1588.0795614035087</v>
      </c>
      <c r="S26" s="388">
        <f t="shared" si="2"/>
        <v>-1.8189894035458565E-11</v>
      </c>
      <c r="T26" s="389"/>
      <c r="U26" s="391"/>
      <c r="V26" s="550"/>
      <c r="W26" s="387"/>
      <c r="Z26" s="419"/>
    </row>
    <row r="27" spans="1:29" ht="54.75" hidden="1" customHeight="1">
      <c r="A27" s="404">
        <f t="shared" si="3"/>
        <v>12</v>
      </c>
      <c r="B27" s="403" t="s">
        <v>441</v>
      </c>
      <c r="C27" s="531" t="s">
        <v>272</v>
      </c>
      <c r="D27" s="532">
        <v>9643</v>
      </c>
      <c r="E27" s="391">
        <v>1763</v>
      </c>
      <c r="F27" s="391" t="s">
        <v>223</v>
      </c>
      <c r="G27" s="535">
        <v>874</v>
      </c>
      <c r="H27" s="536">
        <v>5</v>
      </c>
      <c r="I27" s="536">
        <v>3</v>
      </c>
      <c r="J27" s="536">
        <v>60</v>
      </c>
      <c r="K27" s="397" t="s">
        <v>30</v>
      </c>
      <c r="L27" s="529">
        <f t="shared" si="4"/>
        <v>653702.12</v>
      </c>
      <c r="M27" s="547">
        <v>648866.42000000004</v>
      </c>
      <c r="N27" s="388"/>
      <c r="O27" s="473">
        <v>4835.7</v>
      </c>
      <c r="P27" s="388"/>
      <c r="Q27" s="388"/>
      <c r="R27" s="528">
        <f>M27/J27</f>
        <v>10814.440333333334</v>
      </c>
      <c r="S27" s="388">
        <f t="shared" si="2"/>
        <v>-4.638422979041934E-11</v>
      </c>
      <c r="T27" s="389"/>
      <c r="U27" s="391"/>
      <c r="V27" s="388"/>
      <c r="W27" s="387"/>
      <c r="Z27" s="419"/>
    </row>
    <row r="28" spans="1:29" s="416" customFormat="1" ht="41.25" hidden="1" customHeight="1">
      <c r="A28" s="1112">
        <v>13</v>
      </c>
      <c r="B28" s="1124" t="s">
        <v>442</v>
      </c>
      <c r="C28" s="531" t="s">
        <v>272</v>
      </c>
      <c r="D28" s="532">
        <v>3011</v>
      </c>
      <c r="E28" s="391">
        <v>622</v>
      </c>
      <c r="F28" s="391" t="s">
        <v>223</v>
      </c>
      <c r="G28" s="535">
        <v>1247</v>
      </c>
      <c r="H28" s="536">
        <v>3</v>
      </c>
      <c r="I28" s="536">
        <v>1</v>
      </c>
      <c r="J28" s="536">
        <v>12</v>
      </c>
      <c r="K28" s="552" t="s">
        <v>38</v>
      </c>
      <c r="L28" s="1128">
        <f>M28+N28+O28+P28+Q28+M29+N29+O29+P29+Q29</f>
        <v>2240320.44</v>
      </c>
      <c r="M28" s="519">
        <v>1023963.4099999999</v>
      </c>
      <c r="N28" s="394"/>
      <c r="O28" s="553">
        <v>4304</v>
      </c>
      <c r="P28" s="394"/>
      <c r="Q28" s="394">
        <v>8727</v>
      </c>
      <c r="R28" s="528">
        <f>M28/E28</f>
        <v>1646.2434244372989</v>
      </c>
      <c r="S28" s="388">
        <f t="shared" si="2"/>
        <v>1203326.03</v>
      </c>
      <c r="T28" s="1146" t="s">
        <v>3583</v>
      </c>
      <c r="U28" s="391"/>
      <c r="V28" s="388"/>
      <c r="W28" s="387"/>
      <c r="Z28" s="419"/>
    </row>
    <row r="29" spans="1:29" s="416" customFormat="1" ht="52.5" hidden="1" customHeight="1">
      <c r="A29" s="1112"/>
      <c r="B29" s="1124"/>
      <c r="C29" s="531"/>
      <c r="D29" s="532"/>
      <c r="E29" s="391"/>
      <c r="F29" s="391"/>
      <c r="G29" s="535"/>
      <c r="H29" s="536"/>
      <c r="I29" s="536"/>
      <c r="J29" s="536"/>
      <c r="K29" s="554" t="s">
        <v>33</v>
      </c>
      <c r="L29" s="1128"/>
      <c r="M29" s="519">
        <v>1190918.03</v>
      </c>
      <c r="N29" s="394"/>
      <c r="O29" s="553">
        <v>3078</v>
      </c>
      <c r="P29" s="394"/>
      <c r="Q29" s="394">
        <v>9330</v>
      </c>
      <c r="R29" s="446">
        <f>M29/G28</f>
        <v>955.02648757016846</v>
      </c>
      <c r="S29" s="388">
        <f t="shared" si="2"/>
        <v>-1203326.03</v>
      </c>
      <c r="T29" s="1146"/>
      <c r="U29" s="391"/>
      <c r="V29" s="388"/>
      <c r="W29" s="387"/>
      <c r="Z29" s="419"/>
    </row>
    <row r="30" spans="1:29" s="458" customFormat="1" ht="54.75" hidden="1" customHeight="1">
      <c r="A30" s="404">
        <v>14</v>
      </c>
      <c r="B30" s="403" t="s">
        <v>443</v>
      </c>
      <c r="C30" s="455" t="s">
        <v>272</v>
      </c>
      <c r="D30" s="487">
        <v>13122</v>
      </c>
      <c r="E30" s="391">
        <v>2748</v>
      </c>
      <c r="F30" s="391" t="s">
        <v>223</v>
      </c>
      <c r="G30" s="391">
        <v>1153</v>
      </c>
      <c r="H30" s="528">
        <v>5</v>
      </c>
      <c r="I30" s="528">
        <v>4</v>
      </c>
      <c r="J30" s="528">
        <v>64</v>
      </c>
      <c r="K30" s="458" t="s">
        <v>30</v>
      </c>
      <c r="L30" s="529">
        <f t="shared" ref="L30:L38" si="5">M30+N30+O30+P30+Q30</f>
        <v>1731430.08</v>
      </c>
      <c r="M30" s="529">
        <v>1726272</v>
      </c>
      <c r="N30" s="391"/>
      <c r="O30" s="473">
        <v>5158.08</v>
      </c>
      <c r="P30" s="487"/>
      <c r="Q30" s="391"/>
      <c r="R30" s="528">
        <f>M30/J30</f>
        <v>26973</v>
      </c>
      <c r="S30" s="388">
        <f t="shared" si="2"/>
        <v>7.4578565545380116E-11</v>
      </c>
      <c r="T30" s="389"/>
      <c r="U30" s="391"/>
      <c r="V30" s="391"/>
      <c r="W30" s="387"/>
      <c r="Z30" s="419"/>
    </row>
    <row r="31" spans="1:29" s="458" customFormat="1" ht="46.9" hidden="1" customHeight="1">
      <c r="A31" s="404">
        <f t="shared" si="3"/>
        <v>15</v>
      </c>
      <c r="B31" s="543" t="s">
        <v>444</v>
      </c>
      <c r="C31" s="531" t="s">
        <v>272</v>
      </c>
      <c r="D31" s="545">
        <v>12345</v>
      </c>
      <c r="E31" s="391">
        <v>2773</v>
      </c>
      <c r="F31" s="391" t="s">
        <v>223</v>
      </c>
      <c r="G31" s="391">
        <v>1152</v>
      </c>
      <c r="H31" s="555">
        <v>5</v>
      </c>
      <c r="I31" s="555">
        <v>4</v>
      </c>
      <c r="J31" s="555">
        <v>64</v>
      </c>
      <c r="K31" s="556" t="s">
        <v>33</v>
      </c>
      <c r="L31" s="529">
        <f t="shared" si="5"/>
        <v>3928459.07</v>
      </c>
      <c r="M31" s="557">
        <v>3916423.55</v>
      </c>
      <c r="N31" s="558"/>
      <c r="O31" s="559">
        <v>12035.52</v>
      </c>
      <c r="P31" s="558"/>
      <c r="Q31" s="560"/>
      <c r="R31" s="446">
        <f>M31/G31</f>
        <v>3399.6732204861109</v>
      </c>
      <c r="S31" s="388">
        <f t="shared" si="2"/>
        <v>1.8189894035458565E-11</v>
      </c>
      <c r="T31" s="389"/>
      <c r="U31" s="391"/>
      <c r="V31" s="568"/>
      <c r="W31" s="387"/>
      <c r="Z31" s="419"/>
    </row>
    <row r="32" spans="1:29" s="976" customFormat="1" ht="54.75" hidden="1" customHeight="1">
      <c r="A32" s="404">
        <f t="shared" si="3"/>
        <v>16</v>
      </c>
      <c r="B32" s="403" t="s">
        <v>445</v>
      </c>
      <c r="C32" s="455" t="s">
        <v>222</v>
      </c>
      <c r="D32" s="532">
        <v>21140</v>
      </c>
      <c r="E32" s="391">
        <v>2280</v>
      </c>
      <c r="F32" s="542" t="s">
        <v>234</v>
      </c>
      <c r="G32" s="535">
        <v>705</v>
      </c>
      <c r="H32" s="536">
        <v>12</v>
      </c>
      <c r="I32" s="536">
        <v>1</v>
      </c>
      <c r="J32" s="536">
        <v>72</v>
      </c>
      <c r="K32" s="397" t="s">
        <v>30</v>
      </c>
      <c r="L32" s="529">
        <f t="shared" si="5"/>
        <v>1481095.48</v>
      </c>
      <c r="M32" s="538">
        <v>1474218.04</v>
      </c>
      <c r="N32" s="539"/>
      <c r="O32" s="540">
        <v>6877.44</v>
      </c>
      <c r="P32" s="388"/>
      <c r="Q32" s="541"/>
      <c r="R32" s="528">
        <f>M32/J32</f>
        <v>20475.250555555554</v>
      </c>
      <c r="S32" s="388">
        <f t="shared" si="2"/>
        <v>-5.5479176808148623E-11</v>
      </c>
      <c r="T32" s="392"/>
      <c r="U32" s="391"/>
      <c r="V32" s="539"/>
      <c r="W32" s="387"/>
      <c r="Z32" s="419"/>
    </row>
    <row r="33" spans="1:29" s="458" customFormat="1" ht="54.75" hidden="1" customHeight="1">
      <c r="A33" s="404">
        <f t="shared" si="3"/>
        <v>17</v>
      </c>
      <c r="B33" s="403" t="s">
        <v>446</v>
      </c>
      <c r="C33" s="455" t="s">
        <v>218</v>
      </c>
      <c r="D33" s="532">
        <v>9337</v>
      </c>
      <c r="E33" s="391">
        <v>1952</v>
      </c>
      <c r="F33" s="533" t="s">
        <v>234</v>
      </c>
      <c r="G33" s="535">
        <v>670</v>
      </c>
      <c r="H33" s="536">
        <v>5</v>
      </c>
      <c r="I33" s="536">
        <v>4</v>
      </c>
      <c r="J33" s="536">
        <v>59</v>
      </c>
      <c r="K33" s="397" t="s">
        <v>30</v>
      </c>
      <c r="L33" s="529">
        <f t="shared" si="5"/>
        <v>1114949.3800000001</v>
      </c>
      <c r="M33" s="547">
        <v>1110194.28</v>
      </c>
      <c r="N33" s="388"/>
      <c r="O33" s="473">
        <v>4755.1000000000004</v>
      </c>
      <c r="P33" s="388"/>
      <c r="Q33" s="388"/>
      <c r="R33" s="528">
        <f>M33/J33</f>
        <v>18816.85220338983</v>
      </c>
      <c r="S33" s="388">
        <f t="shared" si="2"/>
        <v>9.276845958083868E-11</v>
      </c>
      <c r="T33" s="392"/>
      <c r="U33" s="391"/>
      <c r="V33" s="388"/>
      <c r="W33" s="387"/>
      <c r="Z33" s="419"/>
    </row>
    <row r="34" spans="1:29" s="976" customFormat="1" ht="46.9" hidden="1" customHeight="1">
      <c r="A34" s="404">
        <f t="shared" si="3"/>
        <v>18</v>
      </c>
      <c r="B34" s="543" t="s">
        <v>447</v>
      </c>
      <c r="C34" s="531" t="s">
        <v>272</v>
      </c>
      <c r="D34" s="545">
        <v>7697</v>
      </c>
      <c r="E34" s="391">
        <v>1674</v>
      </c>
      <c r="F34" s="533" t="s">
        <v>234</v>
      </c>
      <c r="G34" s="558">
        <v>605</v>
      </c>
      <c r="H34" s="561">
        <v>5</v>
      </c>
      <c r="I34" s="555">
        <v>3</v>
      </c>
      <c r="J34" s="555">
        <v>39</v>
      </c>
      <c r="K34" s="458" t="s">
        <v>33</v>
      </c>
      <c r="L34" s="529">
        <f t="shared" si="5"/>
        <v>1332675.21</v>
      </c>
      <c r="M34" s="557">
        <f>1257794.96+71087.81</f>
        <v>1328882.77</v>
      </c>
      <c r="N34" s="558"/>
      <c r="O34" s="562">
        <v>3792.44</v>
      </c>
      <c r="P34" s="558"/>
      <c r="Q34" s="560"/>
      <c r="R34" s="446">
        <f>M34/G34</f>
        <v>2196.5004462809916</v>
      </c>
      <c r="S34" s="388">
        <f t="shared" si="2"/>
        <v>-5.5933924159035087E-11</v>
      </c>
      <c r="T34" s="392"/>
      <c r="U34" s="391"/>
      <c r="V34" s="568"/>
      <c r="W34" s="387"/>
      <c r="Z34" s="419"/>
    </row>
    <row r="35" spans="1:29" s="976" customFormat="1" ht="46.9" hidden="1" customHeight="1">
      <c r="A35" s="404">
        <f t="shared" si="3"/>
        <v>19</v>
      </c>
      <c r="B35" s="403" t="s">
        <v>448</v>
      </c>
      <c r="C35" s="544" t="s">
        <v>272</v>
      </c>
      <c r="D35" s="545">
        <v>38836</v>
      </c>
      <c r="E35" s="391">
        <v>6718.5</v>
      </c>
      <c r="F35" s="563" t="s">
        <v>234</v>
      </c>
      <c r="G35" s="391">
        <v>1545.2</v>
      </c>
      <c r="H35" s="561">
        <v>9</v>
      </c>
      <c r="I35" s="555">
        <v>3</v>
      </c>
      <c r="J35" s="528">
        <v>144</v>
      </c>
      <c r="K35" s="397" t="s">
        <v>364</v>
      </c>
      <c r="L35" s="529">
        <f t="shared" si="5"/>
        <v>6009200.04</v>
      </c>
      <c r="M35" s="519">
        <v>5882337.54</v>
      </c>
      <c r="N35" s="388">
        <v>126862.5</v>
      </c>
      <c r="O35" s="385"/>
      <c r="P35" s="383"/>
      <c r="Q35" s="388"/>
      <c r="R35" s="446">
        <v>2000000</v>
      </c>
      <c r="S35" s="388">
        <f t="shared" si="2"/>
        <v>0</v>
      </c>
      <c r="T35" s="389"/>
      <c r="U35" s="391"/>
      <c r="V35" s="388"/>
      <c r="W35" s="387"/>
      <c r="Z35" s="419"/>
    </row>
    <row r="36" spans="1:29" s="458" customFormat="1" ht="46.9" hidden="1" customHeight="1">
      <c r="A36" s="404">
        <f t="shared" si="3"/>
        <v>20</v>
      </c>
      <c r="B36" s="403" t="s">
        <v>449</v>
      </c>
      <c r="C36" s="544" t="s">
        <v>272</v>
      </c>
      <c r="D36" s="545">
        <v>35318</v>
      </c>
      <c r="E36" s="391">
        <v>10670</v>
      </c>
      <c r="F36" s="563" t="s">
        <v>234</v>
      </c>
      <c r="G36" s="391">
        <v>1437</v>
      </c>
      <c r="H36" s="561">
        <v>9</v>
      </c>
      <c r="I36" s="555">
        <v>3</v>
      </c>
      <c r="J36" s="555">
        <v>161</v>
      </c>
      <c r="K36" s="397" t="s">
        <v>364</v>
      </c>
      <c r="L36" s="529">
        <f t="shared" si="5"/>
        <v>4018771.93</v>
      </c>
      <c r="M36" s="519">
        <v>3913053.18</v>
      </c>
      <c r="N36" s="388">
        <v>105718.75</v>
      </c>
      <c r="O36" s="385"/>
      <c r="P36" s="383"/>
      <c r="Q36" s="388"/>
      <c r="R36" s="446">
        <v>2000000</v>
      </c>
      <c r="S36" s="388">
        <f t="shared" si="2"/>
        <v>0</v>
      </c>
      <c r="T36" s="389"/>
      <c r="U36" s="391"/>
      <c r="V36" s="388"/>
      <c r="W36" s="387"/>
      <c r="Z36" s="419"/>
    </row>
    <row r="37" spans="1:29" s="458" customFormat="1" ht="43.9" hidden="1" customHeight="1">
      <c r="A37" s="404">
        <f t="shared" si="3"/>
        <v>21</v>
      </c>
      <c r="B37" s="403" t="s">
        <v>450</v>
      </c>
      <c r="C37" s="455" t="s">
        <v>272</v>
      </c>
      <c r="D37" s="446">
        <v>10019</v>
      </c>
      <c r="E37" s="388">
        <v>2121</v>
      </c>
      <c r="F37" s="539" t="s">
        <v>234</v>
      </c>
      <c r="G37" s="388">
        <v>396</v>
      </c>
      <c r="H37" s="446">
        <v>9</v>
      </c>
      <c r="I37" s="446">
        <v>1</v>
      </c>
      <c r="J37" s="446">
        <v>51</v>
      </c>
      <c r="K37" s="397" t="s">
        <v>33</v>
      </c>
      <c r="L37" s="529">
        <f t="shared" si="5"/>
        <v>651290.25</v>
      </c>
      <c r="M37" s="538">
        <v>649350</v>
      </c>
      <c r="N37" s="388"/>
      <c r="O37" s="473">
        <v>1940.25</v>
      </c>
      <c r="P37" s="388"/>
      <c r="Q37" s="388"/>
      <c r="R37" s="446">
        <f>M37/G37</f>
        <v>1639.7727272727273</v>
      </c>
      <c r="S37" s="388">
        <f t="shared" si="2"/>
        <v>0</v>
      </c>
      <c r="T37" s="389"/>
      <c r="U37" s="391"/>
      <c r="V37" s="539"/>
      <c r="W37" s="387"/>
      <c r="Z37" s="419"/>
    </row>
    <row r="38" spans="1:29" s="458" customFormat="1" ht="46.9" hidden="1" customHeight="1">
      <c r="A38" s="404">
        <f t="shared" si="3"/>
        <v>22</v>
      </c>
      <c r="B38" s="403" t="s">
        <v>451</v>
      </c>
      <c r="C38" s="531" t="s">
        <v>272</v>
      </c>
      <c r="D38" s="532">
        <v>13938</v>
      </c>
      <c r="E38" s="391">
        <v>2282</v>
      </c>
      <c r="F38" s="391" t="s">
        <v>223</v>
      </c>
      <c r="G38" s="535">
        <v>1141</v>
      </c>
      <c r="H38" s="536">
        <v>5</v>
      </c>
      <c r="I38" s="536">
        <v>4</v>
      </c>
      <c r="J38" s="536">
        <v>81</v>
      </c>
      <c r="K38" s="458" t="s">
        <v>33</v>
      </c>
      <c r="L38" s="529">
        <f t="shared" si="5"/>
        <v>4005021.2400000007</v>
      </c>
      <c r="M38" s="519">
        <v>3993100.6400000006</v>
      </c>
      <c r="N38" s="388"/>
      <c r="O38" s="473">
        <v>11920.6</v>
      </c>
      <c r="P38" s="388"/>
      <c r="Q38" s="388"/>
      <c r="R38" s="446">
        <f>M38/G38</f>
        <v>3499.6499912357585</v>
      </c>
      <c r="S38" s="388">
        <f t="shared" si="2"/>
        <v>9.276845958083868E-11</v>
      </c>
      <c r="T38" s="392"/>
      <c r="U38" s="391"/>
      <c r="V38" s="388"/>
      <c r="W38" s="387"/>
      <c r="Z38" s="419"/>
    </row>
    <row r="39" spans="1:29" s="458" customFormat="1" ht="54.75" hidden="1" customHeight="1">
      <c r="A39" s="404">
        <f t="shared" si="3"/>
        <v>23</v>
      </c>
      <c r="B39" s="403" t="s">
        <v>452</v>
      </c>
      <c r="C39" s="531" t="s">
        <v>272</v>
      </c>
      <c r="D39" s="532">
        <v>20065</v>
      </c>
      <c r="E39" s="391">
        <v>3307</v>
      </c>
      <c r="F39" s="533" t="s">
        <v>234</v>
      </c>
      <c r="G39" s="535">
        <v>1405</v>
      </c>
      <c r="H39" s="536">
        <v>5</v>
      </c>
      <c r="I39" s="536">
        <v>6</v>
      </c>
      <c r="J39" s="536">
        <v>86</v>
      </c>
      <c r="K39" s="397" t="s">
        <v>30</v>
      </c>
      <c r="L39" s="1128">
        <f>M39+N39+O39+P39+Q39+M40+N40+O40+P40+Q40</f>
        <v>5475202.0700000003</v>
      </c>
      <c r="M39" s="519">
        <v>2495442.94</v>
      </c>
      <c r="N39" s="388"/>
      <c r="O39" s="473">
        <v>6931.17</v>
      </c>
      <c r="P39" s="388"/>
      <c r="Q39" s="388"/>
      <c r="R39" s="528">
        <f>M39/J39</f>
        <v>29016.778372093024</v>
      </c>
      <c r="S39" s="388">
        <f t="shared" si="2"/>
        <v>2972827.9600000004</v>
      </c>
      <c r="T39" s="392"/>
      <c r="U39" s="391"/>
      <c r="V39" s="388"/>
      <c r="W39" s="387"/>
      <c r="Z39" s="419"/>
    </row>
    <row r="40" spans="1:29" s="458" customFormat="1" ht="46.9" hidden="1" customHeight="1">
      <c r="A40" s="404"/>
      <c r="B40" s="403"/>
      <c r="C40" s="531"/>
      <c r="D40" s="532"/>
      <c r="E40" s="391"/>
      <c r="F40" s="533"/>
      <c r="G40" s="535"/>
      <c r="H40" s="536"/>
      <c r="I40" s="536"/>
      <c r="J40" s="536"/>
      <c r="K40" s="397" t="s">
        <v>33</v>
      </c>
      <c r="L40" s="1128"/>
      <c r="M40" s="519">
        <v>2945455.96</v>
      </c>
      <c r="N40" s="394"/>
      <c r="O40" s="553">
        <v>7372</v>
      </c>
      <c r="P40" s="394"/>
      <c r="Q40" s="394">
        <v>20000</v>
      </c>
      <c r="R40" s="446">
        <f>M40/G39</f>
        <v>2096.4099359430606</v>
      </c>
      <c r="S40" s="388">
        <f t="shared" si="2"/>
        <v>-2972827.96</v>
      </c>
      <c r="T40" s="392" t="s">
        <v>3584</v>
      </c>
      <c r="U40" s="391"/>
      <c r="V40" s="388"/>
      <c r="W40" s="387"/>
      <c r="Z40" s="419"/>
    </row>
    <row r="41" spans="1:29" s="416" customFormat="1" ht="54.75" hidden="1" customHeight="1">
      <c r="A41" s="404">
        <f>A39+1</f>
        <v>24</v>
      </c>
      <c r="B41" s="403" t="s">
        <v>453</v>
      </c>
      <c r="C41" s="531" t="s">
        <v>272</v>
      </c>
      <c r="D41" s="532">
        <v>12482</v>
      </c>
      <c r="E41" s="391">
        <v>3265.8</v>
      </c>
      <c r="F41" s="391" t="s">
        <v>223</v>
      </c>
      <c r="G41" s="535">
        <v>1145.2</v>
      </c>
      <c r="H41" s="536">
        <v>5</v>
      </c>
      <c r="I41" s="536">
        <v>4</v>
      </c>
      <c r="J41" s="536">
        <v>80</v>
      </c>
      <c r="K41" s="397" t="s">
        <v>30</v>
      </c>
      <c r="L41" s="529">
        <f>M41+N41+O41+P41+Q41</f>
        <v>1064433.33</v>
      </c>
      <c r="M41" s="547">
        <v>1057985.73</v>
      </c>
      <c r="N41" s="388"/>
      <c r="O41" s="473">
        <v>6447.6</v>
      </c>
      <c r="P41" s="388"/>
      <c r="Q41" s="388"/>
      <c r="R41" s="528">
        <f>M41/J41</f>
        <v>13224.821625</v>
      </c>
      <c r="S41" s="388">
        <f t="shared" si="2"/>
        <v>9.276845958083868E-11</v>
      </c>
      <c r="T41" s="392"/>
      <c r="U41" s="391"/>
      <c r="V41" s="388"/>
      <c r="W41" s="387"/>
      <c r="Z41" s="419"/>
    </row>
    <row r="42" spans="1:29" s="404" customFormat="1" ht="54.75" hidden="1" customHeight="1">
      <c r="A42" s="404">
        <f t="shared" si="3"/>
        <v>25</v>
      </c>
      <c r="B42" s="403" t="s">
        <v>454</v>
      </c>
      <c r="C42" s="531" t="s">
        <v>272</v>
      </c>
      <c r="D42" s="532">
        <v>23888</v>
      </c>
      <c r="E42" s="391">
        <v>2550</v>
      </c>
      <c r="F42" s="533" t="s">
        <v>234</v>
      </c>
      <c r="G42" s="535">
        <v>1461.6</v>
      </c>
      <c r="H42" s="536">
        <v>5</v>
      </c>
      <c r="I42" s="536">
        <v>6</v>
      </c>
      <c r="J42" s="536">
        <v>98</v>
      </c>
      <c r="K42" s="397" t="s">
        <v>30</v>
      </c>
      <c r="L42" s="529">
        <f>M42+N42+O42+P42+Q42</f>
        <v>2024717.29</v>
      </c>
      <c r="M42" s="519">
        <v>2016818.98</v>
      </c>
      <c r="N42" s="388"/>
      <c r="O42" s="473">
        <v>7898.31</v>
      </c>
      <c r="P42" s="388"/>
      <c r="Q42" s="388"/>
      <c r="R42" s="528">
        <f>M42/J42</f>
        <v>20579.785510204081</v>
      </c>
      <c r="S42" s="388">
        <f t="shared" si="2"/>
        <v>5.5479176808148623E-11</v>
      </c>
      <c r="T42" s="389"/>
      <c r="U42" s="391"/>
      <c r="V42" s="388"/>
      <c r="W42" s="387"/>
      <c r="X42" s="390"/>
      <c r="Z42" s="419"/>
      <c r="AA42" s="388"/>
      <c r="AC42" s="390"/>
    </row>
    <row r="43" spans="1:29" s="416" customFormat="1" ht="54.75" hidden="1" customHeight="1">
      <c r="A43" s="1112">
        <v>26</v>
      </c>
      <c r="B43" s="403" t="s">
        <v>455</v>
      </c>
      <c r="C43" s="455" t="s">
        <v>272</v>
      </c>
      <c r="D43" s="532">
        <v>18631</v>
      </c>
      <c r="E43" s="564" t="s">
        <v>373</v>
      </c>
      <c r="F43" s="391" t="s">
        <v>223</v>
      </c>
      <c r="G43" s="535">
        <v>1731</v>
      </c>
      <c r="H43" s="536">
        <v>5</v>
      </c>
      <c r="I43" s="536">
        <v>6</v>
      </c>
      <c r="J43" s="536">
        <v>120</v>
      </c>
      <c r="K43" s="397" t="s">
        <v>30</v>
      </c>
      <c r="L43" s="1128">
        <f>M43+N43+O43+P43+Q43+M44+N44+O44+P44+Q44</f>
        <v>8125782.7400000002</v>
      </c>
      <c r="M43" s="519">
        <v>2567305.37</v>
      </c>
      <c r="N43" s="388"/>
      <c r="O43" s="473">
        <v>9671.4</v>
      </c>
      <c r="P43" s="388"/>
      <c r="Q43" s="388"/>
      <c r="R43" s="528">
        <f>M43/J43</f>
        <v>21394.211416666669</v>
      </c>
      <c r="S43" s="388">
        <f t="shared" si="2"/>
        <v>5548805.9699999997</v>
      </c>
      <c r="T43" s="389"/>
      <c r="U43" s="391"/>
      <c r="V43" s="388"/>
      <c r="W43" s="387"/>
      <c r="Z43" s="419"/>
    </row>
    <row r="44" spans="1:29" s="416" customFormat="1" ht="33.6" hidden="1" customHeight="1">
      <c r="A44" s="1112"/>
      <c r="B44" s="403"/>
      <c r="C44" s="455" t="s">
        <v>272</v>
      </c>
      <c r="D44" s="532">
        <v>18632</v>
      </c>
      <c r="E44" s="564" t="s">
        <v>374</v>
      </c>
      <c r="F44" s="391" t="s">
        <v>223</v>
      </c>
      <c r="G44" s="535">
        <v>1731</v>
      </c>
      <c r="H44" s="536">
        <v>5</v>
      </c>
      <c r="I44" s="536">
        <v>6</v>
      </c>
      <c r="J44" s="536">
        <v>120</v>
      </c>
      <c r="K44" s="389" t="s">
        <v>33</v>
      </c>
      <c r="L44" s="1128"/>
      <c r="M44" s="519">
        <v>5539134.5700000003</v>
      </c>
      <c r="N44" s="388"/>
      <c r="O44" s="473">
        <v>9671.4</v>
      </c>
      <c r="P44" s="388"/>
      <c r="Q44" s="388"/>
      <c r="R44" s="446">
        <f>M44/G44</f>
        <v>3199.9622010398616</v>
      </c>
      <c r="S44" s="388">
        <f t="shared" si="2"/>
        <v>-5548805.9700000007</v>
      </c>
      <c r="T44" s="392"/>
      <c r="U44" s="391"/>
      <c r="V44" s="388"/>
      <c r="W44" s="387"/>
      <c r="Z44" s="419"/>
    </row>
    <row r="45" spans="1:29" s="403" customFormat="1" ht="54.75" hidden="1" customHeight="1">
      <c r="A45" s="404">
        <v>27</v>
      </c>
      <c r="B45" s="403" t="s">
        <v>456</v>
      </c>
      <c r="C45" s="531" t="s">
        <v>272</v>
      </c>
      <c r="D45" s="532">
        <v>12843</v>
      </c>
      <c r="E45" s="391">
        <v>2304</v>
      </c>
      <c r="F45" s="391" t="s">
        <v>223</v>
      </c>
      <c r="G45" s="535">
        <v>1152</v>
      </c>
      <c r="H45" s="536">
        <v>5</v>
      </c>
      <c r="I45" s="536">
        <v>4</v>
      </c>
      <c r="J45" s="536">
        <v>80</v>
      </c>
      <c r="K45" s="397" t="s">
        <v>30</v>
      </c>
      <c r="L45" s="529">
        <f>M45+N45+O45+P45+Q45</f>
        <v>1606742.7999999998</v>
      </c>
      <c r="M45" s="519">
        <v>1600295.1999999997</v>
      </c>
      <c r="N45" s="388"/>
      <c r="O45" s="473">
        <v>6447.6</v>
      </c>
      <c r="P45" s="388"/>
      <c r="Q45" s="388"/>
      <c r="R45" s="528">
        <f>M45/J45</f>
        <v>20003.689999999995</v>
      </c>
      <c r="S45" s="388">
        <f t="shared" si="2"/>
        <v>9.276845958083868E-11</v>
      </c>
      <c r="T45" s="392"/>
      <c r="U45" s="391"/>
      <c r="V45" s="388"/>
      <c r="W45" s="387"/>
      <c r="Z45" s="419"/>
    </row>
    <row r="46" spans="1:29" s="403" customFormat="1" ht="55.35" hidden="1" customHeight="1">
      <c r="A46" s="404">
        <f t="shared" si="3"/>
        <v>28</v>
      </c>
      <c r="B46" s="403" t="s">
        <v>457</v>
      </c>
      <c r="C46" s="531" t="s">
        <v>272</v>
      </c>
      <c r="D46" s="532">
        <v>12400</v>
      </c>
      <c r="E46" s="391">
        <v>2200</v>
      </c>
      <c r="F46" s="391" t="s">
        <v>223</v>
      </c>
      <c r="G46" s="535">
        <v>1100</v>
      </c>
      <c r="H46" s="536">
        <v>5</v>
      </c>
      <c r="I46" s="536">
        <v>4</v>
      </c>
      <c r="J46" s="536">
        <v>71</v>
      </c>
      <c r="K46" s="458" t="s">
        <v>33</v>
      </c>
      <c r="L46" s="529">
        <f>M46+N46+O46+P46+Q46</f>
        <v>3602191.64</v>
      </c>
      <c r="M46" s="519">
        <v>3590699.39</v>
      </c>
      <c r="N46" s="388"/>
      <c r="O46" s="473">
        <v>11492.25</v>
      </c>
      <c r="P46" s="388"/>
      <c r="Q46" s="388"/>
      <c r="R46" s="446">
        <f>M46/G46</f>
        <v>3264.2721727272728</v>
      </c>
      <c r="S46" s="388">
        <f t="shared" si="2"/>
        <v>0</v>
      </c>
      <c r="T46" s="392"/>
      <c r="U46" s="391"/>
      <c r="V46" s="388"/>
      <c r="W46" s="387"/>
      <c r="Z46" s="419"/>
    </row>
    <row r="47" spans="1:29" s="403" customFormat="1" ht="55.35" hidden="1" customHeight="1">
      <c r="A47" s="404">
        <f t="shared" si="3"/>
        <v>29</v>
      </c>
      <c r="B47" s="403" t="s">
        <v>458</v>
      </c>
      <c r="C47" s="455" t="s">
        <v>218</v>
      </c>
      <c r="D47" s="446">
        <v>14224</v>
      </c>
      <c r="E47" s="550">
        <v>2260</v>
      </c>
      <c r="F47" s="539" t="s">
        <v>223</v>
      </c>
      <c r="G47" s="550">
        <v>1143</v>
      </c>
      <c r="H47" s="549">
        <v>5</v>
      </c>
      <c r="I47" s="446">
        <v>5</v>
      </c>
      <c r="J47" s="446">
        <v>100</v>
      </c>
      <c r="K47" s="537" t="s">
        <v>225</v>
      </c>
      <c r="L47" s="529">
        <f>M47+N47+O47+P47+Q47</f>
        <v>1569478.12</v>
      </c>
      <c r="M47" s="551">
        <v>1534513.12</v>
      </c>
      <c r="N47" s="550">
        <v>34965</v>
      </c>
      <c r="O47" s="473"/>
      <c r="P47" s="388"/>
      <c r="Q47" s="388"/>
      <c r="R47" s="446">
        <f>M47/J47</f>
        <v>15345.131200000002</v>
      </c>
      <c r="S47" s="388">
        <f t="shared" si="2"/>
        <v>0</v>
      </c>
      <c r="T47" s="393"/>
      <c r="U47" s="391"/>
      <c r="V47" s="550"/>
      <c r="W47" s="387"/>
      <c r="Z47" s="419"/>
    </row>
    <row r="48" spans="1:29" s="403" customFormat="1" ht="43.9" hidden="1" customHeight="1">
      <c r="A48" s="404">
        <f t="shared" si="3"/>
        <v>30</v>
      </c>
      <c r="B48" s="403" t="s">
        <v>459</v>
      </c>
      <c r="C48" s="455" t="s">
        <v>218</v>
      </c>
      <c r="D48" s="446">
        <v>30660</v>
      </c>
      <c r="E48" s="388">
        <v>2241.6</v>
      </c>
      <c r="F48" s="388" t="s">
        <v>234</v>
      </c>
      <c r="G48" s="388">
        <v>1335.5</v>
      </c>
      <c r="H48" s="446">
        <v>9</v>
      </c>
      <c r="I48" s="446">
        <v>1</v>
      </c>
      <c r="J48" s="446">
        <v>49</v>
      </c>
      <c r="K48" s="537" t="s">
        <v>225</v>
      </c>
      <c r="L48" s="529">
        <f>M48+N48+O48+P48+Q48</f>
        <v>988135.82</v>
      </c>
      <c r="M48" s="519">
        <v>953170.82</v>
      </c>
      <c r="N48" s="388">
        <v>34965</v>
      </c>
      <c r="O48" s="473"/>
      <c r="P48" s="388"/>
      <c r="Q48" s="388"/>
      <c r="R48" s="446">
        <f>M48/J48</f>
        <v>19452.465714285714</v>
      </c>
      <c r="S48" s="388">
        <f t="shared" si="2"/>
        <v>0</v>
      </c>
      <c r="T48" s="389"/>
      <c r="U48" s="391"/>
      <c r="V48" s="388"/>
      <c r="W48" s="387"/>
      <c r="Z48" s="419"/>
    </row>
    <row r="49" spans="1:29" s="458" customFormat="1" ht="54.75" hidden="1" customHeight="1">
      <c r="A49" s="404">
        <f t="shared" si="3"/>
        <v>31</v>
      </c>
      <c r="B49" s="403" t="s">
        <v>460</v>
      </c>
      <c r="C49" s="544" t="s">
        <v>218</v>
      </c>
      <c r="D49" s="446">
        <v>12215</v>
      </c>
      <c r="E49" s="388">
        <v>2050</v>
      </c>
      <c r="F49" s="388" t="s">
        <v>223</v>
      </c>
      <c r="G49" s="388">
        <v>1142</v>
      </c>
      <c r="H49" s="446">
        <v>5</v>
      </c>
      <c r="I49" s="446">
        <v>4</v>
      </c>
      <c r="J49" s="446">
        <v>76</v>
      </c>
      <c r="K49" s="537" t="s">
        <v>30</v>
      </c>
      <c r="L49" s="529">
        <f>M49+N49+O49+P49+Q49</f>
        <v>2160790.4000000004</v>
      </c>
      <c r="M49" s="519">
        <f>2049948+104717.18</f>
        <v>2154665.1800000002</v>
      </c>
      <c r="N49" s="388"/>
      <c r="O49" s="530">
        <v>6125.22</v>
      </c>
      <c r="P49" s="388"/>
      <c r="Q49" s="388"/>
      <c r="R49" s="528">
        <f>M49/J49</f>
        <v>28350.857631578951</v>
      </c>
      <c r="S49" s="388">
        <f t="shared" si="2"/>
        <v>2.0463630789890885E-10</v>
      </c>
      <c r="T49" s="392"/>
      <c r="U49" s="391"/>
      <c r="V49" s="388"/>
      <c r="W49" s="387"/>
      <c r="Z49" s="419"/>
    </row>
    <row r="50" spans="1:29" s="977" customFormat="1" ht="51" hidden="1" customHeight="1">
      <c r="A50" s="1152">
        <v>32</v>
      </c>
      <c r="B50" s="403" t="s">
        <v>461</v>
      </c>
      <c r="C50" s="1145" t="s">
        <v>272</v>
      </c>
      <c r="D50" s="1148">
        <v>8312</v>
      </c>
      <c r="E50" s="1149">
        <v>1460</v>
      </c>
      <c r="F50" s="1121" t="s">
        <v>223</v>
      </c>
      <c r="G50" s="1149">
        <v>666</v>
      </c>
      <c r="H50" s="1147">
        <v>5</v>
      </c>
      <c r="I50" s="1148">
        <v>2</v>
      </c>
      <c r="J50" s="1148">
        <v>40</v>
      </c>
      <c r="K50" s="537" t="s">
        <v>225</v>
      </c>
      <c r="L50" s="1128">
        <f>M50+N50+O50+P50+Q50+M51+N51+O51+P51+Q51</f>
        <v>1441218.1400000001</v>
      </c>
      <c r="M50" s="551">
        <v>579030.04</v>
      </c>
      <c r="N50" s="550">
        <v>34965</v>
      </c>
      <c r="O50" s="473"/>
      <c r="P50" s="388"/>
      <c r="Q50" s="388"/>
      <c r="R50" s="446">
        <f>M50/J50</f>
        <v>14475.751</v>
      </c>
      <c r="S50" s="388">
        <f t="shared" si="2"/>
        <v>827223.10000000009</v>
      </c>
      <c r="T50" s="389"/>
      <c r="U50" s="391"/>
      <c r="V50" s="550"/>
      <c r="W50" s="387"/>
      <c r="X50" s="390"/>
      <c r="Z50" s="419"/>
      <c r="AA50" s="390"/>
      <c r="AB50" s="404"/>
      <c r="AC50" s="390"/>
    </row>
    <row r="51" spans="1:29" s="977" customFormat="1" ht="54.75" hidden="1" customHeight="1">
      <c r="A51" s="1152"/>
      <c r="B51" s="403"/>
      <c r="C51" s="1145"/>
      <c r="D51" s="1148"/>
      <c r="E51" s="1149"/>
      <c r="F51" s="1121"/>
      <c r="G51" s="1149"/>
      <c r="H51" s="1147"/>
      <c r="I51" s="1148"/>
      <c r="J51" s="1148"/>
      <c r="K51" s="397" t="s">
        <v>30</v>
      </c>
      <c r="L51" s="1128"/>
      <c r="M51" s="551">
        <v>823999.3</v>
      </c>
      <c r="N51" s="550"/>
      <c r="O51" s="473">
        <v>3223.8</v>
      </c>
      <c r="P51" s="388"/>
      <c r="Q51" s="388"/>
      <c r="R51" s="528">
        <f>M51/J50</f>
        <v>20599.982500000002</v>
      </c>
      <c r="S51" s="388">
        <f t="shared" si="2"/>
        <v>-827223.10000000009</v>
      </c>
      <c r="T51" s="389"/>
      <c r="U51" s="391"/>
      <c r="V51" s="550"/>
      <c r="W51" s="387"/>
      <c r="X51" s="390"/>
      <c r="Z51" s="419"/>
      <c r="AA51" s="390"/>
      <c r="AB51" s="404"/>
      <c r="AC51" s="390"/>
    </row>
    <row r="52" spans="1:29" s="404" customFormat="1" ht="43.15" hidden="1" customHeight="1">
      <c r="A52" s="1112">
        <v>33</v>
      </c>
      <c r="B52" s="403" t="s">
        <v>462</v>
      </c>
      <c r="C52" s="1145" t="s">
        <v>218</v>
      </c>
      <c r="D52" s="1148">
        <v>13463</v>
      </c>
      <c r="E52" s="1149">
        <v>2411</v>
      </c>
      <c r="F52" s="1150" t="s">
        <v>223</v>
      </c>
      <c r="G52" s="1149">
        <v>1145.2</v>
      </c>
      <c r="H52" s="1147">
        <v>5</v>
      </c>
      <c r="I52" s="1148">
        <v>4</v>
      </c>
      <c r="J52" s="1148">
        <v>60</v>
      </c>
      <c r="K52" s="397" t="s">
        <v>33</v>
      </c>
      <c r="L52" s="1128">
        <f>M52+N52+O52+P52+Q52+M53+N53+O53+P53+Q53</f>
        <v>7257308.7000000011</v>
      </c>
      <c r="M52" s="538">
        <v>3937371.1100000003</v>
      </c>
      <c r="N52" s="550"/>
      <c r="O52" s="473">
        <v>11964.48</v>
      </c>
      <c r="P52" s="388"/>
      <c r="Q52" s="388"/>
      <c r="R52" s="446">
        <f>M52/G52</f>
        <v>3438.151510653161</v>
      </c>
      <c r="S52" s="388">
        <f t="shared" si="2"/>
        <v>3307973.1100000008</v>
      </c>
      <c r="T52" s="392"/>
      <c r="U52" s="391"/>
      <c r="V52" s="539"/>
      <c r="W52" s="387"/>
      <c r="X52" s="390"/>
      <c r="Z52" s="419"/>
      <c r="AA52" s="388"/>
      <c r="AC52" s="390"/>
    </row>
    <row r="53" spans="1:29" s="404" customFormat="1" ht="29.25" hidden="1" customHeight="1">
      <c r="A53" s="1112"/>
      <c r="B53" s="403"/>
      <c r="C53" s="1145"/>
      <c r="D53" s="1148"/>
      <c r="E53" s="1149"/>
      <c r="F53" s="1150"/>
      <c r="G53" s="1149"/>
      <c r="H53" s="1147"/>
      <c r="I53" s="1148"/>
      <c r="J53" s="1148"/>
      <c r="K53" s="397" t="s">
        <v>38</v>
      </c>
      <c r="L53" s="1128"/>
      <c r="M53" s="538">
        <v>3297177.8600000003</v>
      </c>
      <c r="N53" s="565"/>
      <c r="O53" s="473">
        <v>10795.25</v>
      </c>
      <c r="P53" s="388"/>
      <c r="Q53" s="388"/>
      <c r="R53" s="528">
        <f>M53/E52</f>
        <v>1367.5561426793863</v>
      </c>
      <c r="S53" s="388">
        <f t="shared" si="2"/>
        <v>-3307973.1100000003</v>
      </c>
      <c r="T53" s="389"/>
      <c r="U53" s="391"/>
      <c r="V53" s="539"/>
      <c r="W53" s="387"/>
      <c r="X53" s="390"/>
      <c r="Z53" s="419"/>
      <c r="AA53" s="390"/>
      <c r="AC53" s="390"/>
    </row>
    <row r="54" spans="1:29" s="458" customFormat="1" ht="54.75" hidden="1" customHeight="1">
      <c r="A54" s="404">
        <v>34</v>
      </c>
      <c r="B54" s="403" t="s">
        <v>463</v>
      </c>
      <c r="C54" s="455" t="s">
        <v>272</v>
      </c>
      <c r="D54" s="545">
        <v>12964</v>
      </c>
      <c r="E54" s="391">
        <v>2124</v>
      </c>
      <c r="F54" s="388" t="s">
        <v>234</v>
      </c>
      <c r="G54" s="391">
        <v>739</v>
      </c>
      <c r="H54" s="528">
        <v>6</v>
      </c>
      <c r="I54" s="528">
        <v>3</v>
      </c>
      <c r="J54" s="528">
        <v>54</v>
      </c>
      <c r="K54" s="537" t="s">
        <v>30</v>
      </c>
      <c r="L54" s="529">
        <f t="shared" ref="L54:L60" si="6">M54+N54+O54+P54+Q54</f>
        <v>1243741.8599999999</v>
      </c>
      <c r="M54" s="519">
        <v>1239067.3499999999</v>
      </c>
      <c r="N54" s="388"/>
      <c r="O54" s="473">
        <v>4674.51</v>
      </c>
      <c r="P54" s="388"/>
      <c r="Q54" s="388"/>
      <c r="R54" s="528">
        <f t="shared" ref="R54:R61" si="7">M54/J54</f>
        <v>22945.691666666666</v>
      </c>
      <c r="S54" s="388">
        <f t="shared" si="2"/>
        <v>9.0949470177292824E-12</v>
      </c>
      <c r="T54" s="392"/>
      <c r="U54" s="391"/>
      <c r="V54" s="388"/>
      <c r="W54" s="387"/>
      <c r="Z54" s="419"/>
    </row>
    <row r="55" spans="1:29" s="416" customFormat="1" ht="45" hidden="1" customHeight="1">
      <c r="A55" s="404">
        <f t="shared" si="3"/>
        <v>35</v>
      </c>
      <c r="B55" s="543" t="s">
        <v>464</v>
      </c>
      <c r="C55" s="544" t="s">
        <v>272</v>
      </c>
      <c r="D55" s="545">
        <v>15880</v>
      </c>
      <c r="E55" s="391">
        <v>3445</v>
      </c>
      <c r="F55" s="391" t="s">
        <v>234</v>
      </c>
      <c r="G55" s="391">
        <v>1530</v>
      </c>
      <c r="H55" s="528">
        <v>5</v>
      </c>
      <c r="I55" s="528">
        <v>6</v>
      </c>
      <c r="J55" s="528">
        <v>99</v>
      </c>
      <c r="K55" s="458" t="s">
        <v>225</v>
      </c>
      <c r="L55" s="529">
        <f t="shared" si="6"/>
        <v>1038763.28</v>
      </c>
      <c r="M55" s="529">
        <v>1003798.28</v>
      </c>
      <c r="N55" s="391">
        <v>34965</v>
      </c>
      <c r="O55" s="530"/>
      <c r="P55" s="391">
        <v>0</v>
      </c>
      <c r="Q55" s="391"/>
      <c r="R55" s="446">
        <f t="shared" si="7"/>
        <v>10139.376565656567</v>
      </c>
      <c r="S55" s="388">
        <f t="shared" si="2"/>
        <v>0</v>
      </c>
      <c r="T55" s="392"/>
      <c r="U55" s="391"/>
      <c r="V55" s="391"/>
      <c r="W55" s="387"/>
      <c r="Z55" s="419"/>
    </row>
    <row r="56" spans="1:29" s="416" customFormat="1" ht="54.75" hidden="1" customHeight="1">
      <c r="A56" s="404">
        <f t="shared" si="3"/>
        <v>36</v>
      </c>
      <c r="B56" s="403" t="s">
        <v>465</v>
      </c>
      <c r="C56" s="455" t="s">
        <v>218</v>
      </c>
      <c r="D56" s="487">
        <v>8913</v>
      </c>
      <c r="E56" s="391">
        <v>1878</v>
      </c>
      <c r="F56" s="391" t="s">
        <v>223</v>
      </c>
      <c r="G56" s="391">
        <v>840</v>
      </c>
      <c r="H56" s="528">
        <v>5</v>
      </c>
      <c r="I56" s="528">
        <v>3</v>
      </c>
      <c r="J56" s="528">
        <v>60</v>
      </c>
      <c r="K56" s="458" t="s">
        <v>30</v>
      </c>
      <c r="L56" s="529">
        <f t="shared" si="6"/>
        <v>1374676.51</v>
      </c>
      <c r="M56" s="529">
        <v>1369840.81</v>
      </c>
      <c r="N56" s="391"/>
      <c r="O56" s="473">
        <v>4835.7</v>
      </c>
      <c r="P56" s="487"/>
      <c r="Q56" s="391"/>
      <c r="R56" s="528">
        <f t="shared" si="7"/>
        <v>22830.680166666669</v>
      </c>
      <c r="S56" s="388">
        <f t="shared" si="2"/>
        <v>-4.638422979041934E-11</v>
      </c>
      <c r="T56" s="389"/>
      <c r="U56" s="391"/>
      <c r="V56" s="391"/>
      <c r="W56" s="387"/>
      <c r="Z56" s="419"/>
    </row>
    <row r="57" spans="1:29" s="416" customFormat="1" ht="43.9" hidden="1" customHeight="1">
      <c r="A57" s="404">
        <f t="shared" si="3"/>
        <v>37</v>
      </c>
      <c r="B57" s="403" t="s">
        <v>466</v>
      </c>
      <c r="C57" s="531" t="s">
        <v>272</v>
      </c>
      <c r="D57" s="566">
        <v>13622</v>
      </c>
      <c r="E57" s="388">
        <v>2290</v>
      </c>
      <c r="F57" s="391" t="s">
        <v>223</v>
      </c>
      <c r="G57" s="388">
        <v>1152</v>
      </c>
      <c r="H57" s="446">
        <v>5</v>
      </c>
      <c r="I57" s="446">
        <v>4</v>
      </c>
      <c r="J57" s="446">
        <v>80</v>
      </c>
      <c r="K57" s="458" t="s">
        <v>225</v>
      </c>
      <c r="L57" s="529">
        <f t="shared" si="6"/>
        <v>992300.05</v>
      </c>
      <c r="M57" s="547">
        <v>957335.05</v>
      </c>
      <c r="N57" s="388">
        <v>34965</v>
      </c>
      <c r="O57" s="473"/>
      <c r="P57" s="388"/>
      <c r="Q57" s="388"/>
      <c r="R57" s="446">
        <f t="shared" si="7"/>
        <v>11966.688125000001</v>
      </c>
      <c r="S57" s="388">
        <f t="shared" si="2"/>
        <v>0</v>
      </c>
      <c r="T57" s="389"/>
      <c r="U57" s="391"/>
      <c r="V57" s="388"/>
      <c r="W57" s="387"/>
      <c r="Z57" s="419"/>
    </row>
    <row r="58" spans="1:29" s="458" customFormat="1" ht="46.9" hidden="1" customHeight="1">
      <c r="A58" s="404">
        <f t="shared" si="3"/>
        <v>38</v>
      </c>
      <c r="B58" s="403" t="s">
        <v>467</v>
      </c>
      <c r="C58" s="531" t="s">
        <v>272</v>
      </c>
      <c r="D58" s="566">
        <v>10154</v>
      </c>
      <c r="E58" s="388">
        <v>2290</v>
      </c>
      <c r="F58" s="388" t="s">
        <v>223</v>
      </c>
      <c r="G58" s="388">
        <v>900</v>
      </c>
      <c r="H58" s="446">
        <v>5</v>
      </c>
      <c r="I58" s="446">
        <v>3</v>
      </c>
      <c r="J58" s="446">
        <v>60</v>
      </c>
      <c r="K58" s="458" t="s">
        <v>225</v>
      </c>
      <c r="L58" s="529">
        <f t="shared" si="6"/>
        <v>877553.44</v>
      </c>
      <c r="M58" s="551">
        <v>845585.44</v>
      </c>
      <c r="N58" s="388">
        <v>31968</v>
      </c>
      <c r="O58" s="473"/>
      <c r="P58" s="388"/>
      <c r="Q58" s="388"/>
      <c r="R58" s="446">
        <f t="shared" si="7"/>
        <v>14093.090666666665</v>
      </c>
      <c r="S58" s="388">
        <f t="shared" si="2"/>
        <v>0</v>
      </c>
      <c r="T58" s="392"/>
      <c r="U58" s="391"/>
      <c r="V58" s="550"/>
      <c r="W58" s="387"/>
      <c r="Z58" s="419"/>
    </row>
    <row r="59" spans="1:29" s="458" customFormat="1" ht="54.75" hidden="1" customHeight="1">
      <c r="A59" s="404">
        <f t="shared" si="3"/>
        <v>39</v>
      </c>
      <c r="B59" s="543" t="s">
        <v>468</v>
      </c>
      <c r="C59" s="455" t="s">
        <v>272</v>
      </c>
      <c r="D59" s="545">
        <v>11764</v>
      </c>
      <c r="E59" s="391">
        <v>1929</v>
      </c>
      <c r="F59" s="391" t="s">
        <v>223</v>
      </c>
      <c r="G59" s="391">
        <v>1115</v>
      </c>
      <c r="H59" s="446">
        <v>4</v>
      </c>
      <c r="I59" s="528">
        <v>3</v>
      </c>
      <c r="J59" s="528">
        <v>23</v>
      </c>
      <c r="K59" s="537" t="s">
        <v>30</v>
      </c>
      <c r="L59" s="529">
        <f t="shared" si="6"/>
        <v>410516.64</v>
      </c>
      <c r="M59" s="529">
        <v>408662.96</v>
      </c>
      <c r="N59" s="388"/>
      <c r="O59" s="530">
        <v>1853.68</v>
      </c>
      <c r="P59" s="391"/>
      <c r="Q59" s="391"/>
      <c r="R59" s="528">
        <f t="shared" si="7"/>
        <v>17767.954782608696</v>
      </c>
      <c r="S59" s="388">
        <f t="shared" si="2"/>
        <v>-7.0485839387401938E-12</v>
      </c>
      <c r="T59" s="389"/>
      <c r="U59" s="391"/>
      <c r="V59" s="391"/>
      <c r="W59" s="387"/>
      <c r="Z59" s="419"/>
    </row>
    <row r="60" spans="1:29" s="458" customFormat="1" ht="46.9" hidden="1" customHeight="1">
      <c r="A60" s="404">
        <f t="shared" si="3"/>
        <v>40</v>
      </c>
      <c r="B60" s="403" t="s">
        <v>469</v>
      </c>
      <c r="C60" s="455" t="s">
        <v>218</v>
      </c>
      <c r="D60" s="446">
        <v>12666</v>
      </c>
      <c r="E60" s="388">
        <v>2573</v>
      </c>
      <c r="F60" s="388" t="s">
        <v>223</v>
      </c>
      <c r="G60" s="388">
        <v>1135</v>
      </c>
      <c r="H60" s="446">
        <v>5</v>
      </c>
      <c r="I60" s="446">
        <v>4</v>
      </c>
      <c r="J60" s="446">
        <v>80</v>
      </c>
      <c r="K60" s="537" t="s">
        <v>225</v>
      </c>
      <c r="L60" s="529">
        <f t="shared" si="6"/>
        <v>1108973.54</v>
      </c>
      <c r="M60" s="519">
        <v>1074008.54</v>
      </c>
      <c r="N60" s="388">
        <v>34965</v>
      </c>
      <c r="O60" s="473"/>
      <c r="P60" s="388"/>
      <c r="Q60" s="388"/>
      <c r="R60" s="446">
        <f t="shared" si="7"/>
        <v>13425.106750000001</v>
      </c>
      <c r="S60" s="388">
        <f t="shared" si="2"/>
        <v>0</v>
      </c>
      <c r="T60" s="392"/>
      <c r="U60" s="391"/>
      <c r="V60" s="388"/>
      <c r="W60" s="387"/>
      <c r="Z60" s="419"/>
    </row>
    <row r="61" spans="1:29" s="458" customFormat="1" ht="54.75" hidden="1" customHeight="1">
      <c r="A61" s="404">
        <f t="shared" si="3"/>
        <v>41</v>
      </c>
      <c r="B61" s="403" t="s">
        <v>470</v>
      </c>
      <c r="C61" s="531" t="s">
        <v>272</v>
      </c>
      <c r="D61" s="532">
        <v>12521</v>
      </c>
      <c r="E61" s="391">
        <v>2198</v>
      </c>
      <c r="F61" s="533" t="s">
        <v>234</v>
      </c>
      <c r="G61" s="535">
        <v>973</v>
      </c>
      <c r="H61" s="536">
        <v>5</v>
      </c>
      <c r="I61" s="536">
        <v>4</v>
      </c>
      <c r="J61" s="536">
        <v>73</v>
      </c>
      <c r="K61" s="397" t="s">
        <v>30</v>
      </c>
      <c r="L61" s="529">
        <f>M61+N61+O61+P61+Q61+M62+N62+O62+Q62</f>
        <v>1956863.67</v>
      </c>
      <c r="M61" s="547">
        <v>922554.85</v>
      </c>
      <c r="N61" s="388"/>
      <c r="O61" s="473">
        <v>5883.43</v>
      </c>
      <c r="P61" s="388"/>
      <c r="Q61" s="388"/>
      <c r="R61" s="528">
        <f t="shared" si="7"/>
        <v>12637.737671232877</v>
      </c>
      <c r="S61" s="388">
        <f t="shared" si="2"/>
        <v>1028425.3899999999</v>
      </c>
      <c r="T61" s="389"/>
      <c r="U61" s="391"/>
      <c r="V61" s="388"/>
      <c r="W61" s="387"/>
      <c r="Z61" s="419"/>
    </row>
    <row r="62" spans="1:29" s="458" customFormat="1" ht="54.75" hidden="1" customHeight="1">
      <c r="A62" s="404"/>
      <c r="B62" s="403"/>
      <c r="C62" s="531"/>
      <c r="D62" s="532"/>
      <c r="E62" s="391"/>
      <c r="F62" s="533"/>
      <c r="G62" s="535"/>
      <c r="H62" s="536"/>
      <c r="I62" s="536"/>
      <c r="J62" s="536"/>
      <c r="K62" s="397" t="s">
        <v>225</v>
      </c>
      <c r="L62" s="529"/>
      <c r="M62" s="547">
        <v>998575.39</v>
      </c>
      <c r="N62" s="388">
        <v>29850</v>
      </c>
      <c r="O62" s="473"/>
      <c r="P62" s="388"/>
      <c r="Q62" s="388"/>
      <c r="R62" s="528"/>
      <c r="S62" s="388"/>
      <c r="T62" s="389"/>
      <c r="U62" s="391"/>
      <c r="V62" s="388"/>
      <c r="W62" s="387"/>
      <c r="Z62" s="419"/>
    </row>
    <row r="63" spans="1:29" s="458" customFormat="1" ht="54.75" hidden="1" customHeight="1">
      <c r="A63" s="404">
        <f>A61+1</f>
        <v>42</v>
      </c>
      <c r="B63" s="403" t="s">
        <v>471</v>
      </c>
      <c r="C63" s="531" t="s">
        <v>272</v>
      </c>
      <c r="D63" s="545">
        <v>23423</v>
      </c>
      <c r="E63" s="391">
        <v>4073</v>
      </c>
      <c r="F63" s="388" t="s">
        <v>234</v>
      </c>
      <c r="G63" s="391">
        <v>907</v>
      </c>
      <c r="H63" s="528">
        <v>9</v>
      </c>
      <c r="I63" s="528">
        <v>2</v>
      </c>
      <c r="J63" s="528">
        <v>96</v>
      </c>
      <c r="K63" s="397" t="s">
        <v>30</v>
      </c>
      <c r="L63" s="529">
        <f>M63+N63+O63+P63+Q63</f>
        <v>1722539.4400000002</v>
      </c>
      <c r="M63" s="519">
        <v>1713369.5200000003</v>
      </c>
      <c r="N63" s="383"/>
      <c r="O63" s="473">
        <v>9169.92</v>
      </c>
      <c r="P63" s="388"/>
      <c r="Q63" s="388"/>
      <c r="R63" s="528">
        <f>M63/J63</f>
        <v>17847.59916666667</v>
      </c>
      <c r="S63" s="388">
        <f>L63-M63-N63-O63-P63-Q63</f>
        <v>-7.4578565545380116E-11</v>
      </c>
      <c r="T63" s="389"/>
      <c r="U63" s="391"/>
      <c r="V63" s="388"/>
      <c r="W63" s="387"/>
      <c r="Z63" s="419"/>
    </row>
    <row r="64" spans="1:29" s="416" customFormat="1" ht="43.9" hidden="1" customHeight="1">
      <c r="A64" s="404">
        <f t="shared" si="3"/>
        <v>43</v>
      </c>
      <c r="B64" s="403" t="s">
        <v>472</v>
      </c>
      <c r="C64" s="455" t="s">
        <v>272</v>
      </c>
      <c r="D64" s="545">
        <v>22992</v>
      </c>
      <c r="E64" s="391">
        <v>3664</v>
      </c>
      <c r="F64" s="388" t="s">
        <v>223</v>
      </c>
      <c r="G64" s="391">
        <v>1800</v>
      </c>
      <c r="H64" s="528">
        <v>5</v>
      </c>
      <c r="I64" s="528">
        <v>7</v>
      </c>
      <c r="J64" s="528">
        <v>107</v>
      </c>
      <c r="K64" s="458" t="s">
        <v>225</v>
      </c>
      <c r="L64" s="529">
        <f>M64+N64+O64+P64+Q64</f>
        <v>1267995.03</v>
      </c>
      <c r="M64" s="519">
        <v>1233030.03</v>
      </c>
      <c r="N64" s="388">
        <v>34965</v>
      </c>
      <c r="O64" s="473"/>
      <c r="P64" s="388"/>
      <c r="Q64" s="388"/>
      <c r="R64" s="446">
        <f>M64/J64</f>
        <v>11523.645140186916</v>
      </c>
      <c r="S64" s="388">
        <f>L64-M64-N64-O64-P64-Q64</f>
        <v>0</v>
      </c>
      <c r="T64" s="389"/>
      <c r="U64" s="391"/>
      <c r="V64" s="388"/>
      <c r="W64" s="387"/>
      <c r="Z64" s="419"/>
    </row>
    <row r="65" spans="1:30" s="416" customFormat="1" ht="54.75" hidden="1" customHeight="1">
      <c r="A65" s="404">
        <f t="shared" si="3"/>
        <v>44</v>
      </c>
      <c r="B65" s="403" t="s">
        <v>473</v>
      </c>
      <c r="C65" s="531" t="s">
        <v>272</v>
      </c>
      <c r="D65" s="532">
        <v>14194</v>
      </c>
      <c r="E65" s="391">
        <v>2199</v>
      </c>
      <c r="F65" s="533" t="s">
        <v>234</v>
      </c>
      <c r="G65" s="535">
        <v>973</v>
      </c>
      <c r="H65" s="536">
        <v>5</v>
      </c>
      <c r="I65" s="536">
        <v>4</v>
      </c>
      <c r="J65" s="536">
        <v>67</v>
      </c>
      <c r="K65" s="397" t="s">
        <v>30</v>
      </c>
      <c r="L65" s="529">
        <f>M65+N65+O65+P65+Q65+M66+N66+O66+Q66</f>
        <v>1835512.4500000002</v>
      </c>
      <c r="M65" s="547">
        <v>991072.8</v>
      </c>
      <c r="N65" s="388"/>
      <c r="O65" s="473">
        <v>5399.86</v>
      </c>
      <c r="P65" s="388"/>
      <c r="Q65" s="388"/>
      <c r="R65" s="528">
        <f>M65/J65</f>
        <v>14792.131343283583</v>
      </c>
      <c r="S65" s="388">
        <f>L65-M65-N65-O65-P65-Q65</f>
        <v>839039.79000000015</v>
      </c>
      <c r="T65" s="392"/>
      <c r="U65" s="391"/>
      <c r="V65" s="388"/>
      <c r="W65" s="387"/>
      <c r="Z65" s="419"/>
    </row>
    <row r="66" spans="1:30" s="416" customFormat="1" ht="54.75" hidden="1" customHeight="1">
      <c r="A66" s="404"/>
      <c r="B66" s="403"/>
      <c r="C66" s="531"/>
      <c r="D66" s="532"/>
      <c r="E66" s="391"/>
      <c r="F66" s="533"/>
      <c r="G66" s="535"/>
      <c r="H66" s="536"/>
      <c r="I66" s="536"/>
      <c r="J66" s="536"/>
      <c r="K66" s="397" t="s">
        <v>225</v>
      </c>
      <c r="L66" s="529"/>
      <c r="M66" s="547">
        <v>809189.79</v>
      </c>
      <c r="N66" s="388">
        <v>29850</v>
      </c>
      <c r="O66" s="473"/>
      <c r="P66" s="388"/>
      <c r="Q66" s="388"/>
      <c r="R66" s="528"/>
      <c r="S66" s="388"/>
      <c r="T66" s="392"/>
      <c r="U66" s="391"/>
      <c r="V66" s="388"/>
      <c r="W66" s="387"/>
      <c r="Z66" s="419"/>
    </row>
    <row r="67" spans="1:30" s="416" customFormat="1" ht="43.9" hidden="1" customHeight="1">
      <c r="A67" s="404">
        <f>A65+1</f>
        <v>45</v>
      </c>
      <c r="B67" s="403" t="s">
        <v>474</v>
      </c>
      <c r="C67" s="531" t="s">
        <v>272</v>
      </c>
      <c r="D67" s="532">
        <v>14870</v>
      </c>
      <c r="E67" s="391">
        <v>888.4</v>
      </c>
      <c r="F67" s="391" t="s">
        <v>223</v>
      </c>
      <c r="G67" s="535">
        <v>1147</v>
      </c>
      <c r="H67" s="536">
        <v>5</v>
      </c>
      <c r="I67" s="536">
        <v>4</v>
      </c>
      <c r="J67" s="536">
        <v>79</v>
      </c>
      <c r="K67" s="458" t="s">
        <v>33</v>
      </c>
      <c r="L67" s="529">
        <f>M67+N67+O67+P67+Q67</f>
        <v>2503286.59</v>
      </c>
      <c r="M67" s="547">
        <v>2491302.81</v>
      </c>
      <c r="N67" s="388"/>
      <c r="O67" s="473">
        <v>11983.78</v>
      </c>
      <c r="P67" s="388"/>
      <c r="Q67" s="388"/>
      <c r="R67" s="446">
        <f>M67/G67</f>
        <v>2172.0163993025285</v>
      </c>
      <c r="S67" s="388">
        <f t="shared" ref="S67:S98" si="8">L67-M67-N67-O67-P67-Q67</f>
        <v>-2.0554580260068178E-10</v>
      </c>
      <c r="T67" s="389"/>
      <c r="U67" s="391"/>
      <c r="V67" s="388"/>
      <c r="W67" s="387"/>
      <c r="Z67" s="419"/>
    </row>
    <row r="68" spans="1:30" ht="54.75" hidden="1" customHeight="1">
      <c r="A68" s="404">
        <f t="shared" si="3"/>
        <v>46</v>
      </c>
      <c r="B68" s="403" t="s">
        <v>475</v>
      </c>
      <c r="C68" s="455" t="s">
        <v>272</v>
      </c>
      <c r="D68" s="545">
        <v>11221</v>
      </c>
      <c r="E68" s="391">
        <v>969.2</v>
      </c>
      <c r="F68" s="388" t="s">
        <v>223</v>
      </c>
      <c r="G68" s="391">
        <v>1286</v>
      </c>
      <c r="H68" s="528">
        <v>4</v>
      </c>
      <c r="I68" s="528">
        <v>4</v>
      </c>
      <c r="J68" s="528">
        <v>26</v>
      </c>
      <c r="K68" s="537" t="s">
        <v>33</v>
      </c>
      <c r="L68" s="529">
        <f>M68+N68+O68+P68+Q68</f>
        <v>3893037.49</v>
      </c>
      <c r="M68" s="547">
        <v>3890942.02</v>
      </c>
      <c r="N68" s="388"/>
      <c r="O68" s="473">
        <v>2095.4699999999998</v>
      </c>
      <c r="P68" s="388"/>
      <c r="Q68" s="388"/>
      <c r="R68" s="446">
        <f>M68/J68</f>
        <v>149651.61615384615</v>
      </c>
      <c r="S68" s="388">
        <f t="shared" si="8"/>
        <v>2.0509105524979532E-10</v>
      </c>
      <c r="T68" s="388"/>
      <c r="U68" s="391"/>
      <c r="V68" s="388"/>
      <c r="W68" s="387"/>
      <c r="Z68" s="419"/>
    </row>
    <row r="69" spans="1:30" s="416" customFormat="1" ht="43.5" hidden="1" customHeight="1">
      <c r="A69" s="404">
        <f t="shared" si="3"/>
        <v>47</v>
      </c>
      <c r="B69" s="403" t="s">
        <v>476</v>
      </c>
      <c r="C69" s="531" t="s">
        <v>272</v>
      </c>
      <c r="D69" s="532">
        <v>24434</v>
      </c>
      <c r="E69" s="535">
        <v>1750</v>
      </c>
      <c r="F69" s="391" t="s">
        <v>223</v>
      </c>
      <c r="G69" s="535">
        <v>1504</v>
      </c>
      <c r="H69" s="536">
        <v>5</v>
      </c>
      <c r="I69" s="536">
        <v>2</v>
      </c>
      <c r="J69" s="536">
        <v>169</v>
      </c>
      <c r="K69" s="458" t="s">
        <v>33</v>
      </c>
      <c r="L69" s="529">
        <f>M69+N69+O69+P69+Q69</f>
        <v>4838121.2699999996</v>
      </c>
      <c r="M69" s="519">
        <v>4823755.0599999996</v>
      </c>
      <c r="N69" s="388"/>
      <c r="O69" s="473">
        <v>14366.21</v>
      </c>
      <c r="P69" s="388"/>
      <c r="Q69" s="388"/>
      <c r="R69" s="446">
        <f>M69/G69</f>
        <v>3207.2839494680848</v>
      </c>
      <c r="S69" s="388">
        <f t="shared" si="8"/>
        <v>-3.637978807091713E-11</v>
      </c>
      <c r="T69" s="389"/>
      <c r="U69" s="391"/>
      <c r="V69" s="388"/>
      <c r="W69" s="387"/>
      <c r="Z69" s="419"/>
    </row>
    <row r="70" spans="1:30" s="416" customFormat="1" ht="54.75" hidden="1" customHeight="1">
      <c r="A70" s="404">
        <f t="shared" si="3"/>
        <v>48</v>
      </c>
      <c r="B70" s="403" t="s">
        <v>480</v>
      </c>
      <c r="C70" s="567" t="s">
        <v>218</v>
      </c>
      <c r="D70" s="545">
        <v>33066</v>
      </c>
      <c r="E70" s="391">
        <v>4203</v>
      </c>
      <c r="F70" s="533" t="s">
        <v>234</v>
      </c>
      <c r="G70" s="558">
        <v>1165.0999999999999</v>
      </c>
      <c r="H70" s="561">
        <v>9</v>
      </c>
      <c r="I70" s="555">
        <v>2</v>
      </c>
      <c r="J70" s="555">
        <v>383</v>
      </c>
      <c r="K70" s="397" t="s">
        <v>30</v>
      </c>
      <c r="L70" s="529">
        <f>M70+N70+O70+P70+Q70</f>
        <v>10416777.35</v>
      </c>
      <c r="M70" s="557">
        <v>10381255.85</v>
      </c>
      <c r="N70" s="558"/>
      <c r="O70" s="562">
        <v>35521.5</v>
      </c>
      <c r="P70" s="558"/>
      <c r="Q70" s="560"/>
      <c r="R70" s="528">
        <f>M70/J70</f>
        <v>27105.106657963446</v>
      </c>
      <c r="S70" s="388">
        <f t="shared" si="8"/>
        <v>0</v>
      </c>
      <c r="T70" s="389"/>
      <c r="U70" s="391"/>
      <c r="V70" s="568"/>
      <c r="W70" s="387"/>
      <c r="Z70" s="419"/>
    </row>
    <row r="71" spans="1:30" s="416" customFormat="1" ht="58.5" hidden="1" customHeight="1">
      <c r="A71" s="1152">
        <v>49</v>
      </c>
      <c r="B71" s="403" t="s">
        <v>481</v>
      </c>
      <c r="C71" s="567" t="s">
        <v>218</v>
      </c>
      <c r="D71" s="545">
        <v>18361</v>
      </c>
      <c r="E71" s="391">
        <v>7342</v>
      </c>
      <c r="F71" s="568" t="s">
        <v>234</v>
      </c>
      <c r="G71" s="558">
        <v>761.8</v>
      </c>
      <c r="H71" s="561">
        <v>9</v>
      </c>
      <c r="I71" s="555">
        <v>2</v>
      </c>
      <c r="J71" s="555">
        <v>251</v>
      </c>
      <c r="K71" s="458" t="s">
        <v>33</v>
      </c>
      <c r="L71" s="1128">
        <f>M71+N71+O71+P71+Q71+M72+N72+O72+P72+Q72+M73+N73+O73+P73+Q73</f>
        <v>6614191.2300000004</v>
      </c>
      <c r="M71" s="569">
        <v>1313473.3899999999</v>
      </c>
      <c r="N71" s="558"/>
      <c r="O71" s="562">
        <v>4775.34</v>
      </c>
      <c r="P71" s="558"/>
      <c r="Q71" s="560"/>
      <c r="R71" s="446">
        <f>M71/G71</f>
        <v>1724.1708978734575</v>
      </c>
      <c r="S71" s="388">
        <f t="shared" si="8"/>
        <v>5295942.5000000009</v>
      </c>
      <c r="T71" s="392"/>
      <c r="U71" s="391"/>
      <c r="V71" s="568"/>
      <c r="W71" s="387"/>
      <c r="Z71" s="419"/>
    </row>
    <row r="72" spans="1:30" s="416" customFormat="1" ht="56.25" hidden="1" customHeight="1">
      <c r="A72" s="1152"/>
      <c r="B72" s="403"/>
      <c r="C72" s="567"/>
      <c r="D72" s="545"/>
      <c r="E72" s="391"/>
      <c r="F72" s="568"/>
      <c r="G72" s="558"/>
      <c r="H72" s="561"/>
      <c r="I72" s="555"/>
      <c r="J72" s="555"/>
      <c r="K72" s="458" t="s">
        <v>239</v>
      </c>
      <c r="L72" s="1128"/>
      <c r="M72" s="569">
        <v>1368688.83</v>
      </c>
      <c r="N72" s="558">
        <v>44955</v>
      </c>
      <c r="O72" s="562"/>
      <c r="P72" s="558"/>
      <c r="Q72" s="560"/>
      <c r="R72" s="446">
        <f>M72/J71</f>
        <v>5452.9435458167336</v>
      </c>
      <c r="S72" s="388">
        <f t="shared" si="8"/>
        <v>-1413643.83</v>
      </c>
      <c r="T72" s="389"/>
      <c r="U72" s="391"/>
      <c r="V72" s="568"/>
      <c r="W72" s="387"/>
      <c r="Z72" s="419"/>
    </row>
    <row r="73" spans="1:30" s="416" customFormat="1" ht="39.75" hidden="1" customHeight="1">
      <c r="A73" s="570"/>
      <c r="B73" s="403"/>
      <c r="C73" s="567"/>
      <c r="D73" s="545"/>
      <c r="E73" s="391"/>
      <c r="F73" s="568"/>
      <c r="G73" s="558"/>
      <c r="H73" s="561"/>
      <c r="I73" s="555"/>
      <c r="J73" s="555"/>
      <c r="K73" s="458" t="s">
        <v>38</v>
      </c>
      <c r="L73" s="1128"/>
      <c r="M73" s="569">
        <v>3879999.5</v>
      </c>
      <c r="N73" s="558"/>
      <c r="O73" s="562">
        <v>2299.17</v>
      </c>
      <c r="P73" s="558"/>
      <c r="Q73" s="560"/>
      <c r="R73" s="446">
        <f>M73/E71</f>
        <v>528.46628983928088</v>
      </c>
      <c r="S73" s="388">
        <f t="shared" si="8"/>
        <v>-3882298.67</v>
      </c>
      <c r="T73" s="389"/>
      <c r="U73" s="391"/>
      <c r="V73" s="568"/>
      <c r="W73" s="387"/>
      <c r="Z73" s="419"/>
    </row>
    <row r="74" spans="1:30" s="416" customFormat="1" ht="54.75" hidden="1" customHeight="1">
      <c r="A74" s="404">
        <v>50</v>
      </c>
      <c r="B74" s="403" t="s">
        <v>482</v>
      </c>
      <c r="C74" s="455" t="s">
        <v>218</v>
      </c>
      <c r="D74" s="487">
        <v>15822</v>
      </c>
      <c r="E74" s="388">
        <v>3125</v>
      </c>
      <c r="F74" s="388" t="s">
        <v>234</v>
      </c>
      <c r="G74" s="388">
        <v>1206</v>
      </c>
      <c r="H74" s="446">
        <v>5</v>
      </c>
      <c r="I74" s="446">
        <v>6</v>
      </c>
      <c r="J74" s="446">
        <v>90</v>
      </c>
      <c r="K74" s="458" t="s">
        <v>33</v>
      </c>
      <c r="L74" s="529">
        <f>M74+N74+O74+P74+Q74</f>
        <v>5022539.6099999994</v>
      </c>
      <c r="M74" s="519">
        <v>5014979.8</v>
      </c>
      <c r="N74" s="388"/>
      <c r="O74" s="530">
        <v>7559.81</v>
      </c>
      <c r="P74" s="388"/>
      <c r="Q74" s="388"/>
      <c r="R74" s="446">
        <f>M74/G74</f>
        <v>4158.3580431177443</v>
      </c>
      <c r="S74" s="388">
        <f t="shared" si="8"/>
        <v>-4.1018211049959064E-10</v>
      </c>
      <c r="T74" s="389"/>
      <c r="U74" s="391"/>
      <c r="V74" s="388"/>
      <c r="W74" s="387"/>
      <c r="Z74" s="419"/>
    </row>
    <row r="75" spans="1:30" s="458" customFormat="1" ht="46.9" hidden="1" customHeight="1">
      <c r="A75" s="1112">
        <v>51</v>
      </c>
      <c r="B75" s="403" t="s">
        <v>483</v>
      </c>
      <c r="C75" s="455" t="s">
        <v>218</v>
      </c>
      <c r="D75" s="566">
        <v>8702</v>
      </c>
      <c r="E75" s="388">
        <v>1851</v>
      </c>
      <c r="F75" s="533" t="s">
        <v>234</v>
      </c>
      <c r="G75" s="388">
        <v>876.1</v>
      </c>
      <c r="H75" s="446">
        <v>5</v>
      </c>
      <c r="I75" s="446">
        <v>4</v>
      </c>
      <c r="J75" s="446">
        <v>60</v>
      </c>
      <c r="K75" s="458" t="s">
        <v>33</v>
      </c>
      <c r="L75" s="1128">
        <f>M75+N75+O75+P75+Q75+M76+N76+O76+P76+Q76</f>
        <v>4615093.96</v>
      </c>
      <c r="M75" s="519">
        <f>2814267.71+396791.21</f>
        <v>3211058.92</v>
      </c>
      <c r="N75" s="388"/>
      <c r="O75" s="473">
        <v>7845.57</v>
      </c>
      <c r="P75" s="388"/>
      <c r="Q75" s="388"/>
      <c r="R75" s="446">
        <f>M75/G75</f>
        <v>3665.1739755735643</v>
      </c>
      <c r="S75" s="388">
        <f t="shared" si="8"/>
        <v>1396189.47</v>
      </c>
      <c r="T75" s="392"/>
      <c r="U75" s="391"/>
      <c r="V75" s="388"/>
      <c r="W75" s="387"/>
      <c r="Z75" s="419"/>
    </row>
    <row r="76" spans="1:30" s="458" customFormat="1" ht="54.75" hidden="1" customHeight="1">
      <c r="A76" s="1112"/>
      <c r="B76" s="403"/>
      <c r="C76" s="455"/>
      <c r="D76" s="566"/>
      <c r="E76" s="388"/>
      <c r="F76" s="533"/>
      <c r="G76" s="388"/>
      <c r="H76" s="446"/>
      <c r="I76" s="446"/>
      <c r="J76" s="446"/>
      <c r="K76" s="397" t="s">
        <v>30</v>
      </c>
      <c r="L76" s="1128"/>
      <c r="M76" s="519">
        <v>1391353.77</v>
      </c>
      <c r="N76" s="388"/>
      <c r="O76" s="473">
        <v>4835.7</v>
      </c>
      <c r="P76" s="388"/>
      <c r="Q76" s="388"/>
      <c r="R76" s="446">
        <v>26730</v>
      </c>
      <c r="S76" s="388">
        <f t="shared" si="8"/>
        <v>-1396189.47</v>
      </c>
      <c r="T76" s="389"/>
      <c r="U76" s="391"/>
      <c r="V76" s="388"/>
      <c r="W76" s="387"/>
      <c r="Z76" s="419"/>
    </row>
    <row r="77" spans="1:30" s="404" customFormat="1" ht="46.5" hidden="1" customHeight="1">
      <c r="A77" s="1112">
        <v>52</v>
      </c>
      <c r="B77" s="403" t="s">
        <v>484</v>
      </c>
      <c r="C77" s="455" t="s">
        <v>218</v>
      </c>
      <c r="D77" s="566">
        <v>15735</v>
      </c>
      <c r="E77" s="388">
        <v>3104</v>
      </c>
      <c r="F77" s="388" t="s">
        <v>234</v>
      </c>
      <c r="G77" s="388">
        <v>803</v>
      </c>
      <c r="H77" s="446">
        <v>9</v>
      </c>
      <c r="I77" s="446">
        <v>2</v>
      </c>
      <c r="J77" s="446">
        <v>72</v>
      </c>
      <c r="K77" s="458" t="s">
        <v>225</v>
      </c>
      <c r="L77" s="1128">
        <f>M77+N77+O77+P77+Q77+M78+N78+O78+P78+Q78</f>
        <v>5339733.53</v>
      </c>
      <c r="M77" s="538">
        <v>1324692.6000000001</v>
      </c>
      <c r="N77" s="388">
        <v>34965</v>
      </c>
      <c r="O77" s="473"/>
      <c r="P77" s="388"/>
      <c r="Q77" s="388"/>
      <c r="R77" s="446">
        <f>M77/J77</f>
        <v>18398.508333333335</v>
      </c>
      <c r="S77" s="388">
        <f t="shared" si="8"/>
        <v>3980075.93</v>
      </c>
      <c r="T77" s="389"/>
      <c r="U77" s="391"/>
      <c r="V77" s="539"/>
      <c r="W77" s="387"/>
      <c r="X77" s="390"/>
      <c r="Z77" s="419"/>
      <c r="AA77" s="455"/>
      <c r="AB77" s="390"/>
      <c r="AD77" s="390"/>
    </row>
    <row r="78" spans="1:30" s="404" customFormat="1" ht="43.15" hidden="1" customHeight="1">
      <c r="A78" s="1112"/>
      <c r="B78" s="403"/>
      <c r="C78" s="455"/>
      <c r="D78" s="566"/>
      <c r="E78" s="388"/>
      <c r="F78" s="388"/>
      <c r="G78" s="388"/>
      <c r="H78" s="446"/>
      <c r="I78" s="446"/>
      <c r="J78" s="446"/>
      <c r="K78" s="397" t="s">
        <v>220</v>
      </c>
      <c r="L78" s="1128"/>
      <c r="M78" s="538">
        <v>3874357.18</v>
      </c>
      <c r="N78" s="388">
        <v>105718.75</v>
      </c>
      <c r="O78" s="473"/>
      <c r="P78" s="388"/>
      <c r="Q78" s="388"/>
      <c r="R78" s="446">
        <v>2000000</v>
      </c>
      <c r="S78" s="388">
        <f t="shared" si="8"/>
        <v>-3980075.93</v>
      </c>
      <c r="T78" s="393"/>
      <c r="U78" s="391"/>
      <c r="V78" s="539"/>
      <c r="W78" s="387"/>
      <c r="X78" s="390"/>
      <c r="Z78" s="419"/>
      <c r="AA78" s="455"/>
      <c r="AB78" s="390"/>
      <c r="AD78" s="390"/>
    </row>
    <row r="79" spans="1:30" s="416" customFormat="1" ht="39" hidden="1" customHeight="1">
      <c r="A79" s="404">
        <v>53</v>
      </c>
      <c r="B79" s="403" t="s">
        <v>485</v>
      </c>
      <c r="C79" s="455" t="s">
        <v>218</v>
      </c>
      <c r="D79" s="566">
        <v>31375</v>
      </c>
      <c r="E79" s="388">
        <v>5444</v>
      </c>
      <c r="F79" s="533" t="s">
        <v>234</v>
      </c>
      <c r="G79" s="388">
        <v>1353</v>
      </c>
      <c r="H79" s="446">
        <v>9</v>
      </c>
      <c r="I79" s="446">
        <v>4</v>
      </c>
      <c r="J79" s="446">
        <v>144</v>
      </c>
      <c r="K79" s="397" t="s">
        <v>30</v>
      </c>
      <c r="L79" s="1128">
        <f>M79+N79+O79+P79+Q79+M80+N80+O80+Q80</f>
        <v>5319747.379999999</v>
      </c>
      <c r="M79" s="538">
        <v>2843524.6399999997</v>
      </c>
      <c r="N79" s="388"/>
      <c r="O79" s="473">
        <v>13754.88</v>
      </c>
      <c r="P79" s="388"/>
      <c r="Q79" s="560"/>
      <c r="R79" s="528">
        <f>M79/J79</f>
        <v>19746.698888888888</v>
      </c>
      <c r="S79" s="388">
        <f t="shared" si="8"/>
        <v>2462467.8599999994</v>
      </c>
      <c r="T79" s="389"/>
      <c r="U79" s="391"/>
      <c r="V79" s="539"/>
      <c r="W79" s="387"/>
      <c r="Z79" s="419"/>
    </row>
    <row r="80" spans="1:30" s="416" customFormat="1" ht="54.75" hidden="1" customHeight="1">
      <c r="A80" s="404"/>
      <c r="B80" s="403"/>
      <c r="C80" s="455"/>
      <c r="D80" s="566"/>
      <c r="E80" s="388"/>
      <c r="F80" s="533"/>
      <c r="G80" s="388"/>
      <c r="H80" s="446"/>
      <c r="I80" s="446"/>
      <c r="J80" s="446"/>
      <c r="K80" s="552" t="s">
        <v>38</v>
      </c>
      <c r="L80" s="1128"/>
      <c r="M80" s="538">
        <v>2447542.86</v>
      </c>
      <c r="N80" s="388"/>
      <c r="O80" s="473">
        <v>14925</v>
      </c>
      <c r="P80" s="388"/>
      <c r="Q80" s="560"/>
      <c r="R80" s="446">
        <f>M80/E79</f>
        <v>449.58538941954441</v>
      </c>
      <c r="S80" s="388">
        <f t="shared" si="8"/>
        <v>-2462467.86</v>
      </c>
      <c r="T80" s="389" t="s">
        <v>4192</v>
      </c>
      <c r="U80" s="391"/>
      <c r="V80" s="539"/>
      <c r="W80" s="387"/>
      <c r="Z80" s="419"/>
    </row>
    <row r="81" spans="1:26" s="978" customFormat="1" ht="54.75" hidden="1" customHeight="1">
      <c r="A81" s="404">
        <v>54</v>
      </c>
      <c r="B81" s="403" t="s">
        <v>486</v>
      </c>
      <c r="C81" s="455" t="s">
        <v>218</v>
      </c>
      <c r="D81" s="566">
        <v>9836</v>
      </c>
      <c r="E81" s="388">
        <v>2079</v>
      </c>
      <c r="F81" s="533" t="s">
        <v>234</v>
      </c>
      <c r="G81" s="388">
        <v>860</v>
      </c>
      <c r="H81" s="446">
        <v>5</v>
      </c>
      <c r="I81" s="446">
        <v>4</v>
      </c>
      <c r="J81" s="446">
        <v>60</v>
      </c>
      <c r="K81" s="397" t="s">
        <v>30</v>
      </c>
      <c r="L81" s="1128">
        <f>M81+N81+O81+P81+Q81+M82+N82+O82+P82+Q82</f>
        <v>5577622.7999999998</v>
      </c>
      <c r="M81" s="519">
        <v>1791412.56</v>
      </c>
      <c r="N81" s="388"/>
      <c r="O81" s="473">
        <v>4835.7</v>
      </c>
      <c r="P81" s="388"/>
      <c r="Q81" s="388"/>
      <c r="R81" s="528">
        <f>M81/J81</f>
        <v>29856.876</v>
      </c>
      <c r="S81" s="388">
        <f t="shared" si="8"/>
        <v>3781374.5399999996</v>
      </c>
      <c r="T81" s="392"/>
      <c r="U81" s="391"/>
      <c r="V81" s="388"/>
      <c r="W81" s="387"/>
      <c r="Z81" s="419"/>
    </row>
    <row r="82" spans="1:26" s="978" customFormat="1" ht="95.25" hidden="1" customHeight="1">
      <c r="A82" s="404"/>
      <c r="B82" s="403"/>
      <c r="C82" s="455"/>
      <c r="D82" s="566"/>
      <c r="E82" s="388"/>
      <c r="F82" s="533"/>
      <c r="G82" s="388"/>
      <c r="H82" s="446"/>
      <c r="I82" s="446"/>
      <c r="J82" s="446"/>
      <c r="K82" s="397" t="s">
        <v>3880</v>
      </c>
      <c r="L82" s="1128"/>
      <c r="M82" s="519">
        <v>3744794.54</v>
      </c>
      <c r="N82" s="388">
        <v>16580</v>
      </c>
      <c r="O82" s="553"/>
      <c r="P82" s="394"/>
      <c r="Q82" s="394">
        <v>20000</v>
      </c>
      <c r="R82" s="446">
        <f>M82/G81</f>
        <v>4354.4122558139534</v>
      </c>
      <c r="S82" s="388">
        <f t="shared" si="8"/>
        <v>-3781374.54</v>
      </c>
      <c r="T82" s="389" t="s">
        <v>3586</v>
      </c>
      <c r="U82" s="391"/>
      <c r="V82" s="388"/>
      <c r="W82" s="387"/>
      <c r="Z82" s="419"/>
    </row>
    <row r="83" spans="1:26" s="416" customFormat="1" ht="51.75" hidden="1" customHeight="1">
      <c r="A83" s="404">
        <f>A81+1</f>
        <v>55</v>
      </c>
      <c r="B83" s="403" t="s">
        <v>487</v>
      </c>
      <c r="C83" s="531" t="s">
        <v>218</v>
      </c>
      <c r="D83" s="566">
        <v>15440</v>
      </c>
      <c r="E83" s="388">
        <v>3038</v>
      </c>
      <c r="F83" s="383" t="s">
        <v>234</v>
      </c>
      <c r="G83" s="388">
        <v>806.1</v>
      </c>
      <c r="H83" s="446">
        <v>9</v>
      </c>
      <c r="I83" s="446">
        <v>2</v>
      </c>
      <c r="J83" s="446">
        <v>72</v>
      </c>
      <c r="K83" s="397" t="s">
        <v>364</v>
      </c>
      <c r="L83" s="529">
        <f>M83+N83+O83+P83+Q83</f>
        <v>4051591.54</v>
      </c>
      <c r="M83" s="519">
        <v>3945872.79</v>
      </c>
      <c r="N83" s="388">
        <v>105718.75</v>
      </c>
      <c r="O83" s="385"/>
      <c r="P83" s="383"/>
      <c r="Q83" s="388"/>
      <c r="R83" s="446">
        <v>2000000</v>
      </c>
      <c r="S83" s="388">
        <f t="shared" si="8"/>
        <v>0</v>
      </c>
      <c r="T83" s="392"/>
      <c r="U83" s="391"/>
      <c r="V83" s="388"/>
      <c r="W83" s="387"/>
      <c r="Z83" s="419"/>
    </row>
    <row r="84" spans="1:26" s="416" customFormat="1" ht="50.25" hidden="1" customHeight="1">
      <c r="A84" s="404">
        <f>A83+1</f>
        <v>56</v>
      </c>
      <c r="B84" s="403" t="s">
        <v>488</v>
      </c>
      <c r="C84" s="571" t="s">
        <v>218</v>
      </c>
      <c r="D84" s="455">
        <v>60352</v>
      </c>
      <c r="E84" s="388">
        <v>9432</v>
      </c>
      <c r="F84" s="388" t="s">
        <v>234</v>
      </c>
      <c r="G84" s="388">
        <v>2366</v>
      </c>
      <c r="H84" s="446">
        <v>9</v>
      </c>
      <c r="I84" s="446">
        <v>7</v>
      </c>
      <c r="J84" s="446">
        <v>252</v>
      </c>
      <c r="K84" s="397" t="s">
        <v>364</v>
      </c>
      <c r="L84" s="529">
        <f>M84+N84+O84+P84+Q84</f>
        <v>14166694.800000001</v>
      </c>
      <c r="M84" s="519">
        <v>13955257.300000001</v>
      </c>
      <c r="N84" s="388">
        <v>211437.5</v>
      </c>
      <c r="O84" s="385"/>
      <c r="P84" s="383"/>
      <c r="Q84" s="388"/>
      <c r="R84" s="446">
        <v>2000000</v>
      </c>
      <c r="S84" s="388">
        <f t="shared" si="8"/>
        <v>0</v>
      </c>
      <c r="T84" s="389"/>
      <c r="U84" s="391"/>
      <c r="V84" s="388"/>
      <c r="W84" s="387"/>
      <c r="Z84" s="419"/>
    </row>
    <row r="85" spans="1:26" s="416" customFormat="1" ht="43.9" hidden="1" customHeight="1">
      <c r="A85" s="404">
        <f>A84+1</f>
        <v>57</v>
      </c>
      <c r="B85" s="403" t="s">
        <v>490</v>
      </c>
      <c r="C85" s="455" t="s">
        <v>218</v>
      </c>
      <c r="D85" s="545">
        <v>12153</v>
      </c>
      <c r="E85" s="391">
        <v>2435</v>
      </c>
      <c r="F85" s="388" t="s">
        <v>223</v>
      </c>
      <c r="G85" s="391">
        <v>1129</v>
      </c>
      <c r="H85" s="528">
        <v>5</v>
      </c>
      <c r="I85" s="528">
        <v>4</v>
      </c>
      <c r="J85" s="528">
        <v>80</v>
      </c>
      <c r="K85" s="458" t="s">
        <v>225</v>
      </c>
      <c r="L85" s="529">
        <f>M85+N85+O85+P85+Q85</f>
        <v>1425416.62</v>
      </c>
      <c r="M85" s="519">
        <f>1266910.61+123541.01</f>
        <v>1390451.62</v>
      </c>
      <c r="N85" s="388">
        <v>34965</v>
      </c>
      <c r="O85" s="473"/>
      <c r="P85" s="388"/>
      <c r="Q85" s="388"/>
      <c r="R85" s="446">
        <f>M85/J85</f>
        <v>17380.645250000001</v>
      </c>
      <c r="S85" s="388">
        <f t="shared" si="8"/>
        <v>0</v>
      </c>
      <c r="T85" s="389"/>
      <c r="U85" s="391"/>
      <c r="V85" s="388"/>
      <c r="W85" s="387"/>
      <c r="Z85" s="419"/>
    </row>
    <row r="86" spans="1:26" s="416" customFormat="1" ht="54.75" hidden="1" customHeight="1">
      <c r="A86" s="404">
        <f>A85+1</f>
        <v>58</v>
      </c>
      <c r="B86" s="403" t="s">
        <v>491</v>
      </c>
      <c r="C86" s="531" t="s">
        <v>272</v>
      </c>
      <c r="D86" s="532">
        <v>4867</v>
      </c>
      <c r="E86" s="535">
        <v>1148</v>
      </c>
      <c r="F86" s="391" t="s">
        <v>223</v>
      </c>
      <c r="G86" s="535">
        <v>559.70000000000005</v>
      </c>
      <c r="H86" s="536">
        <v>3</v>
      </c>
      <c r="I86" s="536">
        <v>2</v>
      </c>
      <c r="J86" s="536">
        <v>12</v>
      </c>
      <c r="K86" s="397" t="s">
        <v>30</v>
      </c>
      <c r="L86" s="529">
        <f>M86+N86+O86+P86+Q86</f>
        <v>204923.85</v>
      </c>
      <c r="M86" s="519">
        <v>203956.71</v>
      </c>
      <c r="N86" s="388"/>
      <c r="O86" s="473">
        <v>967.14</v>
      </c>
      <c r="P86" s="388"/>
      <c r="Q86" s="388"/>
      <c r="R86" s="528">
        <f>M86/J86</f>
        <v>16996.392499999998</v>
      </c>
      <c r="S86" s="388">
        <f t="shared" si="8"/>
        <v>1.3983481039758772E-11</v>
      </c>
      <c r="T86" s="389"/>
      <c r="U86" s="391"/>
      <c r="V86" s="388"/>
      <c r="W86" s="387"/>
      <c r="Z86" s="419"/>
    </row>
    <row r="87" spans="1:26" s="416" customFormat="1" ht="54.75" hidden="1" customHeight="1">
      <c r="A87" s="404">
        <f>A86+1</f>
        <v>59</v>
      </c>
      <c r="B87" s="403" t="s">
        <v>492</v>
      </c>
      <c r="C87" s="455" t="s">
        <v>272</v>
      </c>
      <c r="D87" s="545">
        <v>9195</v>
      </c>
      <c r="E87" s="391">
        <v>1000</v>
      </c>
      <c r="F87" s="388" t="s">
        <v>223</v>
      </c>
      <c r="G87" s="391">
        <v>892</v>
      </c>
      <c r="H87" s="528">
        <v>4</v>
      </c>
      <c r="I87" s="528">
        <v>3</v>
      </c>
      <c r="J87" s="528">
        <v>46</v>
      </c>
      <c r="K87" s="537" t="s">
        <v>30</v>
      </c>
      <c r="L87" s="1128">
        <f>M87+N87+O87+P87+Q87+M88+N88+O88+Q88</f>
        <v>1365345.92</v>
      </c>
      <c r="M87" s="519">
        <v>481063.62</v>
      </c>
      <c r="N87" s="388"/>
      <c r="O87" s="473">
        <v>3707.37</v>
      </c>
      <c r="P87" s="388"/>
      <c r="Q87" s="388"/>
      <c r="R87" s="528">
        <f>M87/J87</f>
        <v>10457.904782608695</v>
      </c>
      <c r="S87" s="388">
        <f t="shared" si="8"/>
        <v>880574.92999999993</v>
      </c>
      <c r="T87" s="389"/>
      <c r="U87" s="391"/>
      <c r="V87" s="388"/>
      <c r="W87" s="387"/>
      <c r="Z87" s="419"/>
    </row>
    <row r="88" spans="1:26" s="416" customFormat="1" ht="54.75" hidden="1" customHeight="1">
      <c r="A88" s="404"/>
      <c r="B88" s="403"/>
      <c r="C88" s="455"/>
      <c r="D88" s="545"/>
      <c r="E88" s="391"/>
      <c r="F88" s="388"/>
      <c r="G88" s="391"/>
      <c r="H88" s="528"/>
      <c r="I88" s="528"/>
      <c r="J88" s="528"/>
      <c r="K88" s="537" t="s">
        <v>38</v>
      </c>
      <c r="L88" s="1128"/>
      <c r="M88" s="519">
        <v>875599.93</v>
      </c>
      <c r="N88" s="388"/>
      <c r="O88" s="473">
        <v>4975</v>
      </c>
      <c r="P88" s="388"/>
      <c r="Q88" s="388"/>
      <c r="R88" s="446">
        <f>M88/E87</f>
        <v>875.59993000000009</v>
      </c>
      <c r="S88" s="388">
        <f t="shared" si="8"/>
        <v>-880574.93</v>
      </c>
      <c r="T88" s="389" t="s">
        <v>4192</v>
      </c>
      <c r="U88" s="391"/>
      <c r="V88" s="388"/>
      <c r="W88" s="387"/>
      <c r="Z88" s="419"/>
    </row>
    <row r="89" spans="1:26" s="416" customFormat="1" ht="54.75" hidden="1" customHeight="1">
      <c r="A89" s="404">
        <f>A87+1</f>
        <v>60</v>
      </c>
      <c r="B89" s="403" t="s">
        <v>493</v>
      </c>
      <c r="C89" s="531" t="s">
        <v>272</v>
      </c>
      <c r="D89" s="532">
        <v>5344</v>
      </c>
      <c r="E89" s="391">
        <v>426.1</v>
      </c>
      <c r="F89" s="391" t="s">
        <v>223</v>
      </c>
      <c r="G89" s="535">
        <v>554</v>
      </c>
      <c r="H89" s="536">
        <v>3</v>
      </c>
      <c r="I89" s="536">
        <v>2</v>
      </c>
      <c r="J89" s="536">
        <v>13</v>
      </c>
      <c r="K89" s="397" t="s">
        <v>30</v>
      </c>
      <c r="L89" s="529">
        <f>M89+N89+O89+P89+Q89</f>
        <v>264338.7</v>
      </c>
      <c r="M89" s="519">
        <v>259707.97</v>
      </c>
      <c r="N89" s="394"/>
      <c r="O89" s="473">
        <v>4630.7299999999996</v>
      </c>
      <c r="P89" s="388"/>
      <c r="Q89" s="388"/>
      <c r="R89" s="528">
        <f>M89/J89</f>
        <v>19977.536153846155</v>
      </c>
      <c r="S89" s="388">
        <f t="shared" si="8"/>
        <v>1.0913936421275139E-11</v>
      </c>
      <c r="T89" s="389"/>
      <c r="U89" s="391"/>
      <c r="V89" s="388"/>
      <c r="W89" s="387"/>
      <c r="Z89" s="419"/>
    </row>
    <row r="90" spans="1:26" s="416" customFormat="1" ht="54.75" hidden="1" customHeight="1">
      <c r="A90" s="404">
        <f>A89+1</f>
        <v>61</v>
      </c>
      <c r="B90" s="403" t="s">
        <v>494</v>
      </c>
      <c r="C90" s="531" t="s">
        <v>272</v>
      </c>
      <c r="D90" s="532">
        <v>16623</v>
      </c>
      <c r="E90" s="391">
        <v>883.7</v>
      </c>
      <c r="F90" s="391" t="s">
        <v>223</v>
      </c>
      <c r="G90" s="535">
        <v>1149</v>
      </c>
      <c r="H90" s="536">
        <v>5</v>
      </c>
      <c r="I90" s="536">
        <v>4</v>
      </c>
      <c r="J90" s="536">
        <v>64</v>
      </c>
      <c r="K90" s="397" t="s">
        <v>30</v>
      </c>
      <c r="L90" s="529">
        <f>M90+N90+O90+P90+Q90</f>
        <v>1275488.97</v>
      </c>
      <c r="M90" s="547">
        <v>1270330.8899999999</v>
      </c>
      <c r="N90" s="388"/>
      <c r="O90" s="473">
        <v>5158.08</v>
      </c>
      <c r="P90" s="388"/>
      <c r="Q90" s="388"/>
      <c r="R90" s="446">
        <f>M90/J90</f>
        <v>19848.920156249998</v>
      </c>
      <c r="S90" s="388">
        <f t="shared" si="8"/>
        <v>7.4578565545380116E-11</v>
      </c>
      <c r="T90" s="389"/>
      <c r="U90" s="391"/>
      <c r="V90" s="388"/>
      <c r="W90" s="387"/>
      <c r="Z90" s="419"/>
    </row>
    <row r="91" spans="1:26" s="416" customFormat="1" ht="54.75" hidden="1" customHeight="1">
      <c r="A91" s="404">
        <f>A90+1</f>
        <v>62</v>
      </c>
      <c r="B91" s="403" t="s">
        <v>495</v>
      </c>
      <c r="C91" s="455" t="s">
        <v>272</v>
      </c>
      <c r="D91" s="532">
        <v>2775</v>
      </c>
      <c r="E91" s="391">
        <v>493.7</v>
      </c>
      <c r="F91" s="542" t="s">
        <v>223</v>
      </c>
      <c r="G91" s="535">
        <v>493.7</v>
      </c>
      <c r="H91" s="536">
        <v>2</v>
      </c>
      <c r="I91" s="536">
        <v>2</v>
      </c>
      <c r="J91" s="536">
        <v>18</v>
      </c>
      <c r="K91" s="537" t="s">
        <v>30</v>
      </c>
      <c r="L91" s="529">
        <f>M91+N91+O91+P91+Q91</f>
        <v>428287.67000000004</v>
      </c>
      <c r="M91" s="547">
        <v>426836.96</v>
      </c>
      <c r="N91" s="388"/>
      <c r="O91" s="473">
        <v>1450.71</v>
      </c>
      <c r="P91" s="388"/>
      <c r="Q91" s="388"/>
      <c r="R91" s="446">
        <f>M91/J91</f>
        <v>23713.164444444446</v>
      </c>
      <c r="S91" s="388">
        <f t="shared" si="8"/>
        <v>2.0918378140777349E-11</v>
      </c>
      <c r="T91" s="392"/>
      <c r="U91" s="391"/>
      <c r="V91" s="388"/>
      <c r="W91" s="387"/>
      <c r="Z91" s="419"/>
    </row>
    <row r="92" spans="1:26" s="416" customFormat="1" ht="54.75" hidden="1" customHeight="1">
      <c r="A92" s="1112">
        <v>63</v>
      </c>
      <c r="B92" s="403" t="s">
        <v>3676</v>
      </c>
      <c r="C92" s="531" t="s">
        <v>272</v>
      </c>
      <c r="D92" s="532">
        <v>16106</v>
      </c>
      <c r="E92" s="391">
        <v>2376.64</v>
      </c>
      <c r="F92" s="533" t="s">
        <v>234</v>
      </c>
      <c r="G92" s="535">
        <v>1223</v>
      </c>
      <c r="H92" s="536">
        <v>5</v>
      </c>
      <c r="I92" s="536">
        <v>4</v>
      </c>
      <c r="J92" s="536">
        <v>70</v>
      </c>
      <c r="K92" s="397" t="s">
        <v>30</v>
      </c>
      <c r="L92" s="1128">
        <f>M92+N92+O92+P92+Q92+M93+N93+O93+P93+Q93</f>
        <v>6283823.4000000004</v>
      </c>
      <c r="M92" s="519">
        <v>1567805.56</v>
      </c>
      <c r="N92" s="388"/>
      <c r="O92" s="473">
        <v>5641.65</v>
      </c>
      <c r="P92" s="388"/>
      <c r="Q92" s="388"/>
      <c r="R92" s="446">
        <f>M92/J92</f>
        <v>22397.222285714288</v>
      </c>
      <c r="S92" s="388">
        <f t="shared" si="8"/>
        <v>4710376.1899999995</v>
      </c>
      <c r="T92" s="389"/>
      <c r="U92" s="391"/>
      <c r="V92" s="388"/>
      <c r="W92" s="387"/>
      <c r="Z92" s="419"/>
    </row>
    <row r="93" spans="1:26" s="416" customFormat="1" ht="44.25" hidden="1" customHeight="1">
      <c r="A93" s="1112"/>
      <c r="B93" s="403"/>
      <c r="C93" s="455"/>
      <c r="D93" s="532"/>
      <c r="E93" s="391"/>
      <c r="F93" s="533"/>
      <c r="G93" s="535"/>
      <c r="H93" s="536"/>
      <c r="I93" s="536"/>
      <c r="J93" s="536"/>
      <c r="K93" s="458" t="s">
        <v>33</v>
      </c>
      <c r="L93" s="1128"/>
      <c r="M93" s="538">
        <v>4670416.1900000004</v>
      </c>
      <c r="N93" s="388">
        <v>39960</v>
      </c>
      <c r="O93" s="473"/>
      <c r="P93" s="388"/>
      <c r="Q93" s="388"/>
      <c r="R93" s="446">
        <f>M93/G92</f>
        <v>3818.8194521668033</v>
      </c>
      <c r="S93" s="388">
        <f t="shared" si="8"/>
        <v>-4710376.1900000004</v>
      </c>
      <c r="T93" s="392"/>
      <c r="U93" s="391"/>
      <c r="V93" s="539"/>
      <c r="W93" s="387"/>
      <c r="Z93" s="419"/>
    </row>
    <row r="94" spans="1:26" s="416" customFormat="1" ht="54.75" hidden="1" customHeight="1">
      <c r="A94" s="404">
        <v>64</v>
      </c>
      <c r="B94" s="403" t="s">
        <v>496</v>
      </c>
      <c r="C94" s="455" t="s">
        <v>272</v>
      </c>
      <c r="D94" s="545">
        <v>6100</v>
      </c>
      <c r="E94" s="391">
        <v>1151.98</v>
      </c>
      <c r="F94" s="388" t="s">
        <v>369</v>
      </c>
      <c r="G94" s="391">
        <v>876.4</v>
      </c>
      <c r="H94" s="528">
        <v>3</v>
      </c>
      <c r="I94" s="528">
        <v>3</v>
      </c>
      <c r="J94" s="528">
        <v>35</v>
      </c>
      <c r="K94" s="537" t="s">
        <v>30</v>
      </c>
      <c r="L94" s="529">
        <f>M94+N94+O94+P94+Q94</f>
        <v>871193.97</v>
      </c>
      <c r="M94" s="519">
        <v>868373.15</v>
      </c>
      <c r="N94" s="388"/>
      <c r="O94" s="530">
        <v>2820.82</v>
      </c>
      <c r="P94" s="388"/>
      <c r="Q94" s="388"/>
      <c r="R94" s="446">
        <f>M94/J94</f>
        <v>24810.661428571428</v>
      </c>
      <c r="S94" s="388">
        <f t="shared" si="8"/>
        <v>-5.1386450650170445E-11</v>
      </c>
      <c r="T94" s="392"/>
      <c r="U94" s="391"/>
      <c r="V94" s="388"/>
      <c r="W94" s="387"/>
      <c r="Z94" s="419"/>
    </row>
    <row r="95" spans="1:26" s="416" customFormat="1" ht="54.75" hidden="1" customHeight="1">
      <c r="A95" s="404">
        <f>A94+1</f>
        <v>65</v>
      </c>
      <c r="B95" s="403" t="s">
        <v>497</v>
      </c>
      <c r="C95" s="455" t="s">
        <v>218</v>
      </c>
      <c r="D95" s="487">
        <v>12131</v>
      </c>
      <c r="E95" s="388">
        <v>2361</v>
      </c>
      <c r="F95" s="388" t="s">
        <v>223</v>
      </c>
      <c r="G95" s="388">
        <v>1124</v>
      </c>
      <c r="H95" s="528">
        <v>5</v>
      </c>
      <c r="I95" s="528">
        <v>4</v>
      </c>
      <c r="J95" s="528">
        <v>80</v>
      </c>
      <c r="K95" s="397" t="s">
        <v>30</v>
      </c>
      <c r="L95" s="529">
        <f>M95+N95+O95+P95+Q95</f>
        <v>1673331.36</v>
      </c>
      <c r="M95" s="519">
        <v>1666883.76</v>
      </c>
      <c r="N95" s="388"/>
      <c r="O95" s="530">
        <v>6447.6</v>
      </c>
      <c r="P95" s="388"/>
      <c r="Q95" s="388"/>
      <c r="R95" s="446">
        <f>M95/J95</f>
        <v>20836.046999999999</v>
      </c>
      <c r="S95" s="388">
        <f t="shared" si="8"/>
        <v>9.276845958083868E-11</v>
      </c>
      <c r="T95" s="389"/>
      <c r="U95" s="391"/>
      <c r="V95" s="388"/>
      <c r="W95" s="387"/>
      <c r="Z95" s="419"/>
    </row>
    <row r="96" spans="1:26" s="979" customFormat="1" ht="54.75" hidden="1" customHeight="1">
      <c r="A96" s="404">
        <f>A95+1</f>
        <v>66</v>
      </c>
      <c r="B96" s="403" t="s">
        <v>498</v>
      </c>
      <c r="C96" s="455" t="s">
        <v>272</v>
      </c>
      <c r="D96" s="545">
        <v>7229</v>
      </c>
      <c r="E96" s="391">
        <v>1366.1</v>
      </c>
      <c r="F96" s="568" t="s">
        <v>223</v>
      </c>
      <c r="G96" s="558">
        <v>944.5</v>
      </c>
      <c r="H96" s="561">
        <v>3</v>
      </c>
      <c r="I96" s="555">
        <v>3</v>
      </c>
      <c r="J96" s="555">
        <v>27</v>
      </c>
      <c r="K96" s="397" t="s">
        <v>30</v>
      </c>
      <c r="L96" s="529">
        <f>M96+N96+O96+P96+Q96</f>
        <v>799589.1100000001</v>
      </c>
      <c r="M96" s="557">
        <v>797413.05</v>
      </c>
      <c r="N96" s="558"/>
      <c r="O96" s="562">
        <v>2176.06</v>
      </c>
      <c r="P96" s="558"/>
      <c r="Q96" s="560"/>
      <c r="R96" s="446">
        <f>M96/J96</f>
        <v>29533.816666666669</v>
      </c>
      <c r="S96" s="388">
        <f t="shared" si="8"/>
        <v>5.5933924159035087E-11</v>
      </c>
      <c r="T96" s="389"/>
      <c r="U96" s="391"/>
      <c r="V96" s="568"/>
      <c r="W96" s="387"/>
      <c r="Z96" s="419"/>
    </row>
    <row r="97" spans="1:26" s="458" customFormat="1" ht="62.25" hidden="1" customHeight="1">
      <c r="A97" s="404">
        <f>A96+1</f>
        <v>67</v>
      </c>
      <c r="B97" s="403" t="s">
        <v>500</v>
      </c>
      <c r="C97" s="531" t="s">
        <v>272</v>
      </c>
      <c r="D97" s="566">
        <v>17015</v>
      </c>
      <c r="E97" s="388">
        <v>3088</v>
      </c>
      <c r="F97" s="391" t="s">
        <v>223</v>
      </c>
      <c r="G97" s="388">
        <v>1382</v>
      </c>
      <c r="H97" s="572">
        <v>4</v>
      </c>
      <c r="I97" s="572">
        <v>4</v>
      </c>
      <c r="J97" s="572">
        <v>50</v>
      </c>
      <c r="K97" s="458" t="s">
        <v>33</v>
      </c>
      <c r="L97" s="1128">
        <f>M97+N97+O97+P97+Q97+M98+N98+O98+Q98</f>
        <v>9796000.8399999999</v>
      </c>
      <c r="M97" s="551">
        <v>4360897.26</v>
      </c>
      <c r="N97" s="388"/>
      <c r="O97" s="473">
        <v>11040.92</v>
      </c>
      <c r="P97" s="388"/>
      <c r="Q97" s="388"/>
      <c r="R97" s="528">
        <f>M97/G97</f>
        <v>3155.4972937771345</v>
      </c>
      <c r="S97" s="388">
        <f t="shared" si="8"/>
        <v>5424062.6600000001</v>
      </c>
      <c r="T97" s="392"/>
      <c r="U97" s="391"/>
      <c r="V97" s="550"/>
      <c r="W97" s="387"/>
      <c r="Z97" s="419"/>
    </row>
    <row r="98" spans="1:26" s="458" customFormat="1" ht="62.25" hidden="1" customHeight="1">
      <c r="A98" s="404"/>
      <c r="B98" s="403"/>
      <c r="C98" s="531"/>
      <c r="D98" s="566"/>
      <c r="E98" s="388"/>
      <c r="F98" s="391"/>
      <c r="G98" s="388"/>
      <c r="H98" s="572"/>
      <c r="I98" s="572"/>
      <c r="J98" s="572"/>
      <c r="K98" s="458" t="s">
        <v>38</v>
      </c>
      <c r="L98" s="1128"/>
      <c r="M98" s="551">
        <v>5405627.2999999998</v>
      </c>
      <c r="N98" s="388"/>
      <c r="O98" s="473">
        <v>18435.36</v>
      </c>
      <c r="P98" s="388"/>
      <c r="Q98" s="388"/>
      <c r="R98" s="528">
        <f>M98/E97</f>
        <v>1750.5269753886009</v>
      </c>
      <c r="S98" s="388">
        <f t="shared" si="8"/>
        <v>-5424062.6600000001</v>
      </c>
      <c r="T98" s="392"/>
      <c r="U98" s="391"/>
      <c r="V98" s="550"/>
      <c r="W98" s="387"/>
      <c r="Z98" s="419"/>
    </row>
    <row r="99" spans="1:26" s="458" customFormat="1" ht="35.25" hidden="1" customHeight="1">
      <c r="A99" s="404">
        <v>68</v>
      </c>
      <c r="B99" s="403" t="s">
        <v>501</v>
      </c>
      <c r="C99" s="531" t="s">
        <v>272</v>
      </c>
      <c r="D99" s="566">
        <v>16161</v>
      </c>
      <c r="E99" s="388">
        <v>3423</v>
      </c>
      <c r="F99" s="391" t="s">
        <v>223</v>
      </c>
      <c r="G99" s="388">
        <v>1595</v>
      </c>
      <c r="H99" s="572">
        <v>4</v>
      </c>
      <c r="I99" s="572">
        <v>5</v>
      </c>
      <c r="J99" s="572">
        <v>57</v>
      </c>
      <c r="K99" s="458" t="s">
        <v>33</v>
      </c>
      <c r="L99" s="1128">
        <f>M99+N99+O99+P99+Q99+M100+N100+O100+Q100+M101+N101+O101+Q101</f>
        <v>11963127.02</v>
      </c>
      <c r="M99" s="519">
        <v>5286074.99</v>
      </c>
      <c r="N99" s="388"/>
      <c r="O99" s="473">
        <v>16663.759999999998</v>
      </c>
      <c r="P99" s="388"/>
      <c r="Q99" s="388"/>
      <c r="R99" s="528">
        <f>M99/G99</f>
        <v>3314.1535987460816</v>
      </c>
      <c r="S99" s="388">
        <f t="shared" ref="S99:S120" si="9">L99-M99-N99-O99-P99-Q99</f>
        <v>6660388.2699999996</v>
      </c>
      <c r="T99" s="392"/>
      <c r="U99" s="391"/>
      <c r="V99" s="388"/>
      <c r="W99" s="387"/>
      <c r="Z99" s="419"/>
    </row>
    <row r="100" spans="1:26" s="458" customFormat="1" ht="35.25" hidden="1" customHeight="1">
      <c r="A100" s="404"/>
      <c r="B100" s="403"/>
      <c r="C100" s="531"/>
      <c r="D100" s="566"/>
      <c r="E100" s="388"/>
      <c r="F100" s="391"/>
      <c r="G100" s="388"/>
      <c r="H100" s="572"/>
      <c r="I100" s="572"/>
      <c r="J100" s="572"/>
      <c r="K100" s="458" t="s">
        <v>38</v>
      </c>
      <c r="L100" s="1128"/>
      <c r="M100" s="519">
        <v>5422604.9500000002</v>
      </c>
      <c r="N100" s="388"/>
      <c r="O100" s="473">
        <v>20435.310000000001</v>
      </c>
      <c r="P100" s="388"/>
      <c r="Q100" s="388"/>
      <c r="R100" s="528">
        <f>M100/E99</f>
        <v>1584.167382413088</v>
      </c>
      <c r="S100" s="388">
        <f t="shared" si="9"/>
        <v>-5443040.2599999998</v>
      </c>
      <c r="T100" s="392"/>
      <c r="U100" s="391"/>
      <c r="V100" s="388"/>
      <c r="W100" s="387"/>
      <c r="Z100" s="419"/>
    </row>
    <row r="101" spans="1:26" s="458" customFormat="1" ht="59.25" hidden="1" customHeight="1">
      <c r="A101" s="404"/>
      <c r="B101" s="403"/>
      <c r="C101" s="531"/>
      <c r="D101" s="566"/>
      <c r="E101" s="388"/>
      <c r="F101" s="391"/>
      <c r="G101" s="388"/>
      <c r="H101" s="572"/>
      <c r="I101" s="572"/>
      <c r="J101" s="572"/>
      <c r="K101" s="458" t="s">
        <v>225</v>
      </c>
      <c r="L101" s="1128"/>
      <c r="M101" s="519">
        <v>1187498.01</v>
      </c>
      <c r="N101" s="388">
        <v>29850</v>
      </c>
      <c r="O101" s="473"/>
      <c r="P101" s="388"/>
      <c r="Q101" s="388"/>
      <c r="R101" s="528">
        <f>M101/J99</f>
        <v>20833.29842105263</v>
      </c>
      <c r="S101" s="388">
        <f t="shared" si="9"/>
        <v>-1217348.01</v>
      </c>
      <c r="T101" s="392"/>
      <c r="U101" s="391"/>
      <c r="V101" s="388"/>
      <c r="W101" s="387"/>
      <c r="Z101" s="419"/>
    </row>
    <row r="102" spans="1:26" s="458" customFormat="1" ht="62.25" hidden="1" customHeight="1">
      <c r="A102" s="404">
        <v>69</v>
      </c>
      <c r="B102" s="403" t="s">
        <v>502</v>
      </c>
      <c r="C102" s="531" t="s">
        <v>272</v>
      </c>
      <c r="D102" s="566">
        <v>19789</v>
      </c>
      <c r="E102" s="388">
        <v>3488</v>
      </c>
      <c r="F102" s="391" t="s">
        <v>223</v>
      </c>
      <c r="G102" s="388">
        <v>1565</v>
      </c>
      <c r="H102" s="572">
        <v>4</v>
      </c>
      <c r="I102" s="572">
        <v>5</v>
      </c>
      <c r="J102" s="572">
        <v>61</v>
      </c>
      <c r="K102" s="458" t="s">
        <v>33</v>
      </c>
      <c r="L102" s="1128">
        <f>M102+N102+O102+P102+Q102+M103+N103+O103+Q103</f>
        <v>10675915.199999999</v>
      </c>
      <c r="M102" s="551">
        <v>4531521.1500000004</v>
      </c>
      <c r="N102" s="388"/>
      <c r="O102" s="473">
        <v>15807.07</v>
      </c>
      <c r="P102" s="388"/>
      <c r="Q102" s="388"/>
      <c r="R102" s="446">
        <f>M102/G102</f>
        <v>2895.540670926518</v>
      </c>
      <c r="S102" s="388">
        <f t="shared" si="9"/>
        <v>6128586.9799999986</v>
      </c>
      <c r="T102" s="392"/>
      <c r="U102" s="391"/>
      <c r="V102" s="550"/>
      <c r="W102" s="387"/>
      <c r="Z102" s="419"/>
    </row>
    <row r="103" spans="1:26" s="458" customFormat="1" ht="62.25" hidden="1" customHeight="1">
      <c r="A103" s="404"/>
      <c r="B103" s="403"/>
      <c r="C103" s="531"/>
      <c r="D103" s="566"/>
      <c r="E103" s="388"/>
      <c r="F103" s="391"/>
      <c r="G103" s="388"/>
      <c r="H103" s="572"/>
      <c r="I103" s="572"/>
      <c r="J103" s="572"/>
      <c r="K103" s="458" t="s">
        <v>38</v>
      </c>
      <c r="L103" s="1128"/>
      <c r="M103" s="551">
        <v>6107763.6200000001</v>
      </c>
      <c r="N103" s="388"/>
      <c r="O103" s="473">
        <v>20823.36</v>
      </c>
      <c r="P103" s="388"/>
      <c r="Q103" s="388"/>
      <c r="R103" s="446">
        <f>M103/E102</f>
        <v>1751.0790194954129</v>
      </c>
      <c r="S103" s="388">
        <f t="shared" si="9"/>
        <v>-6128586.9800000004</v>
      </c>
      <c r="T103" s="392"/>
      <c r="U103" s="391"/>
      <c r="V103" s="550"/>
      <c r="W103" s="387"/>
      <c r="Z103" s="419"/>
    </row>
    <row r="104" spans="1:26" s="416" customFormat="1" ht="43.9" hidden="1" customHeight="1">
      <c r="A104" s="404">
        <v>70</v>
      </c>
      <c r="B104" s="403" t="s">
        <v>503</v>
      </c>
      <c r="C104" s="531" t="s">
        <v>272</v>
      </c>
      <c r="D104" s="545">
        <v>3231</v>
      </c>
      <c r="E104" s="391">
        <v>480</v>
      </c>
      <c r="F104" s="391" t="s">
        <v>223</v>
      </c>
      <c r="G104" s="391">
        <v>497</v>
      </c>
      <c r="H104" s="528">
        <v>2</v>
      </c>
      <c r="I104" s="528">
        <v>1</v>
      </c>
      <c r="J104" s="446">
        <v>29</v>
      </c>
      <c r="K104" s="458" t="s">
        <v>33</v>
      </c>
      <c r="L104" s="529">
        <f>M104+N104+O104+P104+Q104</f>
        <v>1180110.69</v>
      </c>
      <c r="M104" s="547">
        <v>1175956.76</v>
      </c>
      <c r="N104" s="388"/>
      <c r="O104" s="473">
        <v>4153.93</v>
      </c>
      <c r="P104" s="388"/>
      <c r="Q104" s="388"/>
      <c r="R104" s="446">
        <f>M104/G104</f>
        <v>2366.1101810865193</v>
      </c>
      <c r="S104" s="388">
        <f t="shared" si="9"/>
        <v>-6.5483618527650833E-11</v>
      </c>
      <c r="T104" s="389"/>
      <c r="U104" s="391"/>
      <c r="V104" s="388"/>
      <c r="W104" s="387"/>
      <c r="Z104" s="419"/>
    </row>
    <row r="105" spans="1:26" s="416" customFormat="1" ht="1.5" hidden="1" customHeight="1">
      <c r="A105" s="404">
        <f>A104+1</f>
        <v>71</v>
      </c>
      <c r="B105" s="403" t="s">
        <v>504</v>
      </c>
      <c r="C105" s="455" t="s">
        <v>222</v>
      </c>
      <c r="D105" s="532">
        <v>19226</v>
      </c>
      <c r="E105" s="535">
        <v>4900</v>
      </c>
      <c r="F105" s="542" t="s">
        <v>234</v>
      </c>
      <c r="G105" s="535">
        <v>1400</v>
      </c>
      <c r="H105" s="536">
        <v>9</v>
      </c>
      <c r="I105" s="536">
        <v>1</v>
      </c>
      <c r="J105" s="536">
        <v>71</v>
      </c>
      <c r="K105" s="458" t="s">
        <v>33</v>
      </c>
      <c r="L105" s="529">
        <f>M105+N105+O105+P105+Q105+M106+N106+O106+Q106</f>
        <v>3222971.34</v>
      </c>
      <c r="M105" s="538">
        <v>1375556.75</v>
      </c>
      <c r="N105" s="539"/>
      <c r="O105" s="540">
        <v>8775.9</v>
      </c>
      <c r="P105" s="388"/>
      <c r="Q105" s="541"/>
      <c r="R105" s="446">
        <f>M105/G105</f>
        <v>982.54053571428574</v>
      </c>
      <c r="S105" s="388">
        <f t="shared" si="9"/>
        <v>1838638.69</v>
      </c>
      <c r="T105" s="392"/>
      <c r="U105" s="391"/>
      <c r="V105" s="539"/>
      <c r="W105" s="387"/>
      <c r="Z105" s="419"/>
    </row>
    <row r="106" spans="1:26" s="416" customFormat="1" ht="72.75" hidden="1" customHeight="1">
      <c r="A106" s="404"/>
      <c r="B106" s="403"/>
      <c r="C106" s="455"/>
      <c r="D106" s="532"/>
      <c r="E106" s="535"/>
      <c r="F106" s="542"/>
      <c r="G106" s="535"/>
      <c r="H106" s="536"/>
      <c r="I106" s="536"/>
      <c r="J106" s="536"/>
      <c r="K106" s="458" t="s">
        <v>30</v>
      </c>
      <c r="L106" s="529"/>
      <c r="M106" s="538">
        <v>1835836.77</v>
      </c>
      <c r="N106" s="539"/>
      <c r="O106" s="540">
        <v>2801.92</v>
      </c>
      <c r="P106" s="388"/>
      <c r="Q106" s="541"/>
      <c r="R106" s="446">
        <f>M106/J105</f>
        <v>25856.855915492957</v>
      </c>
      <c r="S106" s="388">
        <f t="shared" si="9"/>
        <v>-1838638.69</v>
      </c>
      <c r="T106" s="392"/>
      <c r="U106" s="391"/>
      <c r="V106" s="539"/>
      <c r="W106" s="387"/>
      <c r="Z106" s="419"/>
    </row>
    <row r="107" spans="1:26" s="416" customFormat="1" ht="54.75" hidden="1" customHeight="1">
      <c r="A107" s="404">
        <f>A105+1</f>
        <v>72</v>
      </c>
      <c r="B107" s="403" t="s">
        <v>505</v>
      </c>
      <c r="C107" s="455" t="s">
        <v>367</v>
      </c>
      <c r="D107" s="532">
        <v>1597</v>
      </c>
      <c r="E107" s="391">
        <v>341.16</v>
      </c>
      <c r="F107" s="542" t="s">
        <v>369</v>
      </c>
      <c r="G107" s="535">
        <v>329</v>
      </c>
      <c r="H107" s="536">
        <v>2</v>
      </c>
      <c r="I107" s="536">
        <v>1</v>
      </c>
      <c r="J107" s="536">
        <v>8</v>
      </c>
      <c r="K107" s="397" t="s">
        <v>30</v>
      </c>
      <c r="L107" s="529">
        <f>M107+N107+O107+P107+Q107</f>
        <v>138736.12</v>
      </c>
      <c r="M107" s="519">
        <v>138091.35999999999</v>
      </c>
      <c r="N107" s="388"/>
      <c r="O107" s="473">
        <v>644.76</v>
      </c>
      <c r="P107" s="388"/>
      <c r="Q107" s="388"/>
      <c r="R107" s="446">
        <f>M107/J107</f>
        <v>17261.419999999998</v>
      </c>
      <c r="S107" s="388">
        <f t="shared" si="9"/>
        <v>9.3223206931725144E-12</v>
      </c>
      <c r="T107" s="389"/>
      <c r="U107" s="391"/>
      <c r="V107" s="388"/>
      <c r="W107" s="387"/>
      <c r="Z107" s="419"/>
    </row>
    <row r="108" spans="1:26" s="416" customFormat="1" ht="52.5" hidden="1" customHeight="1">
      <c r="A108" s="1152">
        <v>73</v>
      </c>
      <c r="B108" s="403" t="s">
        <v>506</v>
      </c>
      <c r="C108" s="455" t="s">
        <v>218</v>
      </c>
      <c r="D108" s="532">
        <v>12068</v>
      </c>
      <c r="E108" s="391">
        <v>2395.0100000000002</v>
      </c>
      <c r="F108" s="542" t="s">
        <v>234</v>
      </c>
      <c r="G108" s="535">
        <v>521</v>
      </c>
      <c r="H108" s="536">
        <v>9</v>
      </c>
      <c r="I108" s="536">
        <v>1</v>
      </c>
      <c r="J108" s="536">
        <v>72</v>
      </c>
      <c r="K108" s="397" t="s">
        <v>30</v>
      </c>
      <c r="L108" s="1128">
        <f>M108+N108+O108+P108+Q108+M109+N109+O109+P109+Q109</f>
        <v>2003508.7499999998</v>
      </c>
      <c r="M108" s="519">
        <v>1267417.8</v>
      </c>
      <c r="N108" s="388"/>
      <c r="O108" s="540">
        <v>6877.44</v>
      </c>
      <c r="P108" s="388"/>
      <c r="Q108" s="541"/>
      <c r="R108" s="446">
        <f>M108/J108</f>
        <v>17603.025000000001</v>
      </c>
      <c r="S108" s="388">
        <f t="shared" si="9"/>
        <v>729213.50999999978</v>
      </c>
      <c r="T108" s="389"/>
      <c r="U108" s="391"/>
      <c r="V108" s="388"/>
      <c r="W108" s="387"/>
      <c r="Z108" s="419"/>
    </row>
    <row r="109" spans="1:26" s="416" customFormat="1" ht="33.6" hidden="1" customHeight="1">
      <c r="A109" s="1152"/>
      <c r="B109" s="403"/>
      <c r="C109" s="455"/>
      <c r="D109" s="532"/>
      <c r="E109" s="391"/>
      <c r="F109" s="542"/>
      <c r="G109" s="535"/>
      <c r="H109" s="536"/>
      <c r="I109" s="536"/>
      <c r="J109" s="536"/>
      <c r="K109" s="458" t="s">
        <v>33</v>
      </c>
      <c r="L109" s="1128"/>
      <c r="M109" s="538">
        <v>725947.62</v>
      </c>
      <c r="N109" s="388"/>
      <c r="O109" s="540">
        <v>3265.89</v>
      </c>
      <c r="P109" s="388"/>
      <c r="Q109" s="541"/>
      <c r="R109" s="446">
        <f>M109/G108</f>
        <v>1393.3735508637235</v>
      </c>
      <c r="S109" s="388">
        <f t="shared" si="9"/>
        <v>-729213.51</v>
      </c>
      <c r="T109" s="392"/>
      <c r="U109" s="391"/>
      <c r="V109" s="539"/>
      <c r="W109" s="387"/>
      <c r="Z109" s="419"/>
    </row>
    <row r="110" spans="1:26" s="416" customFormat="1" ht="54.75" hidden="1" customHeight="1">
      <c r="A110" s="404">
        <v>74</v>
      </c>
      <c r="B110" s="403" t="s">
        <v>507</v>
      </c>
      <c r="C110" s="531" t="s">
        <v>272</v>
      </c>
      <c r="D110" s="532">
        <v>4137</v>
      </c>
      <c r="E110" s="391">
        <v>796</v>
      </c>
      <c r="F110" s="391" t="s">
        <v>223</v>
      </c>
      <c r="G110" s="535">
        <v>678</v>
      </c>
      <c r="H110" s="536">
        <v>2</v>
      </c>
      <c r="I110" s="536">
        <v>1</v>
      </c>
      <c r="J110" s="536">
        <v>10</v>
      </c>
      <c r="K110" s="397" t="s">
        <v>30</v>
      </c>
      <c r="L110" s="529">
        <f>M110+N110+O110+P110+Q110</f>
        <v>302603.54000000004</v>
      </c>
      <c r="M110" s="519">
        <v>301797.59000000003</v>
      </c>
      <c r="N110" s="388"/>
      <c r="O110" s="473">
        <v>805.95</v>
      </c>
      <c r="P110" s="388"/>
      <c r="Q110" s="388"/>
      <c r="R110" s="446">
        <f>M110/J110</f>
        <v>30179.759000000002</v>
      </c>
      <c r="S110" s="388">
        <f t="shared" si="9"/>
        <v>1.1596057447604835E-11</v>
      </c>
      <c r="T110" s="392"/>
      <c r="U110" s="391"/>
      <c r="V110" s="388"/>
      <c r="W110" s="387"/>
      <c r="Z110" s="419"/>
    </row>
    <row r="111" spans="1:26" s="978" customFormat="1" ht="54.75" hidden="1" customHeight="1">
      <c r="A111" s="1112">
        <v>75</v>
      </c>
      <c r="B111" s="403" t="s">
        <v>508</v>
      </c>
      <c r="C111" s="531" t="s">
        <v>272</v>
      </c>
      <c r="D111" s="532">
        <v>1687</v>
      </c>
      <c r="E111" s="535">
        <v>300</v>
      </c>
      <c r="F111" s="391" t="s">
        <v>223</v>
      </c>
      <c r="G111" s="535">
        <v>336</v>
      </c>
      <c r="H111" s="536">
        <v>2</v>
      </c>
      <c r="I111" s="536">
        <v>1</v>
      </c>
      <c r="J111" s="536">
        <v>8</v>
      </c>
      <c r="K111" s="397" t="s">
        <v>30</v>
      </c>
      <c r="L111" s="1128">
        <f>M111+N111+O111+P111+Q111+M112+N112+O112+P112+Q112</f>
        <v>283254.62</v>
      </c>
      <c r="M111" s="519">
        <v>116950.3</v>
      </c>
      <c r="N111" s="573"/>
      <c r="O111" s="473">
        <v>644.76</v>
      </c>
      <c r="P111" s="388"/>
      <c r="Q111" s="388"/>
      <c r="R111" s="446">
        <f>M111/J111</f>
        <v>14618.7875</v>
      </c>
      <c r="S111" s="388">
        <f t="shared" si="9"/>
        <v>165659.56</v>
      </c>
      <c r="T111" s="389"/>
      <c r="U111" s="391"/>
      <c r="V111" s="388"/>
      <c r="W111" s="387"/>
      <c r="Z111" s="419"/>
    </row>
    <row r="112" spans="1:26" s="978" customFormat="1" ht="33.6" hidden="1" customHeight="1">
      <c r="A112" s="1112"/>
      <c r="B112" s="403"/>
      <c r="C112" s="455"/>
      <c r="D112" s="532"/>
      <c r="E112" s="535"/>
      <c r="F112" s="542"/>
      <c r="G112" s="535"/>
      <c r="H112" s="536"/>
      <c r="I112" s="536"/>
      <c r="J112" s="536"/>
      <c r="K112" s="458" t="s">
        <v>225</v>
      </c>
      <c r="L112" s="1128"/>
      <c r="M112" s="519">
        <v>133691.56</v>
      </c>
      <c r="N112" s="539">
        <v>31968</v>
      </c>
      <c r="O112" s="473"/>
      <c r="P112" s="388"/>
      <c r="Q112" s="388"/>
      <c r="R112" s="446">
        <f>M112/J111</f>
        <v>16711.445</v>
      </c>
      <c r="S112" s="388">
        <f t="shared" si="9"/>
        <v>-165659.56</v>
      </c>
      <c r="T112" s="389"/>
      <c r="U112" s="391"/>
      <c r="V112" s="388"/>
      <c r="W112" s="387"/>
      <c r="Z112" s="419"/>
    </row>
    <row r="113" spans="1:31" s="416" customFormat="1" ht="55.5" hidden="1" customHeight="1">
      <c r="A113" s="404">
        <v>76</v>
      </c>
      <c r="B113" s="403" t="s">
        <v>512</v>
      </c>
      <c r="C113" s="531" t="s">
        <v>218</v>
      </c>
      <c r="D113" s="549">
        <v>21225</v>
      </c>
      <c r="E113" s="550">
        <v>2450</v>
      </c>
      <c r="F113" s="550" t="s">
        <v>234</v>
      </c>
      <c r="G113" s="550">
        <v>681</v>
      </c>
      <c r="H113" s="446">
        <v>12</v>
      </c>
      <c r="I113" s="446">
        <v>2</v>
      </c>
      <c r="J113" s="549">
        <v>96</v>
      </c>
      <c r="K113" s="574" t="s">
        <v>364</v>
      </c>
      <c r="L113" s="529">
        <f>M113+N113+O113+P113+Q113</f>
        <v>7892006.25</v>
      </c>
      <c r="M113" s="538">
        <v>7744000</v>
      </c>
      <c r="N113" s="539">
        <v>148006.25</v>
      </c>
      <c r="O113" s="540"/>
      <c r="P113" s="388"/>
      <c r="Q113" s="541"/>
      <c r="R113" s="446">
        <v>2200000</v>
      </c>
      <c r="S113" s="388">
        <f t="shared" si="9"/>
        <v>0</v>
      </c>
      <c r="T113" s="389" t="s">
        <v>3588</v>
      </c>
      <c r="U113" s="391"/>
      <c r="V113" s="539"/>
      <c r="W113" s="387"/>
      <c r="Z113" s="419"/>
    </row>
    <row r="114" spans="1:31" s="458" customFormat="1" ht="43.9" hidden="1" customHeight="1">
      <c r="A114" s="404">
        <f>A113+1</f>
        <v>77</v>
      </c>
      <c r="B114" s="403" t="s">
        <v>513</v>
      </c>
      <c r="C114" s="531" t="s">
        <v>218</v>
      </c>
      <c r="D114" s="487">
        <v>31562</v>
      </c>
      <c r="E114" s="388">
        <v>5832</v>
      </c>
      <c r="F114" s="383" t="s">
        <v>234</v>
      </c>
      <c r="G114" s="575">
        <v>1356</v>
      </c>
      <c r="H114" s="528">
        <v>9</v>
      </c>
      <c r="I114" s="528">
        <v>4</v>
      </c>
      <c r="J114" s="576">
        <v>144</v>
      </c>
      <c r="K114" s="397" t="s">
        <v>364</v>
      </c>
      <c r="L114" s="529">
        <f>M114+N114+O114+P114+Q114</f>
        <v>7115602.1399999997</v>
      </c>
      <c r="M114" s="519">
        <v>6967595.8899999997</v>
      </c>
      <c r="N114" s="539">
        <v>148006.25</v>
      </c>
      <c r="O114" s="385"/>
      <c r="P114" s="383"/>
      <c r="Q114" s="388"/>
      <c r="R114" s="446">
        <v>2000000</v>
      </c>
      <c r="S114" s="388">
        <f t="shared" si="9"/>
        <v>0</v>
      </c>
      <c r="T114" s="389"/>
      <c r="U114" s="391"/>
      <c r="V114" s="388"/>
      <c r="W114" s="387"/>
      <c r="Z114" s="419"/>
    </row>
    <row r="115" spans="1:31" s="458" customFormat="1" ht="48.75" hidden="1" customHeight="1">
      <c r="A115" s="404">
        <f>A114+1</f>
        <v>78</v>
      </c>
      <c r="B115" s="403" t="s">
        <v>516</v>
      </c>
      <c r="C115" s="455" t="s">
        <v>218</v>
      </c>
      <c r="D115" s="545">
        <v>30660</v>
      </c>
      <c r="E115" s="391">
        <v>2241.6</v>
      </c>
      <c r="F115" s="388" t="s">
        <v>234</v>
      </c>
      <c r="G115" s="391">
        <v>1335.5</v>
      </c>
      <c r="H115" s="528">
        <v>9</v>
      </c>
      <c r="I115" s="528">
        <v>4</v>
      </c>
      <c r="J115" s="528">
        <v>144</v>
      </c>
      <c r="K115" s="458" t="s">
        <v>225</v>
      </c>
      <c r="L115" s="1128">
        <f>M115+N115+O115+P115+Q115+M116+N116+O116+Q116</f>
        <v>14264178.319999998</v>
      </c>
      <c r="M115" s="519">
        <v>3500852.1099999994</v>
      </c>
      <c r="N115" s="383">
        <v>31968</v>
      </c>
      <c r="O115" s="473"/>
      <c r="P115" s="388"/>
      <c r="Q115" s="388"/>
      <c r="R115" s="528">
        <f>M115/J115</f>
        <v>24311.472986111108</v>
      </c>
      <c r="S115" s="388">
        <f t="shared" si="9"/>
        <v>10731358.209999999</v>
      </c>
      <c r="T115" s="392"/>
      <c r="U115" s="391"/>
      <c r="V115" s="388"/>
      <c r="W115" s="387"/>
      <c r="Z115" s="419"/>
    </row>
    <row r="116" spans="1:31" s="458" customFormat="1" ht="46.9" hidden="1" customHeight="1">
      <c r="A116" s="404"/>
      <c r="B116" s="403"/>
      <c r="C116" s="455"/>
      <c r="D116" s="545"/>
      <c r="E116" s="391"/>
      <c r="F116" s="388"/>
      <c r="G116" s="391"/>
      <c r="H116" s="528"/>
      <c r="I116" s="528"/>
      <c r="J116" s="528"/>
      <c r="K116" s="458" t="s">
        <v>227</v>
      </c>
      <c r="L116" s="1128"/>
      <c r="M116" s="519">
        <v>10704897.18</v>
      </c>
      <c r="N116" s="383">
        <v>26461.03</v>
      </c>
      <c r="O116" s="553"/>
      <c r="P116" s="394"/>
      <c r="Q116" s="394"/>
      <c r="R116" s="528">
        <f>M116/E115</f>
        <v>4775.560840471092</v>
      </c>
      <c r="S116" s="388">
        <f t="shared" si="9"/>
        <v>-10731358.209999999</v>
      </c>
      <c r="T116" s="392"/>
      <c r="U116" s="391"/>
      <c r="V116" s="388"/>
      <c r="W116" s="387"/>
      <c r="Z116" s="419"/>
    </row>
    <row r="117" spans="1:31" s="404" customFormat="1" ht="60.75" hidden="1" customHeight="1">
      <c r="A117" s="404">
        <f>A115+1</f>
        <v>79</v>
      </c>
      <c r="B117" s="403" t="s">
        <v>517</v>
      </c>
      <c r="C117" s="531" t="s">
        <v>272</v>
      </c>
      <c r="D117" s="532">
        <v>2422</v>
      </c>
      <c r="E117" s="535">
        <v>531.79999999999995</v>
      </c>
      <c r="F117" s="391" t="s">
        <v>223</v>
      </c>
      <c r="G117" s="535">
        <v>406.5</v>
      </c>
      <c r="H117" s="536">
        <v>2</v>
      </c>
      <c r="I117" s="536">
        <v>2</v>
      </c>
      <c r="J117" s="536">
        <v>23</v>
      </c>
      <c r="K117" s="397" t="s">
        <v>30</v>
      </c>
      <c r="L117" s="529">
        <f>M117+N117+O117+P117+Q117</f>
        <v>161369.62</v>
      </c>
      <c r="M117" s="519">
        <v>159515.94</v>
      </c>
      <c r="N117" s="388"/>
      <c r="O117" s="473">
        <v>1853.68</v>
      </c>
      <c r="P117" s="388"/>
      <c r="Q117" s="388"/>
      <c r="R117" s="446">
        <f>M117/J117</f>
        <v>6935.4756521739127</v>
      </c>
      <c r="S117" s="388">
        <f t="shared" si="9"/>
        <v>-7.0485839387401938E-12</v>
      </c>
      <c r="T117" s="389"/>
      <c r="U117" s="391"/>
      <c r="V117" s="388"/>
      <c r="W117" s="387"/>
      <c r="Z117" s="419"/>
      <c r="AB117" s="455"/>
      <c r="AC117" s="388"/>
      <c r="AE117" s="390"/>
    </row>
    <row r="118" spans="1:31" s="404" customFormat="1" ht="65.25" hidden="1" customHeight="1">
      <c r="A118" s="404">
        <f>A117+1</f>
        <v>80</v>
      </c>
      <c r="B118" s="403" t="s">
        <v>518</v>
      </c>
      <c r="C118" s="577" t="s">
        <v>240</v>
      </c>
      <c r="D118" s="545">
        <v>12285</v>
      </c>
      <c r="E118" s="391">
        <v>2640</v>
      </c>
      <c r="F118" s="391" t="s">
        <v>223</v>
      </c>
      <c r="G118" s="391">
        <v>1055</v>
      </c>
      <c r="H118" s="528">
        <v>5</v>
      </c>
      <c r="I118" s="528">
        <v>3</v>
      </c>
      <c r="J118" s="528">
        <v>30</v>
      </c>
      <c r="K118" s="537" t="s">
        <v>30</v>
      </c>
      <c r="L118" s="529">
        <f>M118+N118+O118+P118+Q118</f>
        <v>1908450.92</v>
      </c>
      <c r="M118" s="529">
        <v>1906033.0699999998</v>
      </c>
      <c r="N118" s="391"/>
      <c r="O118" s="530">
        <v>2417.85</v>
      </c>
      <c r="P118" s="391">
        <v>0</v>
      </c>
      <c r="Q118" s="391"/>
      <c r="R118" s="446">
        <f>M118/J118</f>
        <v>63534.435666666664</v>
      </c>
      <c r="S118" s="388">
        <f t="shared" si="9"/>
        <v>9.3223206931725144E-11</v>
      </c>
      <c r="T118" s="389"/>
      <c r="U118" s="391"/>
      <c r="V118" s="391"/>
      <c r="W118" s="387"/>
      <c r="Z118" s="419"/>
      <c r="AB118" s="455"/>
      <c r="AC118" s="388"/>
      <c r="AE118" s="390"/>
    </row>
    <row r="119" spans="1:31" s="500" customFormat="1" ht="36" hidden="1" customHeight="1">
      <c r="A119" s="404">
        <f>A118+1</f>
        <v>81</v>
      </c>
      <c r="B119" s="403" t="s">
        <v>519</v>
      </c>
      <c r="C119" s="578" t="s">
        <v>272</v>
      </c>
      <c r="D119" s="545">
        <v>21932</v>
      </c>
      <c r="E119" s="391">
        <v>3720</v>
      </c>
      <c r="F119" s="568" t="s">
        <v>234</v>
      </c>
      <c r="G119" s="391">
        <v>912</v>
      </c>
      <c r="H119" s="561">
        <v>10</v>
      </c>
      <c r="I119" s="555">
        <v>2</v>
      </c>
      <c r="J119" s="555">
        <v>76</v>
      </c>
      <c r="K119" s="397" t="s">
        <v>30</v>
      </c>
      <c r="L119" s="1128">
        <f>M119+N119+O119+P119+Q119+M120+N120+O120+Q120+M121+N121+O121+Q121</f>
        <v>15123106.060000002</v>
      </c>
      <c r="M119" s="557">
        <v>2802829.56</v>
      </c>
      <c r="N119" s="558"/>
      <c r="O119" s="562">
        <v>10596.75</v>
      </c>
      <c r="P119" s="558"/>
      <c r="Q119" s="560"/>
      <c r="R119" s="446">
        <f>M119/J119</f>
        <v>36879.336315789471</v>
      </c>
      <c r="S119" s="388">
        <f t="shared" si="9"/>
        <v>12309679.750000002</v>
      </c>
      <c r="T119" s="389"/>
      <c r="U119" s="391"/>
      <c r="V119" s="568"/>
      <c r="W119" s="387"/>
      <c r="Z119" s="419"/>
    </row>
    <row r="120" spans="1:31" s="500" customFormat="1" ht="54.75" hidden="1" customHeight="1">
      <c r="A120" s="404"/>
      <c r="B120" s="403"/>
      <c r="C120" s="578"/>
      <c r="D120" s="545"/>
      <c r="E120" s="391"/>
      <c r="F120" s="568"/>
      <c r="G120" s="391"/>
      <c r="H120" s="561"/>
      <c r="I120" s="555"/>
      <c r="J120" s="555"/>
      <c r="K120" s="397" t="s">
        <v>227</v>
      </c>
      <c r="L120" s="1128"/>
      <c r="M120" s="557">
        <v>11854658.780000001</v>
      </c>
      <c r="N120" s="558">
        <v>24275.02</v>
      </c>
      <c r="O120" s="562"/>
      <c r="P120" s="558"/>
      <c r="Q120" s="560"/>
      <c r="R120" s="543">
        <f>M120/E119</f>
        <v>3186.736231182796</v>
      </c>
      <c r="S120" s="388">
        <f t="shared" si="9"/>
        <v>-11878933.800000001</v>
      </c>
      <c r="T120" s="389"/>
      <c r="U120" s="391"/>
      <c r="V120" s="568"/>
      <c r="W120" s="387"/>
      <c r="Z120" s="419"/>
    </row>
    <row r="121" spans="1:31" s="653" customFormat="1" ht="54.75" hidden="1" customHeight="1">
      <c r="A121" s="579"/>
      <c r="B121" s="410"/>
      <c r="C121" s="580"/>
      <c r="D121" s="581"/>
      <c r="E121" s="396"/>
      <c r="F121" s="582"/>
      <c r="G121" s="396"/>
      <c r="H121" s="583"/>
      <c r="I121" s="584"/>
      <c r="J121" s="584"/>
      <c r="K121" s="552" t="s">
        <v>4235</v>
      </c>
      <c r="L121" s="1128"/>
      <c r="M121" s="569">
        <v>409977.31</v>
      </c>
      <c r="N121" s="585">
        <v>20768.64</v>
      </c>
      <c r="O121" s="586"/>
      <c r="P121" s="585"/>
      <c r="Q121" s="587"/>
      <c r="R121" s="588"/>
      <c r="S121" s="394"/>
      <c r="T121" s="395"/>
      <c r="U121" s="396"/>
      <c r="V121" s="568"/>
      <c r="W121" s="387"/>
      <c r="Z121" s="419"/>
    </row>
    <row r="122" spans="1:31" s="979" customFormat="1" ht="62.25" hidden="1" customHeight="1">
      <c r="A122" s="404">
        <f>A119+1</f>
        <v>82</v>
      </c>
      <c r="B122" s="403" t="s">
        <v>520</v>
      </c>
      <c r="C122" s="544" t="s">
        <v>272</v>
      </c>
      <c r="D122" s="545">
        <v>9868</v>
      </c>
      <c r="E122" s="391">
        <v>2279</v>
      </c>
      <c r="F122" s="391" t="s">
        <v>223</v>
      </c>
      <c r="G122" s="391">
        <v>1147</v>
      </c>
      <c r="H122" s="528">
        <v>4</v>
      </c>
      <c r="I122" s="528">
        <v>4</v>
      </c>
      <c r="J122" s="528">
        <v>64</v>
      </c>
      <c r="K122" s="537" t="s">
        <v>30</v>
      </c>
      <c r="L122" s="529">
        <f t="shared" ref="L122:L127" si="10">M122+N122+O122+P122+Q122</f>
        <v>1536990.37</v>
      </c>
      <c r="M122" s="529">
        <v>1531832.29</v>
      </c>
      <c r="N122" s="388"/>
      <c r="O122" s="530">
        <v>5158.08</v>
      </c>
      <c r="P122" s="391"/>
      <c r="Q122" s="391"/>
      <c r="R122" s="446">
        <f>M122/J122</f>
        <v>23934.879531250001</v>
      </c>
      <c r="S122" s="388">
        <f t="shared" ref="S122:S153" si="11">L122-M122-N122-O122-P122-Q122</f>
        <v>7.4578565545380116E-11</v>
      </c>
      <c r="T122" s="389"/>
      <c r="U122" s="391"/>
      <c r="V122" s="391"/>
      <c r="W122" s="387"/>
      <c r="Z122" s="419"/>
    </row>
    <row r="123" spans="1:31" s="416" customFormat="1" ht="54.75" hidden="1" customHeight="1">
      <c r="A123" s="404">
        <f t="shared" ref="A123:A128" si="12">A122+1</f>
        <v>83</v>
      </c>
      <c r="B123" s="543" t="s">
        <v>521</v>
      </c>
      <c r="C123" s="577" t="s">
        <v>218</v>
      </c>
      <c r="D123" s="545">
        <v>12352</v>
      </c>
      <c r="E123" s="391">
        <v>2770</v>
      </c>
      <c r="F123" s="391" t="s">
        <v>234</v>
      </c>
      <c r="G123" s="391">
        <v>1148</v>
      </c>
      <c r="H123" s="528">
        <v>5</v>
      </c>
      <c r="I123" s="528">
        <v>4</v>
      </c>
      <c r="J123" s="528">
        <v>80</v>
      </c>
      <c r="K123" s="397" t="s">
        <v>30</v>
      </c>
      <c r="L123" s="529">
        <f t="shared" si="10"/>
        <v>2111577.61</v>
      </c>
      <c r="M123" s="529">
        <v>2105130.0099999998</v>
      </c>
      <c r="N123" s="388"/>
      <c r="O123" s="530">
        <v>6447.6</v>
      </c>
      <c r="P123" s="391"/>
      <c r="Q123" s="388"/>
      <c r="R123" s="446">
        <f>M123/J123</f>
        <v>26314.125124999999</v>
      </c>
      <c r="S123" s="388">
        <f t="shared" si="11"/>
        <v>9.276845958083868E-11</v>
      </c>
      <c r="T123" s="392"/>
      <c r="U123" s="391"/>
      <c r="V123" s="391"/>
      <c r="W123" s="387"/>
      <c r="Z123" s="419"/>
    </row>
    <row r="124" spans="1:31" s="979" customFormat="1" ht="49.5" hidden="1" customHeight="1">
      <c r="A124" s="404">
        <f t="shared" si="12"/>
        <v>84</v>
      </c>
      <c r="B124" s="403" t="s">
        <v>522</v>
      </c>
      <c r="C124" s="455" t="s">
        <v>272</v>
      </c>
      <c r="D124" s="532">
        <v>11714</v>
      </c>
      <c r="E124" s="391">
        <v>2434</v>
      </c>
      <c r="F124" s="539" t="s">
        <v>234</v>
      </c>
      <c r="G124" s="535">
        <v>372</v>
      </c>
      <c r="H124" s="536">
        <v>10</v>
      </c>
      <c r="I124" s="536">
        <v>1</v>
      </c>
      <c r="J124" s="536">
        <v>48</v>
      </c>
      <c r="K124" s="458" t="s">
        <v>364</v>
      </c>
      <c r="L124" s="529">
        <f t="shared" si="10"/>
        <v>2037807.07</v>
      </c>
      <c r="M124" s="538">
        <v>1953232.07</v>
      </c>
      <c r="N124" s="539">
        <v>84575</v>
      </c>
      <c r="O124" s="540"/>
      <c r="P124" s="388"/>
      <c r="Q124" s="541"/>
      <c r="R124" s="446">
        <v>2200000</v>
      </c>
      <c r="S124" s="388">
        <f t="shared" si="11"/>
        <v>0</v>
      </c>
      <c r="T124" s="389" t="s">
        <v>3588</v>
      </c>
      <c r="U124" s="391"/>
      <c r="V124" s="539"/>
      <c r="W124" s="387"/>
      <c r="Z124" s="419"/>
    </row>
    <row r="125" spans="1:31" s="416" customFormat="1" ht="63" hidden="1" customHeight="1">
      <c r="A125" s="404">
        <f t="shared" si="12"/>
        <v>85</v>
      </c>
      <c r="B125" s="403" t="s">
        <v>523</v>
      </c>
      <c r="C125" s="455" t="s">
        <v>218</v>
      </c>
      <c r="D125" s="487">
        <v>12046</v>
      </c>
      <c r="E125" s="391">
        <v>2480</v>
      </c>
      <c r="F125" s="391" t="s">
        <v>223</v>
      </c>
      <c r="G125" s="391">
        <v>1149</v>
      </c>
      <c r="H125" s="528">
        <v>5</v>
      </c>
      <c r="I125" s="528">
        <v>4</v>
      </c>
      <c r="J125" s="528">
        <v>80</v>
      </c>
      <c r="K125" s="458" t="s">
        <v>227</v>
      </c>
      <c r="L125" s="529">
        <f t="shared" si="10"/>
        <v>4094622.72</v>
      </c>
      <c r="M125" s="519">
        <f>3860775.47+188892.25</f>
        <v>4049667.72</v>
      </c>
      <c r="N125" s="558">
        <v>44955</v>
      </c>
      <c r="O125" s="473"/>
      <c r="P125" s="388"/>
      <c r="Q125" s="560"/>
      <c r="R125" s="528">
        <f>M125/E125</f>
        <v>1632.9305322580647</v>
      </c>
      <c r="S125" s="388">
        <f t="shared" si="11"/>
        <v>0</v>
      </c>
      <c r="T125" s="392"/>
      <c r="U125" s="391"/>
      <c r="V125" s="388"/>
      <c r="W125" s="387"/>
      <c r="Z125" s="419"/>
    </row>
    <row r="126" spans="1:31" s="979" customFormat="1" ht="43.9" hidden="1" customHeight="1">
      <c r="A126" s="404">
        <f t="shared" si="12"/>
        <v>86</v>
      </c>
      <c r="B126" s="403" t="s">
        <v>524</v>
      </c>
      <c r="C126" s="567" t="s">
        <v>218</v>
      </c>
      <c r="D126" s="545">
        <v>17771</v>
      </c>
      <c r="E126" s="391">
        <v>4147.8999999999996</v>
      </c>
      <c r="F126" s="568" t="s">
        <v>234</v>
      </c>
      <c r="G126" s="558">
        <v>696</v>
      </c>
      <c r="H126" s="561">
        <v>9</v>
      </c>
      <c r="I126" s="555">
        <v>2</v>
      </c>
      <c r="J126" s="555">
        <v>79</v>
      </c>
      <c r="K126" s="589" t="s">
        <v>33</v>
      </c>
      <c r="L126" s="529">
        <f t="shared" si="10"/>
        <v>1458654.88</v>
      </c>
      <c r="M126" s="557">
        <v>1454292</v>
      </c>
      <c r="N126" s="558"/>
      <c r="O126" s="562">
        <v>4362.88</v>
      </c>
      <c r="P126" s="558"/>
      <c r="Q126" s="560"/>
      <c r="R126" s="446">
        <f>M126/G126</f>
        <v>2089.5</v>
      </c>
      <c r="S126" s="388">
        <f t="shared" si="11"/>
        <v>-1.1186784831807017E-10</v>
      </c>
      <c r="T126" s="389"/>
      <c r="U126" s="391"/>
      <c r="V126" s="568"/>
      <c r="W126" s="387"/>
      <c r="Z126" s="419"/>
    </row>
    <row r="127" spans="1:31" s="416" customFormat="1" ht="43.9" hidden="1" customHeight="1">
      <c r="A127" s="404">
        <f t="shared" si="12"/>
        <v>87</v>
      </c>
      <c r="B127" s="403" t="s">
        <v>525</v>
      </c>
      <c r="C127" s="531" t="s">
        <v>272</v>
      </c>
      <c r="D127" s="566">
        <v>2482</v>
      </c>
      <c r="E127" s="388">
        <v>3741</v>
      </c>
      <c r="F127" s="391" t="s">
        <v>223</v>
      </c>
      <c r="G127" s="388">
        <v>504.1</v>
      </c>
      <c r="H127" s="446">
        <v>2</v>
      </c>
      <c r="I127" s="446">
        <v>2</v>
      </c>
      <c r="J127" s="446">
        <v>16</v>
      </c>
      <c r="K127" s="458" t="s">
        <v>33</v>
      </c>
      <c r="L127" s="529">
        <f t="shared" si="10"/>
        <v>1314572.0699999998</v>
      </c>
      <c r="M127" s="551">
        <v>1310358.7999999998</v>
      </c>
      <c r="N127" s="388"/>
      <c r="O127" s="473">
        <v>4213.2700000000004</v>
      </c>
      <c r="P127" s="388"/>
      <c r="Q127" s="388"/>
      <c r="R127" s="446">
        <f>M127/G127</f>
        <v>2599.4024995040663</v>
      </c>
      <c r="S127" s="388">
        <f t="shared" si="11"/>
        <v>1.8189894035458565E-11</v>
      </c>
      <c r="T127" s="389"/>
      <c r="U127" s="391"/>
      <c r="V127" s="550"/>
      <c r="W127" s="387"/>
      <c r="Z127" s="419"/>
    </row>
    <row r="128" spans="1:31" s="416" customFormat="1" ht="69.75" hidden="1" customHeight="1">
      <c r="A128" s="404">
        <f t="shared" si="12"/>
        <v>88</v>
      </c>
      <c r="B128" s="403" t="s">
        <v>526</v>
      </c>
      <c r="C128" s="455" t="s">
        <v>218</v>
      </c>
      <c r="D128" s="487">
        <v>30861</v>
      </c>
      <c r="E128" s="391">
        <v>2856</v>
      </c>
      <c r="F128" s="391" t="s">
        <v>234</v>
      </c>
      <c r="G128" s="391">
        <f>1458-121.5</f>
        <v>1336.5</v>
      </c>
      <c r="H128" s="528">
        <v>9</v>
      </c>
      <c r="I128" s="528">
        <v>4</v>
      </c>
      <c r="J128" s="528">
        <v>144</v>
      </c>
      <c r="K128" s="458" t="s">
        <v>30</v>
      </c>
      <c r="L128" s="1128">
        <f>M128+N128+O128+P128+Q128+M129+N129+O129+Q129</f>
        <v>16396455.939999999</v>
      </c>
      <c r="M128" s="529">
        <v>4585001.08</v>
      </c>
      <c r="N128" s="391"/>
      <c r="O128" s="473">
        <v>13754.88</v>
      </c>
      <c r="P128" s="487"/>
      <c r="Q128" s="391"/>
      <c r="R128" s="528">
        <f>M128/J128</f>
        <v>31840.285277777777</v>
      </c>
      <c r="S128" s="388">
        <f t="shared" si="11"/>
        <v>11797699.979999999</v>
      </c>
      <c r="T128" s="389"/>
      <c r="U128" s="391"/>
      <c r="V128" s="391"/>
      <c r="W128" s="387"/>
      <c r="Z128" s="419"/>
    </row>
    <row r="129" spans="1:26" s="416" customFormat="1" ht="54.75" hidden="1" customHeight="1">
      <c r="A129" s="404"/>
      <c r="B129" s="403"/>
      <c r="C129" s="455"/>
      <c r="D129" s="487"/>
      <c r="E129" s="391"/>
      <c r="F129" s="391"/>
      <c r="G129" s="391"/>
      <c r="H129" s="528"/>
      <c r="I129" s="528"/>
      <c r="J129" s="528"/>
      <c r="K129" s="458" t="s">
        <v>227</v>
      </c>
      <c r="L129" s="1128"/>
      <c r="M129" s="529">
        <v>11771188.199999999</v>
      </c>
      <c r="N129" s="391">
        <v>26511.78</v>
      </c>
      <c r="O129" s="473"/>
      <c r="P129" s="487"/>
      <c r="Q129" s="391"/>
      <c r="R129" s="495">
        <f>M129/E128</f>
        <v>4121.5644957983195</v>
      </c>
      <c r="S129" s="388">
        <f t="shared" si="11"/>
        <v>-11797699.979999999</v>
      </c>
      <c r="T129" s="389"/>
      <c r="U129" s="391"/>
      <c r="V129" s="391"/>
      <c r="W129" s="387"/>
      <c r="Z129" s="419"/>
    </row>
    <row r="130" spans="1:26" s="416" customFormat="1" ht="53.25" hidden="1" customHeight="1">
      <c r="A130" s="404">
        <f>A128+1</f>
        <v>89</v>
      </c>
      <c r="B130" s="403" t="s">
        <v>527</v>
      </c>
      <c r="C130" s="455" t="s">
        <v>240</v>
      </c>
      <c r="D130" s="566">
        <v>3416</v>
      </c>
      <c r="E130" s="388">
        <v>480</v>
      </c>
      <c r="F130" s="391" t="s">
        <v>223</v>
      </c>
      <c r="G130" s="388">
        <v>548.20000000000005</v>
      </c>
      <c r="H130" s="446">
        <v>2</v>
      </c>
      <c r="I130" s="446">
        <v>1</v>
      </c>
      <c r="J130" s="446">
        <v>26</v>
      </c>
      <c r="K130" s="458" t="s">
        <v>225</v>
      </c>
      <c r="L130" s="529">
        <f>M130+N130+O130+P130+Q130</f>
        <v>345156.52</v>
      </c>
      <c r="M130" s="519">
        <v>310191.52</v>
      </c>
      <c r="N130" s="388">
        <v>34965</v>
      </c>
      <c r="O130" s="473"/>
      <c r="P130" s="388"/>
      <c r="Q130" s="388"/>
      <c r="R130" s="446">
        <f>M130/J130</f>
        <v>11930.443076923078</v>
      </c>
      <c r="S130" s="388">
        <f t="shared" si="11"/>
        <v>0</v>
      </c>
      <c r="T130" s="389"/>
      <c r="U130" s="391"/>
      <c r="V130" s="388"/>
      <c r="W130" s="387"/>
      <c r="Z130" s="419"/>
    </row>
    <row r="131" spans="1:26" s="416" customFormat="1" ht="43.9" hidden="1" customHeight="1">
      <c r="A131" s="404">
        <f>A130+1</f>
        <v>90</v>
      </c>
      <c r="B131" s="403" t="s">
        <v>528</v>
      </c>
      <c r="C131" s="531" t="s">
        <v>272</v>
      </c>
      <c r="D131" s="566">
        <v>3448</v>
      </c>
      <c r="E131" s="388">
        <v>3127</v>
      </c>
      <c r="F131" s="388" t="s">
        <v>223</v>
      </c>
      <c r="G131" s="388">
        <v>646</v>
      </c>
      <c r="H131" s="446">
        <v>2</v>
      </c>
      <c r="I131" s="446">
        <v>1</v>
      </c>
      <c r="J131" s="446">
        <v>21</v>
      </c>
      <c r="K131" s="458" t="s">
        <v>225</v>
      </c>
      <c r="L131" s="529">
        <f>M131+N131+O131+P131+Q131</f>
        <v>269888.07</v>
      </c>
      <c r="M131" s="519">
        <v>234923.07</v>
      </c>
      <c r="N131" s="388">
        <v>34965</v>
      </c>
      <c r="O131" s="473"/>
      <c r="P131" s="388"/>
      <c r="Q131" s="388"/>
      <c r="R131" s="446">
        <f>M131/J131</f>
        <v>11186.812857142857</v>
      </c>
      <c r="S131" s="388">
        <f t="shared" si="11"/>
        <v>0</v>
      </c>
      <c r="T131" s="389"/>
      <c r="U131" s="391"/>
      <c r="V131" s="388"/>
      <c r="W131" s="387"/>
      <c r="Z131" s="419"/>
    </row>
    <row r="132" spans="1:26" s="416" customFormat="1" ht="50.25" hidden="1" customHeight="1">
      <c r="A132" s="404">
        <f>A131+1</f>
        <v>91</v>
      </c>
      <c r="B132" s="403" t="s">
        <v>529</v>
      </c>
      <c r="C132" s="531" t="s">
        <v>272</v>
      </c>
      <c r="D132" s="566">
        <v>3420</v>
      </c>
      <c r="E132" s="388">
        <v>480</v>
      </c>
      <c r="F132" s="391" t="s">
        <v>223</v>
      </c>
      <c r="G132" s="388">
        <v>539</v>
      </c>
      <c r="H132" s="446">
        <v>2</v>
      </c>
      <c r="I132" s="446">
        <v>1</v>
      </c>
      <c r="J132" s="446">
        <v>31</v>
      </c>
      <c r="K132" s="458" t="s">
        <v>225</v>
      </c>
      <c r="L132" s="529">
        <f>M132+N132+O132+P132+Q132</f>
        <v>344243.51</v>
      </c>
      <c r="M132" s="519">
        <v>309278.51</v>
      </c>
      <c r="N132" s="388">
        <v>34965</v>
      </c>
      <c r="O132" s="473"/>
      <c r="P132" s="388"/>
      <c r="Q132" s="388"/>
      <c r="R132" s="446">
        <f>M132/J132</f>
        <v>9976.7261290322585</v>
      </c>
      <c r="S132" s="388">
        <f t="shared" si="11"/>
        <v>0</v>
      </c>
      <c r="T132" s="392"/>
      <c r="U132" s="391"/>
      <c r="V132" s="388"/>
      <c r="W132" s="387"/>
      <c r="Z132" s="419"/>
    </row>
    <row r="133" spans="1:26" s="416" customFormat="1" ht="56.25" hidden="1">
      <c r="A133" s="1112">
        <v>92</v>
      </c>
      <c r="B133" s="403" t="s">
        <v>530</v>
      </c>
      <c r="C133" s="531" t="s">
        <v>272</v>
      </c>
      <c r="D133" s="545">
        <v>27733</v>
      </c>
      <c r="E133" s="391">
        <v>3533</v>
      </c>
      <c r="F133" s="533" t="s">
        <v>234</v>
      </c>
      <c r="G133" s="558">
        <v>1150</v>
      </c>
      <c r="H133" s="561">
        <v>9</v>
      </c>
      <c r="I133" s="555">
        <v>1</v>
      </c>
      <c r="J133" s="555">
        <v>144</v>
      </c>
      <c r="K133" s="397" t="s">
        <v>30</v>
      </c>
      <c r="L133" s="1128">
        <f>M133+N133+O133+P133+Q133+M134+N134+O134+P134+Q134</f>
        <v>8353309.7199999988</v>
      </c>
      <c r="M133" s="557">
        <v>5297084.3</v>
      </c>
      <c r="N133" s="558"/>
      <c r="O133" s="562">
        <v>18208.5</v>
      </c>
      <c r="P133" s="558"/>
      <c r="Q133" s="560"/>
      <c r="R133" s="446">
        <f>M133/J133</f>
        <v>36785.307638888888</v>
      </c>
      <c r="S133" s="388">
        <f t="shared" si="11"/>
        <v>3038016.919999999</v>
      </c>
      <c r="T133" s="389"/>
      <c r="U133" s="391"/>
      <c r="V133" s="568"/>
      <c r="W133" s="387"/>
      <c r="Z133" s="419"/>
    </row>
    <row r="134" spans="1:26" s="416" customFormat="1" ht="47.25" hidden="1" customHeight="1">
      <c r="A134" s="1112"/>
      <c r="B134" s="403"/>
      <c r="C134" s="567"/>
      <c r="D134" s="545"/>
      <c r="E134" s="391"/>
      <c r="F134" s="533"/>
      <c r="G134" s="558"/>
      <c r="H134" s="561"/>
      <c r="I134" s="555"/>
      <c r="J134" s="555"/>
      <c r="K134" s="589" t="s">
        <v>33</v>
      </c>
      <c r="L134" s="1128"/>
      <c r="M134" s="557">
        <v>3030808.15</v>
      </c>
      <c r="N134" s="558"/>
      <c r="O134" s="562">
        <v>7208.77</v>
      </c>
      <c r="P134" s="558"/>
      <c r="Q134" s="560"/>
      <c r="R134" s="446">
        <f>M134/G133</f>
        <v>2635.485347826087</v>
      </c>
      <c r="S134" s="388">
        <f t="shared" si="11"/>
        <v>-3038016.92</v>
      </c>
      <c r="T134" s="392"/>
      <c r="U134" s="391"/>
      <c r="V134" s="568"/>
      <c r="W134" s="387"/>
      <c r="Z134" s="419"/>
    </row>
    <row r="135" spans="1:26" s="416" customFormat="1" ht="42" hidden="1" customHeight="1">
      <c r="A135" s="1112">
        <v>93</v>
      </c>
      <c r="B135" s="403" t="s">
        <v>531</v>
      </c>
      <c r="C135" s="544" t="s">
        <v>218</v>
      </c>
      <c r="D135" s="545">
        <v>9275</v>
      </c>
      <c r="E135" s="391">
        <v>1822</v>
      </c>
      <c r="F135" s="391" t="s">
        <v>223</v>
      </c>
      <c r="G135" s="558">
        <v>843</v>
      </c>
      <c r="H135" s="561">
        <v>5</v>
      </c>
      <c r="I135" s="555">
        <v>3</v>
      </c>
      <c r="J135" s="555">
        <v>60</v>
      </c>
      <c r="K135" s="458" t="s">
        <v>225</v>
      </c>
      <c r="L135" s="1128">
        <f>M135+N135+O135+P135+Q135+M136+N136+O136+P136+Q136</f>
        <v>2577797.58</v>
      </c>
      <c r="M135" s="557">
        <v>909859.63</v>
      </c>
      <c r="N135" s="558">
        <v>34965</v>
      </c>
      <c r="O135" s="562"/>
      <c r="P135" s="558"/>
      <c r="Q135" s="560"/>
      <c r="R135" s="446">
        <f>M135/J135</f>
        <v>15164.327166666666</v>
      </c>
      <c r="S135" s="388">
        <f t="shared" si="11"/>
        <v>1632972.9500000002</v>
      </c>
      <c r="T135" s="389"/>
      <c r="U135" s="391"/>
      <c r="V135" s="568"/>
      <c r="W135" s="387"/>
      <c r="Z135" s="419"/>
    </row>
    <row r="136" spans="1:26" s="416" customFormat="1" ht="72.75" hidden="1" customHeight="1">
      <c r="A136" s="1112"/>
      <c r="B136" s="403"/>
      <c r="C136" s="544"/>
      <c r="D136" s="545"/>
      <c r="E136" s="391"/>
      <c r="F136" s="391"/>
      <c r="G136" s="558"/>
      <c r="H136" s="561"/>
      <c r="I136" s="555"/>
      <c r="J136" s="555"/>
      <c r="K136" s="397" t="s">
        <v>30</v>
      </c>
      <c r="L136" s="1128"/>
      <c r="M136" s="557">
        <v>1628137.25</v>
      </c>
      <c r="N136" s="558"/>
      <c r="O136" s="562">
        <v>4835.7</v>
      </c>
      <c r="P136" s="558"/>
      <c r="Q136" s="560"/>
      <c r="R136" s="446">
        <f>M136/J135</f>
        <v>27135.620833333334</v>
      </c>
      <c r="S136" s="388">
        <f t="shared" si="11"/>
        <v>-1632972.95</v>
      </c>
      <c r="T136" s="389"/>
      <c r="U136" s="391"/>
      <c r="V136" s="568"/>
      <c r="W136" s="387"/>
      <c r="Z136" s="419"/>
    </row>
    <row r="137" spans="1:26" s="416" customFormat="1" ht="58.5" hidden="1" customHeight="1">
      <c r="A137" s="404">
        <v>94</v>
      </c>
      <c r="B137" s="403" t="s">
        <v>532</v>
      </c>
      <c r="C137" s="531" t="s">
        <v>272</v>
      </c>
      <c r="D137" s="545">
        <v>16856</v>
      </c>
      <c r="E137" s="391">
        <v>2568.3000000000002</v>
      </c>
      <c r="F137" s="391" t="s">
        <v>223</v>
      </c>
      <c r="G137" s="558">
        <v>1028</v>
      </c>
      <c r="H137" s="561">
        <v>5</v>
      </c>
      <c r="I137" s="555">
        <v>2</v>
      </c>
      <c r="J137" s="555">
        <v>116</v>
      </c>
      <c r="K137" s="458" t="s">
        <v>225</v>
      </c>
      <c r="L137" s="529">
        <f>M137+N137+O137+P137+Q137</f>
        <v>1715268.55</v>
      </c>
      <c r="M137" s="557">
        <v>1680303.55</v>
      </c>
      <c r="N137" s="558">
        <v>34965</v>
      </c>
      <c r="O137" s="562"/>
      <c r="P137" s="558"/>
      <c r="Q137" s="560"/>
      <c r="R137" s="446">
        <f>M137/J137</f>
        <v>14485.375431034483</v>
      </c>
      <c r="S137" s="388">
        <f t="shared" si="11"/>
        <v>0</v>
      </c>
      <c r="T137" s="392"/>
      <c r="U137" s="391"/>
      <c r="V137" s="568"/>
      <c r="W137" s="387"/>
      <c r="Z137" s="419"/>
    </row>
    <row r="138" spans="1:26" s="416" customFormat="1" ht="54.75" hidden="1" customHeight="1">
      <c r="A138" s="404">
        <f>A137+1</f>
        <v>95</v>
      </c>
      <c r="B138" s="403" t="s">
        <v>533</v>
      </c>
      <c r="C138" s="531" t="s">
        <v>272</v>
      </c>
      <c r="D138" s="532">
        <v>12197</v>
      </c>
      <c r="E138" s="391">
        <v>606</v>
      </c>
      <c r="F138" s="533" t="s">
        <v>234</v>
      </c>
      <c r="G138" s="535">
        <v>595</v>
      </c>
      <c r="H138" s="536">
        <v>9</v>
      </c>
      <c r="I138" s="536">
        <v>1</v>
      </c>
      <c r="J138" s="536">
        <v>49</v>
      </c>
      <c r="K138" s="397" t="s">
        <v>30</v>
      </c>
      <c r="L138" s="529">
        <f>M138+N138+O138+P138+Q138</f>
        <v>1644979.72</v>
      </c>
      <c r="M138" s="519">
        <v>1640299.24</v>
      </c>
      <c r="N138" s="388"/>
      <c r="O138" s="540">
        <v>4680.4799999999996</v>
      </c>
      <c r="P138" s="388"/>
      <c r="Q138" s="541"/>
      <c r="R138" s="446">
        <f>M138/J138</f>
        <v>33475.494693877554</v>
      </c>
      <c r="S138" s="388">
        <f t="shared" si="11"/>
        <v>-1.8189894035458565E-11</v>
      </c>
      <c r="T138" s="389"/>
      <c r="U138" s="391"/>
      <c r="V138" s="388"/>
      <c r="W138" s="387"/>
      <c r="Z138" s="419"/>
    </row>
    <row r="139" spans="1:26" s="416" customFormat="1" ht="54.75" hidden="1" customHeight="1">
      <c r="A139" s="404">
        <v>96</v>
      </c>
      <c r="B139" s="403" t="s">
        <v>534</v>
      </c>
      <c r="C139" s="455" t="s">
        <v>218</v>
      </c>
      <c r="D139" s="487">
        <v>9969</v>
      </c>
      <c r="E139" s="388">
        <v>2046</v>
      </c>
      <c r="F139" s="388" t="s">
        <v>234</v>
      </c>
      <c r="G139" s="388">
        <v>860</v>
      </c>
      <c r="H139" s="446">
        <v>5</v>
      </c>
      <c r="I139" s="446">
        <v>4</v>
      </c>
      <c r="J139" s="446">
        <v>60</v>
      </c>
      <c r="K139" s="458" t="s">
        <v>30</v>
      </c>
      <c r="L139" s="529">
        <f>M139+N139+O139+P139+Q139</f>
        <v>1605330.49</v>
      </c>
      <c r="M139" s="547">
        <v>1600494.79</v>
      </c>
      <c r="N139" s="388"/>
      <c r="O139" s="530">
        <v>4835.7</v>
      </c>
      <c r="P139" s="388"/>
      <c r="Q139" s="388"/>
      <c r="R139" s="446">
        <f>M139/J139</f>
        <v>26674.913166666669</v>
      </c>
      <c r="S139" s="388">
        <f t="shared" si="11"/>
        <v>-4.638422979041934E-11</v>
      </c>
      <c r="T139" s="389"/>
      <c r="U139" s="391"/>
      <c r="V139" s="388"/>
      <c r="W139" s="387"/>
      <c r="Z139" s="419"/>
    </row>
    <row r="140" spans="1:26" s="416" customFormat="1" ht="50.25" hidden="1" customHeight="1">
      <c r="A140" s="1152">
        <v>97</v>
      </c>
      <c r="B140" s="403" t="s">
        <v>535</v>
      </c>
      <c r="C140" s="544" t="s">
        <v>218</v>
      </c>
      <c r="D140" s="545">
        <v>14188</v>
      </c>
      <c r="E140" s="391">
        <v>2431</v>
      </c>
      <c r="F140" s="568" t="s">
        <v>223</v>
      </c>
      <c r="G140" s="558">
        <v>1145</v>
      </c>
      <c r="H140" s="561">
        <v>5</v>
      </c>
      <c r="I140" s="555">
        <v>4</v>
      </c>
      <c r="J140" s="555">
        <v>64</v>
      </c>
      <c r="K140" s="397" t="s">
        <v>30</v>
      </c>
      <c r="L140" s="1128">
        <f>M140+N140+O140+Q140+M141+N141+O141+Q141+M142+N142+O142+Q142</f>
        <v>6282711.2999999998</v>
      </c>
      <c r="M140" s="557">
        <v>1693804.44</v>
      </c>
      <c r="N140" s="558"/>
      <c r="O140" s="473">
        <v>5158.08</v>
      </c>
      <c r="P140" s="388"/>
      <c r="Q140" s="388"/>
      <c r="R140" s="446">
        <f>M140/J140</f>
        <v>26465.694374999999</v>
      </c>
      <c r="S140" s="388">
        <f t="shared" si="11"/>
        <v>4583748.7799999993</v>
      </c>
      <c r="T140" s="389"/>
      <c r="U140" s="391"/>
      <c r="V140" s="568"/>
      <c r="W140" s="387"/>
      <c r="Z140" s="419"/>
    </row>
    <row r="141" spans="1:26" s="416" customFormat="1" ht="34.9" hidden="1" customHeight="1">
      <c r="A141" s="1152"/>
      <c r="B141" s="403"/>
      <c r="C141" s="567"/>
      <c r="D141" s="545"/>
      <c r="E141" s="391"/>
      <c r="F141" s="568"/>
      <c r="G141" s="558"/>
      <c r="H141" s="561"/>
      <c r="I141" s="555"/>
      <c r="J141" s="555"/>
      <c r="K141" s="397" t="s">
        <v>33</v>
      </c>
      <c r="L141" s="1128"/>
      <c r="M141" s="557">
        <v>4028691.2500000005</v>
      </c>
      <c r="N141" s="558"/>
      <c r="O141" s="473">
        <v>11962.39</v>
      </c>
      <c r="P141" s="388"/>
      <c r="Q141" s="388"/>
      <c r="R141" s="446">
        <f>M141/G139</f>
        <v>4684.5247093023263</v>
      </c>
      <c r="S141" s="388">
        <f t="shared" si="11"/>
        <v>-4040653.6400000006</v>
      </c>
      <c r="T141" s="392"/>
      <c r="U141" s="391"/>
      <c r="V141" s="568"/>
      <c r="W141" s="387"/>
      <c r="Z141" s="419"/>
    </row>
    <row r="142" spans="1:26" s="416" customFormat="1" ht="34.9" hidden="1" customHeight="1">
      <c r="A142" s="1152"/>
      <c r="B142" s="403"/>
      <c r="C142" s="567"/>
      <c r="D142" s="545"/>
      <c r="E142" s="391"/>
      <c r="F142" s="568"/>
      <c r="G142" s="558"/>
      <c r="H142" s="561"/>
      <c r="I142" s="555"/>
      <c r="J142" s="555"/>
      <c r="K142" s="552" t="s">
        <v>38</v>
      </c>
      <c r="L142" s="1128"/>
      <c r="M142" s="557">
        <v>528170.14</v>
      </c>
      <c r="N142" s="558"/>
      <c r="O142" s="553">
        <v>14925</v>
      </c>
      <c r="P142" s="388"/>
      <c r="Q142" s="388"/>
      <c r="R142" s="446">
        <f>M142/G140</f>
        <v>461.28396506550217</v>
      </c>
      <c r="S142" s="388">
        <f t="shared" si="11"/>
        <v>-543095.14</v>
      </c>
      <c r="T142" s="392"/>
      <c r="U142" s="391"/>
      <c r="V142" s="568"/>
      <c r="W142" s="387"/>
      <c r="Z142" s="419"/>
    </row>
    <row r="143" spans="1:26" s="416" customFormat="1" ht="43.9" hidden="1" customHeight="1">
      <c r="A143" s="404">
        <v>98</v>
      </c>
      <c r="B143" s="403" t="s">
        <v>536</v>
      </c>
      <c r="C143" s="531" t="s">
        <v>272</v>
      </c>
      <c r="D143" s="545">
        <v>1620</v>
      </c>
      <c r="E143" s="391">
        <v>105.1</v>
      </c>
      <c r="F143" s="391" t="s">
        <v>223</v>
      </c>
      <c r="G143" s="391">
        <v>294</v>
      </c>
      <c r="H143" s="528">
        <v>2</v>
      </c>
      <c r="I143" s="528">
        <v>2</v>
      </c>
      <c r="J143" s="446">
        <v>10</v>
      </c>
      <c r="K143" s="458" t="s">
        <v>33</v>
      </c>
      <c r="L143" s="529">
        <f>M143+N143+O143+P143+Q143</f>
        <v>791092.39</v>
      </c>
      <c r="M143" s="547">
        <v>788635.14</v>
      </c>
      <c r="N143" s="388"/>
      <c r="O143" s="473">
        <v>2457.25</v>
      </c>
      <c r="P143" s="388"/>
      <c r="Q143" s="388"/>
      <c r="R143" s="446">
        <f>M143/G143</f>
        <v>2682.4324489795918</v>
      </c>
      <c r="S143" s="388">
        <f t="shared" si="11"/>
        <v>0</v>
      </c>
      <c r="T143" s="389"/>
      <c r="U143" s="391"/>
      <c r="V143" s="388"/>
      <c r="W143" s="387"/>
      <c r="Z143" s="419"/>
    </row>
    <row r="144" spans="1:26" s="416" customFormat="1" ht="43.9" hidden="1" customHeight="1">
      <c r="A144" s="404">
        <f>A143+1</f>
        <v>99</v>
      </c>
      <c r="B144" s="403" t="s">
        <v>537</v>
      </c>
      <c r="C144" s="455" t="s">
        <v>272</v>
      </c>
      <c r="D144" s="532">
        <v>32813</v>
      </c>
      <c r="E144" s="391"/>
      <c r="F144" s="539" t="s">
        <v>234</v>
      </c>
      <c r="G144" s="535">
        <v>620.9</v>
      </c>
      <c r="H144" s="536">
        <v>15</v>
      </c>
      <c r="I144" s="536">
        <v>1</v>
      </c>
      <c r="J144" s="536">
        <v>90</v>
      </c>
      <c r="K144" s="458" t="s">
        <v>364</v>
      </c>
      <c r="L144" s="529">
        <f>M144+N144+O144+P144+Q144</f>
        <v>2020575</v>
      </c>
      <c r="M144" s="538">
        <v>1936000</v>
      </c>
      <c r="N144" s="539">
        <v>84575</v>
      </c>
      <c r="O144" s="540"/>
      <c r="P144" s="388"/>
      <c r="Q144" s="541"/>
      <c r="R144" s="446">
        <v>2200000</v>
      </c>
      <c r="S144" s="388">
        <f t="shared" si="11"/>
        <v>0</v>
      </c>
      <c r="T144" s="389" t="s">
        <v>3588</v>
      </c>
      <c r="U144" s="391"/>
      <c r="V144" s="539"/>
      <c r="W144" s="387"/>
      <c r="Z144" s="419"/>
    </row>
    <row r="145" spans="1:31" s="458" customFormat="1" ht="43.9" hidden="1" customHeight="1">
      <c r="A145" s="404">
        <f>A144+1</f>
        <v>100</v>
      </c>
      <c r="B145" s="403" t="s">
        <v>538</v>
      </c>
      <c r="C145" s="531" t="s">
        <v>370</v>
      </c>
      <c r="D145" s="566">
        <v>4281</v>
      </c>
      <c r="E145" s="388">
        <v>750</v>
      </c>
      <c r="F145" s="391" t="s">
        <v>223</v>
      </c>
      <c r="G145" s="388">
        <v>850</v>
      </c>
      <c r="H145" s="446">
        <v>2</v>
      </c>
      <c r="I145" s="446">
        <v>2</v>
      </c>
      <c r="J145" s="446">
        <v>16</v>
      </c>
      <c r="K145" s="458" t="s">
        <v>225</v>
      </c>
      <c r="L145" s="529">
        <f>M145+N145+O145+P145+Q145</f>
        <v>310432.34999999998</v>
      </c>
      <c r="M145" s="519">
        <f>256000+19467.35</f>
        <v>275467.34999999998</v>
      </c>
      <c r="N145" s="388">
        <v>34965</v>
      </c>
      <c r="O145" s="473"/>
      <c r="P145" s="388"/>
      <c r="Q145" s="388"/>
      <c r="R145" s="446">
        <f>M145/J145</f>
        <v>17216.709374999999</v>
      </c>
      <c r="S145" s="388">
        <f t="shared" si="11"/>
        <v>0</v>
      </c>
      <c r="T145" s="389"/>
      <c r="U145" s="391"/>
      <c r="V145" s="388"/>
      <c r="W145" s="387"/>
      <c r="Z145" s="419"/>
    </row>
    <row r="146" spans="1:31" s="458" customFormat="1" ht="43.9" hidden="1" customHeight="1">
      <c r="A146" s="404">
        <f>A145+1</f>
        <v>101</v>
      </c>
      <c r="B146" s="403" t="s">
        <v>539</v>
      </c>
      <c r="C146" s="455" t="s">
        <v>218</v>
      </c>
      <c r="D146" s="532">
        <v>27849</v>
      </c>
      <c r="E146" s="391">
        <v>3773</v>
      </c>
      <c r="F146" s="533" t="s">
        <v>234</v>
      </c>
      <c r="G146" s="535">
        <v>814.4</v>
      </c>
      <c r="H146" s="536">
        <v>12</v>
      </c>
      <c r="I146" s="536">
        <v>1</v>
      </c>
      <c r="J146" s="536">
        <v>180</v>
      </c>
      <c r="K146" s="458" t="s">
        <v>225</v>
      </c>
      <c r="L146" s="529">
        <f>M146+N146+O146+P146+Q146</f>
        <v>3761675.93</v>
      </c>
      <c r="M146" s="538">
        <v>3726710.93</v>
      </c>
      <c r="N146" s="388">
        <v>34965</v>
      </c>
      <c r="O146" s="540"/>
      <c r="P146" s="388"/>
      <c r="Q146" s="541"/>
      <c r="R146" s="446">
        <f>M146/J146</f>
        <v>20703.949611111111</v>
      </c>
      <c r="S146" s="388">
        <f t="shared" si="11"/>
        <v>0</v>
      </c>
      <c r="T146" s="393"/>
      <c r="U146" s="391"/>
      <c r="V146" s="539"/>
      <c r="W146" s="387"/>
      <c r="Z146" s="419"/>
    </row>
    <row r="147" spans="1:31" s="458" customFormat="1" ht="37.5" hidden="1" customHeight="1">
      <c r="A147" s="404">
        <f>A146+1</f>
        <v>102</v>
      </c>
      <c r="B147" s="590" t="s">
        <v>540</v>
      </c>
      <c r="C147" s="455" t="s">
        <v>218</v>
      </c>
      <c r="D147" s="531">
        <v>38327</v>
      </c>
      <c r="E147" s="388">
        <v>5161</v>
      </c>
      <c r="F147" s="533" t="s">
        <v>234</v>
      </c>
      <c r="G147" s="388">
        <v>1328</v>
      </c>
      <c r="H147" s="446">
        <v>9</v>
      </c>
      <c r="I147" s="446">
        <v>4</v>
      </c>
      <c r="J147" s="446">
        <v>144</v>
      </c>
      <c r="K147" s="397" t="s">
        <v>30</v>
      </c>
      <c r="L147" s="1128">
        <f>M147+N147+O147+P147+Q147+M148+N148+O148+Q148</f>
        <v>15838367.82</v>
      </c>
      <c r="M147" s="519">
        <v>3958825.94</v>
      </c>
      <c r="N147" s="388"/>
      <c r="O147" s="473">
        <v>13754.88</v>
      </c>
      <c r="P147" s="388"/>
      <c r="Q147" s="388"/>
      <c r="R147" s="446">
        <f>M147/J147</f>
        <v>27491.846805555557</v>
      </c>
      <c r="S147" s="388">
        <f t="shared" si="11"/>
        <v>11865787</v>
      </c>
      <c r="T147" s="392"/>
      <c r="U147" s="391"/>
      <c r="V147" s="388"/>
      <c r="W147" s="387"/>
      <c r="Z147" s="419"/>
    </row>
    <row r="148" spans="1:31" s="458" customFormat="1" ht="54.75" hidden="1" customHeight="1">
      <c r="A148" s="404"/>
      <c r="B148" s="590"/>
      <c r="C148" s="455"/>
      <c r="D148" s="531"/>
      <c r="E148" s="388"/>
      <c r="F148" s="533"/>
      <c r="G148" s="388"/>
      <c r="H148" s="446"/>
      <c r="I148" s="446"/>
      <c r="J148" s="446"/>
      <c r="K148" s="397" t="s">
        <v>227</v>
      </c>
      <c r="L148" s="1128"/>
      <c r="M148" s="519">
        <v>11837402.630000001</v>
      </c>
      <c r="N148" s="388">
        <v>28384.37</v>
      </c>
      <c r="O148" s="473"/>
      <c r="P148" s="388"/>
      <c r="Q148" s="388"/>
      <c r="R148" s="543">
        <f>M148/E147</f>
        <v>2293.6257760124008</v>
      </c>
      <c r="S148" s="388">
        <f t="shared" si="11"/>
        <v>-11865787</v>
      </c>
      <c r="T148" s="392"/>
      <c r="U148" s="391"/>
      <c r="V148" s="388"/>
      <c r="W148" s="387"/>
      <c r="Z148" s="419"/>
    </row>
    <row r="149" spans="1:31" s="458" customFormat="1" ht="43.9" hidden="1" customHeight="1">
      <c r="A149" s="404">
        <f>A147+1</f>
        <v>103</v>
      </c>
      <c r="B149" s="403" t="s">
        <v>541</v>
      </c>
      <c r="C149" s="567" t="s">
        <v>222</v>
      </c>
      <c r="D149" s="545">
        <v>30653</v>
      </c>
      <c r="E149" s="391">
        <v>1216.5999999999999</v>
      </c>
      <c r="F149" s="568" t="s">
        <v>234</v>
      </c>
      <c r="G149" s="558">
        <v>400</v>
      </c>
      <c r="H149" s="561">
        <v>7</v>
      </c>
      <c r="I149" s="555">
        <v>1</v>
      </c>
      <c r="J149" s="555">
        <v>115</v>
      </c>
      <c r="K149" s="537" t="s">
        <v>225</v>
      </c>
      <c r="L149" s="529">
        <f t="shared" ref="L149:L157" si="13">M149+N149+O149+P149+Q149</f>
        <v>3058710.59</v>
      </c>
      <c r="M149" s="557">
        <v>3023745.59</v>
      </c>
      <c r="N149" s="558">
        <v>34965</v>
      </c>
      <c r="O149" s="562"/>
      <c r="P149" s="558"/>
      <c r="Q149" s="560"/>
      <c r="R149" s="446">
        <f>M149/J149</f>
        <v>26293.439913043476</v>
      </c>
      <c r="S149" s="388">
        <f t="shared" si="11"/>
        <v>0</v>
      </c>
      <c r="T149" s="392"/>
      <c r="U149" s="391"/>
      <c r="V149" s="568"/>
      <c r="W149" s="387"/>
      <c r="Z149" s="419"/>
    </row>
    <row r="150" spans="1:31" s="458" customFormat="1" ht="43.9" hidden="1" customHeight="1">
      <c r="A150" s="404">
        <f t="shared" ref="A150:A192" si="14">A149+1</f>
        <v>104</v>
      </c>
      <c r="B150" s="403" t="s">
        <v>542</v>
      </c>
      <c r="C150" s="567" t="s">
        <v>218</v>
      </c>
      <c r="D150" s="545">
        <v>25295</v>
      </c>
      <c r="E150" s="391">
        <v>3251</v>
      </c>
      <c r="F150" s="568" t="s">
        <v>234</v>
      </c>
      <c r="G150" s="558">
        <v>690</v>
      </c>
      <c r="H150" s="561">
        <v>12</v>
      </c>
      <c r="I150" s="555">
        <v>2</v>
      </c>
      <c r="J150" s="555">
        <v>161</v>
      </c>
      <c r="K150" s="589" t="s">
        <v>33</v>
      </c>
      <c r="L150" s="529">
        <f t="shared" si="13"/>
        <v>1445869.82</v>
      </c>
      <c r="M150" s="557">
        <v>1441544.56</v>
      </c>
      <c r="N150" s="558"/>
      <c r="O150" s="562">
        <v>4325.26</v>
      </c>
      <c r="P150" s="558"/>
      <c r="Q150" s="560"/>
      <c r="R150" s="446">
        <f>M150/G150</f>
        <v>2089.1950144927537</v>
      </c>
      <c r="S150" s="388">
        <f t="shared" si="11"/>
        <v>9.0949470177292824E-12</v>
      </c>
      <c r="T150" s="389"/>
      <c r="U150" s="391"/>
      <c r="V150" s="568"/>
      <c r="W150" s="387"/>
      <c r="Z150" s="419"/>
    </row>
    <row r="151" spans="1:31" s="416" customFormat="1" ht="34.9" hidden="1" customHeight="1">
      <c r="A151" s="404">
        <f t="shared" si="14"/>
        <v>105</v>
      </c>
      <c r="B151" s="403" t="s">
        <v>543</v>
      </c>
      <c r="C151" s="531" t="s">
        <v>218</v>
      </c>
      <c r="D151" s="446">
        <v>14236</v>
      </c>
      <c r="E151" s="388">
        <v>10240</v>
      </c>
      <c r="F151" s="388" t="s">
        <v>234</v>
      </c>
      <c r="G151" s="388">
        <v>1142</v>
      </c>
      <c r="H151" s="446">
        <v>5</v>
      </c>
      <c r="I151" s="446">
        <v>4</v>
      </c>
      <c r="J151" s="446">
        <v>64</v>
      </c>
      <c r="K151" s="537" t="s">
        <v>225</v>
      </c>
      <c r="L151" s="529">
        <f t="shared" si="13"/>
        <v>775447.61999999988</v>
      </c>
      <c r="M151" s="519">
        <v>740482.61999999988</v>
      </c>
      <c r="N151" s="388">
        <v>34965</v>
      </c>
      <c r="O151" s="473"/>
      <c r="P151" s="388"/>
      <c r="Q151" s="388"/>
      <c r="R151" s="446">
        <f>M151/J151</f>
        <v>11570.040937499998</v>
      </c>
      <c r="S151" s="388">
        <f t="shared" si="11"/>
        <v>0</v>
      </c>
      <c r="T151" s="392"/>
      <c r="U151" s="391"/>
      <c r="V151" s="388"/>
      <c r="W151" s="387"/>
      <c r="Z151" s="419"/>
    </row>
    <row r="152" spans="1:31" s="404" customFormat="1" ht="39" hidden="1" customHeight="1">
      <c r="A152" s="404">
        <f t="shared" si="14"/>
        <v>106</v>
      </c>
      <c r="B152" s="403" t="s">
        <v>544</v>
      </c>
      <c r="C152" s="455" t="s">
        <v>272</v>
      </c>
      <c r="D152" s="545">
        <v>12180</v>
      </c>
      <c r="E152" s="391">
        <v>2288</v>
      </c>
      <c r="F152" s="391" t="s">
        <v>369</v>
      </c>
      <c r="G152" s="391">
        <v>530.69999999999993</v>
      </c>
      <c r="H152" s="528">
        <v>4</v>
      </c>
      <c r="I152" s="528">
        <v>5</v>
      </c>
      <c r="J152" s="446">
        <v>41</v>
      </c>
      <c r="K152" s="458" t="s">
        <v>225</v>
      </c>
      <c r="L152" s="529">
        <f t="shared" si="13"/>
        <v>652932.43999999994</v>
      </c>
      <c r="M152" s="519">
        <v>620964.43999999994</v>
      </c>
      <c r="N152" s="388">
        <v>31968</v>
      </c>
      <c r="O152" s="473"/>
      <c r="P152" s="388"/>
      <c r="Q152" s="388"/>
      <c r="R152" s="446">
        <f>M152/J152</f>
        <v>15145.474146341461</v>
      </c>
      <c r="S152" s="388">
        <f t="shared" si="11"/>
        <v>0</v>
      </c>
      <c r="T152" s="392"/>
      <c r="U152" s="391"/>
      <c r="V152" s="388"/>
      <c r="W152" s="387"/>
      <c r="Z152" s="419"/>
      <c r="AB152" s="455"/>
      <c r="AC152" s="388"/>
      <c r="AE152" s="390"/>
    </row>
    <row r="153" spans="1:31" s="416" customFormat="1" ht="37.5" hidden="1">
      <c r="A153" s="404">
        <f t="shared" si="14"/>
        <v>107</v>
      </c>
      <c r="B153" s="403" t="s">
        <v>545</v>
      </c>
      <c r="C153" s="455" t="s">
        <v>222</v>
      </c>
      <c r="D153" s="446">
        <v>12653</v>
      </c>
      <c r="E153" s="391">
        <v>3035</v>
      </c>
      <c r="F153" s="391" t="s">
        <v>234</v>
      </c>
      <c r="G153" s="388">
        <v>973</v>
      </c>
      <c r="H153" s="446">
        <v>5</v>
      </c>
      <c r="I153" s="446">
        <v>4</v>
      </c>
      <c r="J153" s="446">
        <v>78</v>
      </c>
      <c r="K153" s="458" t="s">
        <v>225</v>
      </c>
      <c r="L153" s="529">
        <f t="shared" si="13"/>
        <v>678391.03</v>
      </c>
      <c r="M153" s="519">
        <v>643426.03</v>
      </c>
      <c r="N153" s="388">
        <v>34965</v>
      </c>
      <c r="O153" s="473"/>
      <c r="P153" s="388"/>
      <c r="Q153" s="388"/>
      <c r="R153" s="446">
        <f>M153/J153</f>
        <v>8249.0516666666663</v>
      </c>
      <c r="S153" s="388">
        <f t="shared" si="11"/>
        <v>0</v>
      </c>
      <c r="T153" s="389"/>
      <c r="U153" s="391"/>
      <c r="V153" s="388"/>
      <c r="W153" s="387"/>
      <c r="Z153" s="419"/>
    </row>
    <row r="154" spans="1:31" s="416" customFormat="1" ht="43.9" hidden="1" customHeight="1">
      <c r="A154" s="404">
        <f t="shared" si="14"/>
        <v>108</v>
      </c>
      <c r="B154" s="403" t="s">
        <v>546</v>
      </c>
      <c r="C154" s="455" t="s">
        <v>230</v>
      </c>
      <c r="D154" s="545">
        <v>2201</v>
      </c>
      <c r="E154" s="391">
        <v>357</v>
      </c>
      <c r="F154" s="391" t="s">
        <v>223</v>
      </c>
      <c r="G154" s="391">
        <v>470</v>
      </c>
      <c r="H154" s="528">
        <v>2</v>
      </c>
      <c r="I154" s="528">
        <v>3</v>
      </c>
      <c r="J154" s="446">
        <v>12</v>
      </c>
      <c r="K154" s="458" t="s">
        <v>395</v>
      </c>
      <c r="L154" s="529">
        <f t="shared" si="13"/>
        <v>1042734.1</v>
      </c>
      <c r="M154" s="547">
        <v>1039226.73</v>
      </c>
      <c r="N154" s="388"/>
      <c r="O154" s="473">
        <v>3507.37</v>
      </c>
      <c r="P154" s="388"/>
      <c r="Q154" s="388"/>
      <c r="R154" s="446">
        <f>M154/G154</f>
        <v>2211.1207021276596</v>
      </c>
      <c r="S154" s="388">
        <f t="shared" ref="S154:S185" si="15">L154-M154-N154-O154-P154-Q154</f>
        <v>-4.5474735088646412E-12</v>
      </c>
      <c r="T154" s="389"/>
      <c r="U154" s="391"/>
      <c r="V154" s="388"/>
      <c r="W154" s="387"/>
      <c r="Z154" s="419"/>
    </row>
    <row r="155" spans="1:31" s="416" customFormat="1" ht="54.75" hidden="1" customHeight="1">
      <c r="A155" s="404">
        <f t="shared" si="14"/>
        <v>109</v>
      </c>
      <c r="B155" s="403" t="s">
        <v>547</v>
      </c>
      <c r="C155" s="531" t="s">
        <v>272</v>
      </c>
      <c r="D155" s="532">
        <v>5565</v>
      </c>
      <c r="E155" s="535">
        <v>785</v>
      </c>
      <c r="F155" s="391" t="s">
        <v>223</v>
      </c>
      <c r="G155" s="535">
        <v>784.8</v>
      </c>
      <c r="H155" s="536">
        <v>2</v>
      </c>
      <c r="I155" s="536">
        <v>1</v>
      </c>
      <c r="J155" s="536">
        <v>40</v>
      </c>
      <c r="K155" s="397" t="s">
        <v>30</v>
      </c>
      <c r="L155" s="529">
        <f t="shared" si="13"/>
        <v>505804.93</v>
      </c>
      <c r="M155" s="519">
        <v>502581.13</v>
      </c>
      <c r="N155" s="388"/>
      <c r="O155" s="473">
        <v>3223.8</v>
      </c>
      <c r="P155" s="388"/>
      <c r="Q155" s="388"/>
      <c r="R155" s="446">
        <f>M155/J155</f>
        <v>12564.528249999999</v>
      </c>
      <c r="S155" s="388">
        <f t="shared" si="15"/>
        <v>-1.1823431123048067E-11</v>
      </c>
      <c r="T155" s="392"/>
      <c r="U155" s="391"/>
      <c r="V155" s="388"/>
      <c r="W155" s="387"/>
      <c r="Z155" s="419"/>
    </row>
    <row r="156" spans="1:31" s="976" customFormat="1" ht="54.75" hidden="1" customHeight="1">
      <c r="A156" s="404">
        <f t="shared" si="14"/>
        <v>110</v>
      </c>
      <c r="B156" s="403" t="s">
        <v>548</v>
      </c>
      <c r="C156" s="531" t="s">
        <v>272</v>
      </c>
      <c r="D156" s="532">
        <v>3615</v>
      </c>
      <c r="E156" s="535">
        <v>902</v>
      </c>
      <c r="F156" s="391" t="s">
        <v>223</v>
      </c>
      <c r="G156" s="535">
        <v>724.9</v>
      </c>
      <c r="H156" s="536">
        <v>2</v>
      </c>
      <c r="I156" s="536">
        <v>1</v>
      </c>
      <c r="J156" s="536">
        <v>28</v>
      </c>
      <c r="K156" s="397" t="s">
        <v>30</v>
      </c>
      <c r="L156" s="529">
        <f t="shared" si="13"/>
        <v>236430.83000000002</v>
      </c>
      <c r="M156" s="519">
        <v>234174.17</v>
      </c>
      <c r="N156" s="388"/>
      <c r="O156" s="473">
        <v>2256.66</v>
      </c>
      <c r="P156" s="388"/>
      <c r="Q156" s="388"/>
      <c r="R156" s="446">
        <f>M156/J156</f>
        <v>8363.363214285715</v>
      </c>
      <c r="S156" s="388">
        <f t="shared" si="15"/>
        <v>3.637978807091713E-12</v>
      </c>
      <c r="T156" s="389"/>
      <c r="U156" s="391"/>
      <c r="V156" s="388"/>
      <c r="W156" s="387"/>
      <c r="Z156" s="419"/>
    </row>
    <row r="157" spans="1:31" s="416" customFormat="1" ht="32.25" hidden="1" customHeight="1">
      <c r="A157" s="404">
        <f t="shared" si="14"/>
        <v>111</v>
      </c>
      <c r="B157" s="403" t="s">
        <v>549</v>
      </c>
      <c r="C157" s="531" t="s">
        <v>272</v>
      </c>
      <c r="D157" s="545">
        <v>2763</v>
      </c>
      <c r="E157" s="391">
        <v>605</v>
      </c>
      <c r="F157" s="391" t="s">
        <v>223</v>
      </c>
      <c r="G157" s="391">
        <v>589.29999999999995</v>
      </c>
      <c r="H157" s="528">
        <v>2</v>
      </c>
      <c r="I157" s="528">
        <v>1</v>
      </c>
      <c r="J157" s="446">
        <v>16</v>
      </c>
      <c r="K157" s="397" t="s">
        <v>33</v>
      </c>
      <c r="L157" s="529">
        <f t="shared" si="13"/>
        <v>1575408.6500000001</v>
      </c>
      <c r="M157" s="519">
        <v>1570483.28</v>
      </c>
      <c r="N157" s="388"/>
      <c r="O157" s="473">
        <v>4925.37</v>
      </c>
      <c r="P157" s="388"/>
      <c r="Q157" s="388"/>
      <c r="R157" s="446">
        <f>M157/G157</f>
        <v>2664.9979297471577</v>
      </c>
      <c r="S157" s="388">
        <f t="shared" si="15"/>
        <v>1.1186784831807017E-10</v>
      </c>
      <c r="T157" s="392"/>
      <c r="U157" s="391"/>
      <c r="V157" s="388"/>
      <c r="W157" s="387"/>
      <c r="Z157" s="419"/>
    </row>
    <row r="158" spans="1:31" s="416" customFormat="1" ht="31.5" hidden="1" customHeight="1">
      <c r="A158" s="1152">
        <v>112</v>
      </c>
      <c r="B158" s="403" t="s">
        <v>550</v>
      </c>
      <c r="C158" s="455" t="s">
        <v>222</v>
      </c>
      <c r="D158" s="532">
        <v>18736</v>
      </c>
      <c r="E158" s="391">
        <v>3133</v>
      </c>
      <c r="F158" s="542" t="s">
        <v>234</v>
      </c>
      <c r="G158" s="535">
        <v>1461</v>
      </c>
      <c r="H158" s="536">
        <v>5</v>
      </c>
      <c r="I158" s="536">
        <v>6</v>
      </c>
      <c r="J158" s="536">
        <v>90</v>
      </c>
      <c r="K158" s="397" t="s">
        <v>30</v>
      </c>
      <c r="L158" s="1128">
        <f>M158+N158+O158+P158+Q158+M159+N159+O159+P159+Q159</f>
        <v>3738925.59</v>
      </c>
      <c r="M158" s="519">
        <v>1793898.81</v>
      </c>
      <c r="N158" s="388"/>
      <c r="O158" s="473">
        <v>7253.55</v>
      </c>
      <c r="P158" s="388"/>
      <c r="Q158" s="388"/>
      <c r="R158" s="446">
        <f>M158/J158</f>
        <v>19932.208999999999</v>
      </c>
      <c r="S158" s="388">
        <f t="shared" si="15"/>
        <v>1937773.2299999997</v>
      </c>
      <c r="T158" s="389"/>
      <c r="U158" s="391"/>
      <c r="V158" s="388"/>
      <c r="W158" s="387"/>
      <c r="Z158" s="419"/>
    </row>
    <row r="159" spans="1:31" s="416" customFormat="1" ht="33.6" hidden="1" customHeight="1">
      <c r="A159" s="1152"/>
      <c r="B159" s="403"/>
      <c r="C159" s="455"/>
      <c r="D159" s="532"/>
      <c r="E159" s="391"/>
      <c r="F159" s="542"/>
      <c r="G159" s="535"/>
      <c r="H159" s="536"/>
      <c r="I159" s="536"/>
      <c r="J159" s="536"/>
      <c r="K159" s="458" t="s">
        <v>33</v>
      </c>
      <c r="L159" s="1128"/>
      <c r="M159" s="519">
        <v>1928614.95</v>
      </c>
      <c r="N159" s="388"/>
      <c r="O159" s="540">
        <v>9158.2800000000007</v>
      </c>
      <c r="P159" s="388"/>
      <c r="Q159" s="541"/>
      <c r="R159" s="446">
        <f>M159/G158</f>
        <v>1320.0649897330595</v>
      </c>
      <c r="S159" s="388">
        <f t="shared" si="15"/>
        <v>-1937773.23</v>
      </c>
      <c r="T159" s="392"/>
      <c r="U159" s="391"/>
      <c r="V159" s="388"/>
      <c r="W159" s="387"/>
      <c r="Z159" s="419"/>
    </row>
    <row r="160" spans="1:31" s="458" customFormat="1" ht="43.9" hidden="1" customHeight="1">
      <c r="A160" s="404">
        <v>113</v>
      </c>
      <c r="B160" s="403" t="s">
        <v>551</v>
      </c>
      <c r="C160" s="455" t="s">
        <v>218</v>
      </c>
      <c r="D160" s="487">
        <v>12144</v>
      </c>
      <c r="E160" s="388">
        <v>2430</v>
      </c>
      <c r="F160" s="388" t="s">
        <v>223</v>
      </c>
      <c r="G160" s="388">
        <v>1164</v>
      </c>
      <c r="H160" s="446">
        <v>5</v>
      </c>
      <c r="I160" s="446">
        <v>4</v>
      </c>
      <c r="J160" s="446">
        <v>80</v>
      </c>
      <c r="K160" s="458" t="s">
        <v>225</v>
      </c>
      <c r="L160" s="529">
        <f t="shared" ref="L160:L180" si="16">M160+N160+O160+P160+Q160</f>
        <v>1171850.76</v>
      </c>
      <c r="M160" s="547">
        <v>1136885.76</v>
      </c>
      <c r="N160" s="388">
        <v>34965</v>
      </c>
      <c r="O160" s="473"/>
      <c r="P160" s="388"/>
      <c r="Q160" s="388"/>
      <c r="R160" s="446">
        <f>M160/J160</f>
        <v>14211.072</v>
      </c>
      <c r="S160" s="388">
        <f t="shared" si="15"/>
        <v>0</v>
      </c>
      <c r="T160" s="389"/>
      <c r="U160" s="391"/>
      <c r="V160" s="388"/>
      <c r="W160" s="387"/>
      <c r="Z160" s="419"/>
    </row>
    <row r="161" spans="1:29" s="458" customFormat="1" ht="54.75" hidden="1" customHeight="1">
      <c r="A161" s="404">
        <v>114</v>
      </c>
      <c r="B161" s="403" t="s">
        <v>552</v>
      </c>
      <c r="C161" s="455" t="s">
        <v>218</v>
      </c>
      <c r="D161" s="487">
        <v>16010</v>
      </c>
      <c r="E161" s="391">
        <v>2100</v>
      </c>
      <c r="F161" s="391" t="s">
        <v>234</v>
      </c>
      <c r="G161" s="391">
        <v>685</v>
      </c>
      <c r="H161" s="528">
        <v>9</v>
      </c>
      <c r="I161" s="528">
        <v>2</v>
      </c>
      <c r="J161" s="528">
        <v>72</v>
      </c>
      <c r="K161" s="458" t="s">
        <v>30</v>
      </c>
      <c r="L161" s="529">
        <f t="shared" si="16"/>
        <v>2299357.44</v>
      </c>
      <c r="M161" s="529">
        <v>2292480</v>
      </c>
      <c r="N161" s="391"/>
      <c r="O161" s="473">
        <v>6877.44</v>
      </c>
      <c r="P161" s="487"/>
      <c r="Q161" s="391"/>
      <c r="R161" s="528">
        <f>M161/J161</f>
        <v>31840</v>
      </c>
      <c r="S161" s="388">
        <f t="shared" si="15"/>
        <v>-5.5479176808148623E-11</v>
      </c>
      <c r="T161" s="392"/>
      <c r="U161" s="391"/>
      <c r="V161" s="391"/>
      <c r="W161" s="387"/>
      <c r="Z161" s="419"/>
    </row>
    <row r="162" spans="1:29" s="458" customFormat="1" ht="46.9" hidden="1" customHeight="1">
      <c r="A162" s="404">
        <f t="shared" si="14"/>
        <v>115</v>
      </c>
      <c r="B162" s="403" t="s">
        <v>553</v>
      </c>
      <c r="C162" s="455" t="s">
        <v>218</v>
      </c>
      <c r="D162" s="487">
        <v>12403</v>
      </c>
      <c r="E162" s="388">
        <v>1600</v>
      </c>
      <c r="F162" s="391" t="s">
        <v>223</v>
      </c>
      <c r="G162" s="391">
        <v>1144</v>
      </c>
      <c r="H162" s="528">
        <v>5</v>
      </c>
      <c r="I162" s="528">
        <v>4</v>
      </c>
      <c r="J162" s="528">
        <v>80</v>
      </c>
      <c r="K162" s="458" t="s">
        <v>225</v>
      </c>
      <c r="L162" s="529">
        <f t="shared" si="16"/>
        <v>1074041.52</v>
      </c>
      <c r="M162" s="547">
        <v>1039076.52</v>
      </c>
      <c r="N162" s="388">
        <v>34965</v>
      </c>
      <c r="O162" s="473"/>
      <c r="P162" s="388"/>
      <c r="Q162" s="388"/>
      <c r="R162" s="446">
        <f>M162/J162</f>
        <v>12988.4565</v>
      </c>
      <c r="S162" s="388">
        <f t="shared" si="15"/>
        <v>0</v>
      </c>
      <c r="T162" s="389"/>
      <c r="U162" s="391"/>
      <c r="V162" s="388"/>
      <c r="W162" s="387"/>
      <c r="Z162" s="419"/>
    </row>
    <row r="163" spans="1:29" s="416" customFormat="1" ht="48.75" hidden="1" customHeight="1">
      <c r="A163" s="404">
        <f t="shared" si="14"/>
        <v>116</v>
      </c>
      <c r="B163" s="403" t="s">
        <v>554</v>
      </c>
      <c r="C163" s="455" t="s">
        <v>218</v>
      </c>
      <c r="D163" s="487">
        <v>13998</v>
      </c>
      <c r="E163" s="388">
        <v>1600</v>
      </c>
      <c r="F163" s="391" t="s">
        <v>223</v>
      </c>
      <c r="G163" s="391">
        <v>1130</v>
      </c>
      <c r="H163" s="528">
        <v>5</v>
      </c>
      <c r="I163" s="528">
        <v>4</v>
      </c>
      <c r="J163" s="528">
        <v>80</v>
      </c>
      <c r="K163" s="458" t="s">
        <v>225</v>
      </c>
      <c r="L163" s="529">
        <f t="shared" si="16"/>
        <v>1062746.1099999999</v>
      </c>
      <c r="M163" s="547">
        <v>1027781.11</v>
      </c>
      <c r="N163" s="388">
        <v>34965</v>
      </c>
      <c r="O163" s="473"/>
      <c r="P163" s="388"/>
      <c r="Q163" s="388"/>
      <c r="R163" s="446">
        <f>M163/J163</f>
        <v>12847.263875000001</v>
      </c>
      <c r="S163" s="388">
        <f t="shared" si="15"/>
        <v>-1.1641532182693481E-10</v>
      </c>
      <c r="T163" s="392"/>
      <c r="U163" s="391"/>
      <c r="V163" s="388"/>
      <c r="W163" s="387"/>
      <c r="Z163" s="419"/>
    </row>
    <row r="164" spans="1:29" s="404" customFormat="1" ht="43.15" hidden="1" customHeight="1">
      <c r="A164" s="404">
        <f t="shared" si="14"/>
        <v>117</v>
      </c>
      <c r="B164" s="403" t="s">
        <v>555</v>
      </c>
      <c r="C164" s="455" t="s">
        <v>240</v>
      </c>
      <c r="D164" s="566">
        <v>2592</v>
      </c>
      <c r="E164" s="388">
        <v>585</v>
      </c>
      <c r="F164" s="388" t="s">
        <v>223</v>
      </c>
      <c r="G164" s="388">
        <v>530</v>
      </c>
      <c r="H164" s="572">
        <v>2</v>
      </c>
      <c r="I164" s="572">
        <v>1</v>
      </c>
      <c r="J164" s="572">
        <v>12</v>
      </c>
      <c r="K164" s="458" t="s">
        <v>225</v>
      </c>
      <c r="L164" s="529">
        <f t="shared" si="16"/>
        <v>222312.95</v>
      </c>
      <c r="M164" s="519">
        <v>187347.95</v>
      </c>
      <c r="N164" s="388">
        <v>34965</v>
      </c>
      <c r="O164" s="473"/>
      <c r="P164" s="388"/>
      <c r="Q164" s="388"/>
      <c r="R164" s="446">
        <f>M164/J164</f>
        <v>15612.329166666668</v>
      </c>
      <c r="S164" s="388">
        <f t="shared" si="15"/>
        <v>0</v>
      </c>
      <c r="T164" s="389"/>
      <c r="U164" s="391"/>
      <c r="V164" s="388"/>
      <c r="W164" s="387"/>
      <c r="X164" s="390"/>
      <c r="Z164" s="419"/>
      <c r="AA164" s="390"/>
      <c r="AC164" s="390"/>
    </row>
    <row r="165" spans="1:29" s="458" customFormat="1" ht="46.9" hidden="1" customHeight="1">
      <c r="A165" s="404">
        <f t="shared" si="14"/>
        <v>118</v>
      </c>
      <c r="B165" s="543" t="s">
        <v>557</v>
      </c>
      <c r="C165" s="531" t="s">
        <v>272</v>
      </c>
      <c r="D165" s="545">
        <v>10690</v>
      </c>
      <c r="E165" s="391">
        <v>1998.8000000000002</v>
      </c>
      <c r="F165" s="568" t="s">
        <v>231</v>
      </c>
      <c r="G165" s="391">
        <v>618</v>
      </c>
      <c r="H165" s="561">
        <v>4</v>
      </c>
      <c r="I165" s="555">
        <v>3</v>
      </c>
      <c r="J165" s="555">
        <v>26</v>
      </c>
      <c r="K165" s="589" t="s">
        <v>33</v>
      </c>
      <c r="L165" s="529">
        <f t="shared" si="16"/>
        <v>2166948.4499999997</v>
      </c>
      <c r="M165" s="557">
        <v>2160491.9</v>
      </c>
      <c r="N165" s="558"/>
      <c r="O165" s="562">
        <v>6456.55</v>
      </c>
      <c r="P165" s="558"/>
      <c r="Q165" s="560"/>
      <c r="R165" s="446">
        <f>M165/G165</f>
        <v>3495.9415857605177</v>
      </c>
      <c r="S165" s="388">
        <f t="shared" si="15"/>
        <v>-1.8644641386345029E-10</v>
      </c>
      <c r="T165" s="392"/>
      <c r="U165" s="391"/>
      <c r="V165" s="568"/>
      <c r="W165" s="387"/>
      <c r="Z165" s="419"/>
    </row>
    <row r="166" spans="1:29" s="416" customFormat="1" ht="34.9" hidden="1" customHeight="1">
      <c r="A166" s="404">
        <f t="shared" si="14"/>
        <v>119</v>
      </c>
      <c r="B166" s="543" t="s">
        <v>558</v>
      </c>
      <c r="C166" s="544" t="s">
        <v>272</v>
      </c>
      <c r="D166" s="545">
        <v>15107</v>
      </c>
      <c r="E166" s="391">
        <v>2127.1</v>
      </c>
      <c r="F166" s="568" t="s">
        <v>223</v>
      </c>
      <c r="G166" s="391">
        <v>1442</v>
      </c>
      <c r="H166" s="561">
        <v>4</v>
      </c>
      <c r="I166" s="555">
        <v>4</v>
      </c>
      <c r="J166" s="555">
        <v>35</v>
      </c>
      <c r="K166" s="458" t="s">
        <v>33</v>
      </c>
      <c r="L166" s="529">
        <f t="shared" si="16"/>
        <v>4792068.08</v>
      </c>
      <c r="M166" s="557">
        <f>4609785.6+168508.5</f>
        <v>4778294.0999999996</v>
      </c>
      <c r="N166" s="558"/>
      <c r="O166" s="562">
        <v>13773.98</v>
      </c>
      <c r="P166" s="558"/>
      <c r="Q166" s="560"/>
      <c r="R166" s="446">
        <f>M166/G166</f>
        <v>3313.6574895977806</v>
      </c>
      <c r="S166" s="388">
        <f t="shared" si="15"/>
        <v>4.4747139327228069E-10</v>
      </c>
      <c r="T166" s="392"/>
      <c r="U166" s="391"/>
      <c r="V166" s="568"/>
      <c r="W166" s="387"/>
      <c r="Z166" s="419"/>
    </row>
    <row r="167" spans="1:29" s="416" customFormat="1" ht="54.75" hidden="1" customHeight="1">
      <c r="A167" s="404">
        <f t="shared" si="14"/>
        <v>120</v>
      </c>
      <c r="B167" s="543" t="s">
        <v>559</v>
      </c>
      <c r="C167" s="455" t="s">
        <v>272</v>
      </c>
      <c r="D167" s="545">
        <v>14190</v>
      </c>
      <c r="E167" s="391">
        <v>3165.5</v>
      </c>
      <c r="F167" s="391" t="s">
        <v>223</v>
      </c>
      <c r="G167" s="391">
        <v>1118</v>
      </c>
      <c r="H167" s="446">
        <v>5</v>
      </c>
      <c r="I167" s="528">
        <v>4</v>
      </c>
      <c r="J167" s="528">
        <v>50</v>
      </c>
      <c r="K167" s="537" t="s">
        <v>30</v>
      </c>
      <c r="L167" s="529">
        <f t="shared" si="16"/>
        <v>1275051.3999999999</v>
      </c>
      <c r="M167" s="529">
        <v>1271021.6499999999</v>
      </c>
      <c r="N167" s="388"/>
      <c r="O167" s="530">
        <v>4029.75</v>
      </c>
      <c r="P167" s="391"/>
      <c r="Q167" s="391"/>
      <c r="R167" s="446">
        <f>M167/J167</f>
        <v>25420.432999999997</v>
      </c>
      <c r="S167" s="388">
        <f t="shared" si="15"/>
        <v>0</v>
      </c>
      <c r="T167" s="389"/>
      <c r="U167" s="391"/>
      <c r="V167" s="391"/>
      <c r="W167" s="387"/>
      <c r="Z167" s="419"/>
    </row>
    <row r="168" spans="1:29" s="416" customFormat="1" ht="54.75" hidden="1" customHeight="1">
      <c r="A168" s="404">
        <f t="shared" si="14"/>
        <v>121</v>
      </c>
      <c r="B168" s="403" t="s">
        <v>560</v>
      </c>
      <c r="C168" s="531" t="s">
        <v>272</v>
      </c>
      <c r="D168" s="545">
        <v>8509</v>
      </c>
      <c r="E168" s="391">
        <v>1833.8</v>
      </c>
      <c r="F168" s="391" t="s">
        <v>223</v>
      </c>
      <c r="G168" s="558">
        <v>687.1</v>
      </c>
      <c r="H168" s="561">
        <v>4</v>
      </c>
      <c r="I168" s="555">
        <v>2</v>
      </c>
      <c r="J168" s="555">
        <v>24</v>
      </c>
      <c r="K168" s="397" t="s">
        <v>30</v>
      </c>
      <c r="L168" s="529">
        <f t="shared" si="16"/>
        <v>868473.28</v>
      </c>
      <c r="M168" s="557">
        <v>866539</v>
      </c>
      <c r="N168" s="558"/>
      <c r="O168" s="562">
        <v>1934.28</v>
      </c>
      <c r="P168" s="558"/>
      <c r="Q168" s="560"/>
      <c r="R168" s="446">
        <f>M168/J168</f>
        <v>36105.791666666664</v>
      </c>
      <c r="S168" s="388">
        <f t="shared" si="15"/>
        <v>2.7966962079517543E-11</v>
      </c>
      <c r="T168" s="392"/>
      <c r="U168" s="391"/>
      <c r="V168" s="568"/>
      <c r="W168" s="387"/>
      <c r="Z168" s="419"/>
    </row>
    <row r="169" spans="1:29" s="416" customFormat="1" ht="55.15" hidden="1" customHeight="1">
      <c r="A169" s="404">
        <f t="shared" si="14"/>
        <v>122</v>
      </c>
      <c r="B169" s="403" t="s">
        <v>561</v>
      </c>
      <c r="C169" s="455" t="s">
        <v>293</v>
      </c>
      <c r="D169" s="487">
        <v>3900</v>
      </c>
      <c r="E169" s="391">
        <v>890</v>
      </c>
      <c r="F169" s="391" t="s">
        <v>223</v>
      </c>
      <c r="G169" s="391">
        <v>724</v>
      </c>
      <c r="H169" s="528">
        <v>2</v>
      </c>
      <c r="I169" s="528">
        <v>4</v>
      </c>
      <c r="J169" s="528">
        <v>16</v>
      </c>
      <c r="K169" s="458" t="s">
        <v>401</v>
      </c>
      <c r="L169" s="529">
        <f t="shared" si="16"/>
        <v>317066.57</v>
      </c>
      <c r="M169" s="534">
        <v>315872.57</v>
      </c>
      <c r="N169" s="391"/>
      <c r="O169" s="530">
        <v>1194</v>
      </c>
      <c r="P169" s="391"/>
      <c r="Q169" s="391"/>
      <c r="R169" s="528">
        <f>M169/J169</f>
        <v>19742.035625</v>
      </c>
      <c r="S169" s="388">
        <f t="shared" si="15"/>
        <v>0</v>
      </c>
      <c r="T169" s="389"/>
      <c r="U169" s="391"/>
      <c r="V169" s="391"/>
      <c r="W169" s="387"/>
      <c r="Z169" s="419"/>
    </row>
    <row r="170" spans="1:29" s="416" customFormat="1" ht="33.6" hidden="1" customHeight="1">
      <c r="A170" s="404">
        <f t="shared" si="14"/>
        <v>123</v>
      </c>
      <c r="B170" s="403" t="s">
        <v>562</v>
      </c>
      <c r="C170" s="544" t="s">
        <v>272</v>
      </c>
      <c r="D170" s="545">
        <v>17937</v>
      </c>
      <c r="E170" s="391">
        <v>2580</v>
      </c>
      <c r="F170" s="391" t="s">
        <v>234</v>
      </c>
      <c r="G170" s="391">
        <v>725</v>
      </c>
      <c r="H170" s="528">
        <v>9</v>
      </c>
      <c r="I170" s="528">
        <v>2</v>
      </c>
      <c r="J170" s="528">
        <v>96</v>
      </c>
      <c r="K170" s="397" t="s">
        <v>364</v>
      </c>
      <c r="L170" s="529">
        <f t="shared" si="16"/>
        <v>4032783.63</v>
      </c>
      <c r="M170" s="519">
        <v>3927064.88</v>
      </c>
      <c r="N170" s="388">
        <v>105718.75</v>
      </c>
      <c r="O170" s="385"/>
      <c r="P170" s="383"/>
      <c r="Q170" s="388"/>
      <c r="R170" s="446">
        <v>2000000</v>
      </c>
      <c r="S170" s="388">
        <f t="shared" si="15"/>
        <v>0</v>
      </c>
      <c r="T170" s="392"/>
      <c r="U170" s="391"/>
      <c r="V170" s="388"/>
      <c r="W170" s="387"/>
      <c r="Z170" s="419"/>
    </row>
    <row r="171" spans="1:29" s="403" customFormat="1" ht="43.9" hidden="1" customHeight="1">
      <c r="A171" s="404">
        <f t="shared" si="14"/>
        <v>124</v>
      </c>
      <c r="B171" s="403" t="s">
        <v>563</v>
      </c>
      <c r="C171" s="455" t="s">
        <v>272</v>
      </c>
      <c r="D171" s="545">
        <v>28267</v>
      </c>
      <c r="E171" s="391">
        <v>2816</v>
      </c>
      <c r="F171" s="391" t="s">
        <v>369</v>
      </c>
      <c r="G171" s="391">
        <v>1266.8</v>
      </c>
      <c r="H171" s="528">
        <v>5</v>
      </c>
      <c r="I171" s="528">
        <v>5</v>
      </c>
      <c r="J171" s="446">
        <v>48</v>
      </c>
      <c r="K171" s="458" t="s">
        <v>225</v>
      </c>
      <c r="L171" s="529">
        <f t="shared" si="16"/>
        <v>677638.72</v>
      </c>
      <c r="M171" s="547">
        <v>645670.72</v>
      </c>
      <c r="N171" s="388">
        <v>31968</v>
      </c>
      <c r="O171" s="473"/>
      <c r="P171" s="388"/>
      <c r="Q171" s="388"/>
      <c r="R171" s="446">
        <f>M171/J171</f>
        <v>13451.473333333333</v>
      </c>
      <c r="S171" s="388">
        <f t="shared" si="15"/>
        <v>0</v>
      </c>
      <c r="T171" s="389"/>
      <c r="U171" s="391"/>
      <c r="V171" s="388"/>
      <c r="W171" s="387"/>
      <c r="Z171" s="419"/>
    </row>
    <row r="172" spans="1:29" s="458" customFormat="1" ht="54.75" hidden="1" customHeight="1">
      <c r="A172" s="404">
        <f t="shared" si="14"/>
        <v>125</v>
      </c>
      <c r="B172" s="403" t="s">
        <v>564</v>
      </c>
      <c r="C172" s="455" t="s">
        <v>222</v>
      </c>
      <c r="D172" s="545">
        <v>3994</v>
      </c>
      <c r="E172" s="391">
        <v>602</v>
      </c>
      <c r="F172" s="391" t="s">
        <v>369</v>
      </c>
      <c r="G172" s="391">
        <v>250.2</v>
      </c>
      <c r="H172" s="528">
        <v>2</v>
      </c>
      <c r="I172" s="528">
        <v>2</v>
      </c>
      <c r="J172" s="446">
        <v>8</v>
      </c>
      <c r="K172" s="397" t="s">
        <v>30</v>
      </c>
      <c r="L172" s="529">
        <f t="shared" si="16"/>
        <v>137232.82</v>
      </c>
      <c r="M172" s="519">
        <v>135979.12</v>
      </c>
      <c r="N172" s="388"/>
      <c r="O172" s="473">
        <v>1253.7</v>
      </c>
      <c r="P172" s="388"/>
      <c r="Q172" s="388"/>
      <c r="R172" s="446">
        <f>M172/J172</f>
        <v>16997.39</v>
      </c>
      <c r="S172" s="388">
        <f t="shared" si="15"/>
        <v>1.1596057447604835E-11</v>
      </c>
      <c r="T172" s="392"/>
      <c r="U172" s="391"/>
      <c r="V172" s="388"/>
      <c r="W172" s="387"/>
      <c r="Z172" s="419"/>
    </row>
    <row r="173" spans="1:29" s="458" customFormat="1" ht="54.75" hidden="1" customHeight="1">
      <c r="A173" s="404">
        <f t="shared" si="14"/>
        <v>126</v>
      </c>
      <c r="B173" s="403" t="s">
        <v>565</v>
      </c>
      <c r="C173" s="455" t="s">
        <v>272</v>
      </c>
      <c r="D173" s="487">
        <v>18129</v>
      </c>
      <c r="E173" s="391">
        <v>9134.2000000000007</v>
      </c>
      <c r="F173" s="391" t="s">
        <v>234</v>
      </c>
      <c r="G173" s="391">
        <v>753</v>
      </c>
      <c r="H173" s="528">
        <v>9</v>
      </c>
      <c r="I173" s="528">
        <v>2</v>
      </c>
      <c r="J173" s="528">
        <v>52</v>
      </c>
      <c r="K173" s="458" t="s">
        <v>30</v>
      </c>
      <c r="L173" s="529">
        <f t="shared" si="16"/>
        <v>3468013.34</v>
      </c>
      <c r="M173" s="529">
        <v>3463046.3</v>
      </c>
      <c r="N173" s="391"/>
      <c r="O173" s="473">
        <v>4967.04</v>
      </c>
      <c r="P173" s="487"/>
      <c r="Q173" s="391"/>
      <c r="R173" s="528">
        <f>M173/J173</f>
        <v>66597.044230769228</v>
      </c>
      <c r="S173" s="388">
        <f t="shared" si="15"/>
        <v>3.7289282772690058E-11</v>
      </c>
      <c r="T173" s="392" t="s">
        <v>3589</v>
      </c>
      <c r="U173" s="391"/>
      <c r="V173" s="391"/>
      <c r="W173" s="387"/>
      <c r="Z173" s="419"/>
    </row>
    <row r="174" spans="1:29" s="458" customFormat="1" ht="36.6" hidden="1" customHeight="1">
      <c r="A174" s="404">
        <f t="shared" si="14"/>
        <v>127</v>
      </c>
      <c r="B174" s="403" t="s">
        <v>566</v>
      </c>
      <c r="C174" s="455" t="s">
        <v>218</v>
      </c>
      <c r="D174" s="532">
        <v>15348</v>
      </c>
      <c r="E174" s="391">
        <v>2435</v>
      </c>
      <c r="F174" s="533" t="s">
        <v>234</v>
      </c>
      <c r="G174" s="535">
        <v>1147</v>
      </c>
      <c r="H174" s="536">
        <v>5</v>
      </c>
      <c r="I174" s="536">
        <v>4</v>
      </c>
      <c r="J174" s="536">
        <v>64</v>
      </c>
      <c r="K174" s="458" t="s">
        <v>33</v>
      </c>
      <c r="L174" s="529">
        <f t="shared" si="16"/>
        <v>3813996.95</v>
      </c>
      <c r="M174" s="538">
        <v>3774036.95</v>
      </c>
      <c r="N174" s="539">
        <v>39960</v>
      </c>
      <c r="O174" s="540"/>
      <c r="P174" s="388"/>
      <c r="Q174" s="541"/>
      <c r="R174" s="446">
        <f>M174/G174</f>
        <v>3290.3547951176984</v>
      </c>
      <c r="S174" s="388">
        <f t="shared" si="15"/>
        <v>0</v>
      </c>
      <c r="T174" s="392"/>
      <c r="U174" s="391"/>
      <c r="V174" s="539"/>
      <c r="W174" s="387"/>
      <c r="Z174" s="419"/>
    </row>
    <row r="175" spans="1:29" s="458" customFormat="1" ht="46.9" hidden="1" customHeight="1">
      <c r="A175" s="404">
        <f t="shared" si="14"/>
        <v>128</v>
      </c>
      <c r="B175" s="403" t="s">
        <v>567</v>
      </c>
      <c r="C175" s="531" t="s">
        <v>272</v>
      </c>
      <c r="D175" s="446">
        <v>22365</v>
      </c>
      <c r="E175" s="388">
        <v>3618</v>
      </c>
      <c r="F175" s="533" t="s">
        <v>234</v>
      </c>
      <c r="G175" s="388">
        <v>1201</v>
      </c>
      <c r="H175" s="446">
        <v>9</v>
      </c>
      <c r="I175" s="446">
        <v>2</v>
      </c>
      <c r="J175" s="446">
        <v>96</v>
      </c>
      <c r="K175" s="537" t="s">
        <v>225</v>
      </c>
      <c r="L175" s="529">
        <f t="shared" si="16"/>
        <v>1917678.5</v>
      </c>
      <c r="M175" s="519">
        <v>1882713.5</v>
      </c>
      <c r="N175" s="388">
        <v>34965</v>
      </c>
      <c r="O175" s="473"/>
      <c r="P175" s="388"/>
      <c r="Q175" s="388"/>
      <c r="R175" s="446">
        <f>M175/J175</f>
        <v>19611.598958333332</v>
      </c>
      <c r="S175" s="388">
        <f t="shared" si="15"/>
        <v>0</v>
      </c>
      <c r="T175" s="389"/>
      <c r="U175" s="391"/>
      <c r="V175" s="388"/>
      <c r="W175" s="387"/>
      <c r="Z175" s="419"/>
    </row>
    <row r="176" spans="1:29" s="976" customFormat="1" ht="46.9" hidden="1" customHeight="1">
      <c r="A176" s="404">
        <f t="shared" si="14"/>
        <v>129</v>
      </c>
      <c r="B176" s="403" t="s">
        <v>568</v>
      </c>
      <c r="C176" s="531" t="s">
        <v>218</v>
      </c>
      <c r="D176" s="446">
        <v>12787</v>
      </c>
      <c r="E176" s="388">
        <v>2573</v>
      </c>
      <c r="F176" s="388" t="s">
        <v>223</v>
      </c>
      <c r="G176" s="388">
        <v>1034</v>
      </c>
      <c r="H176" s="446">
        <v>5</v>
      </c>
      <c r="I176" s="446">
        <v>4</v>
      </c>
      <c r="J176" s="446">
        <v>72</v>
      </c>
      <c r="K176" s="537" t="s">
        <v>225</v>
      </c>
      <c r="L176" s="529">
        <f t="shared" si="16"/>
        <v>965426.31</v>
      </c>
      <c r="M176" s="519">
        <v>930461.31</v>
      </c>
      <c r="N176" s="388">
        <v>34965</v>
      </c>
      <c r="O176" s="473"/>
      <c r="P176" s="388"/>
      <c r="Q176" s="388"/>
      <c r="R176" s="446">
        <f>M176/J176</f>
        <v>12923.073750000001</v>
      </c>
      <c r="S176" s="388">
        <f t="shared" si="15"/>
        <v>0</v>
      </c>
      <c r="T176" s="389"/>
      <c r="U176" s="391"/>
      <c r="V176" s="388"/>
      <c r="W176" s="387"/>
      <c r="Z176" s="419"/>
    </row>
    <row r="177" spans="1:31" s="458" customFormat="1" ht="46.9" hidden="1" customHeight="1">
      <c r="A177" s="404">
        <f t="shared" si="14"/>
        <v>130</v>
      </c>
      <c r="B177" s="543" t="s">
        <v>569</v>
      </c>
      <c r="C177" s="531" t="s">
        <v>272</v>
      </c>
      <c r="D177" s="545">
        <v>9584</v>
      </c>
      <c r="E177" s="391">
        <v>1651.8</v>
      </c>
      <c r="F177" s="391" t="s">
        <v>223</v>
      </c>
      <c r="G177" s="558">
        <v>973</v>
      </c>
      <c r="H177" s="561">
        <v>4</v>
      </c>
      <c r="I177" s="555">
        <v>3</v>
      </c>
      <c r="J177" s="555">
        <v>31</v>
      </c>
      <c r="K177" s="397" t="s">
        <v>225</v>
      </c>
      <c r="L177" s="529">
        <f t="shared" si="16"/>
        <v>843435.57</v>
      </c>
      <c r="M177" s="557">
        <v>808470.57</v>
      </c>
      <c r="N177" s="558">
        <v>34965</v>
      </c>
      <c r="O177" s="562"/>
      <c r="P177" s="558"/>
      <c r="Q177" s="587"/>
      <c r="R177" s="446">
        <f>M177/J177</f>
        <v>26079.695806451611</v>
      </c>
      <c r="S177" s="388">
        <f t="shared" si="15"/>
        <v>0</v>
      </c>
      <c r="T177" s="389" t="s">
        <v>3590</v>
      </c>
      <c r="U177" s="391"/>
      <c r="V177" s="568"/>
      <c r="W177" s="387"/>
      <c r="Z177" s="419"/>
    </row>
    <row r="178" spans="1:31" s="458" customFormat="1" ht="43.9" hidden="1" customHeight="1">
      <c r="A178" s="404">
        <f t="shared" si="14"/>
        <v>131</v>
      </c>
      <c r="B178" s="403" t="s">
        <v>570</v>
      </c>
      <c r="C178" s="455" t="s">
        <v>240</v>
      </c>
      <c r="D178" s="566">
        <v>4069</v>
      </c>
      <c r="E178" s="388">
        <v>760</v>
      </c>
      <c r="F178" s="391" t="s">
        <v>223</v>
      </c>
      <c r="G178" s="388">
        <v>759</v>
      </c>
      <c r="H178" s="446">
        <v>2</v>
      </c>
      <c r="I178" s="446">
        <v>2</v>
      </c>
      <c r="J178" s="446">
        <v>18</v>
      </c>
      <c r="K178" s="458" t="s">
        <v>33</v>
      </c>
      <c r="L178" s="529">
        <f t="shared" si="16"/>
        <v>2320821.4900000002</v>
      </c>
      <c r="M178" s="551">
        <v>2314477.77</v>
      </c>
      <c r="N178" s="388"/>
      <c r="O178" s="473">
        <v>6343.72</v>
      </c>
      <c r="P178" s="388"/>
      <c r="Q178" s="388"/>
      <c r="R178" s="446">
        <f>M178/G178</f>
        <v>3049.3778260869567</v>
      </c>
      <c r="S178" s="388">
        <f t="shared" si="15"/>
        <v>2.0463630789890885E-10</v>
      </c>
      <c r="T178" s="389"/>
      <c r="U178" s="391"/>
      <c r="V178" s="550"/>
      <c r="W178" s="387"/>
      <c r="Z178" s="419"/>
    </row>
    <row r="179" spans="1:31" s="458" customFormat="1" ht="54.75" hidden="1" customHeight="1">
      <c r="A179" s="404">
        <f t="shared" si="14"/>
        <v>132</v>
      </c>
      <c r="B179" s="403" t="s">
        <v>571</v>
      </c>
      <c r="C179" s="531" t="s">
        <v>370</v>
      </c>
      <c r="D179" s="566">
        <v>8342</v>
      </c>
      <c r="E179" s="388">
        <v>1850</v>
      </c>
      <c r="F179" s="388" t="s">
        <v>223</v>
      </c>
      <c r="G179" s="564">
        <f>1221+20.6</f>
        <v>1241.5999999999999</v>
      </c>
      <c r="H179" s="446">
        <v>3</v>
      </c>
      <c r="I179" s="446">
        <v>3</v>
      </c>
      <c r="J179" s="446">
        <v>18</v>
      </c>
      <c r="K179" s="397" t="s">
        <v>30</v>
      </c>
      <c r="L179" s="529">
        <f t="shared" si="16"/>
        <v>417249.7</v>
      </c>
      <c r="M179" s="519">
        <v>415798.99</v>
      </c>
      <c r="N179" s="388"/>
      <c r="O179" s="473">
        <v>1450.71</v>
      </c>
      <c r="P179" s="388"/>
      <c r="Q179" s="560"/>
      <c r="R179" s="446">
        <f>M179/J179</f>
        <v>23099.943888888887</v>
      </c>
      <c r="S179" s="388">
        <f t="shared" si="15"/>
        <v>2.0918378140777349E-11</v>
      </c>
      <c r="T179" s="389"/>
      <c r="U179" s="391"/>
      <c r="V179" s="388"/>
      <c r="W179" s="387"/>
      <c r="Z179" s="419"/>
    </row>
    <row r="180" spans="1:31" s="458" customFormat="1" ht="54.75" hidden="1" customHeight="1">
      <c r="A180" s="404">
        <f t="shared" si="14"/>
        <v>133</v>
      </c>
      <c r="B180" s="403" t="s">
        <v>572</v>
      </c>
      <c r="C180" s="455" t="s">
        <v>218</v>
      </c>
      <c r="D180" s="487">
        <v>13317</v>
      </c>
      <c r="E180" s="388">
        <v>2760</v>
      </c>
      <c r="F180" s="388" t="s">
        <v>223</v>
      </c>
      <c r="G180" s="388">
        <v>1139</v>
      </c>
      <c r="H180" s="446">
        <v>5</v>
      </c>
      <c r="I180" s="446">
        <v>4</v>
      </c>
      <c r="J180" s="446">
        <v>64</v>
      </c>
      <c r="K180" s="458" t="s">
        <v>30</v>
      </c>
      <c r="L180" s="529">
        <f t="shared" si="16"/>
        <v>1904057.28</v>
      </c>
      <c r="M180" s="519">
        <v>1898899.2</v>
      </c>
      <c r="N180" s="388"/>
      <c r="O180" s="530">
        <v>5158.08</v>
      </c>
      <c r="P180" s="388"/>
      <c r="Q180" s="388"/>
      <c r="R180" s="446">
        <f>M180/J180</f>
        <v>29670.3</v>
      </c>
      <c r="S180" s="388">
        <f t="shared" si="15"/>
        <v>7.4578565545380116E-11</v>
      </c>
      <c r="T180" s="392"/>
      <c r="U180" s="391"/>
      <c r="V180" s="388"/>
      <c r="W180" s="387"/>
      <c r="Z180" s="419"/>
    </row>
    <row r="181" spans="1:31" s="416" customFormat="1" ht="54.75" hidden="1" customHeight="1">
      <c r="A181" s="1112">
        <v>134</v>
      </c>
      <c r="B181" s="403" t="s">
        <v>573</v>
      </c>
      <c r="C181" s="531" t="s">
        <v>272</v>
      </c>
      <c r="D181" s="545">
        <v>5164</v>
      </c>
      <c r="E181" s="558">
        <v>808</v>
      </c>
      <c r="F181" s="533" t="s">
        <v>234</v>
      </c>
      <c r="G181" s="558">
        <v>822</v>
      </c>
      <c r="H181" s="561">
        <v>2</v>
      </c>
      <c r="I181" s="555">
        <v>2</v>
      </c>
      <c r="J181" s="555">
        <v>12</v>
      </c>
      <c r="K181" s="397" t="s">
        <v>30</v>
      </c>
      <c r="L181" s="1128">
        <f>M181+N181+O181+P181+Q181+M182+N182+O182+P182+Q182</f>
        <v>1504041.97</v>
      </c>
      <c r="M181" s="557">
        <v>956796.52</v>
      </c>
      <c r="N181" s="558"/>
      <c r="O181" s="562">
        <v>967.14</v>
      </c>
      <c r="P181" s="558"/>
      <c r="Q181" s="560"/>
      <c r="R181" s="446">
        <f>M181/J181</f>
        <v>79733.043333333335</v>
      </c>
      <c r="S181" s="388">
        <f t="shared" si="15"/>
        <v>546278.30999999994</v>
      </c>
      <c r="T181" s="1146" t="s">
        <v>3589</v>
      </c>
      <c r="U181" s="391"/>
      <c r="V181" s="568"/>
      <c r="W181" s="387"/>
      <c r="Z181" s="419"/>
    </row>
    <row r="182" spans="1:31" s="416" customFormat="1" ht="54.75" hidden="1" customHeight="1">
      <c r="A182" s="1112"/>
      <c r="B182" s="403"/>
      <c r="C182" s="531"/>
      <c r="D182" s="545"/>
      <c r="E182" s="558"/>
      <c r="F182" s="533"/>
      <c r="G182" s="558"/>
      <c r="H182" s="561"/>
      <c r="I182" s="555"/>
      <c r="J182" s="555"/>
      <c r="K182" s="458" t="s">
        <v>225</v>
      </c>
      <c r="L182" s="1128"/>
      <c r="M182" s="557">
        <v>511313.31</v>
      </c>
      <c r="N182" s="558">
        <v>34965</v>
      </c>
      <c r="O182" s="562"/>
      <c r="P182" s="558">
        <v>0</v>
      </c>
      <c r="Q182" s="560"/>
      <c r="R182" s="446">
        <f>M182/J181</f>
        <v>42609.442499999997</v>
      </c>
      <c r="S182" s="388">
        <f t="shared" si="15"/>
        <v>-546278.31000000006</v>
      </c>
      <c r="T182" s="1146"/>
      <c r="U182" s="391"/>
      <c r="V182" s="568"/>
      <c r="W182" s="387"/>
      <c r="Z182" s="419"/>
    </row>
    <row r="183" spans="1:31" s="416" customFormat="1" ht="34.9" hidden="1" customHeight="1">
      <c r="A183" s="1112">
        <v>135</v>
      </c>
      <c r="B183" s="403" t="s">
        <v>574</v>
      </c>
      <c r="C183" s="567" t="s">
        <v>218</v>
      </c>
      <c r="D183" s="545">
        <v>12250</v>
      </c>
      <c r="E183" s="391">
        <v>2448.6</v>
      </c>
      <c r="F183" s="391" t="s">
        <v>223</v>
      </c>
      <c r="G183" s="558">
        <v>1130</v>
      </c>
      <c r="H183" s="561">
        <v>5</v>
      </c>
      <c r="I183" s="555">
        <v>4</v>
      </c>
      <c r="J183" s="555">
        <v>80</v>
      </c>
      <c r="K183" s="458" t="s">
        <v>33</v>
      </c>
      <c r="L183" s="1128">
        <f>M183+N183+O183+P183+Q183+M184+N184+O184+P184+Q184</f>
        <v>5690657.8999999994</v>
      </c>
      <c r="M183" s="557">
        <v>3877189.9</v>
      </c>
      <c r="N183" s="558"/>
      <c r="O183" s="473">
        <v>9671.4</v>
      </c>
      <c r="P183" s="388"/>
      <c r="Q183" s="388"/>
      <c r="R183" s="446">
        <f>M183/G183</f>
        <v>3431.1415044247788</v>
      </c>
      <c r="S183" s="388">
        <f t="shared" si="15"/>
        <v>1803796.5999999996</v>
      </c>
      <c r="T183" s="392"/>
      <c r="U183" s="391"/>
      <c r="V183" s="568"/>
      <c r="W183" s="387"/>
      <c r="Z183" s="419"/>
    </row>
    <row r="184" spans="1:31" s="416" customFormat="1" ht="54.75" hidden="1" customHeight="1">
      <c r="A184" s="1112"/>
      <c r="B184" s="403"/>
      <c r="C184" s="567"/>
      <c r="D184" s="545"/>
      <c r="E184" s="391"/>
      <c r="F184" s="391"/>
      <c r="G184" s="558"/>
      <c r="H184" s="561"/>
      <c r="I184" s="555"/>
      <c r="J184" s="555"/>
      <c r="K184" s="397" t="s">
        <v>30</v>
      </c>
      <c r="L184" s="1128"/>
      <c r="M184" s="557">
        <v>1797349</v>
      </c>
      <c r="N184" s="558"/>
      <c r="O184" s="562">
        <v>6447.6</v>
      </c>
      <c r="P184" s="388"/>
      <c r="Q184" s="388"/>
      <c r="R184" s="446">
        <f>M184/J183</f>
        <v>22466.862499999999</v>
      </c>
      <c r="S184" s="388">
        <f t="shared" si="15"/>
        <v>-1803796.6</v>
      </c>
      <c r="T184" s="389"/>
      <c r="U184" s="391"/>
      <c r="V184" s="568"/>
      <c r="W184" s="387"/>
      <c r="Z184" s="419"/>
    </row>
    <row r="185" spans="1:31" s="416" customFormat="1" ht="54.75" hidden="1" customHeight="1">
      <c r="A185" s="404">
        <v>136</v>
      </c>
      <c r="B185" s="403" t="s">
        <v>575</v>
      </c>
      <c r="C185" s="455" t="s">
        <v>218</v>
      </c>
      <c r="D185" s="487">
        <v>9953</v>
      </c>
      <c r="E185" s="388">
        <v>2104</v>
      </c>
      <c r="F185" s="388" t="s">
        <v>234</v>
      </c>
      <c r="G185" s="388">
        <v>755</v>
      </c>
      <c r="H185" s="446">
        <v>5</v>
      </c>
      <c r="I185" s="446">
        <v>4</v>
      </c>
      <c r="J185" s="446">
        <v>60</v>
      </c>
      <c r="K185" s="458" t="s">
        <v>30</v>
      </c>
      <c r="L185" s="529">
        <f t="shared" ref="L185:L192" si="17">M185+N185+O185+P185+Q185</f>
        <v>1685066.79</v>
      </c>
      <c r="M185" s="519">
        <f>1618380+61851.09</f>
        <v>1680231.09</v>
      </c>
      <c r="N185" s="388"/>
      <c r="O185" s="530">
        <v>4835.7</v>
      </c>
      <c r="P185" s="388"/>
      <c r="Q185" s="388"/>
      <c r="R185" s="446">
        <f>M185/J185</f>
        <v>28003.851500000001</v>
      </c>
      <c r="S185" s="388">
        <f t="shared" si="15"/>
        <v>-4.638422979041934E-11</v>
      </c>
      <c r="T185" s="389"/>
      <c r="U185" s="391"/>
      <c r="V185" s="388"/>
      <c r="W185" s="387"/>
      <c r="Z185" s="419"/>
    </row>
    <row r="186" spans="1:31" s="458" customFormat="1" ht="43.9" hidden="1" customHeight="1">
      <c r="A186" s="404">
        <f t="shared" si="14"/>
        <v>137</v>
      </c>
      <c r="B186" s="403" t="s">
        <v>576</v>
      </c>
      <c r="C186" s="455" t="s">
        <v>218</v>
      </c>
      <c r="D186" s="545">
        <v>31447</v>
      </c>
      <c r="E186" s="391">
        <v>5301</v>
      </c>
      <c r="F186" s="575" t="s">
        <v>234</v>
      </c>
      <c r="G186" s="391">
        <v>1248</v>
      </c>
      <c r="H186" s="528">
        <v>9</v>
      </c>
      <c r="I186" s="528">
        <v>4</v>
      </c>
      <c r="J186" s="446">
        <v>144</v>
      </c>
      <c r="K186" s="458" t="s">
        <v>33</v>
      </c>
      <c r="L186" s="529">
        <f t="shared" si="17"/>
        <v>2606338.46</v>
      </c>
      <c r="M186" s="519">
        <v>2603203.14</v>
      </c>
      <c r="N186" s="388"/>
      <c r="O186" s="473">
        <v>3135.32</v>
      </c>
      <c r="P186" s="383"/>
      <c r="Q186" s="388"/>
      <c r="R186" s="528">
        <f>M186/G186</f>
        <v>2085.899951923077</v>
      </c>
      <c r="S186" s="388">
        <f t="shared" ref="S186:S217" si="18">L186-M186-N186-O186-P186-Q186</f>
        <v>-1.6780177247710526E-10</v>
      </c>
      <c r="T186" s="393" t="s">
        <v>3589</v>
      </c>
      <c r="U186" s="391"/>
      <c r="V186" s="388"/>
      <c r="W186" s="387"/>
      <c r="Z186" s="419"/>
    </row>
    <row r="187" spans="1:31" s="458" customFormat="1" ht="43.9" hidden="1" customHeight="1">
      <c r="A187" s="404">
        <f t="shared" si="14"/>
        <v>138</v>
      </c>
      <c r="B187" s="591" t="s">
        <v>577</v>
      </c>
      <c r="C187" s="531" t="s">
        <v>272</v>
      </c>
      <c r="D187" s="545">
        <v>9442</v>
      </c>
      <c r="E187" s="391">
        <v>1826.3</v>
      </c>
      <c r="F187" s="391" t="s">
        <v>223</v>
      </c>
      <c r="G187" s="391">
        <v>1046.5</v>
      </c>
      <c r="H187" s="555">
        <v>4</v>
      </c>
      <c r="I187" s="555">
        <v>3</v>
      </c>
      <c r="J187" s="555">
        <v>24</v>
      </c>
      <c r="K187" s="556" t="s">
        <v>33</v>
      </c>
      <c r="L187" s="529">
        <f t="shared" si="17"/>
        <v>3473579.11</v>
      </c>
      <c r="M187" s="557">
        <v>3462645.8</v>
      </c>
      <c r="N187" s="558"/>
      <c r="O187" s="559">
        <v>10933.31</v>
      </c>
      <c r="P187" s="558"/>
      <c r="Q187" s="560"/>
      <c r="R187" s="446">
        <f>M187/G187</f>
        <v>3308.787195413282</v>
      </c>
      <c r="S187" s="388">
        <f t="shared" si="18"/>
        <v>5.6388671509921551E-11</v>
      </c>
      <c r="T187" s="393"/>
      <c r="U187" s="391"/>
      <c r="V187" s="568"/>
      <c r="W187" s="387"/>
      <c r="Z187" s="419"/>
    </row>
    <row r="188" spans="1:31" s="458" customFormat="1" ht="43.9" hidden="1" customHeight="1">
      <c r="A188" s="404">
        <f t="shared" si="14"/>
        <v>139</v>
      </c>
      <c r="B188" s="543" t="s">
        <v>578</v>
      </c>
      <c r="C188" s="544" t="s">
        <v>222</v>
      </c>
      <c r="D188" s="545">
        <v>14765</v>
      </c>
      <c r="E188" s="391">
        <v>2280.1</v>
      </c>
      <c r="F188" s="568" t="s">
        <v>231</v>
      </c>
      <c r="G188" s="558">
        <v>1230</v>
      </c>
      <c r="H188" s="561">
        <v>5</v>
      </c>
      <c r="I188" s="555">
        <v>4</v>
      </c>
      <c r="J188" s="555">
        <v>27</v>
      </c>
      <c r="K188" s="458" t="s">
        <v>33</v>
      </c>
      <c r="L188" s="529">
        <f t="shared" si="17"/>
        <v>4241409.7699999996</v>
      </c>
      <c r="M188" s="557">
        <v>4228559.3499999996</v>
      </c>
      <c r="N188" s="558"/>
      <c r="O188" s="559">
        <v>12850.42</v>
      </c>
      <c r="P188" s="558"/>
      <c r="Q188" s="560"/>
      <c r="R188" s="446">
        <f>M188/G188</f>
        <v>3437.8531300813006</v>
      </c>
      <c r="S188" s="388">
        <f t="shared" si="18"/>
        <v>-7.4578565545380116E-11</v>
      </c>
      <c r="T188" s="389"/>
      <c r="U188" s="391"/>
      <c r="V188" s="568"/>
      <c r="W188" s="387"/>
      <c r="Z188" s="419"/>
    </row>
    <row r="189" spans="1:31" s="458" customFormat="1" ht="54.75" hidden="1" customHeight="1">
      <c r="A189" s="404">
        <f t="shared" si="14"/>
        <v>140</v>
      </c>
      <c r="B189" s="403" t="s">
        <v>579</v>
      </c>
      <c r="C189" s="544" t="s">
        <v>272</v>
      </c>
      <c r="D189" s="545">
        <v>6329</v>
      </c>
      <c r="E189" s="391">
        <v>1516.8</v>
      </c>
      <c r="F189" s="391" t="s">
        <v>223</v>
      </c>
      <c r="G189" s="391">
        <v>584</v>
      </c>
      <c r="H189" s="446">
        <v>5</v>
      </c>
      <c r="I189" s="528">
        <v>2</v>
      </c>
      <c r="J189" s="528">
        <v>40</v>
      </c>
      <c r="K189" s="537" t="s">
        <v>30</v>
      </c>
      <c r="L189" s="529">
        <f t="shared" si="17"/>
        <v>448589.08999999997</v>
      </c>
      <c r="M189" s="529">
        <v>445365.29</v>
      </c>
      <c r="N189" s="388"/>
      <c r="O189" s="530">
        <v>3223.8</v>
      </c>
      <c r="P189" s="391"/>
      <c r="Q189" s="391"/>
      <c r="R189" s="446">
        <f>M189/J189</f>
        <v>11134.132249999999</v>
      </c>
      <c r="S189" s="388">
        <f t="shared" si="18"/>
        <v>-1.1823431123048067E-11</v>
      </c>
      <c r="T189" s="389"/>
      <c r="U189" s="391"/>
      <c r="V189" s="391"/>
      <c r="W189" s="387"/>
      <c r="Z189" s="419"/>
    </row>
    <row r="190" spans="1:31" s="458" customFormat="1" ht="54.75" hidden="1" customHeight="1">
      <c r="A190" s="404">
        <f t="shared" si="14"/>
        <v>141</v>
      </c>
      <c r="B190" s="403" t="s">
        <v>580</v>
      </c>
      <c r="C190" s="567" t="s">
        <v>218</v>
      </c>
      <c r="D190" s="545">
        <v>27715</v>
      </c>
      <c r="E190" s="391">
        <v>21354</v>
      </c>
      <c r="F190" s="568" t="s">
        <v>234</v>
      </c>
      <c r="G190" s="558">
        <v>874.5</v>
      </c>
      <c r="H190" s="561">
        <v>12</v>
      </c>
      <c r="I190" s="555">
        <v>2</v>
      </c>
      <c r="J190" s="555">
        <v>144</v>
      </c>
      <c r="K190" s="397" t="s">
        <v>30</v>
      </c>
      <c r="L190" s="529">
        <f t="shared" si="17"/>
        <v>3963875.9</v>
      </c>
      <c r="M190" s="557">
        <v>3951995.6</v>
      </c>
      <c r="N190" s="558"/>
      <c r="O190" s="562">
        <v>11880.3</v>
      </c>
      <c r="P190" s="558"/>
      <c r="Q190" s="560"/>
      <c r="R190" s="446">
        <f>M190/J190</f>
        <v>27444.413888888888</v>
      </c>
      <c r="S190" s="388">
        <f t="shared" si="18"/>
        <v>-1.8553691916167736E-10</v>
      </c>
      <c r="T190" s="389"/>
      <c r="U190" s="391"/>
      <c r="V190" s="568"/>
      <c r="W190" s="387"/>
      <c r="Z190" s="419"/>
    </row>
    <row r="191" spans="1:31" s="458" customFormat="1" ht="54.75" hidden="1" customHeight="1">
      <c r="A191" s="404">
        <f t="shared" si="14"/>
        <v>142</v>
      </c>
      <c r="B191" s="403" t="s">
        <v>581</v>
      </c>
      <c r="C191" s="544" t="s">
        <v>218</v>
      </c>
      <c r="D191" s="545">
        <v>13524</v>
      </c>
      <c r="E191" s="391">
        <v>2706.2</v>
      </c>
      <c r="F191" s="391" t="s">
        <v>223</v>
      </c>
      <c r="G191" s="391">
        <v>1149</v>
      </c>
      <c r="H191" s="446">
        <v>5</v>
      </c>
      <c r="I191" s="528">
        <v>4</v>
      </c>
      <c r="J191" s="528">
        <v>64</v>
      </c>
      <c r="K191" s="537" t="s">
        <v>30</v>
      </c>
      <c r="L191" s="529">
        <f t="shared" si="17"/>
        <v>1794369.0800000003</v>
      </c>
      <c r="M191" s="529">
        <v>1789211.0000000002</v>
      </c>
      <c r="N191" s="388"/>
      <c r="O191" s="530">
        <v>5158.08</v>
      </c>
      <c r="P191" s="391"/>
      <c r="Q191" s="391"/>
      <c r="R191" s="446">
        <f>M191/J191</f>
        <v>27956.421875000004</v>
      </c>
      <c r="S191" s="388">
        <f t="shared" si="18"/>
        <v>7.4578565545380116E-11</v>
      </c>
      <c r="T191" s="392"/>
      <c r="U191" s="391"/>
      <c r="V191" s="391"/>
      <c r="W191" s="387"/>
      <c r="Z191" s="419"/>
    </row>
    <row r="192" spans="1:31" s="404" customFormat="1" ht="39" hidden="1" customHeight="1">
      <c r="A192" s="404">
        <f t="shared" si="14"/>
        <v>143</v>
      </c>
      <c r="B192" s="403" t="s">
        <v>582</v>
      </c>
      <c r="C192" s="531" t="s">
        <v>272</v>
      </c>
      <c r="D192" s="566">
        <v>9980</v>
      </c>
      <c r="E192" s="388">
        <v>1560</v>
      </c>
      <c r="F192" s="391" t="s">
        <v>223</v>
      </c>
      <c r="G192" s="564">
        <v>907</v>
      </c>
      <c r="H192" s="446">
        <v>5</v>
      </c>
      <c r="I192" s="446">
        <v>3</v>
      </c>
      <c r="J192" s="446">
        <v>60</v>
      </c>
      <c r="K192" s="458" t="s">
        <v>33</v>
      </c>
      <c r="L192" s="529">
        <f t="shared" si="17"/>
        <v>3180776.9</v>
      </c>
      <c r="M192" s="551">
        <v>3171301.02</v>
      </c>
      <c r="N192" s="388"/>
      <c r="O192" s="473">
        <v>9475.8799999999992</v>
      </c>
      <c r="P192" s="388"/>
      <c r="Q192" s="388"/>
      <c r="R192" s="446">
        <f>M192/G192</f>
        <v>3496.4730099228227</v>
      </c>
      <c r="S192" s="388">
        <f t="shared" si="18"/>
        <v>-1.1095835361629725E-10</v>
      </c>
      <c r="T192" s="392"/>
      <c r="U192" s="391"/>
      <c r="V192" s="550"/>
      <c r="W192" s="387"/>
      <c r="Z192" s="419"/>
      <c r="AB192" s="455"/>
      <c r="AC192" s="390"/>
      <c r="AE192" s="390"/>
    </row>
    <row r="193" spans="1:31" s="416" customFormat="1" ht="54.75" hidden="1" customHeight="1">
      <c r="A193" s="1112">
        <v>144</v>
      </c>
      <c r="B193" s="403" t="s">
        <v>583</v>
      </c>
      <c r="C193" s="544" t="s">
        <v>218</v>
      </c>
      <c r="D193" s="545">
        <v>13227</v>
      </c>
      <c r="E193" s="391">
        <v>2432</v>
      </c>
      <c r="F193" s="391" t="s">
        <v>223</v>
      </c>
      <c r="G193" s="391">
        <v>876</v>
      </c>
      <c r="H193" s="561">
        <v>5</v>
      </c>
      <c r="I193" s="555">
        <v>4</v>
      </c>
      <c r="J193" s="555">
        <v>64</v>
      </c>
      <c r="K193" s="397" t="s">
        <v>30</v>
      </c>
      <c r="L193" s="1128">
        <f>M193+N193+O193+P193+Q193+M194+N194+O194+P194+Q194</f>
        <v>4923344.6399999997</v>
      </c>
      <c r="M193" s="557">
        <v>1653185.4300000002</v>
      </c>
      <c r="N193" s="558"/>
      <c r="O193" s="473">
        <v>5158.08</v>
      </c>
      <c r="P193" s="388"/>
      <c r="Q193" s="388"/>
      <c r="R193" s="446">
        <f>M193/J193</f>
        <v>25831.022343750003</v>
      </c>
      <c r="S193" s="388">
        <f t="shared" si="18"/>
        <v>3265001.1299999994</v>
      </c>
      <c r="T193" s="389"/>
      <c r="U193" s="391"/>
      <c r="V193" s="568"/>
      <c r="W193" s="387"/>
      <c r="Z193" s="419"/>
    </row>
    <row r="194" spans="1:31" s="416" customFormat="1" ht="34.9" hidden="1" customHeight="1">
      <c r="A194" s="1112"/>
      <c r="B194" s="403"/>
      <c r="C194" s="567"/>
      <c r="D194" s="545"/>
      <c r="E194" s="391"/>
      <c r="F194" s="391"/>
      <c r="G194" s="391"/>
      <c r="H194" s="561"/>
      <c r="I194" s="555"/>
      <c r="J194" s="555"/>
      <c r="K194" s="458" t="s">
        <v>33</v>
      </c>
      <c r="L194" s="1128"/>
      <c r="M194" s="557">
        <v>3255849.1199999996</v>
      </c>
      <c r="N194" s="558"/>
      <c r="O194" s="473">
        <v>9152.01</v>
      </c>
      <c r="P194" s="388"/>
      <c r="Q194" s="388"/>
      <c r="R194" s="446">
        <f>M194/G193</f>
        <v>3716.7227397260272</v>
      </c>
      <c r="S194" s="388">
        <f t="shared" si="18"/>
        <v>-3265001.1299999994</v>
      </c>
      <c r="T194" s="392"/>
      <c r="U194" s="391"/>
      <c r="V194" s="568"/>
      <c r="W194" s="387"/>
      <c r="Z194" s="419"/>
    </row>
    <row r="195" spans="1:31" s="404" customFormat="1" ht="49.9" hidden="1" customHeight="1">
      <c r="A195" s="404">
        <v>145</v>
      </c>
      <c r="B195" s="403" t="s">
        <v>584</v>
      </c>
      <c r="C195" s="455" t="s">
        <v>272</v>
      </c>
      <c r="D195" s="446">
        <v>9267</v>
      </c>
      <c r="E195" s="388">
        <v>1178</v>
      </c>
      <c r="F195" s="388" t="s">
        <v>231</v>
      </c>
      <c r="G195" s="388">
        <v>915.5</v>
      </c>
      <c r="H195" s="446">
        <v>3</v>
      </c>
      <c r="I195" s="446">
        <v>5</v>
      </c>
      <c r="J195" s="446">
        <v>26</v>
      </c>
      <c r="K195" s="537" t="s">
        <v>225</v>
      </c>
      <c r="L195" s="529">
        <f>M195+N195+O195+P195+Q195</f>
        <v>712459.85</v>
      </c>
      <c r="M195" s="519">
        <v>677494.85</v>
      </c>
      <c r="N195" s="388">
        <v>34965</v>
      </c>
      <c r="O195" s="473"/>
      <c r="P195" s="388"/>
      <c r="Q195" s="388"/>
      <c r="R195" s="446">
        <f>M195/J195</f>
        <v>26057.494230769229</v>
      </c>
      <c r="S195" s="388">
        <f t="shared" si="18"/>
        <v>0</v>
      </c>
      <c r="T195" s="389"/>
      <c r="U195" s="391"/>
      <c r="V195" s="388"/>
      <c r="W195" s="387"/>
      <c r="Z195" s="419"/>
    </row>
    <row r="196" spans="1:31" s="469" customFormat="1" ht="39" hidden="1" customHeight="1">
      <c r="A196" s="1112">
        <v>146</v>
      </c>
      <c r="B196" s="403" t="s">
        <v>585</v>
      </c>
      <c r="C196" s="1145" t="s">
        <v>272</v>
      </c>
      <c r="D196" s="446">
        <v>15338</v>
      </c>
      <c r="E196" s="388">
        <v>2460</v>
      </c>
      <c r="F196" s="388" t="s">
        <v>223</v>
      </c>
      <c r="G196" s="388">
        <v>967</v>
      </c>
      <c r="H196" s="446">
        <v>5</v>
      </c>
      <c r="I196" s="446">
        <v>4</v>
      </c>
      <c r="J196" s="446">
        <v>80</v>
      </c>
      <c r="K196" s="537" t="s">
        <v>225</v>
      </c>
      <c r="L196" s="1128">
        <f>M196+N196+O196+P196+Q196+M197+N197+O197+P197+Q197</f>
        <v>4626780.6100000003</v>
      </c>
      <c r="M196" s="519">
        <v>852326.38</v>
      </c>
      <c r="N196" s="388">
        <v>34965</v>
      </c>
      <c r="O196" s="473"/>
      <c r="P196" s="388"/>
      <c r="Q196" s="388"/>
      <c r="R196" s="446">
        <f>M196/J196</f>
        <v>10654.079750000001</v>
      </c>
      <c r="S196" s="388">
        <f t="shared" si="18"/>
        <v>3739489.2300000004</v>
      </c>
      <c r="T196" s="389"/>
      <c r="U196" s="391"/>
      <c r="V196" s="388"/>
      <c r="W196" s="387"/>
      <c r="X196" s="404"/>
      <c r="Z196" s="419"/>
      <c r="AB196" s="455"/>
      <c r="AC196" s="388"/>
      <c r="AD196" s="404"/>
      <c r="AE196" s="390"/>
    </row>
    <row r="197" spans="1:31" s="469" customFormat="1" ht="39" hidden="1" customHeight="1">
      <c r="A197" s="1112"/>
      <c r="B197" s="403"/>
      <c r="C197" s="1145"/>
      <c r="D197" s="446">
        <v>15338</v>
      </c>
      <c r="E197" s="388">
        <v>2460</v>
      </c>
      <c r="F197" s="388" t="s">
        <v>223</v>
      </c>
      <c r="G197" s="388">
        <v>967</v>
      </c>
      <c r="H197" s="446">
        <v>5</v>
      </c>
      <c r="I197" s="446">
        <v>4</v>
      </c>
      <c r="J197" s="446">
        <v>80</v>
      </c>
      <c r="K197" s="397" t="s">
        <v>33</v>
      </c>
      <c r="L197" s="1128"/>
      <c r="M197" s="519">
        <v>3729386.5</v>
      </c>
      <c r="N197" s="388"/>
      <c r="O197" s="473">
        <v>10102.73</v>
      </c>
      <c r="P197" s="388"/>
      <c r="Q197" s="388"/>
      <c r="R197" s="446">
        <f>M197/G197</f>
        <v>3856.6561530506724</v>
      </c>
      <c r="S197" s="388">
        <f t="shared" si="18"/>
        <v>-3739489.23</v>
      </c>
      <c r="T197" s="392"/>
      <c r="U197" s="391"/>
      <c r="V197" s="388"/>
      <c r="W197" s="387"/>
      <c r="X197" s="404"/>
      <c r="Z197" s="419"/>
      <c r="AB197" s="455"/>
      <c r="AC197" s="388"/>
      <c r="AD197" s="404"/>
      <c r="AE197" s="390"/>
    </row>
    <row r="198" spans="1:31" s="458" customFormat="1" ht="40.5" hidden="1" customHeight="1">
      <c r="A198" s="404">
        <v>147</v>
      </c>
      <c r="B198" s="403" t="s">
        <v>586</v>
      </c>
      <c r="C198" s="455" t="s">
        <v>272</v>
      </c>
      <c r="D198" s="487">
        <v>19821</v>
      </c>
      <c r="E198" s="391">
        <v>1944</v>
      </c>
      <c r="F198" s="391" t="s">
        <v>234</v>
      </c>
      <c r="G198" s="391">
        <v>714</v>
      </c>
      <c r="H198" s="528">
        <v>9</v>
      </c>
      <c r="I198" s="528">
        <v>1</v>
      </c>
      <c r="J198" s="528">
        <v>44</v>
      </c>
      <c r="K198" s="458" t="s">
        <v>38</v>
      </c>
      <c r="L198" s="1128">
        <f>M198+N198+O198+P198+Q198+M199+N199+O199+P199+Q199</f>
        <v>6021330.5199999996</v>
      </c>
      <c r="M198" s="529">
        <v>3758995.7</v>
      </c>
      <c r="N198" s="391"/>
      <c r="O198" s="473">
        <v>10447.5</v>
      </c>
      <c r="P198" s="391"/>
      <c r="Q198" s="391"/>
      <c r="R198" s="528">
        <f>M198/E198</f>
        <v>1933.6397633744857</v>
      </c>
      <c r="S198" s="388">
        <f t="shared" si="18"/>
        <v>2251887.3199999994</v>
      </c>
      <c r="T198" s="392"/>
      <c r="U198" s="391"/>
      <c r="V198" s="391"/>
      <c r="W198" s="387"/>
      <c r="Z198" s="419"/>
    </row>
    <row r="199" spans="1:31" s="458" customFormat="1" ht="55.5" hidden="1" customHeight="1">
      <c r="A199" s="404"/>
      <c r="B199" s="403"/>
      <c r="C199" s="455"/>
      <c r="D199" s="487"/>
      <c r="E199" s="391"/>
      <c r="F199" s="391"/>
      <c r="G199" s="391"/>
      <c r="H199" s="528"/>
      <c r="I199" s="528"/>
      <c r="J199" s="528"/>
      <c r="K199" s="458" t="s">
        <v>364</v>
      </c>
      <c r="L199" s="1128"/>
      <c r="M199" s="529">
        <v>2171562.3199999998</v>
      </c>
      <c r="N199" s="391">
        <v>80325</v>
      </c>
      <c r="O199" s="553"/>
      <c r="P199" s="396"/>
      <c r="Q199" s="396"/>
      <c r="R199" s="528">
        <f>M199/I198</f>
        <v>2171562.3199999998</v>
      </c>
      <c r="S199" s="388">
        <f t="shared" si="18"/>
        <v>-2251887.3199999998</v>
      </c>
      <c r="T199" s="389" t="s">
        <v>3591</v>
      </c>
      <c r="U199" s="391"/>
      <c r="V199" s="391"/>
      <c r="W199" s="387"/>
      <c r="Z199" s="419"/>
    </row>
    <row r="200" spans="1:31" s="458" customFormat="1" ht="54.75" hidden="1" customHeight="1">
      <c r="A200" s="404">
        <f>A198+1</f>
        <v>148</v>
      </c>
      <c r="B200" s="403" t="s">
        <v>587</v>
      </c>
      <c r="C200" s="531" t="s">
        <v>272</v>
      </c>
      <c r="D200" s="532">
        <v>9494</v>
      </c>
      <c r="E200" s="535">
        <v>2280</v>
      </c>
      <c r="F200" s="533" t="s">
        <v>234</v>
      </c>
      <c r="G200" s="535">
        <v>667.6</v>
      </c>
      <c r="H200" s="536">
        <v>5</v>
      </c>
      <c r="I200" s="536">
        <v>1</v>
      </c>
      <c r="J200" s="536">
        <v>79</v>
      </c>
      <c r="K200" s="397" t="s">
        <v>30</v>
      </c>
      <c r="L200" s="529">
        <f t="shared" ref="L200:L216" si="19">M200+N200+O200+P200+Q200</f>
        <v>2692752.98</v>
      </c>
      <c r="M200" s="519">
        <v>2686385.97</v>
      </c>
      <c r="N200" s="388"/>
      <c r="O200" s="473">
        <v>6367.01</v>
      </c>
      <c r="P200" s="388"/>
      <c r="Q200" s="388"/>
      <c r="R200" s="446">
        <f>M200/J200</f>
        <v>34004.885696202531</v>
      </c>
      <c r="S200" s="388">
        <f t="shared" si="18"/>
        <v>-2.2373569663614035E-10</v>
      </c>
      <c r="T200" s="392"/>
      <c r="U200" s="391"/>
      <c r="V200" s="388"/>
      <c r="W200" s="387"/>
      <c r="Z200" s="419"/>
    </row>
    <row r="201" spans="1:31" s="416" customFormat="1" ht="54.75" hidden="1" customHeight="1">
      <c r="A201" s="404">
        <f t="shared" ref="A201:A265" si="20">A200+1</f>
        <v>149</v>
      </c>
      <c r="B201" s="403" t="s">
        <v>588</v>
      </c>
      <c r="C201" s="544" t="s">
        <v>272</v>
      </c>
      <c r="D201" s="446">
        <v>6027</v>
      </c>
      <c r="E201" s="388">
        <v>921</v>
      </c>
      <c r="F201" s="388" t="s">
        <v>223</v>
      </c>
      <c r="G201" s="388">
        <v>921.8</v>
      </c>
      <c r="H201" s="446">
        <v>3</v>
      </c>
      <c r="I201" s="446">
        <v>3</v>
      </c>
      <c r="J201" s="446">
        <v>36</v>
      </c>
      <c r="K201" s="537" t="s">
        <v>30</v>
      </c>
      <c r="L201" s="529">
        <f t="shared" si="19"/>
        <v>1009770.68</v>
      </c>
      <c r="M201" s="547">
        <v>1006869.26</v>
      </c>
      <c r="N201" s="388"/>
      <c r="O201" s="530">
        <v>2901.42</v>
      </c>
      <c r="P201" s="388"/>
      <c r="Q201" s="388"/>
      <c r="R201" s="446">
        <f>M201/J201</f>
        <v>27968.590555555555</v>
      </c>
      <c r="S201" s="388">
        <f t="shared" si="18"/>
        <v>4.1836756281554699E-11</v>
      </c>
      <c r="T201" s="392"/>
      <c r="U201" s="391"/>
      <c r="V201" s="388"/>
      <c r="W201" s="387"/>
      <c r="Z201" s="419"/>
    </row>
    <row r="202" spans="1:31" s="416" customFormat="1" ht="54.75" hidden="1" customHeight="1">
      <c r="A202" s="404">
        <f t="shared" si="20"/>
        <v>150</v>
      </c>
      <c r="B202" s="403" t="s">
        <v>589</v>
      </c>
      <c r="C202" s="544" t="s">
        <v>218</v>
      </c>
      <c r="D202" s="446">
        <v>15941</v>
      </c>
      <c r="E202" s="388">
        <v>3304</v>
      </c>
      <c r="F202" s="388" t="s">
        <v>234</v>
      </c>
      <c r="G202" s="388">
        <v>808</v>
      </c>
      <c r="H202" s="446">
        <v>9</v>
      </c>
      <c r="I202" s="446">
        <v>2</v>
      </c>
      <c r="J202" s="446">
        <v>72</v>
      </c>
      <c r="K202" s="537" t="s">
        <v>30</v>
      </c>
      <c r="L202" s="529">
        <f t="shared" si="19"/>
        <v>2170480.42</v>
      </c>
      <c r="M202" s="519">
        <v>2163602.98</v>
      </c>
      <c r="N202" s="388"/>
      <c r="O202" s="473">
        <v>6877.44</v>
      </c>
      <c r="P202" s="388"/>
      <c r="Q202" s="388"/>
      <c r="R202" s="446">
        <f>M202/J202</f>
        <v>30050.041388888887</v>
      </c>
      <c r="S202" s="388">
        <f t="shared" si="18"/>
        <v>-5.5479176808148623E-11</v>
      </c>
      <c r="T202" s="392"/>
      <c r="U202" s="391"/>
      <c r="V202" s="388"/>
      <c r="W202" s="387"/>
      <c r="Z202" s="419"/>
    </row>
    <row r="203" spans="1:31" s="458" customFormat="1" ht="46.9" hidden="1" customHeight="1">
      <c r="A203" s="404">
        <f t="shared" si="20"/>
        <v>151</v>
      </c>
      <c r="B203" s="403" t="s">
        <v>590</v>
      </c>
      <c r="C203" s="531" t="s">
        <v>218</v>
      </c>
      <c r="D203" s="382">
        <v>31357</v>
      </c>
      <c r="E203" s="383">
        <v>5325</v>
      </c>
      <c r="F203" s="383" t="s">
        <v>234</v>
      </c>
      <c r="G203" s="383">
        <v>1337</v>
      </c>
      <c r="H203" s="549">
        <v>9</v>
      </c>
      <c r="I203" s="549">
        <v>4</v>
      </c>
      <c r="J203" s="382">
        <v>144</v>
      </c>
      <c r="K203" s="397" t="s">
        <v>364</v>
      </c>
      <c r="L203" s="529">
        <f t="shared" si="19"/>
        <v>8083445.96</v>
      </c>
      <c r="M203" s="519">
        <v>7935439.71</v>
      </c>
      <c r="N203" s="388">
        <v>148006.25</v>
      </c>
      <c r="O203" s="385"/>
      <c r="P203" s="383"/>
      <c r="Q203" s="388"/>
      <c r="R203" s="446">
        <v>2000000</v>
      </c>
      <c r="S203" s="388">
        <f t="shared" si="18"/>
        <v>0</v>
      </c>
      <c r="T203" s="389"/>
      <c r="U203" s="391"/>
      <c r="V203" s="388"/>
      <c r="W203" s="387"/>
      <c r="Z203" s="419"/>
    </row>
    <row r="204" spans="1:31" s="458" customFormat="1" ht="43.9" hidden="1" customHeight="1">
      <c r="A204" s="404">
        <f t="shared" si="20"/>
        <v>152</v>
      </c>
      <c r="B204" s="403" t="s">
        <v>591</v>
      </c>
      <c r="C204" s="531" t="s">
        <v>218</v>
      </c>
      <c r="D204" s="382">
        <v>15852</v>
      </c>
      <c r="E204" s="383">
        <v>2950</v>
      </c>
      <c r="F204" s="383" t="s">
        <v>234</v>
      </c>
      <c r="G204" s="383">
        <v>680</v>
      </c>
      <c r="H204" s="549">
        <v>9</v>
      </c>
      <c r="I204" s="549">
        <v>2</v>
      </c>
      <c r="J204" s="382">
        <v>72</v>
      </c>
      <c r="K204" s="397" t="s">
        <v>364</v>
      </c>
      <c r="L204" s="529">
        <f t="shared" si="19"/>
        <v>4063646.03</v>
      </c>
      <c r="M204" s="519">
        <v>3957927.28</v>
      </c>
      <c r="N204" s="388">
        <v>105718.75</v>
      </c>
      <c r="O204" s="385"/>
      <c r="P204" s="383"/>
      <c r="Q204" s="388"/>
      <c r="R204" s="446">
        <v>2000000</v>
      </c>
      <c r="S204" s="388">
        <f t="shared" si="18"/>
        <v>0</v>
      </c>
      <c r="T204" s="389"/>
      <c r="U204" s="391"/>
      <c r="V204" s="388"/>
      <c r="W204" s="387"/>
      <c r="Z204" s="419"/>
    </row>
    <row r="205" spans="1:31" s="458" customFormat="1" ht="43.9" hidden="1" customHeight="1">
      <c r="A205" s="404">
        <f t="shared" si="20"/>
        <v>153</v>
      </c>
      <c r="B205" s="403" t="s">
        <v>592</v>
      </c>
      <c r="C205" s="531" t="s">
        <v>218</v>
      </c>
      <c r="D205" s="382">
        <v>16127</v>
      </c>
      <c r="E205" s="383">
        <v>2955</v>
      </c>
      <c r="F205" s="383" t="s">
        <v>234</v>
      </c>
      <c r="G205" s="383">
        <v>680</v>
      </c>
      <c r="H205" s="549">
        <v>9</v>
      </c>
      <c r="I205" s="549">
        <v>2</v>
      </c>
      <c r="J205" s="382">
        <v>72</v>
      </c>
      <c r="K205" s="397" t="s">
        <v>364</v>
      </c>
      <c r="L205" s="529">
        <f t="shared" si="19"/>
        <v>4058272.17</v>
      </c>
      <c r="M205" s="519">
        <v>3952553.42</v>
      </c>
      <c r="N205" s="388">
        <v>105718.75</v>
      </c>
      <c r="O205" s="385"/>
      <c r="P205" s="383"/>
      <c r="Q205" s="388"/>
      <c r="R205" s="446">
        <v>2000000</v>
      </c>
      <c r="S205" s="388">
        <f t="shared" si="18"/>
        <v>0</v>
      </c>
      <c r="T205" s="389"/>
      <c r="U205" s="391"/>
      <c r="V205" s="388"/>
      <c r="W205" s="387"/>
      <c r="Z205" s="419"/>
    </row>
    <row r="206" spans="1:31" s="976" customFormat="1" ht="54.75" hidden="1" customHeight="1">
      <c r="A206" s="404">
        <f t="shared" si="20"/>
        <v>154</v>
      </c>
      <c r="B206" s="427" t="s">
        <v>593</v>
      </c>
      <c r="C206" s="531" t="s">
        <v>272</v>
      </c>
      <c r="D206" s="532">
        <v>19079</v>
      </c>
      <c r="E206" s="391">
        <v>2612</v>
      </c>
      <c r="F206" s="533" t="s">
        <v>234</v>
      </c>
      <c r="G206" s="391">
        <v>683</v>
      </c>
      <c r="H206" s="528">
        <v>10</v>
      </c>
      <c r="I206" s="528">
        <v>2</v>
      </c>
      <c r="J206" s="528">
        <f>75-1</f>
        <v>74</v>
      </c>
      <c r="K206" s="397" t="s">
        <v>30</v>
      </c>
      <c r="L206" s="529">
        <f t="shared" si="19"/>
        <v>1951138.17</v>
      </c>
      <c r="M206" s="547">
        <v>1944069.69</v>
      </c>
      <c r="N206" s="388"/>
      <c r="O206" s="473">
        <v>7068.48</v>
      </c>
      <c r="P206" s="388"/>
      <c r="Q206" s="388"/>
      <c r="R206" s="446">
        <f>M206/J206</f>
        <v>26271.212027027028</v>
      </c>
      <c r="S206" s="388">
        <f t="shared" si="18"/>
        <v>-1.8189894035458565E-11</v>
      </c>
      <c r="T206" s="389"/>
      <c r="U206" s="391"/>
      <c r="V206" s="388"/>
      <c r="W206" s="387"/>
      <c r="Z206" s="419"/>
    </row>
    <row r="207" spans="1:31" s="404" customFormat="1" ht="43.15" hidden="1" customHeight="1">
      <c r="A207" s="404">
        <f t="shared" si="20"/>
        <v>155</v>
      </c>
      <c r="B207" s="403" t="s">
        <v>594</v>
      </c>
      <c r="C207" s="531" t="s">
        <v>272</v>
      </c>
      <c r="D207" s="545">
        <v>10969</v>
      </c>
      <c r="E207" s="391">
        <v>2105</v>
      </c>
      <c r="F207" s="391" t="s">
        <v>223</v>
      </c>
      <c r="G207" s="558">
        <v>975</v>
      </c>
      <c r="H207" s="561">
        <v>4</v>
      </c>
      <c r="I207" s="555">
        <v>3</v>
      </c>
      <c r="J207" s="555">
        <v>19</v>
      </c>
      <c r="K207" s="589" t="s">
        <v>33</v>
      </c>
      <c r="L207" s="529">
        <f t="shared" si="19"/>
        <v>2700133.63</v>
      </c>
      <c r="M207" s="557">
        <v>2689947.32</v>
      </c>
      <c r="N207" s="558"/>
      <c r="O207" s="559">
        <v>10186.31</v>
      </c>
      <c r="P207" s="558"/>
      <c r="Q207" s="560"/>
      <c r="R207" s="446">
        <f>M207/G207</f>
        <v>2758.920328205128</v>
      </c>
      <c r="S207" s="388">
        <f t="shared" si="18"/>
        <v>5.6388671509921551E-11</v>
      </c>
      <c r="T207" s="392"/>
      <c r="U207" s="391"/>
      <c r="V207" s="568"/>
      <c r="W207" s="387"/>
      <c r="X207" s="390"/>
      <c r="Z207" s="419"/>
      <c r="AA207" s="390"/>
      <c r="AC207" s="390"/>
    </row>
    <row r="208" spans="1:31" s="977" customFormat="1" ht="58.5" hidden="1" customHeight="1">
      <c r="A208" s="404">
        <f t="shared" si="20"/>
        <v>156</v>
      </c>
      <c r="B208" s="403" t="s">
        <v>595</v>
      </c>
      <c r="C208" s="592" t="s">
        <v>272</v>
      </c>
      <c r="D208" s="545">
        <v>25723</v>
      </c>
      <c r="E208" s="391">
        <v>2580</v>
      </c>
      <c r="F208" s="575" t="s">
        <v>234</v>
      </c>
      <c r="G208" s="391">
        <v>603.29999999999995</v>
      </c>
      <c r="H208" s="528">
        <v>9</v>
      </c>
      <c r="I208" s="528">
        <v>2</v>
      </c>
      <c r="J208" s="446">
        <v>225</v>
      </c>
      <c r="K208" s="458" t="s">
        <v>364</v>
      </c>
      <c r="L208" s="529">
        <f t="shared" si="19"/>
        <v>3822219.49</v>
      </c>
      <c r="M208" s="538">
        <v>3716500.74</v>
      </c>
      <c r="N208" s="539">
        <v>105718.75</v>
      </c>
      <c r="O208" s="540"/>
      <c r="P208" s="388"/>
      <c r="Q208" s="541"/>
      <c r="R208" s="446">
        <v>2000000</v>
      </c>
      <c r="S208" s="388">
        <f t="shared" si="18"/>
        <v>0</v>
      </c>
      <c r="T208" s="393"/>
      <c r="U208" s="391"/>
      <c r="V208" s="539"/>
      <c r="W208" s="387"/>
      <c r="X208" s="390"/>
      <c r="Z208" s="419"/>
      <c r="AA208" s="455"/>
      <c r="AB208" s="388"/>
      <c r="AC208" s="404"/>
      <c r="AD208" s="390"/>
    </row>
    <row r="209" spans="1:29" s="977" customFormat="1" ht="62.25" hidden="1" customHeight="1">
      <c r="A209" s="404">
        <f t="shared" si="20"/>
        <v>157</v>
      </c>
      <c r="B209" s="593" t="s">
        <v>596</v>
      </c>
      <c r="C209" s="531" t="s">
        <v>370</v>
      </c>
      <c r="D209" s="566">
        <v>3060</v>
      </c>
      <c r="E209" s="388">
        <v>620</v>
      </c>
      <c r="F209" s="391" t="s">
        <v>223</v>
      </c>
      <c r="G209" s="388">
        <v>478</v>
      </c>
      <c r="H209" s="446">
        <v>2</v>
      </c>
      <c r="I209" s="446">
        <v>1</v>
      </c>
      <c r="J209" s="446">
        <v>10</v>
      </c>
      <c r="K209" s="458" t="s">
        <v>33</v>
      </c>
      <c r="L209" s="529">
        <f t="shared" si="19"/>
        <v>1119550.6900000002</v>
      </c>
      <c r="M209" s="551">
        <v>1115555.57</v>
      </c>
      <c r="N209" s="388"/>
      <c r="O209" s="473">
        <v>3995.12</v>
      </c>
      <c r="P209" s="388"/>
      <c r="Q209" s="388"/>
      <c r="R209" s="446">
        <f t="shared" ref="R209:R214" si="21">M209/G209</f>
        <v>2333.7982635983267</v>
      </c>
      <c r="S209" s="388">
        <f t="shared" si="18"/>
        <v>1.1186784831807017E-10</v>
      </c>
      <c r="T209" s="392"/>
      <c r="U209" s="391"/>
      <c r="V209" s="550"/>
      <c r="W209" s="387"/>
      <c r="X209" s="390"/>
      <c r="Z209" s="419"/>
      <c r="AA209" s="388"/>
      <c r="AB209" s="404"/>
      <c r="AC209" s="390"/>
    </row>
    <row r="210" spans="1:29" s="416" customFormat="1" ht="38.25" hidden="1" customHeight="1">
      <c r="A210" s="404">
        <f t="shared" si="20"/>
        <v>158</v>
      </c>
      <c r="B210" s="543" t="s">
        <v>597</v>
      </c>
      <c r="C210" s="544" t="s">
        <v>218</v>
      </c>
      <c r="D210" s="545">
        <v>9668</v>
      </c>
      <c r="E210" s="391">
        <v>2363</v>
      </c>
      <c r="F210" s="391" t="s">
        <v>234</v>
      </c>
      <c r="G210" s="391">
        <v>740</v>
      </c>
      <c r="H210" s="446">
        <v>5</v>
      </c>
      <c r="I210" s="528">
        <v>2</v>
      </c>
      <c r="J210" s="528">
        <v>60</v>
      </c>
      <c r="K210" s="458" t="s">
        <v>3880</v>
      </c>
      <c r="L210" s="529">
        <f t="shared" si="19"/>
        <v>3346466.36</v>
      </c>
      <c r="M210" s="529">
        <v>3306506.36</v>
      </c>
      <c r="N210" s="391">
        <v>39960</v>
      </c>
      <c r="O210" s="530"/>
      <c r="P210" s="391">
        <v>0</v>
      </c>
      <c r="Q210" s="391"/>
      <c r="R210" s="446">
        <f t="shared" si="21"/>
        <v>4468.2518378378372</v>
      </c>
      <c r="S210" s="388">
        <f t="shared" si="18"/>
        <v>0</v>
      </c>
      <c r="T210" s="389" t="s">
        <v>3592</v>
      </c>
      <c r="U210" s="391"/>
      <c r="V210" s="391"/>
      <c r="W210" s="387"/>
      <c r="Z210" s="419"/>
    </row>
    <row r="211" spans="1:29" s="980" customFormat="1" ht="43.9" hidden="1" customHeight="1">
      <c r="A211" s="404">
        <f t="shared" si="20"/>
        <v>159</v>
      </c>
      <c r="B211" s="427" t="s">
        <v>598</v>
      </c>
      <c r="C211" s="455" t="s">
        <v>272</v>
      </c>
      <c r="D211" s="532">
        <v>18781</v>
      </c>
      <c r="E211" s="391">
        <v>3338</v>
      </c>
      <c r="F211" s="391" t="s">
        <v>234</v>
      </c>
      <c r="G211" s="535">
        <v>1378</v>
      </c>
      <c r="H211" s="594">
        <v>5</v>
      </c>
      <c r="I211" s="594">
        <v>6</v>
      </c>
      <c r="J211" s="536"/>
      <c r="K211" s="504" t="s">
        <v>3880</v>
      </c>
      <c r="L211" s="529">
        <f t="shared" si="19"/>
        <v>6097495.9100000001</v>
      </c>
      <c r="M211" s="519">
        <v>6052540.9100000001</v>
      </c>
      <c r="N211" s="550">
        <v>44955</v>
      </c>
      <c r="O211" s="473"/>
      <c r="P211" s="388"/>
      <c r="Q211" s="388"/>
      <c r="R211" s="446">
        <f t="shared" si="21"/>
        <v>4392.2648113207551</v>
      </c>
      <c r="S211" s="388">
        <f t="shared" si="18"/>
        <v>0</v>
      </c>
      <c r="T211" s="389"/>
      <c r="U211" s="391"/>
      <c r="V211" s="388"/>
      <c r="W211" s="387"/>
      <c r="Z211" s="419"/>
    </row>
    <row r="212" spans="1:29" s="403" customFormat="1" ht="43.9" hidden="1" customHeight="1">
      <c r="A212" s="404">
        <f t="shared" si="20"/>
        <v>160</v>
      </c>
      <c r="B212" s="590" t="s">
        <v>599</v>
      </c>
      <c r="C212" s="531" t="s">
        <v>240</v>
      </c>
      <c r="D212" s="531">
        <v>3301</v>
      </c>
      <c r="E212" s="388">
        <v>807.8</v>
      </c>
      <c r="F212" s="533" t="s">
        <v>223</v>
      </c>
      <c r="G212" s="388">
        <v>613</v>
      </c>
      <c r="H212" s="446">
        <v>2</v>
      </c>
      <c r="I212" s="446">
        <v>2</v>
      </c>
      <c r="J212" s="446">
        <v>12</v>
      </c>
      <c r="K212" s="397" t="s">
        <v>33</v>
      </c>
      <c r="L212" s="529">
        <f t="shared" si="19"/>
        <v>2185090.1500000004</v>
      </c>
      <c r="M212" s="519">
        <v>2179966.7000000002</v>
      </c>
      <c r="N212" s="388"/>
      <c r="O212" s="473">
        <v>5123.45</v>
      </c>
      <c r="P212" s="388"/>
      <c r="Q212" s="388"/>
      <c r="R212" s="446">
        <f t="shared" si="21"/>
        <v>3556.2262642740625</v>
      </c>
      <c r="S212" s="388">
        <f t="shared" si="18"/>
        <v>1.8644641386345029E-10</v>
      </c>
      <c r="T212" s="389"/>
      <c r="U212" s="391"/>
      <c r="V212" s="388"/>
      <c r="W212" s="387"/>
      <c r="Z212" s="419"/>
    </row>
    <row r="213" spans="1:29" s="416" customFormat="1" ht="43.9" hidden="1" customHeight="1">
      <c r="A213" s="404">
        <f t="shared" si="20"/>
        <v>161</v>
      </c>
      <c r="B213" s="590" t="s">
        <v>600</v>
      </c>
      <c r="C213" s="531" t="s">
        <v>240</v>
      </c>
      <c r="D213" s="595">
        <v>3257</v>
      </c>
      <c r="E213" s="596">
        <v>807.8</v>
      </c>
      <c r="F213" s="597" t="s">
        <v>223</v>
      </c>
      <c r="G213" s="391">
        <v>499</v>
      </c>
      <c r="H213" s="446">
        <v>2</v>
      </c>
      <c r="I213" s="446">
        <v>2</v>
      </c>
      <c r="J213" s="598">
        <v>12</v>
      </c>
      <c r="K213" s="397" t="s">
        <v>33</v>
      </c>
      <c r="L213" s="529">
        <f t="shared" si="19"/>
        <v>1539553.7</v>
      </c>
      <c r="M213" s="519">
        <v>1535383.06</v>
      </c>
      <c r="N213" s="388"/>
      <c r="O213" s="473">
        <v>4170.6400000000003</v>
      </c>
      <c r="P213" s="388"/>
      <c r="Q213" s="388"/>
      <c r="R213" s="446">
        <f t="shared" si="21"/>
        <v>3076.9199599198396</v>
      </c>
      <c r="S213" s="388">
        <f t="shared" si="18"/>
        <v>-1.0277290130034089E-10</v>
      </c>
      <c r="T213" s="389"/>
      <c r="U213" s="391"/>
      <c r="V213" s="388"/>
      <c r="W213" s="387"/>
      <c r="Z213" s="419"/>
    </row>
    <row r="214" spans="1:29" s="416" customFormat="1" ht="43.9" hidden="1" customHeight="1">
      <c r="A214" s="404">
        <f t="shared" si="20"/>
        <v>162</v>
      </c>
      <c r="B214" s="590" t="s">
        <v>601</v>
      </c>
      <c r="C214" s="531" t="s">
        <v>240</v>
      </c>
      <c r="D214" s="531">
        <v>3262</v>
      </c>
      <c r="E214" s="388">
        <v>807.8</v>
      </c>
      <c r="F214" s="533" t="s">
        <v>223</v>
      </c>
      <c r="G214" s="388">
        <v>455</v>
      </c>
      <c r="H214" s="446">
        <v>2</v>
      </c>
      <c r="I214" s="446">
        <v>2</v>
      </c>
      <c r="J214" s="446">
        <v>12</v>
      </c>
      <c r="K214" s="504" t="s">
        <v>33</v>
      </c>
      <c r="L214" s="529">
        <f t="shared" si="19"/>
        <v>1641696.25</v>
      </c>
      <c r="M214" s="519">
        <v>1637893.36</v>
      </c>
      <c r="N214" s="388"/>
      <c r="O214" s="473">
        <v>3802.89</v>
      </c>
      <c r="P214" s="388"/>
      <c r="Q214" s="388"/>
      <c r="R214" s="446">
        <f t="shared" si="21"/>
        <v>3599.7656263736267</v>
      </c>
      <c r="S214" s="388">
        <f t="shared" si="18"/>
        <v>-1.0231815394945443E-10</v>
      </c>
      <c r="T214" s="389"/>
      <c r="U214" s="391"/>
      <c r="V214" s="388"/>
      <c r="W214" s="387"/>
      <c r="Z214" s="419"/>
    </row>
    <row r="215" spans="1:29" s="416" customFormat="1" ht="34.9" hidden="1" customHeight="1">
      <c r="A215" s="404">
        <f t="shared" si="20"/>
        <v>163</v>
      </c>
      <c r="B215" s="403" t="s">
        <v>602</v>
      </c>
      <c r="C215" s="455" t="s">
        <v>315</v>
      </c>
      <c r="D215" s="531">
        <v>39196</v>
      </c>
      <c r="E215" s="388">
        <v>6786</v>
      </c>
      <c r="F215" s="388" t="s">
        <v>234</v>
      </c>
      <c r="G215" s="388">
        <v>3700</v>
      </c>
      <c r="H215" s="446">
        <v>9</v>
      </c>
      <c r="I215" s="446">
        <v>4</v>
      </c>
      <c r="J215" s="446">
        <v>144</v>
      </c>
      <c r="K215" s="458" t="s">
        <v>364</v>
      </c>
      <c r="L215" s="529">
        <f t="shared" si="19"/>
        <v>4013011.79</v>
      </c>
      <c r="M215" s="529">
        <v>3907293.04</v>
      </c>
      <c r="N215" s="388">
        <v>105718.75</v>
      </c>
      <c r="O215" s="473"/>
      <c r="P215" s="388"/>
      <c r="Q215" s="391"/>
      <c r="R215" s="446">
        <v>2000000</v>
      </c>
      <c r="S215" s="388">
        <f t="shared" si="18"/>
        <v>0</v>
      </c>
      <c r="T215" s="392"/>
      <c r="U215" s="391"/>
      <c r="V215" s="391"/>
      <c r="W215" s="387"/>
      <c r="Z215" s="419"/>
    </row>
    <row r="216" spans="1:29" s="458" customFormat="1" ht="54.75" hidden="1" customHeight="1">
      <c r="A216" s="404">
        <f t="shared" si="20"/>
        <v>164</v>
      </c>
      <c r="B216" s="590" t="s">
        <v>603</v>
      </c>
      <c r="C216" s="531" t="s">
        <v>272</v>
      </c>
      <c r="D216" s="531">
        <v>3337</v>
      </c>
      <c r="E216" s="388">
        <v>711</v>
      </c>
      <c r="F216" s="533" t="s">
        <v>231</v>
      </c>
      <c r="G216" s="388">
        <v>328</v>
      </c>
      <c r="H216" s="446">
        <v>2</v>
      </c>
      <c r="I216" s="446">
        <v>1</v>
      </c>
      <c r="J216" s="446">
        <v>29</v>
      </c>
      <c r="K216" s="397" t="s">
        <v>30</v>
      </c>
      <c r="L216" s="529">
        <f t="shared" si="19"/>
        <v>558155.60000000009</v>
      </c>
      <c r="M216" s="519">
        <v>555991.47000000009</v>
      </c>
      <c r="N216" s="388"/>
      <c r="O216" s="473">
        <v>2164.13</v>
      </c>
      <c r="P216" s="388"/>
      <c r="Q216" s="388"/>
      <c r="R216" s="446">
        <f>M216/J216</f>
        <v>19172.119655172417</v>
      </c>
      <c r="S216" s="388">
        <f t="shared" si="18"/>
        <v>4.5474735088646412E-12</v>
      </c>
      <c r="T216" s="389"/>
      <c r="U216" s="391"/>
      <c r="V216" s="388"/>
      <c r="W216" s="387"/>
      <c r="Z216" s="419"/>
    </row>
    <row r="217" spans="1:29" s="458" customFormat="1" ht="54.75" hidden="1" customHeight="1">
      <c r="A217" s="1112">
        <v>165</v>
      </c>
      <c r="B217" s="590" t="s">
        <v>604</v>
      </c>
      <c r="C217" s="531" t="s">
        <v>272</v>
      </c>
      <c r="D217" s="531">
        <v>2521</v>
      </c>
      <c r="E217" s="388">
        <v>604.66</v>
      </c>
      <c r="F217" s="391" t="s">
        <v>223</v>
      </c>
      <c r="G217" s="388">
        <v>560</v>
      </c>
      <c r="H217" s="446">
        <v>2</v>
      </c>
      <c r="I217" s="446">
        <v>2</v>
      </c>
      <c r="J217" s="446">
        <v>8</v>
      </c>
      <c r="K217" s="397" t="s">
        <v>30</v>
      </c>
      <c r="L217" s="1128">
        <f>M217+N217+O217+P217+Q217+M218+N218+O218+P218+Q218</f>
        <v>367387.27</v>
      </c>
      <c r="M217" s="519">
        <v>157792.24</v>
      </c>
      <c r="N217" s="388"/>
      <c r="O217" s="473">
        <v>597</v>
      </c>
      <c r="P217" s="388"/>
      <c r="Q217" s="388"/>
      <c r="R217" s="446">
        <f>M217/J217</f>
        <v>19724.03</v>
      </c>
      <c r="S217" s="388">
        <f t="shared" si="18"/>
        <v>208998.03000000003</v>
      </c>
      <c r="T217" s="389"/>
      <c r="U217" s="391"/>
      <c r="V217" s="388"/>
      <c r="W217" s="387"/>
      <c r="Z217" s="419"/>
    </row>
    <row r="218" spans="1:29" s="458" customFormat="1" ht="47.45" hidden="1" customHeight="1">
      <c r="A218" s="1112"/>
      <c r="B218" s="590"/>
      <c r="C218" s="531"/>
      <c r="D218" s="531"/>
      <c r="E218" s="388"/>
      <c r="F218" s="391"/>
      <c r="G218" s="388"/>
      <c r="H218" s="446"/>
      <c r="I218" s="446"/>
      <c r="J218" s="446"/>
      <c r="K218" s="458" t="s">
        <v>225</v>
      </c>
      <c r="L218" s="1128"/>
      <c r="M218" s="519">
        <v>189018.03</v>
      </c>
      <c r="N218" s="388">
        <v>19980</v>
      </c>
      <c r="O218" s="473"/>
      <c r="P218" s="388"/>
      <c r="Q218" s="388"/>
      <c r="R218" s="446">
        <f>M218/J217</f>
        <v>23627.25375</v>
      </c>
      <c r="S218" s="388">
        <f t="shared" ref="S218:S249" si="22">L218-M218-N218-O218-P218-Q218</f>
        <v>-208998.03</v>
      </c>
      <c r="T218" s="389"/>
      <c r="U218" s="391"/>
      <c r="V218" s="388"/>
      <c r="W218" s="387"/>
      <c r="Z218" s="419"/>
    </row>
    <row r="219" spans="1:29" ht="43.9" hidden="1" customHeight="1">
      <c r="A219" s="404">
        <v>166</v>
      </c>
      <c r="B219" s="403" t="s">
        <v>605</v>
      </c>
      <c r="C219" s="531" t="s">
        <v>272</v>
      </c>
      <c r="D219" s="532">
        <v>4575</v>
      </c>
      <c r="E219" s="535">
        <v>634</v>
      </c>
      <c r="F219" s="391" t="s">
        <v>223</v>
      </c>
      <c r="G219" s="535">
        <v>635.4</v>
      </c>
      <c r="H219" s="536">
        <v>2</v>
      </c>
      <c r="I219" s="536">
        <v>2</v>
      </c>
      <c r="J219" s="536">
        <v>12</v>
      </c>
      <c r="K219" s="458" t="s">
        <v>33</v>
      </c>
      <c r="L219" s="529">
        <f>M219+N219+O219+P219+Q219</f>
        <v>1718243.19</v>
      </c>
      <c r="M219" s="519">
        <v>1712932.52</v>
      </c>
      <c r="N219" s="394"/>
      <c r="O219" s="473">
        <v>5310.67</v>
      </c>
      <c r="P219" s="388"/>
      <c r="Q219" s="388"/>
      <c r="R219" s="446">
        <f>M219/G219</f>
        <v>2695.833364809569</v>
      </c>
      <c r="S219" s="388">
        <f t="shared" si="22"/>
        <v>-7.4578565545380116E-11</v>
      </c>
      <c r="T219" s="389"/>
      <c r="U219" s="391"/>
      <c r="V219" s="388"/>
      <c r="W219" s="387"/>
      <c r="Z219" s="419"/>
    </row>
    <row r="220" spans="1:29" s="458" customFormat="1" ht="54.75" hidden="1" customHeight="1">
      <c r="A220" s="404">
        <f t="shared" si="20"/>
        <v>167</v>
      </c>
      <c r="B220" s="403" t="s">
        <v>606</v>
      </c>
      <c r="C220" s="455" t="s">
        <v>272</v>
      </c>
      <c r="D220" s="545">
        <v>9532</v>
      </c>
      <c r="E220" s="391">
        <v>667</v>
      </c>
      <c r="F220" s="388" t="s">
        <v>223</v>
      </c>
      <c r="G220" s="391">
        <v>914</v>
      </c>
      <c r="H220" s="528">
        <v>3</v>
      </c>
      <c r="I220" s="528">
        <v>3</v>
      </c>
      <c r="J220" s="528">
        <v>31</v>
      </c>
      <c r="K220" s="537" t="s">
        <v>30</v>
      </c>
      <c r="L220" s="529">
        <f>M220+N220+O220+P220+Q220</f>
        <v>658974.14999999991</v>
      </c>
      <c r="M220" s="519">
        <v>656475.69999999995</v>
      </c>
      <c r="N220" s="388"/>
      <c r="O220" s="473">
        <v>2498.4499999999998</v>
      </c>
      <c r="P220" s="388"/>
      <c r="Q220" s="388"/>
      <c r="R220" s="446">
        <f>M220/J220</f>
        <v>21176.635483870967</v>
      </c>
      <c r="S220" s="388">
        <f t="shared" si="22"/>
        <v>-4.638422979041934E-11</v>
      </c>
      <c r="T220" s="393"/>
      <c r="U220" s="391"/>
      <c r="V220" s="388"/>
      <c r="W220" s="387"/>
      <c r="Z220" s="419"/>
    </row>
    <row r="221" spans="1:29" s="458" customFormat="1" ht="54.75" hidden="1" customHeight="1">
      <c r="A221" s="404">
        <f t="shared" si="20"/>
        <v>168</v>
      </c>
      <c r="B221" s="403" t="s">
        <v>607</v>
      </c>
      <c r="C221" s="455" t="s">
        <v>272</v>
      </c>
      <c r="D221" s="545">
        <v>28202</v>
      </c>
      <c r="E221" s="391">
        <v>2783</v>
      </c>
      <c r="F221" s="388" t="s">
        <v>234</v>
      </c>
      <c r="G221" s="391">
        <v>1560.5</v>
      </c>
      <c r="H221" s="528">
        <v>6</v>
      </c>
      <c r="I221" s="528">
        <v>6</v>
      </c>
      <c r="J221" s="528">
        <v>97</v>
      </c>
      <c r="K221" s="537" t="s">
        <v>30</v>
      </c>
      <c r="L221" s="529">
        <f>M221+N221+O221+P221+Q221</f>
        <v>3481762.3000000003</v>
      </c>
      <c r="M221" s="519">
        <v>3473365.49</v>
      </c>
      <c r="N221" s="388"/>
      <c r="O221" s="473">
        <v>8396.81</v>
      </c>
      <c r="P221" s="388"/>
      <c r="Q221" s="388"/>
      <c r="R221" s="446">
        <f>M221/J221</f>
        <v>35807.89164948454</v>
      </c>
      <c r="S221" s="388">
        <f t="shared" si="22"/>
        <v>5.6388671509921551E-11</v>
      </c>
      <c r="T221" s="393"/>
      <c r="U221" s="391"/>
      <c r="V221" s="388"/>
      <c r="W221" s="387"/>
      <c r="Z221" s="419"/>
    </row>
    <row r="222" spans="1:29" s="416" customFormat="1" ht="49.15" hidden="1" customHeight="1">
      <c r="A222" s="1112">
        <v>169</v>
      </c>
      <c r="B222" s="403" t="s">
        <v>609</v>
      </c>
      <c r="C222" s="531" t="s">
        <v>272</v>
      </c>
      <c r="D222" s="532">
        <v>6001</v>
      </c>
      <c r="E222" s="535">
        <v>380</v>
      </c>
      <c r="F222" s="542" t="s">
        <v>369</v>
      </c>
      <c r="G222" s="535">
        <v>650</v>
      </c>
      <c r="H222" s="536">
        <v>3</v>
      </c>
      <c r="I222" s="536">
        <v>3</v>
      </c>
      <c r="J222" s="536">
        <v>18</v>
      </c>
      <c r="K222" s="458" t="s">
        <v>225</v>
      </c>
      <c r="L222" s="1128">
        <f>M222+N222+O222+P222+Q222+M223+N223+O223+P223+Q223</f>
        <v>532966.34</v>
      </c>
      <c r="M222" s="519">
        <v>316764.26</v>
      </c>
      <c r="N222" s="388">
        <v>34965</v>
      </c>
      <c r="O222" s="473"/>
      <c r="P222" s="388"/>
      <c r="Q222" s="388"/>
      <c r="R222" s="446">
        <f>M222/J222</f>
        <v>17598.014444444445</v>
      </c>
      <c r="S222" s="388">
        <f t="shared" si="22"/>
        <v>181237.07999999996</v>
      </c>
      <c r="T222" s="389"/>
      <c r="U222" s="391"/>
      <c r="V222" s="388"/>
      <c r="W222" s="387"/>
      <c r="Z222" s="419"/>
    </row>
    <row r="223" spans="1:29" s="416" customFormat="1" ht="54.75" hidden="1" customHeight="1">
      <c r="A223" s="1112"/>
      <c r="B223" s="403"/>
      <c r="C223" s="455"/>
      <c r="D223" s="532"/>
      <c r="E223" s="535"/>
      <c r="F223" s="542"/>
      <c r="G223" s="535"/>
      <c r="H223" s="536"/>
      <c r="I223" s="536"/>
      <c r="J223" s="536"/>
      <c r="K223" s="397" t="s">
        <v>30</v>
      </c>
      <c r="L223" s="1128"/>
      <c r="M223" s="519">
        <v>179893.83</v>
      </c>
      <c r="N223" s="388"/>
      <c r="O223" s="473">
        <v>1343.25</v>
      </c>
      <c r="P223" s="388"/>
      <c r="Q223" s="388"/>
      <c r="R223" s="446">
        <f>M223/J222</f>
        <v>9994.1016666666656</v>
      </c>
      <c r="S223" s="388">
        <f t="shared" si="22"/>
        <v>-181237.08</v>
      </c>
      <c r="T223" s="389"/>
      <c r="U223" s="391"/>
      <c r="V223" s="388"/>
      <c r="W223" s="387"/>
      <c r="Z223" s="419"/>
    </row>
    <row r="224" spans="1:29" s="458" customFormat="1" ht="43.9" hidden="1" customHeight="1">
      <c r="A224" s="404">
        <v>170</v>
      </c>
      <c r="B224" s="403" t="s">
        <v>610</v>
      </c>
      <c r="C224" s="455" t="s">
        <v>218</v>
      </c>
      <c r="D224" s="532">
        <v>12707</v>
      </c>
      <c r="E224" s="391">
        <v>1240</v>
      </c>
      <c r="F224" s="539" t="s">
        <v>234</v>
      </c>
      <c r="G224" s="535">
        <v>400</v>
      </c>
      <c r="H224" s="536">
        <v>12</v>
      </c>
      <c r="I224" s="536">
        <v>1</v>
      </c>
      <c r="J224" s="536">
        <v>47</v>
      </c>
      <c r="K224" s="458" t="s">
        <v>364</v>
      </c>
      <c r="L224" s="529">
        <f>M224+N224+O224+P224+Q224</f>
        <v>2317243.02</v>
      </c>
      <c r="M224" s="538">
        <v>2232668.02</v>
      </c>
      <c r="N224" s="539">
        <v>84575</v>
      </c>
      <c r="O224" s="540"/>
      <c r="P224" s="388"/>
      <c r="Q224" s="541"/>
      <c r="R224" s="446">
        <v>2200000</v>
      </c>
      <c r="S224" s="388">
        <f t="shared" si="22"/>
        <v>0</v>
      </c>
      <c r="T224" s="393" t="s">
        <v>3593</v>
      </c>
      <c r="U224" s="391"/>
      <c r="V224" s="539"/>
      <c r="W224" s="387"/>
      <c r="Z224" s="419"/>
    </row>
    <row r="225" spans="1:16382" s="458" customFormat="1" ht="43.9" hidden="1" customHeight="1">
      <c r="A225" s="404">
        <f t="shared" si="20"/>
        <v>171</v>
      </c>
      <c r="B225" s="403" t="s">
        <v>611</v>
      </c>
      <c r="C225" s="544" t="s">
        <v>218</v>
      </c>
      <c r="D225" s="446">
        <v>17865</v>
      </c>
      <c r="E225" s="388">
        <v>4290.8</v>
      </c>
      <c r="F225" s="388" t="s">
        <v>234</v>
      </c>
      <c r="G225" s="388">
        <v>779</v>
      </c>
      <c r="H225" s="446">
        <v>9</v>
      </c>
      <c r="I225" s="446">
        <v>1</v>
      </c>
      <c r="J225" s="446">
        <v>171</v>
      </c>
      <c r="K225" s="397" t="s">
        <v>33</v>
      </c>
      <c r="L225" s="529">
        <f>M225+N225+O225+P225+Q225</f>
        <v>1373685.3299999998</v>
      </c>
      <c r="M225" s="519">
        <v>1368802.17</v>
      </c>
      <c r="N225" s="388"/>
      <c r="O225" s="473">
        <v>4883.16</v>
      </c>
      <c r="P225" s="388"/>
      <c r="Q225" s="388"/>
      <c r="R225" s="446">
        <f>M225/G225</f>
        <v>1757.1273042362002</v>
      </c>
      <c r="S225" s="388">
        <f t="shared" si="22"/>
        <v>-8.3673512563109398E-11</v>
      </c>
      <c r="T225" s="393"/>
      <c r="U225" s="391"/>
      <c r="V225" s="388"/>
      <c r="W225" s="387"/>
      <c r="Z225" s="419"/>
    </row>
    <row r="226" spans="1:16382" s="458" customFormat="1" ht="54.75" hidden="1" customHeight="1">
      <c r="A226" s="404">
        <f t="shared" si="20"/>
        <v>172</v>
      </c>
      <c r="B226" s="403" t="s">
        <v>612</v>
      </c>
      <c r="C226" s="455" t="s">
        <v>218</v>
      </c>
      <c r="D226" s="487">
        <v>17267</v>
      </c>
      <c r="E226" s="391">
        <v>3510</v>
      </c>
      <c r="F226" s="391" t="s">
        <v>234</v>
      </c>
      <c r="G226" s="391">
        <v>494.4</v>
      </c>
      <c r="H226" s="528">
        <v>9</v>
      </c>
      <c r="I226" s="528">
        <v>2</v>
      </c>
      <c r="J226" s="528">
        <v>71</v>
      </c>
      <c r="K226" s="458" t="s">
        <v>30</v>
      </c>
      <c r="L226" s="529">
        <f>M226+N226+O226+P226+Q226</f>
        <v>2158717.27</v>
      </c>
      <c r="M226" s="529">
        <v>2151935.35</v>
      </c>
      <c r="N226" s="391"/>
      <c r="O226" s="473">
        <v>6781.92</v>
      </c>
      <c r="P226" s="487"/>
      <c r="Q226" s="391"/>
      <c r="R226" s="528">
        <f>M226/J226</f>
        <v>30308.948591549299</v>
      </c>
      <c r="S226" s="388">
        <f t="shared" si="22"/>
        <v>-7.4578565545380116E-11</v>
      </c>
      <c r="T226" s="393"/>
      <c r="U226" s="391"/>
      <c r="V226" s="391"/>
      <c r="W226" s="387"/>
      <c r="Z226" s="419"/>
    </row>
    <row r="227" spans="1:16382" s="458" customFormat="1" ht="43.9" hidden="1" customHeight="1">
      <c r="A227" s="404">
        <f t="shared" si="20"/>
        <v>173</v>
      </c>
      <c r="B227" s="590" t="s">
        <v>613</v>
      </c>
      <c r="C227" s="531" t="s">
        <v>240</v>
      </c>
      <c r="D227" s="531">
        <v>1886</v>
      </c>
      <c r="E227" s="388">
        <v>430</v>
      </c>
      <c r="F227" s="391" t="s">
        <v>223</v>
      </c>
      <c r="G227" s="388">
        <v>400</v>
      </c>
      <c r="H227" s="599">
        <v>2</v>
      </c>
      <c r="I227" s="446">
        <v>2</v>
      </c>
      <c r="J227" s="446">
        <v>8</v>
      </c>
      <c r="K227" s="397" t="s">
        <v>33</v>
      </c>
      <c r="L227" s="529">
        <f>M227+N227+O227+P227+Q227</f>
        <v>826553.48</v>
      </c>
      <c r="M227" s="519">
        <v>823210.28</v>
      </c>
      <c r="N227" s="388"/>
      <c r="O227" s="473">
        <v>3343.2</v>
      </c>
      <c r="P227" s="388"/>
      <c r="Q227" s="388"/>
      <c r="R227" s="446">
        <f>M227/G227</f>
        <v>2058.0257000000001</v>
      </c>
      <c r="S227" s="388">
        <f t="shared" si="22"/>
        <v>-4.638422979041934E-11</v>
      </c>
      <c r="T227" s="393"/>
      <c r="U227" s="391"/>
      <c r="V227" s="388"/>
      <c r="W227" s="387"/>
      <c r="Z227" s="419"/>
    </row>
    <row r="228" spans="1:16382" s="458" customFormat="1" ht="43.9" hidden="1" customHeight="1">
      <c r="A228" s="404">
        <f t="shared" si="20"/>
        <v>174</v>
      </c>
      <c r="B228" s="590" t="s">
        <v>614</v>
      </c>
      <c r="C228" s="455" t="s">
        <v>240</v>
      </c>
      <c r="D228" s="531">
        <v>1869</v>
      </c>
      <c r="E228" s="388">
        <v>430</v>
      </c>
      <c r="F228" s="391" t="s">
        <v>223</v>
      </c>
      <c r="G228" s="388">
        <v>434</v>
      </c>
      <c r="H228" s="446">
        <v>2</v>
      </c>
      <c r="I228" s="446">
        <v>2</v>
      </c>
      <c r="J228" s="446">
        <v>12</v>
      </c>
      <c r="K228" s="397" t="s">
        <v>33</v>
      </c>
      <c r="L228" s="529">
        <f>M228+N228+O228+P228+Q228</f>
        <v>907692.83</v>
      </c>
      <c r="M228" s="519">
        <v>904065.46</v>
      </c>
      <c r="N228" s="388"/>
      <c r="O228" s="473">
        <v>3627.37</v>
      </c>
      <c r="P228" s="388"/>
      <c r="Q228" s="388"/>
      <c r="R228" s="446">
        <f>M228/G228</f>
        <v>2083.100138248848</v>
      </c>
      <c r="S228" s="388">
        <f t="shared" si="22"/>
        <v>-4.5474735088646412E-12</v>
      </c>
      <c r="T228" s="393"/>
      <c r="U228" s="391"/>
      <c r="V228" s="388"/>
      <c r="W228" s="387"/>
      <c r="Z228" s="419"/>
    </row>
    <row r="229" spans="1:16382" s="458" customFormat="1" ht="51" hidden="1" customHeight="1">
      <c r="A229" s="404">
        <f t="shared" si="20"/>
        <v>175</v>
      </c>
      <c r="B229" s="403" t="s">
        <v>615</v>
      </c>
      <c r="C229" s="455" t="s">
        <v>218</v>
      </c>
      <c r="D229" s="487">
        <v>39020</v>
      </c>
      <c r="E229" s="391">
        <v>7154</v>
      </c>
      <c r="F229" s="391" t="s">
        <v>234</v>
      </c>
      <c r="G229" s="391">
        <v>2016</v>
      </c>
      <c r="H229" s="528">
        <v>9</v>
      </c>
      <c r="I229" s="528">
        <v>6</v>
      </c>
      <c r="J229" s="528">
        <v>216</v>
      </c>
      <c r="K229" s="458" t="s">
        <v>30</v>
      </c>
      <c r="L229" s="1128">
        <f>M229+N229+O229+P229+Q229+M230+N230+O230+Q230</f>
        <v>19195674.320000004</v>
      </c>
      <c r="M229" s="529">
        <v>6043965.9800000004</v>
      </c>
      <c r="N229" s="391"/>
      <c r="O229" s="473">
        <v>17408.52</v>
      </c>
      <c r="P229" s="487"/>
      <c r="Q229" s="391"/>
      <c r="R229" s="528">
        <f>M229/J229</f>
        <v>27981.323981481484</v>
      </c>
      <c r="S229" s="388">
        <f t="shared" si="22"/>
        <v>13134299.820000004</v>
      </c>
      <c r="T229" s="393"/>
      <c r="U229" s="391">
        <f>M229+N229+O229+Q229</f>
        <v>6061374.5</v>
      </c>
      <c r="V229" s="391"/>
      <c r="W229" s="387"/>
      <c r="Z229" s="419"/>
    </row>
    <row r="230" spans="1:16382" s="458" customFormat="1" ht="54.75" hidden="1" customHeight="1">
      <c r="A230" s="404"/>
      <c r="B230" s="403"/>
      <c r="C230" s="455"/>
      <c r="D230" s="487"/>
      <c r="E230" s="391"/>
      <c r="F230" s="391"/>
      <c r="G230" s="391"/>
      <c r="H230" s="528"/>
      <c r="I230" s="528"/>
      <c r="J230" s="528"/>
      <c r="K230" s="458" t="s">
        <v>227</v>
      </c>
      <c r="L230" s="1128"/>
      <c r="M230" s="529">
        <v>13105745.310000001</v>
      </c>
      <c r="N230" s="391">
        <v>28554.51</v>
      </c>
      <c r="O230" s="473"/>
      <c r="P230" s="487"/>
      <c r="Q230" s="391"/>
      <c r="R230" s="495">
        <f>M230/E229</f>
        <v>1831.946506849315</v>
      </c>
      <c r="S230" s="388">
        <f t="shared" si="22"/>
        <v>-13134299.82</v>
      </c>
      <c r="T230" s="393"/>
      <c r="U230" s="391">
        <f>M230+N230+O230+Q230</f>
        <v>13134299.82</v>
      </c>
      <c r="V230" s="391"/>
      <c r="W230" s="387"/>
      <c r="Z230" s="419"/>
    </row>
    <row r="231" spans="1:16382" s="458" customFormat="1" ht="43.9" hidden="1" customHeight="1">
      <c r="A231" s="404">
        <f>A229+1</f>
        <v>176</v>
      </c>
      <c r="B231" s="403" t="s">
        <v>616</v>
      </c>
      <c r="C231" s="531" t="s">
        <v>218</v>
      </c>
      <c r="D231" s="495">
        <v>38461.31</v>
      </c>
      <c r="E231" s="391">
        <v>6688</v>
      </c>
      <c r="F231" s="563" t="s">
        <v>234</v>
      </c>
      <c r="G231" s="391">
        <v>1710</v>
      </c>
      <c r="H231" s="528">
        <v>9</v>
      </c>
      <c r="I231" s="528">
        <v>5</v>
      </c>
      <c r="J231" s="528">
        <v>180</v>
      </c>
      <c r="K231" s="458" t="s">
        <v>33</v>
      </c>
      <c r="L231" s="529">
        <f>M231+N231+O231+P231+Q231</f>
        <v>3282318.4</v>
      </c>
      <c r="M231" s="529">
        <v>3271599.26</v>
      </c>
      <c r="N231" s="391"/>
      <c r="O231" s="600">
        <v>10719.14</v>
      </c>
      <c r="P231" s="601"/>
      <c r="Q231" s="602"/>
      <c r="R231" s="446">
        <f>M231/G231</f>
        <v>1913.2159415204676</v>
      </c>
      <c r="S231" s="388">
        <f t="shared" si="22"/>
        <v>1.3096723705530167E-10</v>
      </c>
      <c r="T231" s="393"/>
      <c r="U231" s="391"/>
      <c r="V231" s="391"/>
      <c r="W231" s="387"/>
      <c r="Z231" s="419"/>
    </row>
    <row r="232" spans="1:16382" s="458" customFormat="1" ht="43.9" hidden="1" customHeight="1">
      <c r="A232" s="404">
        <f t="shared" si="20"/>
        <v>177</v>
      </c>
      <c r="B232" s="403" t="s">
        <v>617</v>
      </c>
      <c r="C232" s="531" t="s">
        <v>272</v>
      </c>
      <c r="D232" s="545">
        <v>13181</v>
      </c>
      <c r="E232" s="391">
        <v>2280</v>
      </c>
      <c r="F232" s="391" t="s">
        <v>223</v>
      </c>
      <c r="G232" s="391">
        <v>1010</v>
      </c>
      <c r="H232" s="528">
        <v>4</v>
      </c>
      <c r="I232" s="555">
        <v>4</v>
      </c>
      <c r="J232" s="555">
        <v>39</v>
      </c>
      <c r="K232" s="537" t="s">
        <v>225</v>
      </c>
      <c r="L232" s="529">
        <f>M232+N232+O232+P232+Q232</f>
        <v>648733.15</v>
      </c>
      <c r="M232" s="557">
        <v>613768.15</v>
      </c>
      <c r="N232" s="558">
        <v>34965</v>
      </c>
      <c r="O232" s="562"/>
      <c r="P232" s="558">
        <v>0</v>
      </c>
      <c r="Q232" s="560"/>
      <c r="R232" s="446">
        <f>M232/J232</f>
        <v>15737.644871794872</v>
      </c>
      <c r="S232" s="388">
        <f t="shared" si="22"/>
        <v>0</v>
      </c>
      <c r="T232" s="393"/>
      <c r="U232" s="391"/>
      <c r="V232" s="568"/>
      <c r="W232" s="387"/>
      <c r="Z232" s="419"/>
    </row>
    <row r="233" spans="1:16382" s="458" customFormat="1" ht="43.9" hidden="1" customHeight="1">
      <c r="A233" s="404">
        <f t="shared" si="20"/>
        <v>178</v>
      </c>
      <c r="B233" s="591" t="s">
        <v>618</v>
      </c>
      <c r="C233" s="544" t="s">
        <v>272</v>
      </c>
      <c r="D233" s="603">
        <v>17812</v>
      </c>
      <c r="E233" s="391">
        <v>2280</v>
      </c>
      <c r="F233" s="391" t="s">
        <v>223</v>
      </c>
      <c r="G233" s="558">
        <v>1147</v>
      </c>
      <c r="H233" s="555">
        <v>5</v>
      </c>
      <c r="I233" s="555">
        <v>4</v>
      </c>
      <c r="J233" s="555">
        <v>80</v>
      </c>
      <c r="K233" s="556" t="s">
        <v>33</v>
      </c>
      <c r="L233" s="529">
        <f>M233+N233+O233+P233+Q233</f>
        <v>3926856.48</v>
      </c>
      <c r="M233" s="557">
        <v>3914873.2</v>
      </c>
      <c r="N233" s="558"/>
      <c r="O233" s="562">
        <v>11983.28</v>
      </c>
      <c r="P233" s="558"/>
      <c r="Q233" s="560"/>
      <c r="R233" s="446">
        <f>M233/G233</f>
        <v>3413.1414123801223</v>
      </c>
      <c r="S233" s="388">
        <f t="shared" si="22"/>
        <v>-2.0554580260068178E-10</v>
      </c>
      <c r="T233" s="393"/>
      <c r="U233" s="391"/>
      <c r="V233" s="568"/>
      <c r="W233" s="387"/>
      <c r="Z233" s="419"/>
    </row>
    <row r="234" spans="1:16382" s="458" customFormat="1" ht="54.75" hidden="1" customHeight="1">
      <c r="A234" s="404">
        <f t="shared" si="20"/>
        <v>179</v>
      </c>
      <c r="B234" s="403" t="s">
        <v>619</v>
      </c>
      <c r="C234" s="544" t="s">
        <v>272</v>
      </c>
      <c r="D234" s="487">
        <v>12460</v>
      </c>
      <c r="E234" s="388">
        <v>2437</v>
      </c>
      <c r="F234" s="388" t="s">
        <v>223</v>
      </c>
      <c r="G234" s="391">
        <v>1149</v>
      </c>
      <c r="H234" s="446">
        <v>5</v>
      </c>
      <c r="I234" s="446">
        <v>4</v>
      </c>
      <c r="J234" s="446">
        <v>64</v>
      </c>
      <c r="K234" s="458" t="s">
        <v>30</v>
      </c>
      <c r="L234" s="529">
        <f>M234+N234+O234+P234+Q234</f>
        <v>1677699.7400000002</v>
      </c>
      <c r="M234" s="519">
        <v>1672541.6600000001</v>
      </c>
      <c r="N234" s="388"/>
      <c r="O234" s="530">
        <v>5158.08</v>
      </c>
      <c r="P234" s="388"/>
      <c r="Q234" s="388"/>
      <c r="R234" s="446">
        <f>M234/J234</f>
        <v>26133.463437500002</v>
      </c>
      <c r="S234" s="388">
        <f t="shared" si="22"/>
        <v>7.4578565545380116E-11</v>
      </c>
      <c r="T234" s="393"/>
      <c r="U234" s="391"/>
      <c r="V234" s="388"/>
      <c r="W234" s="387"/>
      <c r="Z234" s="419"/>
    </row>
    <row r="235" spans="1:16382" ht="54.75" hidden="1" customHeight="1">
      <c r="A235" s="1112">
        <v>180</v>
      </c>
      <c r="B235" s="543" t="s">
        <v>620</v>
      </c>
      <c r="C235" s="455" t="s">
        <v>218</v>
      </c>
      <c r="D235" s="487">
        <v>9235</v>
      </c>
      <c r="E235" s="388">
        <v>2648</v>
      </c>
      <c r="F235" s="388" t="s">
        <v>223</v>
      </c>
      <c r="G235" s="388">
        <v>743</v>
      </c>
      <c r="H235" s="528">
        <v>5</v>
      </c>
      <c r="I235" s="528">
        <v>3</v>
      </c>
      <c r="J235" s="528">
        <v>60</v>
      </c>
      <c r="K235" s="397" t="s">
        <v>30</v>
      </c>
      <c r="L235" s="1128">
        <f>M235+N235+O235+P235+Q235+M236+N236+O236+P236+Q236</f>
        <v>2233471.1500000004</v>
      </c>
      <c r="M235" s="519">
        <v>1453726.6300000001</v>
      </c>
      <c r="O235" s="473">
        <v>4835.7</v>
      </c>
      <c r="P235" s="388"/>
      <c r="Q235" s="388"/>
      <c r="R235" s="446">
        <f>M235/J235</f>
        <v>24228.77716666667</v>
      </c>
      <c r="S235" s="388">
        <f t="shared" si="22"/>
        <v>774908.8200000003</v>
      </c>
      <c r="T235" s="388"/>
      <c r="U235" s="391"/>
      <c r="V235" s="388"/>
      <c r="W235" s="387"/>
      <c r="Z235" s="419"/>
    </row>
    <row r="236" spans="1:16382" ht="43.9" hidden="1" customHeight="1">
      <c r="A236" s="1112"/>
      <c r="B236" s="543"/>
      <c r="C236" s="455"/>
      <c r="D236" s="487"/>
      <c r="E236" s="388"/>
      <c r="F236" s="388"/>
      <c r="G236" s="388"/>
      <c r="H236" s="528"/>
      <c r="I236" s="528"/>
      <c r="J236" s="528"/>
      <c r="K236" s="458" t="s">
        <v>225</v>
      </c>
      <c r="L236" s="1128"/>
      <c r="M236" s="519">
        <v>739943.82000000007</v>
      </c>
      <c r="N236" s="383">
        <v>34965</v>
      </c>
      <c r="O236" s="473"/>
      <c r="P236" s="388"/>
      <c r="Q236" s="388"/>
      <c r="R236" s="446">
        <f>M236/J235</f>
        <v>12332.397000000001</v>
      </c>
      <c r="S236" s="388">
        <f t="shared" si="22"/>
        <v>-774908.82000000007</v>
      </c>
      <c r="T236" s="389"/>
      <c r="U236" s="391"/>
      <c r="V236" s="388"/>
      <c r="W236" s="387"/>
      <c r="Z236" s="419"/>
    </row>
    <row r="237" spans="1:16382" s="458" customFormat="1" ht="43.9" hidden="1" customHeight="1">
      <c r="A237" s="404">
        <v>181</v>
      </c>
      <c r="B237" s="543" t="s">
        <v>621</v>
      </c>
      <c r="C237" s="544" t="s">
        <v>272</v>
      </c>
      <c r="D237" s="487">
        <v>17576</v>
      </c>
      <c r="E237" s="388">
        <v>2330</v>
      </c>
      <c r="F237" s="388" t="s">
        <v>223</v>
      </c>
      <c r="G237" s="388">
        <v>1276</v>
      </c>
      <c r="H237" s="528">
        <v>5</v>
      </c>
      <c r="I237" s="528">
        <v>5</v>
      </c>
      <c r="J237" s="528">
        <v>98</v>
      </c>
      <c r="K237" s="458" t="s">
        <v>225</v>
      </c>
      <c r="L237" s="529">
        <f>M237+N237+O237+P237+Q237</f>
        <v>1066927.42</v>
      </c>
      <c r="M237" s="547">
        <v>1031962.42</v>
      </c>
      <c r="N237" s="388">
        <v>34965</v>
      </c>
      <c r="O237" s="473"/>
      <c r="P237" s="388"/>
      <c r="Q237" s="388"/>
      <c r="R237" s="446">
        <f>M237/J237</f>
        <v>10530.228775510204</v>
      </c>
      <c r="S237" s="388">
        <f t="shared" si="22"/>
        <v>-1.1641532182693481E-10</v>
      </c>
      <c r="T237" s="393"/>
      <c r="U237" s="391"/>
      <c r="V237" s="388"/>
      <c r="W237" s="387"/>
      <c r="Z237" s="419"/>
    </row>
    <row r="238" spans="1:16382" s="458" customFormat="1" ht="43.9" hidden="1" customHeight="1">
      <c r="A238" s="404">
        <f t="shared" si="20"/>
        <v>182</v>
      </c>
      <c r="B238" s="543" t="s">
        <v>622</v>
      </c>
      <c r="C238" s="531" t="s">
        <v>272</v>
      </c>
      <c r="D238" s="566">
        <v>4686</v>
      </c>
      <c r="E238" s="388">
        <v>867</v>
      </c>
      <c r="F238" s="391" t="s">
        <v>223</v>
      </c>
      <c r="G238" s="388">
        <v>746</v>
      </c>
      <c r="H238" s="572">
        <v>2</v>
      </c>
      <c r="I238" s="572">
        <v>2</v>
      </c>
      <c r="J238" s="572">
        <v>12</v>
      </c>
      <c r="K238" s="458" t="s">
        <v>225</v>
      </c>
      <c r="L238" s="529">
        <f>M238+N238+O238+P238+Q238</f>
        <v>339756.43</v>
      </c>
      <c r="M238" s="519">
        <v>304791.43</v>
      </c>
      <c r="N238" s="388">
        <v>34965</v>
      </c>
      <c r="O238" s="473"/>
      <c r="P238" s="388"/>
      <c r="Q238" s="388"/>
      <c r="R238" s="446">
        <f>M238/J238</f>
        <v>25399.285833333332</v>
      </c>
      <c r="S238" s="388">
        <f t="shared" si="22"/>
        <v>0</v>
      </c>
      <c r="T238" s="393" t="s">
        <v>3593</v>
      </c>
      <c r="U238" s="391"/>
      <c r="V238" s="388"/>
      <c r="W238" s="387"/>
      <c r="Z238" s="419"/>
    </row>
    <row r="239" spans="1:16382" s="458" customFormat="1" ht="31.5" hidden="1" customHeight="1">
      <c r="A239" s="404">
        <f t="shared" si="20"/>
        <v>183</v>
      </c>
      <c r="B239" s="403" t="s">
        <v>623</v>
      </c>
      <c r="C239" s="604" t="s">
        <v>218</v>
      </c>
      <c r="D239" s="455">
        <v>23583</v>
      </c>
      <c r="E239" s="388">
        <v>4050</v>
      </c>
      <c r="F239" s="539" t="s">
        <v>234</v>
      </c>
      <c r="G239" s="388">
        <v>1023.4</v>
      </c>
      <c r="H239" s="446">
        <v>9</v>
      </c>
      <c r="I239" s="446">
        <v>3</v>
      </c>
      <c r="J239" s="446">
        <v>117</v>
      </c>
      <c r="K239" s="397" t="s">
        <v>30</v>
      </c>
      <c r="L239" s="1128">
        <f>M239+N239+O239+P239+Q239+M240+N240+O240+Q240</f>
        <v>18109647.130000003</v>
      </c>
      <c r="M239" s="519">
        <v>3452872.5500000003</v>
      </c>
      <c r="N239" s="388"/>
      <c r="O239" s="473">
        <v>10149</v>
      </c>
      <c r="P239" s="388"/>
      <c r="Q239" s="388"/>
      <c r="R239" s="446">
        <f>M239/J239</f>
        <v>29511.7311965812</v>
      </c>
      <c r="S239" s="388">
        <f t="shared" si="22"/>
        <v>14646625.580000002</v>
      </c>
      <c r="T239" s="393"/>
      <c r="U239" s="391"/>
      <c r="V239" s="388"/>
      <c r="W239" s="387"/>
      <c r="Z239" s="419"/>
    </row>
    <row r="240" spans="1:16382" s="458" customFormat="1" ht="54.75" hidden="1" customHeight="1">
      <c r="A240" s="397"/>
      <c r="B240" s="397"/>
      <c r="C240" s="397"/>
      <c r="D240" s="446"/>
      <c r="E240" s="388"/>
      <c r="F240" s="388"/>
      <c r="G240" s="388"/>
      <c r="H240" s="446"/>
      <c r="I240" s="446"/>
      <c r="J240" s="446"/>
      <c r="K240" s="397" t="s">
        <v>227</v>
      </c>
      <c r="L240" s="1128"/>
      <c r="M240" s="519">
        <v>14621936.640000001</v>
      </c>
      <c r="N240" s="388">
        <v>24688.94</v>
      </c>
      <c r="O240" s="473"/>
      <c r="P240" s="388"/>
      <c r="Q240" s="388"/>
      <c r="R240" s="543">
        <f>M240/E239</f>
        <v>3610.3547259259262</v>
      </c>
      <c r="S240" s="388">
        <f t="shared" si="22"/>
        <v>-14646625.58</v>
      </c>
      <c r="T240" s="397"/>
      <c r="U240" s="391"/>
      <c r="V240" s="388"/>
      <c r="W240" s="387"/>
      <c r="X240" s="397"/>
      <c r="Z240" s="419"/>
      <c r="AA240" s="397"/>
      <c r="AB240" s="397"/>
      <c r="AC240" s="397"/>
      <c r="AD240" s="397"/>
      <c r="AE240" s="397"/>
      <c r="AF240" s="397"/>
      <c r="AG240" s="397"/>
      <c r="AH240" s="397"/>
      <c r="AI240" s="397"/>
      <c r="AJ240" s="397"/>
      <c r="AK240" s="397"/>
      <c r="AL240" s="397"/>
      <c r="AM240" s="397"/>
      <c r="AN240" s="397"/>
      <c r="AO240" s="397"/>
      <c r="AP240" s="397"/>
      <c r="AQ240" s="397"/>
      <c r="AR240" s="397"/>
      <c r="AS240" s="397"/>
      <c r="AT240" s="397"/>
      <c r="AU240" s="397"/>
      <c r="AV240" s="397"/>
      <c r="AW240" s="397"/>
      <c r="AX240" s="397"/>
      <c r="AY240" s="397"/>
      <c r="AZ240" s="397"/>
      <c r="BA240" s="397"/>
      <c r="BB240" s="397"/>
      <c r="BC240" s="397"/>
      <c r="BD240" s="397"/>
      <c r="BE240" s="397"/>
      <c r="BF240" s="397"/>
      <c r="BG240" s="397"/>
      <c r="BH240" s="397"/>
      <c r="BI240" s="397"/>
      <c r="BJ240" s="397"/>
      <c r="BK240" s="397"/>
      <c r="BL240" s="397"/>
      <c r="BM240" s="397"/>
      <c r="BN240" s="397"/>
      <c r="BO240" s="397"/>
      <c r="BP240" s="397"/>
      <c r="BQ240" s="397"/>
      <c r="BR240" s="397"/>
      <c r="BS240" s="397"/>
      <c r="BT240" s="397"/>
      <c r="BU240" s="397"/>
      <c r="BV240" s="397"/>
      <c r="BW240" s="397"/>
      <c r="BX240" s="397"/>
      <c r="BY240" s="397"/>
      <c r="BZ240" s="397"/>
      <c r="CA240" s="397"/>
      <c r="CB240" s="397"/>
      <c r="CC240" s="397"/>
      <c r="CD240" s="397"/>
      <c r="CE240" s="397"/>
      <c r="CF240" s="397"/>
      <c r="CG240" s="397"/>
      <c r="CH240" s="397"/>
      <c r="CI240" s="397"/>
      <c r="CJ240" s="397"/>
      <c r="CK240" s="397"/>
      <c r="CL240" s="397"/>
      <c r="CM240" s="397"/>
      <c r="CN240" s="397"/>
      <c r="CO240" s="397"/>
      <c r="CP240" s="397"/>
      <c r="CQ240" s="397"/>
      <c r="CR240" s="397"/>
      <c r="CS240" s="397"/>
      <c r="CT240" s="397"/>
      <c r="CU240" s="397"/>
      <c r="CV240" s="397"/>
      <c r="CW240" s="397"/>
      <c r="CX240" s="397"/>
      <c r="CY240" s="397"/>
      <c r="CZ240" s="397"/>
      <c r="DA240" s="397"/>
      <c r="DB240" s="397"/>
      <c r="DC240" s="397"/>
      <c r="DD240" s="397"/>
      <c r="DE240" s="397"/>
      <c r="DF240" s="397"/>
      <c r="DG240" s="397"/>
      <c r="DH240" s="397"/>
      <c r="DI240" s="397"/>
      <c r="DJ240" s="397"/>
      <c r="DK240" s="397"/>
      <c r="DL240" s="397"/>
      <c r="DM240" s="397"/>
      <c r="DN240" s="397"/>
      <c r="DO240" s="397"/>
      <c r="DP240" s="397"/>
      <c r="DQ240" s="397"/>
      <c r="DR240" s="397"/>
      <c r="DS240" s="397"/>
      <c r="DT240" s="397"/>
      <c r="DU240" s="397"/>
      <c r="DV240" s="397"/>
      <c r="DW240" s="397"/>
      <c r="DX240" s="397"/>
      <c r="DY240" s="397"/>
      <c r="DZ240" s="397"/>
      <c r="EA240" s="397"/>
      <c r="EB240" s="397"/>
      <c r="EC240" s="397"/>
      <c r="ED240" s="397"/>
      <c r="EE240" s="397"/>
      <c r="EF240" s="397"/>
      <c r="EG240" s="397"/>
      <c r="EH240" s="397"/>
      <c r="EI240" s="397"/>
      <c r="EJ240" s="397"/>
      <c r="EK240" s="397"/>
      <c r="EL240" s="397"/>
      <c r="EM240" s="397"/>
      <c r="EN240" s="397"/>
      <c r="EO240" s="397"/>
      <c r="EP240" s="397"/>
      <c r="EQ240" s="397"/>
      <c r="ER240" s="397"/>
      <c r="ES240" s="397"/>
      <c r="ET240" s="397"/>
      <c r="EU240" s="397"/>
      <c r="EV240" s="397"/>
      <c r="EW240" s="397"/>
      <c r="EX240" s="397"/>
      <c r="EY240" s="397"/>
      <c r="EZ240" s="397"/>
      <c r="FA240" s="397"/>
      <c r="FB240" s="397"/>
      <c r="FC240" s="397"/>
      <c r="FD240" s="397"/>
      <c r="FE240" s="397"/>
      <c r="FF240" s="397"/>
      <c r="FG240" s="397"/>
      <c r="FH240" s="397"/>
      <c r="FI240" s="397"/>
      <c r="FJ240" s="397"/>
      <c r="FK240" s="397"/>
      <c r="FL240" s="397"/>
      <c r="FM240" s="397"/>
      <c r="FN240" s="397"/>
      <c r="FO240" s="397"/>
      <c r="FP240" s="397"/>
      <c r="FQ240" s="397"/>
      <c r="FR240" s="397"/>
      <c r="FS240" s="397"/>
      <c r="FT240" s="397"/>
      <c r="FU240" s="397"/>
      <c r="FV240" s="397"/>
      <c r="FW240" s="397"/>
      <c r="FX240" s="397"/>
      <c r="FY240" s="397"/>
      <c r="FZ240" s="397"/>
      <c r="GA240" s="397"/>
      <c r="GB240" s="397"/>
      <c r="GC240" s="397"/>
      <c r="GD240" s="397"/>
      <c r="GE240" s="397"/>
      <c r="GF240" s="397"/>
      <c r="GG240" s="397"/>
      <c r="GH240" s="397"/>
      <c r="GI240" s="397"/>
      <c r="GJ240" s="397"/>
      <c r="GK240" s="397"/>
      <c r="GL240" s="397"/>
      <c r="GM240" s="397"/>
      <c r="GN240" s="397"/>
      <c r="GO240" s="397"/>
      <c r="GP240" s="397"/>
      <c r="GQ240" s="397"/>
      <c r="GR240" s="397"/>
      <c r="GS240" s="397"/>
      <c r="GT240" s="397"/>
      <c r="GU240" s="397"/>
      <c r="GV240" s="397"/>
      <c r="GW240" s="397"/>
      <c r="GX240" s="397"/>
      <c r="GY240" s="397"/>
      <c r="GZ240" s="397"/>
      <c r="HA240" s="397"/>
      <c r="HB240" s="397"/>
      <c r="HC240" s="397"/>
      <c r="HD240" s="397"/>
      <c r="HE240" s="397"/>
      <c r="HF240" s="397"/>
      <c r="HG240" s="397"/>
      <c r="HH240" s="397"/>
      <c r="HI240" s="397"/>
      <c r="HJ240" s="397"/>
      <c r="HK240" s="397"/>
      <c r="HL240" s="397"/>
      <c r="HM240" s="397"/>
      <c r="HN240" s="397"/>
      <c r="HO240" s="397"/>
      <c r="HP240" s="397"/>
      <c r="HQ240" s="397"/>
      <c r="HR240" s="397"/>
      <c r="HS240" s="397"/>
      <c r="HT240" s="397"/>
      <c r="HU240" s="397"/>
      <c r="HV240" s="397"/>
      <c r="HW240" s="397"/>
      <c r="HX240" s="397"/>
      <c r="HY240" s="397"/>
      <c r="HZ240" s="397"/>
      <c r="IA240" s="397"/>
      <c r="IB240" s="397"/>
      <c r="IC240" s="397"/>
      <c r="ID240" s="397"/>
      <c r="IE240" s="397"/>
      <c r="IF240" s="397"/>
      <c r="IG240" s="397"/>
      <c r="IH240" s="397"/>
      <c r="II240" s="397"/>
      <c r="IJ240" s="397"/>
      <c r="IK240" s="397"/>
      <c r="IL240" s="397"/>
      <c r="IM240" s="397"/>
      <c r="IN240" s="397"/>
      <c r="IO240" s="397"/>
      <c r="IP240" s="397"/>
      <c r="IQ240" s="397"/>
      <c r="IR240" s="397"/>
      <c r="IS240" s="397"/>
      <c r="IT240" s="397"/>
      <c r="IU240" s="397"/>
      <c r="IV240" s="397"/>
      <c r="IW240" s="397"/>
      <c r="IX240" s="397"/>
      <c r="IY240" s="397"/>
      <c r="IZ240" s="397"/>
      <c r="JA240" s="397"/>
      <c r="JB240" s="397"/>
      <c r="JC240" s="397"/>
      <c r="JD240" s="397"/>
      <c r="JE240" s="397"/>
      <c r="JF240" s="397"/>
      <c r="JG240" s="397"/>
      <c r="JH240" s="397"/>
      <c r="JI240" s="397"/>
      <c r="JJ240" s="397"/>
      <c r="JK240" s="397"/>
      <c r="JL240" s="397"/>
      <c r="JM240" s="397"/>
      <c r="JN240" s="397"/>
      <c r="JO240" s="397"/>
      <c r="JP240" s="397"/>
      <c r="JQ240" s="397"/>
      <c r="JR240" s="397"/>
      <c r="JS240" s="397"/>
      <c r="JT240" s="397"/>
      <c r="JU240" s="397"/>
      <c r="JV240" s="397"/>
      <c r="JW240" s="397"/>
      <c r="JX240" s="397"/>
      <c r="JY240" s="397"/>
      <c r="JZ240" s="397"/>
      <c r="KA240" s="397"/>
      <c r="KB240" s="397"/>
      <c r="KC240" s="397"/>
      <c r="KD240" s="397"/>
      <c r="KE240" s="397"/>
      <c r="KF240" s="397"/>
      <c r="KG240" s="397"/>
      <c r="KH240" s="397"/>
      <c r="KI240" s="397"/>
      <c r="KJ240" s="397"/>
      <c r="KK240" s="397"/>
      <c r="KL240" s="397"/>
      <c r="KM240" s="397"/>
      <c r="KN240" s="397"/>
      <c r="KO240" s="397"/>
      <c r="KP240" s="397"/>
      <c r="KQ240" s="397"/>
      <c r="KR240" s="397"/>
      <c r="KS240" s="397"/>
      <c r="KT240" s="397"/>
      <c r="KU240" s="397"/>
      <c r="KV240" s="397"/>
      <c r="KW240" s="397"/>
      <c r="KX240" s="397"/>
      <c r="KY240" s="397"/>
      <c r="KZ240" s="397"/>
      <c r="LA240" s="397"/>
      <c r="LB240" s="397"/>
      <c r="LC240" s="397"/>
      <c r="LD240" s="397"/>
      <c r="LE240" s="397"/>
      <c r="LF240" s="397"/>
      <c r="LG240" s="397"/>
      <c r="LH240" s="397"/>
      <c r="LI240" s="397"/>
      <c r="LJ240" s="397"/>
      <c r="LK240" s="397"/>
      <c r="LL240" s="397"/>
      <c r="LM240" s="397"/>
      <c r="LN240" s="397"/>
      <c r="LO240" s="397"/>
      <c r="LP240" s="397"/>
      <c r="LQ240" s="397"/>
      <c r="LR240" s="397"/>
      <c r="LS240" s="397"/>
      <c r="LT240" s="397"/>
      <c r="LU240" s="397"/>
      <c r="LV240" s="397"/>
      <c r="LW240" s="397"/>
      <c r="LX240" s="397"/>
      <c r="LY240" s="397"/>
      <c r="LZ240" s="397"/>
      <c r="MA240" s="397"/>
      <c r="MB240" s="397"/>
      <c r="MC240" s="397"/>
      <c r="MD240" s="397"/>
      <c r="ME240" s="397"/>
      <c r="MF240" s="397"/>
      <c r="MG240" s="397"/>
      <c r="MH240" s="397"/>
      <c r="MI240" s="397"/>
      <c r="MJ240" s="397"/>
      <c r="MK240" s="397"/>
      <c r="ML240" s="397"/>
      <c r="MM240" s="397"/>
      <c r="MN240" s="397"/>
      <c r="MO240" s="397"/>
      <c r="MP240" s="397"/>
      <c r="MQ240" s="397"/>
      <c r="MR240" s="397"/>
      <c r="MS240" s="397"/>
      <c r="MT240" s="397"/>
      <c r="MU240" s="397"/>
      <c r="MV240" s="397"/>
      <c r="MW240" s="397"/>
      <c r="MX240" s="397"/>
      <c r="MY240" s="397"/>
      <c r="MZ240" s="397"/>
      <c r="NA240" s="397"/>
      <c r="NB240" s="397"/>
      <c r="NC240" s="397"/>
      <c r="ND240" s="397"/>
      <c r="NE240" s="397"/>
      <c r="NF240" s="397"/>
      <c r="NG240" s="397"/>
      <c r="NH240" s="397"/>
      <c r="NI240" s="397"/>
      <c r="NJ240" s="397"/>
      <c r="NK240" s="397"/>
      <c r="NL240" s="397"/>
      <c r="NM240" s="397"/>
      <c r="NN240" s="397"/>
      <c r="NO240" s="397"/>
      <c r="NP240" s="397"/>
      <c r="NQ240" s="397"/>
      <c r="NR240" s="397"/>
      <c r="NS240" s="397"/>
      <c r="NT240" s="397"/>
      <c r="NU240" s="397"/>
      <c r="NV240" s="397"/>
      <c r="NW240" s="397"/>
      <c r="NX240" s="397"/>
      <c r="NY240" s="397"/>
      <c r="NZ240" s="397"/>
      <c r="OA240" s="397"/>
      <c r="OB240" s="397"/>
      <c r="OC240" s="397"/>
      <c r="OD240" s="397"/>
      <c r="OE240" s="397"/>
      <c r="OF240" s="397"/>
      <c r="OG240" s="397"/>
      <c r="OH240" s="397"/>
      <c r="OI240" s="397"/>
      <c r="OJ240" s="397"/>
      <c r="OK240" s="397"/>
      <c r="OL240" s="397"/>
      <c r="OM240" s="397"/>
      <c r="ON240" s="397"/>
      <c r="OO240" s="397"/>
      <c r="OP240" s="397"/>
      <c r="OQ240" s="397"/>
      <c r="OR240" s="397"/>
      <c r="OS240" s="397"/>
      <c r="OT240" s="397"/>
      <c r="OU240" s="397"/>
      <c r="OV240" s="397"/>
      <c r="OW240" s="397"/>
      <c r="OX240" s="397"/>
      <c r="OY240" s="397"/>
      <c r="OZ240" s="397"/>
      <c r="PA240" s="397"/>
      <c r="PB240" s="397"/>
      <c r="PC240" s="397"/>
      <c r="PD240" s="397"/>
      <c r="PE240" s="397"/>
      <c r="PF240" s="397"/>
      <c r="PG240" s="397"/>
      <c r="PH240" s="397"/>
      <c r="PI240" s="397"/>
      <c r="PJ240" s="397"/>
      <c r="PK240" s="397"/>
      <c r="PL240" s="397"/>
      <c r="PM240" s="397"/>
      <c r="PN240" s="397"/>
      <c r="PO240" s="397"/>
      <c r="PP240" s="397"/>
      <c r="PQ240" s="397"/>
      <c r="PR240" s="397"/>
      <c r="PS240" s="397"/>
      <c r="PT240" s="397"/>
      <c r="PU240" s="397"/>
      <c r="PV240" s="397"/>
      <c r="PW240" s="397"/>
      <c r="PX240" s="397"/>
      <c r="PY240" s="397"/>
      <c r="PZ240" s="397"/>
      <c r="QA240" s="397"/>
      <c r="QB240" s="397"/>
      <c r="QC240" s="397"/>
      <c r="QD240" s="397"/>
      <c r="QE240" s="397"/>
      <c r="QF240" s="397"/>
      <c r="QG240" s="397"/>
      <c r="QH240" s="397"/>
      <c r="QI240" s="397"/>
      <c r="QJ240" s="397"/>
      <c r="QK240" s="397"/>
      <c r="QL240" s="397"/>
      <c r="QM240" s="397"/>
      <c r="QN240" s="397"/>
      <c r="QO240" s="397"/>
      <c r="QP240" s="397"/>
      <c r="QQ240" s="397"/>
      <c r="QR240" s="397"/>
      <c r="QS240" s="397"/>
      <c r="QT240" s="397"/>
      <c r="QU240" s="397"/>
      <c r="QV240" s="397"/>
      <c r="QW240" s="397"/>
      <c r="QX240" s="397"/>
      <c r="QY240" s="397"/>
      <c r="QZ240" s="397"/>
      <c r="RA240" s="397"/>
      <c r="RB240" s="397"/>
      <c r="RC240" s="397"/>
      <c r="RD240" s="397"/>
      <c r="RE240" s="397"/>
      <c r="RF240" s="397"/>
      <c r="RG240" s="397"/>
      <c r="RH240" s="397"/>
      <c r="RI240" s="397"/>
      <c r="RJ240" s="397"/>
      <c r="RK240" s="397"/>
      <c r="RL240" s="397"/>
      <c r="RM240" s="397"/>
      <c r="RN240" s="397"/>
      <c r="RO240" s="397"/>
      <c r="RP240" s="397"/>
      <c r="RQ240" s="397"/>
      <c r="RR240" s="397"/>
      <c r="RS240" s="397"/>
      <c r="RT240" s="397"/>
      <c r="RU240" s="397"/>
      <c r="RV240" s="397"/>
      <c r="RW240" s="397"/>
      <c r="RX240" s="397"/>
      <c r="RY240" s="397"/>
      <c r="RZ240" s="397"/>
      <c r="SA240" s="397"/>
      <c r="SB240" s="397"/>
      <c r="SC240" s="397"/>
      <c r="SD240" s="397"/>
      <c r="SE240" s="397"/>
      <c r="SF240" s="397"/>
      <c r="SG240" s="397"/>
      <c r="SH240" s="397"/>
      <c r="SI240" s="397"/>
      <c r="SJ240" s="397"/>
      <c r="SK240" s="397"/>
      <c r="SL240" s="397"/>
      <c r="SM240" s="397"/>
      <c r="SN240" s="397"/>
      <c r="SO240" s="397"/>
      <c r="SP240" s="397"/>
      <c r="SQ240" s="397"/>
      <c r="SR240" s="397"/>
      <c r="SS240" s="397"/>
      <c r="ST240" s="397"/>
      <c r="SU240" s="397"/>
      <c r="SV240" s="397"/>
      <c r="SW240" s="397"/>
      <c r="SX240" s="397"/>
      <c r="SY240" s="397"/>
      <c r="SZ240" s="397"/>
      <c r="TA240" s="397"/>
      <c r="TB240" s="397"/>
      <c r="TC240" s="397"/>
      <c r="TD240" s="397"/>
      <c r="TE240" s="397"/>
      <c r="TF240" s="397"/>
      <c r="TG240" s="397"/>
      <c r="TH240" s="397"/>
      <c r="TI240" s="397"/>
      <c r="TJ240" s="397"/>
      <c r="TK240" s="397"/>
      <c r="TL240" s="397"/>
      <c r="TM240" s="397"/>
      <c r="TN240" s="397"/>
      <c r="TO240" s="397"/>
      <c r="TP240" s="397"/>
      <c r="TQ240" s="397"/>
      <c r="TR240" s="397"/>
      <c r="TS240" s="397"/>
      <c r="TT240" s="397"/>
      <c r="TU240" s="397"/>
      <c r="TV240" s="397"/>
      <c r="TW240" s="397"/>
      <c r="TX240" s="397"/>
      <c r="TY240" s="397"/>
      <c r="TZ240" s="397"/>
      <c r="UA240" s="397"/>
      <c r="UB240" s="397"/>
      <c r="UC240" s="397"/>
      <c r="UD240" s="397"/>
      <c r="UE240" s="397"/>
      <c r="UF240" s="397"/>
      <c r="UG240" s="397"/>
      <c r="UH240" s="397"/>
      <c r="UI240" s="397"/>
      <c r="UJ240" s="397"/>
      <c r="UK240" s="397"/>
      <c r="UL240" s="397"/>
      <c r="UM240" s="397"/>
      <c r="UN240" s="397"/>
      <c r="UO240" s="397"/>
      <c r="UP240" s="397"/>
      <c r="UQ240" s="397"/>
      <c r="UR240" s="397"/>
      <c r="US240" s="397"/>
      <c r="UT240" s="397"/>
      <c r="UU240" s="397"/>
      <c r="UV240" s="397"/>
      <c r="UW240" s="397"/>
      <c r="UX240" s="397"/>
      <c r="UY240" s="397"/>
      <c r="UZ240" s="397"/>
      <c r="VA240" s="397"/>
      <c r="VB240" s="397"/>
      <c r="VC240" s="397"/>
      <c r="VD240" s="397"/>
      <c r="VE240" s="397"/>
      <c r="VF240" s="397"/>
      <c r="VG240" s="397"/>
      <c r="VH240" s="397"/>
      <c r="VI240" s="397"/>
      <c r="VJ240" s="397"/>
      <c r="VK240" s="397"/>
      <c r="VL240" s="397"/>
      <c r="VM240" s="397"/>
      <c r="VN240" s="397"/>
      <c r="VO240" s="397"/>
      <c r="VP240" s="397"/>
      <c r="VQ240" s="397"/>
      <c r="VR240" s="397"/>
      <c r="VS240" s="397"/>
      <c r="VT240" s="397"/>
      <c r="VU240" s="397"/>
      <c r="VV240" s="397"/>
      <c r="VW240" s="397"/>
      <c r="VX240" s="397"/>
      <c r="VY240" s="397"/>
      <c r="VZ240" s="397"/>
      <c r="WA240" s="397"/>
      <c r="WB240" s="397"/>
      <c r="WC240" s="397"/>
      <c r="WD240" s="397"/>
      <c r="WE240" s="397"/>
      <c r="WF240" s="397"/>
      <c r="WG240" s="397"/>
      <c r="WH240" s="397"/>
      <c r="WI240" s="397"/>
      <c r="WJ240" s="397"/>
      <c r="WK240" s="397"/>
      <c r="WL240" s="397"/>
      <c r="WM240" s="397"/>
      <c r="WN240" s="397"/>
      <c r="WO240" s="397"/>
      <c r="WP240" s="397"/>
      <c r="WQ240" s="397"/>
      <c r="WR240" s="397"/>
      <c r="WS240" s="397"/>
      <c r="WT240" s="397"/>
      <c r="WU240" s="397"/>
      <c r="WV240" s="397"/>
      <c r="WW240" s="397"/>
      <c r="WX240" s="397"/>
      <c r="WY240" s="397"/>
      <c r="WZ240" s="397"/>
      <c r="XA240" s="397"/>
      <c r="XB240" s="397"/>
      <c r="XC240" s="397"/>
      <c r="XD240" s="397"/>
      <c r="XE240" s="397"/>
      <c r="XF240" s="397"/>
      <c r="XG240" s="397"/>
      <c r="XH240" s="397"/>
      <c r="XI240" s="397"/>
      <c r="XJ240" s="397"/>
      <c r="XK240" s="397"/>
      <c r="XL240" s="397"/>
      <c r="XM240" s="397"/>
      <c r="XN240" s="397"/>
      <c r="XO240" s="397"/>
      <c r="XP240" s="397"/>
      <c r="XQ240" s="397"/>
      <c r="XR240" s="397"/>
      <c r="XS240" s="397"/>
      <c r="XT240" s="397"/>
      <c r="XU240" s="397"/>
      <c r="XV240" s="397"/>
      <c r="XW240" s="397"/>
      <c r="XX240" s="397"/>
      <c r="XY240" s="397"/>
      <c r="XZ240" s="397"/>
      <c r="YA240" s="397"/>
      <c r="YB240" s="397"/>
      <c r="YC240" s="397"/>
      <c r="YD240" s="397"/>
      <c r="YE240" s="397"/>
      <c r="YF240" s="397"/>
      <c r="YG240" s="397"/>
      <c r="YH240" s="397"/>
      <c r="YI240" s="397"/>
      <c r="YJ240" s="397"/>
      <c r="YK240" s="397"/>
      <c r="YL240" s="397"/>
      <c r="YM240" s="397"/>
      <c r="YN240" s="397"/>
      <c r="YO240" s="397"/>
      <c r="YP240" s="397"/>
      <c r="YQ240" s="397"/>
      <c r="YR240" s="397"/>
      <c r="YS240" s="397"/>
      <c r="YT240" s="397"/>
      <c r="YU240" s="397"/>
      <c r="YV240" s="397"/>
      <c r="YW240" s="397"/>
      <c r="YX240" s="397"/>
      <c r="YY240" s="397"/>
      <c r="YZ240" s="397"/>
      <c r="ZA240" s="397"/>
      <c r="ZB240" s="397"/>
      <c r="ZC240" s="397"/>
      <c r="ZD240" s="397"/>
      <c r="ZE240" s="397"/>
      <c r="ZF240" s="397"/>
      <c r="ZG240" s="397"/>
      <c r="ZH240" s="397"/>
      <c r="ZI240" s="397"/>
      <c r="ZJ240" s="397"/>
      <c r="ZK240" s="397"/>
      <c r="ZL240" s="397"/>
      <c r="ZM240" s="397"/>
      <c r="ZN240" s="397"/>
      <c r="ZO240" s="397"/>
      <c r="ZP240" s="397"/>
      <c r="ZQ240" s="397"/>
      <c r="ZR240" s="397"/>
      <c r="ZS240" s="397"/>
      <c r="ZT240" s="397"/>
      <c r="ZU240" s="397"/>
      <c r="ZV240" s="397"/>
      <c r="ZW240" s="397"/>
      <c r="ZX240" s="397"/>
      <c r="ZY240" s="397"/>
      <c r="ZZ240" s="397"/>
      <c r="AAA240" s="397"/>
      <c r="AAB240" s="397"/>
      <c r="AAC240" s="397"/>
      <c r="AAD240" s="397"/>
      <c r="AAE240" s="397"/>
      <c r="AAF240" s="397"/>
      <c r="AAG240" s="397"/>
      <c r="AAH240" s="397"/>
      <c r="AAI240" s="397"/>
      <c r="AAJ240" s="397"/>
      <c r="AAK240" s="397"/>
      <c r="AAL240" s="397"/>
      <c r="AAM240" s="397"/>
      <c r="AAN240" s="397"/>
      <c r="AAO240" s="397"/>
      <c r="AAP240" s="397"/>
      <c r="AAQ240" s="397"/>
      <c r="AAR240" s="397"/>
      <c r="AAS240" s="397"/>
      <c r="AAT240" s="397"/>
      <c r="AAU240" s="397"/>
      <c r="AAV240" s="397"/>
      <c r="AAW240" s="397"/>
      <c r="AAX240" s="397"/>
      <c r="AAY240" s="397"/>
      <c r="AAZ240" s="397"/>
      <c r="ABA240" s="397"/>
      <c r="ABB240" s="397"/>
      <c r="ABC240" s="397"/>
      <c r="ABD240" s="397"/>
      <c r="ABE240" s="397"/>
      <c r="ABF240" s="397"/>
      <c r="ABG240" s="397"/>
      <c r="ABH240" s="397"/>
      <c r="ABI240" s="397"/>
      <c r="ABJ240" s="397"/>
      <c r="ABK240" s="397"/>
      <c r="ABL240" s="397"/>
      <c r="ABM240" s="397"/>
      <c r="ABN240" s="397"/>
      <c r="ABO240" s="397"/>
      <c r="ABP240" s="397"/>
      <c r="ABQ240" s="397"/>
      <c r="ABR240" s="397"/>
      <c r="ABS240" s="397"/>
      <c r="ABT240" s="397"/>
      <c r="ABU240" s="397"/>
      <c r="ABV240" s="397"/>
      <c r="ABW240" s="397"/>
      <c r="ABX240" s="397"/>
      <c r="ABY240" s="397"/>
      <c r="ABZ240" s="397"/>
      <c r="ACA240" s="397"/>
      <c r="ACB240" s="397"/>
      <c r="ACC240" s="397"/>
      <c r="ACD240" s="397"/>
      <c r="ACE240" s="397"/>
      <c r="ACF240" s="397"/>
      <c r="ACG240" s="397"/>
      <c r="ACH240" s="397"/>
      <c r="ACI240" s="397"/>
      <c r="ACJ240" s="397"/>
      <c r="ACK240" s="397"/>
      <c r="ACL240" s="397"/>
      <c r="ACM240" s="397"/>
      <c r="ACN240" s="397"/>
      <c r="ACO240" s="397"/>
      <c r="ACP240" s="397"/>
      <c r="ACQ240" s="397"/>
      <c r="ACR240" s="397"/>
      <c r="ACS240" s="397"/>
      <c r="ACT240" s="397"/>
      <c r="ACU240" s="397"/>
      <c r="ACV240" s="397"/>
      <c r="ACW240" s="397"/>
      <c r="ACX240" s="397"/>
      <c r="ACY240" s="397"/>
      <c r="ACZ240" s="397"/>
      <c r="ADA240" s="397"/>
      <c r="ADB240" s="397"/>
      <c r="ADC240" s="397"/>
      <c r="ADD240" s="397"/>
      <c r="ADE240" s="397"/>
      <c r="ADF240" s="397"/>
      <c r="ADG240" s="397"/>
      <c r="ADH240" s="397"/>
      <c r="ADI240" s="397"/>
      <c r="ADJ240" s="397"/>
      <c r="ADK240" s="397"/>
      <c r="ADL240" s="397"/>
      <c r="ADM240" s="397"/>
      <c r="ADN240" s="397"/>
      <c r="ADO240" s="397"/>
      <c r="ADP240" s="397"/>
      <c r="ADQ240" s="397"/>
      <c r="ADR240" s="397"/>
      <c r="ADS240" s="397"/>
      <c r="ADT240" s="397"/>
      <c r="ADU240" s="397"/>
      <c r="ADV240" s="397"/>
      <c r="ADW240" s="397"/>
      <c r="ADX240" s="397"/>
      <c r="ADY240" s="397"/>
      <c r="ADZ240" s="397"/>
      <c r="AEA240" s="397"/>
      <c r="AEB240" s="397"/>
      <c r="AEC240" s="397"/>
      <c r="AED240" s="397"/>
      <c r="AEE240" s="397"/>
      <c r="AEF240" s="397"/>
      <c r="AEG240" s="397"/>
      <c r="AEH240" s="397"/>
      <c r="AEI240" s="397"/>
      <c r="AEJ240" s="397"/>
      <c r="AEK240" s="397"/>
      <c r="AEL240" s="397"/>
      <c r="AEM240" s="397"/>
      <c r="AEN240" s="397"/>
      <c r="AEO240" s="397"/>
      <c r="AEP240" s="397"/>
      <c r="AEQ240" s="397"/>
      <c r="AER240" s="397"/>
      <c r="AES240" s="397"/>
      <c r="AET240" s="397"/>
      <c r="AEU240" s="397"/>
      <c r="AEV240" s="397"/>
      <c r="AEW240" s="397"/>
      <c r="AEX240" s="397"/>
      <c r="AEY240" s="397"/>
      <c r="AEZ240" s="397"/>
      <c r="AFA240" s="397"/>
      <c r="AFB240" s="397"/>
      <c r="AFC240" s="397"/>
      <c r="AFD240" s="397"/>
      <c r="AFE240" s="397"/>
      <c r="AFF240" s="397"/>
      <c r="AFG240" s="397"/>
      <c r="AFH240" s="397"/>
      <c r="AFI240" s="397"/>
      <c r="AFJ240" s="397"/>
      <c r="AFK240" s="397"/>
      <c r="AFL240" s="397"/>
      <c r="AFM240" s="397"/>
      <c r="AFN240" s="397"/>
      <c r="AFO240" s="397"/>
      <c r="AFP240" s="397"/>
      <c r="AFQ240" s="397"/>
      <c r="AFR240" s="397"/>
      <c r="AFS240" s="397"/>
      <c r="AFT240" s="397"/>
      <c r="AFU240" s="397"/>
      <c r="AFV240" s="397"/>
      <c r="AFW240" s="397"/>
      <c r="AFX240" s="397"/>
      <c r="AFY240" s="397"/>
      <c r="AFZ240" s="397"/>
      <c r="AGA240" s="397"/>
      <c r="AGB240" s="397"/>
      <c r="AGC240" s="397"/>
      <c r="AGD240" s="397"/>
      <c r="AGE240" s="397"/>
      <c r="AGF240" s="397"/>
      <c r="AGG240" s="397"/>
      <c r="AGH240" s="397"/>
      <c r="AGI240" s="397"/>
      <c r="AGJ240" s="397"/>
      <c r="AGK240" s="397"/>
      <c r="AGL240" s="397"/>
      <c r="AGM240" s="397"/>
      <c r="AGN240" s="397"/>
      <c r="AGO240" s="397"/>
      <c r="AGP240" s="397"/>
      <c r="AGQ240" s="397"/>
      <c r="AGR240" s="397"/>
      <c r="AGS240" s="397"/>
      <c r="AGT240" s="397"/>
      <c r="AGU240" s="397"/>
      <c r="AGV240" s="397"/>
      <c r="AGW240" s="397"/>
      <c r="AGX240" s="397"/>
      <c r="AGY240" s="397"/>
      <c r="AGZ240" s="397"/>
      <c r="AHA240" s="397"/>
      <c r="AHB240" s="397"/>
      <c r="AHC240" s="397"/>
      <c r="AHD240" s="397"/>
      <c r="AHE240" s="397"/>
      <c r="AHF240" s="397"/>
      <c r="AHG240" s="397"/>
      <c r="AHH240" s="397"/>
      <c r="AHI240" s="397"/>
      <c r="AHJ240" s="397"/>
      <c r="AHK240" s="397"/>
      <c r="AHL240" s="397"/>
      <c r="AHM240" s="397"/>
      <c r="AHN240" s="397"/>
      <c r="AHO240" s="397"/>
      <c r="AHP240" s="397"/>
      <c r="AHQ240" s="397"/>
      <c r="AHR240" s="397"/>
      <c r="AHS240" s="397"/>
      <c r="AHT240" s="397"/>
      <c r="AHU240" s="397"/>
      <c r="AHV240" s="397"/>
      <c r="AHW240" s="397"/>
      <c r="AHX240" s="397"/>
      <c r="AHY240" s="397"/>
      <c r="AHZ240" s="397"/>
      <c r="AIA240" s="397"/>
      <c r="AIB240" s="397"/>
      <c r="AIC240" s="397"/>
      <c r="AID240" s="397"/>
      <c r="AIE240" s="397"/>
      <c r="AIF240" s="397"/>
      <c r="AIG240" s="397"/>
      <c r="AIH240" s="397"/>
      <c r="AII240" s="397"/>
      <c r="AIJ240" s="397"/>
      <c r="AIK240" s="397"/>
      <c r="AIL240" s="397"/>
      <c r="AIM240" s="397"/>
      <c r="AIN240" s="397"/>
      <c r="AIO240" s="397"/>
      <c r="AIP240" s="397"/>
      <c r="AIQ240" s="397"/>
      <c r="AIR240" s="397"/>
      <c r="AIS240" s="397"/>
      <c r="AIT240" s="397"/>
      <c r="AIU240" s="397"/>
      <c r="AIV240" s="397"/>
      <c r="AIW240" s="397"/>
      <c r="AIX240" s="397"/>
      <c r="AIY240" s="397"/>
      <c r="AIZ240" s="397"/>
      <c r="AJA240" s="397"/>
      <c r="AJB240" s="397"/>
      <c r="AJC240" s="397"/>
      <c r="AJD240" s="397"/>
      <c r="AJE240" s="397"/>
      <c r="AJF240" s="397"/>
      <c r="AJG240" s="397"/>
      <c r="AJH240" s="397"/>
      <c r="AJI240" s="397"/>
      <c r="AJJ240" s="397"/>
      <c r="AJK240" s="397"/>
      <c r="AJL240" s="397"/>
      <c r="AJM240" s="397"/>
      <c r="AJN240" s="397"/>
      <c r="AJO240" s="397"/>
      <c r="AJP240" s="397"/>
      <c r="AJQ240" s="397"/>
      <c r="AJR240" s="397"/>
      <c r="AJS240" s="397"/>
      <c r="AJT240" s="397"/>
      <c r="AJU240" s="397"/>
      <c r="AJV240" s="397"/>
      <c r="AJW240" s="397"/>
      <c r="AJX240" s="397"/>
      <c r="AJY240" s="397"/>
      <c r="AJZ240" s="397"/>
      <c r="AKA240" s="397"/>
      <c r="AKB240" s="397"/>
      <c r="AKC240" s="397"/>
      <c r="AKD240" s="397"/>
      <c r="AKE240" s="397"/>
      <c r="AKF240" s="397"/>
      <c r="AKG240" s="397"/>
      <c r="AKH240" s="397"/>
      <c r="AKI240" s="397"/>
      <c r="AKJ240" s="397"/>
      <c r="AKK240" s="397"/>
      <c r="AKL240" s="397"/>
      <c r="AKM240" s="397"/>
      <c r="AKN240" s="397"/>
      <c r="AKO240" s="397"/>
      <c r="AKP240" s="397"/>
      <c r="AKQ240" s="397"/>
      <c r="AKR240" s="397"/>
      <c r="AKS240" s="397"/>
      <c r="AKT240" s="397"/>
      <c r="AKU240" s="397"/>
      <c r="AKV240" s="397"/>
      <c r="AKW240" s="397"/>
      <c r="AKX240" s="397"/>
      <c r="AKY240" s="397"/>
      <c r="AKZ240" s="397"/>
      <c r="ALA240" s="397"/>
      <c r="ALB240" s="397"/>
      <c r="ALC240" s="397"/>
      <c r="ALD240" s="397"/>
      <c r="ALE240" s="397"/>
      <c r="ALF240" s="397"/>
      <c r="ALG240" s="397"/>
      <c r="ALH240" s="397"/>
      <c r="ALI240" s="397"/>
      <c r="ALJ240" s="397"/>
      <c r="ALK240" s="397"/>
      <c r="ALL240" s="397"/>
      <c r="ALM240" s="397"/>
      <c r="ALN240" s="397"/>
      <c r="ALO240" s="397"/>
      <c r="ALP240" s="397"/>
      <c r="ALQ240" s="397"/>
      <c r="ALR240" s="397"/>
      <c r="ALS240" s="397"/>
      <c r="ALT240" s="397"/>
      <c r="ALU240" s="397"/>
      <c r="ALV240" s="397"/>
      <c r="ALW240" s="397"/>
      <c r="ALX240" s="397"/>
      <c r="ALY240" s="397"/>
      <c r="ALZ240" s="397"/>
      <c r="AMA240" s="397"/>
      <c r="AMB240" s="397"/>
      <c r="AMC240" s="397"/>
      <c r="AMD240" s="397"/>
      <c r="AME240" s="397"/>
      <c r="AMF240" s="397"/>
      <c r="AMG240" s="397"/>
      <c r="AMH240" s="397"/>
      <c r="AMI240" s="397"/>
      <c r="AMJ240" s="397"/>
      <c r="AMK240" s="397"/>
      <c r="AML240" s="397"/>
      <c r="AMM240" s="397"/>
      <c r="AMN240" s="397"/>
      <c r="AMO240" s="397"/>
      <c r="AMP240" s="397"/>
      <c r="AMQ240" s="397"/>
      <c r="AMR240" s="397"/>
      <c r="AMS240" s="397"/>
      <c r="AMT240" s="397"/>
      <c r="AMU240" s="397"/>
      <c r="AMV240" s="397"/>
      <c r="AMW240" s="397"/>
      <c r="AMX240" s="397"/>
      <c r="AMY240" s="397"/>
      <c r="AMZ240" s="397"/>
      <c r="ANA240" s="397"/>
      <c r="ANB240" s="397"/>
      <c r="ANC240" s="397"/>
      <c r="AND240" s="397"/>
      <c r="ANE240" s="397"/>
      <c r="ANF240" s="397"/>
      <c r="ANG240" s="397"/>
      <c r="ANH240" s="397"/>
      <c r="ANI240" s="397"/>
      <c r="ANJ240" s="397"/>
      <c r="ANK240" s="397"/>
      <c r="ANL240" s="397"/>
      <c r="ANM240" s="397"/>
      <c r="ANN240" s="397"/>
      <c r="ANO240" s="397"/>
      <c r="ANP240" s="397"/>
      <c r="ANQ240" s="397"/>
      <c r="ANR240" s="397"/>
      <c r="ANS240" s="397"/>
      <c r="ANT240" s="397"/>
      <c r="ANU240" s="397"/>
      <c r="ANV240" s="397"/>
      <c r="ANW240" s="397"/>
      <c r="ANX240" s="397"/>
      <c r="ANY240" s="397"/>
      <c r="ANZ240" s="397"/>
      <c r="AOA240" s="397"/>
      <c r="AOB240" s="397"/>
      <c r="AOC240" s="397"/>
      <c r="AOD240" s="397"/>
      <c r="AOE240" s="397"/>
      <c r="AOF240" s="397"/>
      <c r="AOG240" s="397"/>
      <c r="AOH240" s="397"/>
      <c r="AOI240" s="397"/>
      <c r="AOJ240" s="397"/>
      <c r="AOK240" s="397"/>
      <c r="AOL240" s="397"/>
      <c r="AOM240" s="397"/>
      <c r="AON240" s="397"/>
      <c r="AOO240" s="397"/>
      <c r="AOP240" s="397"/>
      <c r="AOQ240" s="397"/>
      <c r="AOR240" s="397"/>
      <c r="AOS240" s="397"/>
      <c r="AOT240" s="397"/>
      <c r="AOU240" s="397"/>
      <c r="AOV240" s="397"/>
      <c r="AOW240" s="397"/>
      <c r="AOX240" s="397"/>
      <c r="AOY240" s="397"/>
      <c r="AOZ240" s="397"/>
      <c r="APA240" s="397"/>
      <c r="APB240" s="397"/>
      <c r="APC240" s="397"/>
      <c r="APD240" s="397"/>
      <c r="APE240" s="397"/>
      <c r="APF240" s="397"/>
      <c r="APG240" s="397"/>
      <c r="APH240" s="397"/>
      <c r="API240" s="397"/>
      <c r="APJ240" s="397"/>
      <c r="APK240" s="397"/>
      <c r="APL240" s="397"/>
      <c r="APM240" s="397"/>
      <c r="APN240" s="397"/>
      <c r="APO240" s="397"/>
      <c r="APP240" s="397"/>
      <c r="APQ240" s="397"/>
      <c r="APR240" s="397"/>
      <c r="APS240" s="397"/>
      <c r="APT240" s="397"/>
      <c r="APU240" s="397"/>
      <c r="APV240" s="397"/>
      <c r="APW240" s="397"/>
      <c r="APX240" s="397"/>
      <c r="APY240" s="397"/>
      <c r="APZ240" s="397"/>
      <c r="AQA240" s="397"/>
      <c r="AQB240" s="397"/>
      <c r="AQC240" s="397"/>
      <c r="AQD240" s="397"/>
      <c r="AQE240" s="397"/>
      <c r="AQF240" s="397"/>
      <c r="AQG240" s="397"/>
      <c r="AQH240" s="397"/>
      <c r="AQI240" s="397"/>
      <c r="AQJ240" s="397"/>
      <c r="AQK240" s="397"/>
      <c r="AQL240" s="397"/>
      <c r="AQM240" s="397"/>
      <c r="AQN240" s="397"/>
      <c r="AQO240" s="397"/>
      <c r="AQP240" s="397"/>
      <c r="AQQ240" s="397"/>
      <c r="AQR240" s="397"/>
      <c r="AQS240" s="397"/>
      <c r="AQT240" s="397"/>
      <c r="AQU240" s="397"/>
      <c r="AQV240" s="397"/>
      <c r="AQW240" s="397"/>
      <c r="AQX240" s="397"/>
      <c r="AQY240" s="397"/>
      <c r="AQZ240" s="397"/>
      <c r="ARA240" s="397"/>
      <c r="ARB240" s="397"/>
      <c r="ARC240" s="397"/>
      <c r="ARD240" s="397"/>
      <c r="ARE240" s="397"/>
      <c r="ARF240" s="397"/>
      <c r="ARG240" s="397"/>
      <c r="ARH240" s="397"/>
      <c r="ARI240" s="397"/>
      <c r="ARJ240" s="397"/>
      <c r="ARK240" s="397"/>
      <c r="ARL240" s="397"/>
      <c r="ARM240" s="397"/>
      <c r="ARN240" s="397"/>
      <c r="ARO240" s="397"/>
      <c r="ARP240" s="397"/>
      <c r="ARQ240" s="397"/>
      <c r="ARR240" s="397"/>
      <c r="ARS240" s="397"/>
      <c r="ART240" s="397"/>
      <c r="ARU240" s="397"/>
      <c r="ARV240" s="397"/>
      <c r="ARW240" s="397"/>
      <c r="ARX240" s="397"/>
      <c r="ARY240" s="397"/>
      <c r="ARZ240" s="397"/>
      <c r="ASA240" s="397"/>
      <c r="ASB240" s="397"/>
      <c r="ASC240" s="397"/>
      <c r="ASD240" s="397"/>
      <c r="ASE240" s="397"/>
      <c r="ASF240" s="397"/>
      <c r="ASG240" s="397"/>
      <c r="ASH240" s="397"/>
      <c r="ASI240" s="397"/>
      <c r="ASJ240" s="397"/>
      <c r="ASK240" s="397"/>
      <c r="ASL240" s="397"/>
      <c r="ASM240" s="397"/>
      <c r="ASN240" s="397"/>
      <c r="ASO240" s="397"/>
      <c r="ASP240" s="397"/>
      <c r="ASQ240" s="397"/>
      <c r="ASR240" s="397"/>
      <c r="ASS240" s="397"/>
      <c r="AST240" s="397"/>
      <c r="ASU240" s="397"/>
      <c r="ASV240" s="397"/>
      <c r="ASW240" s="397"/>
      <c r="ASX240" s="397"/>
      <c r="ASY240" s="397"/>
      <c r="ASZ240" s="397"/>
      <c r="ATA240" s="397"/>
      <c r="ATB240" s="397"/>
      <c r="ATC240" s="397"/>
      <c r="ATD240" s="397"/>
      <c r="ATE240" s="397"/>
      <c r="ATF240" s="397"/>
      <c r="ATG240" s="397"/>
      <c r="ATH240" s="397"/>
      <c r="ATI240" s="397"/>
      <c r="ATJ240" s="397"/>
      <c r="ATK240" s="397"/>
      <c r="ATL240" s="397"/>
      <c r="ATM240" s="397"/>
      <c r="ATN240" s="397"/>
      <c r="ATO240" s="397"/>
      <c r="ATP240" s="397"/>
      <c r="ATQ240" s="397"/>
      <c r="ATR240" s="397"/>
      <c r="ATS240" s="397"/>
      <c r="ATT240" s="397"/>
      <c r="ATU240" s="397"/>
      <c r="ATV240" s="397"/>
      <c r="ATW240" s="397"/>
      <c r="ATX240" s="397"/>
      <c r="ATY240" s="397"/>
      <c r="ATZ240" s="397"/>
      <c r="AUA240" s="397"/>
      <c r="AUB240" s="397"/>
      <c r="AUC240" s="397"/>
      <c r="AUD240" s="397"/>
      <c r="AUE240" s="397"/>
      <c r="AUF240" s="397"/>
      <c r="AUG240" s="397"/>
      <c r="AUH240" s="397"/>
      <c r="AUI240" s="397"/>
      <c r="AUJ240" s="397"/>
      <c r="AUK240" s="397"/>
      <c r="AUL240" s="397"/>
      <c r="AUM240" s="397"/>
      <c r="AUN240" s="397"/>
      <c r="AUO240" s="397"/>
      <c r="AUP240" s="397"/>
      <c r="AUQ240" s="397"/>
      <c r="AUR240" s="397"/>
      <c r="AUS240" s="397"/>
      <c r="AUT240" s="397"/>
      <c r="AUU240" s="397"/>
      <c r="AUV240" s="397"/>
      <c r="AUW240" s="397"/>
      <c r="AUX240" s="397"/>
      <c r="AUY240" s="397"/>
      <c r="AUZ240" s="397"/>
      <c r="AVA240" s="397"/>
      <c r="AVB240" s="397"/>
      <c r="AVC240" s="397"/>
      <c r="AVD240" s="397"/>
      <c r="AVE240" s="397"/>
      <c r="AVF240" s="397"/>
      <c r="AVG240" s="397"/>
      <c r="AVH240" s="397"/>
      <c r="AVI240" s="397"/>
      <c r="AVJ240" s="397"/>
      <c r="AVK240" s="397"/>
      <c r="AVL240" s="397"/>
      <c r="AVM240" s="397"/>
      <c r="AVN240" s="397"/>
      <c r="AVO240" s="397"/>
      <c r="AVP240" s="397"/>
      <c r="AVQ240" s="397"/>
      <c r="AVR240" s="397"/>
      <c r="AVS240" s="397"/>
      <c r="AVT240" s="397"/>
      <c r="AVU240" s="397"/>
      <c r="AVV240" s="397"/>
      <c r="AVW240" s="397"/>
      <c r="AVX240" s="397"/>
      <c r="AVY240" s="397"/>
      <c r="AVZ240" s="397"/>
      <c r="AWA240" s="397"/>
      <c r="AWB240" s="397"/>
      <c r="AWC240" s="397"/>
      <c r="AWD240" s="397"/>
      <c r="AWE240" s="397"/>
      <c r="AWF240" s="397"/>
      <c r="AWG240" s="397"/>
      <c r="AWH240" s="397"/>
      <c r="AWI240" s="397"/>
      <c r="AWJ240" s="397"/>
      <c r="AWK240" s="397"/>
      <c r="AWL240" s="397"/>
      <c r="AWM240" s="397"/>
      <c r="AWN240" s="397"/>
      <c r="AWO240" s="397"/>
      <c r="AWP240" s="397"/>
      <c r="AWQ240" s="397"/>
      <c r="AWR240" s="397"/>
      <c r="AWS240" s="397"/>
      <c r="AWT240" s="397"/>
      <c r="AWU240" s="397"/>
      <c r="AWV240" s="397"/>
      <c r="AWW240" s="397"/>
      <c r="AWX240" s="397"/>
      <c r="AWY240" s="397"/>
      <c r="AWZ240" s="397"/>
      <c r="AXA240" s="397"/>
      <c r="AXB240" s="397"/>
      <c r="AXC240" s="397"/>
      <c r="AXD240" s="397"/>
      <c r="AXE240" s="397"/>
      <c r="AXF240" s="397"/>
      <c r="AXG240" s="397"/>
      <c r="AXH240" s="397"/>
      <c r="AXI240" s="397"/>
      <c r="AXJ240" s="397"/>
      <c r="AXK240" s="397"/>
      <c r="AXL240" s="397"/>
      <c r="AXM240" s="397"/>
      <c r="AXN240" s="397"/>
      <c r="AXO240" s="397"/>
      <c r="AXP240" s="397"/>
      <c r="AXQ240" s="397"/>
      <c r="AXR240" s="397"/>
      <c r="AXS240" s="397"/>
      <c r="AXT240" s="397"/>
      <c r="AXU240" s="397"/>
      <c r="AXV240" s="397"/>
      <c r="AXW240" s="397"/>
      <c r="AXX240" s="397"/>
      <c r="AXY240" s="397"/>
      <c r="AXZ240" s="397"/>
      <c r="AYA240" s="397"/>
      <c r="AYB240" s="397"/>
      <c r="AYC240" s="397"/>
      <c r="AYD240" s="397"/>
      <c r="AYE240" s="397"/>
      <c r="AYF240" s="397"/>
      <c r="AYG240" s="397"/>
      <c r="AYH240" s="397"/>
      <c r="AYI240" s="397"/>
      <c r="AYJ240" s="397"/>
      <c r="AYK240" s="397"/>
      <c r="AYL240" s="397"/>
      <c r="AYM240" s="397"/>
      <c r="AYN240" s="397"/>
      <c r="AYO240" s="397"/>
      <c r="AYP240" s="397"/>
      <c r="AYQ240" s="397"/>
      <c r="AYR240" s="397"/>
      <c r="AYS240" s="397"/>
      <c r="AYT240" s="397"/>
      <c r="AYU240" s="397"/>
      <c r="AYV240" s="397"/>
      <c r="AYW240" s="397"/>
      <c r="AYX240" s="397"/>
      <c r="AYY240" s="397"/>
      <c r="AYZ240" s="397"/>
      <c r="AZA240" s="397"/>
      <c r="AZB240" s="397"/>
      <c r="AZC240" s="397"/>
      <c r="AZD240" s="397"/>
      <c r="AZE240" s="397"/>
      <c r="AZF240" s="397"/>
      <c r="AZG240" s="397"/>
      <c r="AZH240" s="397"/>
      <c r="AZI240" s="397"/>
      <c r="AZJ240" s="397"/>
      <c r="AZK240" s="397"/>
      <c r="AZL240" s="397"/>
      <c r="AZM240" s="397"/>
      <c r="AZN240" s="397"/>
      <c r="AZO240" s="397"/>
      <c r="AZP240" s="397"/>
      <c r="AZQ240" s="397"/>
      <c r="AZR240" s="397"/>
      <c r="AZS240" s="397"/>
      <c r="AZT240" s="397"/>
      <c r="AZU240" s="397"/>
      <c r="AZV240" s="397"/>
      <c r="AZW240" s="397"/>
      <c r="AZX240" s="397"/>
      <c r="AZY240" s="397"/>
      <c r="AZZ240" s="397"/>
      <c r="BAA240" s="397"/>
      <c r="BAB240" s="397"/>
      <c r="BAC240" s="397"/>
      <c r="BAD240" s="397"/>
      <c r="BAE240" s="397"/>
      <c r="BAF240" s="397"/>
      <c r="BAG240" s="397"/>
      <c r="BAH240" s="397"/>
      <c r="BAI240" s="397"/>
      <c r="BAJ240" s="397"/>
      <c r="BAK240" s="397"/>
      <c r="BAL240" s="397"/>
      <c r="BAM240" s="397"/>
      <c r="BAN240" s="397"/>
      <c r="BAO240" s="397"/>
      <c r="BAP240" s="397"/>
      <c r="BAQ240" s="397"/>
      <c r="BAR240" s="397"/>
      <c r="BAS240" s="397"/>
      <c r="BAT240" s="397"/>
      <c r="BAU240" s="397"/>
      <c r="BAV240" s="397"/>
      <c r="BAW240" s="397"/>
      <c r="BAX240" s="397"/>
      <c r="BAY240" s="397"/>
      <c r="BAZ240" s="397"/>
      <c r="BBA240" s="397"/>
      <c r="BBB240" s="397"/>
      <c r="BBC240" s="397"/>
      <c r="BBD240" s="397"/>
      <c r="BBE240" s="397"/>
      <c r="BBF240" s="397"/>
      <c r="BBG240" s="397"/>
      <c r="BBH240" s="397"/>
      <c r="BBI240" s="397"/>
      <c r="BBJ240" s="397"/>
      <c r="BBK240" s="397"/>
      <c r="BBL240" s="397"/>
      <c r="BBM240" s="397"/>
      <c r="BBN240" s="397"/>
      <c r="BBO240" s="397"/>
      <c r="BBP240" s="397"/>
      <c r="BBQ240" s="397"/>
      <c r="BBR240" s="397"/>
      <c r="BBS240" s="397"/>
      <c r="BBT240" s="397"/>
      <c r="BBU240" s="397"/>
      <c r="BBV240" s="397"/>
      <c r="BBW240" s="397"/>
      <c r="BBX240" s="397"/>
      <c r="BBY240" s="397"/>
      <c r="BBZ240" s="397"/>
      <c r="BCA240" s="397"/>
      <c r="BCB240" s="397"/>
      <c r="BCC240" s="397"/>
      <c r="BCD240" s="397"/>
      <c r="BCE240" s="397"/>
      <c r="BCF240" s="397"/>
      <c r="BCG240" s="397"/>
      <c r="BCH240" s="397"/>
      <c r="BCI240" s="397"/>
      <c r="BCJ240" s="397"/>
      <c r="BCK240" s="397"/>
      <c r="BCL240" s="397"/>
      <c r="BCM240" s="397"/>
      <c r="BCN240" s="397"/>
      <c r="BCO240" s="397"/>
      <c r="BCP240" s="397"/>
      <c r="BCQ240" s="397"/>
      <c r="BCR240" s="397"/>
      <c r="BCS240" s="397"/>
      <c r="BCT240" s="397"/>
      <c r="BCU240" s="397"/>
      <c r="BCV240" s="397"/>
      <c r="BCW240" s="397"/>
      <c r="BCX240" s="397"/>
      <c r="BCY240" s="397"/>
      <c r="BCZ240" s="397"/>
      <c r="BDA240" s="397"/>
      <c r="BDB240" s="397"/>
      <c r="BDC240" s="397"/>
      <c r="BDD240" s="397"/>
      <c r="BDE240" s="397"/>
      <c r="BDF240" s="397"/>
      <c r="BDG240" s="397"/>
      <c r="BDH240" s="397"/>
      <c r="BDI240" s="397"/>
      <c r="BDJ240" s="397"/>
      <c r="BDK240" s="397"/>
      <c r="BDL240" s="397"/>
      <c r="BDM240" s="397"/>
      <c r="BDN240" s="397"/>
      <c r="BDO240" s="397"/>
      <c r="BDP240" s="397"/>
      <c r="BDQ240" s="397"/>
      <c r="BDR240" s="397"/>
      <c r="BDS240" s="397"/>
      <c r="BDT240" s="397"/>
      <c r="BDU240" s="397"/>
      <c r="BDV240" s="397"/>
      <c r="BDW240" s="397"/>
      <c r="BDX240" s="397"/>
      <c r="BDY240" s="397"/>
      <c r="BDZ240" s="397"/>
      <c r="BEA240" s="397"/>
      <c r="BEB240" s="397"/>
      <c r="BEC240" s="397"/>
      <c r="BED240" s="397"/>
      <c r="BEE240" s="397"/>
      <c r="BEF240" s="397"/>
      <c r="BEG240" s="397"/>
      <c r="BEH240" s="397"/>
      <c r="BEI240" s="397"/>
      <c r="BEJ240" s="397"/>
      <c r="BEK240" s="397"/>
      <c r="BEL240" s="397"/>
      <c r="BEM240" s="397"/>
      <c r="BEN240" s="397"/>
      <c r="BEO240" s="397"/>
      <c r="BEP240" s="397"/>
      <c r="BEQ240" s="397"/>
      <c r="BER240" s="397"/>
      <c r="BES240" s="397"/>
      <c r="BET240" s="397"/>
      <c r="BEU240" s="397"/>
      <c r="BEV240" s="397"/>
      <c r="BEW240" s="397"/>
      <c r="BEX240" s="397"/>
      <c r="BEY240" s="397"/>
      <c r="BEZ240" s="397"/>
      <c r="BFA240" s="397"/>
      <c r="BFB240" s="397"/>
      <c r="BFC240" s="397"/>
      <c r="BFD240" s="397"/>
      <c r="BFE240" s="397"/>
      <c r="BFF240" s="397"/>
      <c r="BFG240" s="397"/>
      <c r="BFH240" s="397"/>
      <c r="BFI240" s="397"/>
      <c r="BFJ240" s="397"/>
      <c r="BFK240" s="397"/>
      <c r="BFL240" s="397"/>
      <c r="BFM240" s="397"/>
      <c r="BFN240" s="397"/>
      <c r="BFO240" s="397"/>
      <c r="BFP240" s="397"/>
      <c r="BFQ240" s="397"/>
      <c r="BFR240" s="397"/>
      <c r="BFS240" s="397"/>
      <c r="BFT240" s="397"/>
      <c r="BFU240" s="397"/>
      <c r="BFV240" s="397"/>
      <c r="BFW240" s="397"/>
      <c r="BFX240" s="397"/>
      <c r="BFY240" s="397"/>
      <c r="BFZ240" s="397"/>
      <c r="BGA240" s="397"/>
      <c r="BGB240" s="397"/>
      <c r="BGC240" s="397"/>
      <c r="BGD240" s="397"/>
      <c r="BGE240" s="397"/>
      <c r="BGF240" s="397"/>
      <c r="BGG240" s="397"/>
      <c r="BGH240" s="397"/>
      <c r="BGI240" s="397"/>
      <c r="BGJ240" s="397"/>
      <c r="BGK240" s="397"/>
      <c r="BGL240" s="397"/>
      <c r="BGM240" s="397"/>
      <c r="BGN240" s="397"/>
      <c r="BGO240" s="397"/>
      <c r="BGP240" s="397"/>
      <c r="BGQ240" s="397"/>
      <c r="BGR240" s="397"/>
      <c r="BGS240" s="397"/>
      <c r="BGT240" s="397"/>
      <c r="BGU240" s="397"/>
      <c r="BGV240" s="397"/>
      <c r="BGW240" s="397"/>
      <c r="BGX240" s="397"/>
      <c r="BGY240" s="397"/>
      <c r="BGZ240" s="397"/>
      <c r="BHA240" s="397"/>
      <c r="BHB240" s="397"/>
      <c r="BHC240" s="397"/>
      <c r="BHD240" s="397"/>
      <c r="BHE240" s="397"/>
      <c r="BHF240" s="397"/>
      <c r="BHG240" s="397"/>
      <c r="BHH240" s="397"/>
      <c r="BHI240" s="397"/>
      <c r="BHJ240" s="397"/>
      <c r="BHK240" s="397"/>
      <c r="BHL240" s="397"/>
      <c r="BHM240" s="397"/>
      <c r="BHN240" s="397"/>
      <c r="BHO240" s="397"/>
      <c r="BHP240" s="397"/>
      <c r="BHQ240" s="397"/>
      <c r="BHR240" s="397"/>
      <c r="BHS240" s="397"/>
      <c r="BHT240" s="397"/>
      <c r="BHU240" s="397"/>
      <c r="BHV240" s="397"/>
      <c r="BHW240" s="397"/>
      <c r="BHX240" s="397"/>
      <c r="BHY240" s="397"/>
      <c r="BHZ240" s="397"/>
      <c r="BIA240" s="397"/>
      <c r="BIB240" s="397"/>
      <c r="BIC240" s="397"/>
      <c r="BID240" s="397"/>
      <c r="BIE240" s="397"/>
      <c r="BIF240" s="397"/>
      <c r="BIG240" s="397"/>
      <c r="BIH240" s="397"/>
      <c r="BII240" s="397"/>
      <c r="BIJ240" s="397"/>
      <c r="BIK240" s="397"/>
      <c r="BIL240" s="397"/>
      <c r="BIM240" s="397"/>
      <c r="BIN240" s="397"/>
      <c r="BIO240" s="397"/>
      <c r="BIP240" s="397"/>
      <c r="BIQ240" s="397"/>
      <c r="BIR240" s="397"/>
      <c r="BIS240" s="397"/>
      <c r="BIT240" s="397"/>
      <c r="BIU240" s="397"/>
      <c r="BIV240" s="397"/>
      <c r="BIW240" s="397"/>
      <c r="BIX240" s="397"/>
      <c r="BIY240" s="397"/>
      <c r="BIZ240" s="397"/>
      <c r="BJA240" s="397"/>
      <c r="BJB240" s="397"/>
      <c r="BJC240" s="397"/>
      <c r="BJD240" s="397"/>
      <c r="BJE240" s="397"/>
      <c r="BJF240" s="397"/>
      <c r="BJG240" s="397"/>
      <c r="BJH240" s="397"/>
      <c r="BJI240" s="397"/>
      <c r="BJJ240" s="397"/>
      <c r="BJK240" s="397"/>
      <c r="BJL240" s="397"/>
      <c r="BJM240" s="397"/>
      <c r="BJN240" s="397"/>
      <c r="BJO240" s="397"/>
      <c r="BJP240" s="397"/>
      <c r="BJQ240" s="397"/>
      <c r="BJR240" s="397"/>
      <c r="BJS240" s="397"/>
      <c r="BJT240" s="397"/>
      <c r="BJU240" s="397"/>
      <c r="BJV240" s="397"/>
      <c r="BJW240" s="397"/>
      <c r="BJX240" s="397"/>
      <c r="BJY240" s="397"/>
      <c r="BJZ240" s="397"/>
      <c r="BKA240" s="397"/>
      <c r="BKB240" s="397"/>
      <c r="BKC240" s="397"/>
      <c r="BKD240" s="397"/>
      <c r="BKE240" s="397"/>
      <c r="BKF240" s="397"/>
      <c r="BKG240" s="397"/>
      <c r="BKH240" s="397"/>
      <c r="BKI240" s="397"/>
      <c r="BKJ240" s="397"/>
      <c r="BKK240" s="397"/>
      <c r="BKL240" s="397"/>
      <c r="BKM240" s="397"/>
      <c r="BKN240" s="397"/>
      <c r="BKO240" s="397"/>
      <c r="BKP240" s="397"/>
      <c r="BKQ240" s="397"/>
      <c r="BKR240" s="397"/>
      <c r="BKS240" s="397"/>
      <c r="BKT240" s="397"/>
      <c r="BKU240" s="397"/>
      <c r="BKV240" s="397"/>
      <c r="BKW240" s="397"/>
      <c r="BKX240" s="397"/>
      <c r="BKY240" s="397"/>
      <c r="BKZ240" s="397"/>
      <c r="BLA240" s="397"/>
      <c r="BLB240" s="397"/>
      <c r="BLC240" s="397"/>
      <c r="BLD240" s="397"/>
      <c r="BLE240" s="397"/>
      <c r="BLF240" s="397"/>
      <c r="BLG240" s="397"/>
      <c r="BLH240" s="397"/>
      <c r="BLI240" s="397"/>
      <c r="BLJ240" s="397"/>
      <c r="BLK240" s="397"/>
      <c r="BLL240" s="397"/>
      <c r="BLM240" s="397"/>
      <c r="BLN240" s="397"/>
      <c r="BLO240" s="397"/>
      <c r="BLP240" s="397"/>
      <c r="BLQ240" s="397"/>
      <c r="BLR240" s="397"/>
      <c r="BLS240" s="397"/>
      <c r="BLT240" s="397"/>
      <c r="BLU240" s="397"/>
      <c r="BLV240" s="397"/>
      <c r="BLW240" s="397"/>
      <c r="BLX240" s="397"/>
      <c r="BLY240" s="397"/>
      <c r="BLZ240" s="397"/>
      <c r="BMA240" s="397"/>
      <c r="BMB240" s="397"/>
      <c r="BMC240" s="397"/>
      <c r="BMD240" s="397"/>
      <c r="BME240" s="397"/>
      <c r="BMF240" s="397"/>
      <c r="BMG240" s="397"/>
      <c r="BMH240" s="397"/>
      <c r="BMI240" s="397"/>
      <c r="BMJ240" s="397"/>
      <c r="BMK240" s="397"/>
      <c r="BML240" s="397"/>
      <c r="BMM240" s="397"/>
      <c r="BMN240" s="397"/>
      <c r="BMO240" s="397"/>
      <c r="BMP240" s="397"/>
      <c r="BMQ240" s="397"/>
      <c r="BMR240" s="397"/>
      <c r="BMS240" s="397"/>
      <c r="BMT240" s="397"/>
      <c r="BMU240" s="397"/>
      <c r="BMV240" s="397"/>
      <c r="BMW240" s="397"/>
      <c r="BMX240" s="397"/>
      <c r="BMY240" s="397"/>
      <c r="BMZ240" s="397"/>
      <c r="BNA240" s="397"/>
      <c r="BNB240" s="397"/>
      <c r="BNC240" s="397"/>
      <c r="BND240" s="397"/>
      <c r="BNE240" s="397"/>
      <c r="BNF240" s="397"/>
      <c r="BNG240" s="397"/>
      <c r="BNH240" s="397"/>
      <c r="BNI240" s="397"/>
      <c r="BNJ240" s="397"/>
      <c r="BNK240" s="397"/>
      <c r="BNL240" s="397"/>
      <c r="BNM240" s="397"/>
      <c r="BNN240" s="397"/>
      <c r="BNO240" s="397"/>
      <c r="BNP240" s="397"/>
      <c r="BNQ240" s="397"/>
      <c r="BNR240" s="397"/>
      <c r="BNS240" s="397"/>
      <c r="BNT240" s="397"/>
      <c r="BNU240" s="397"/>
      <c r="BNV240" s="397"/>
      <c r="BNW240" s="397"/>
      <c r="BNX240" s="397"/>
      <c r="BNY240" s="397"/>
      <c r="BNZ240" s="397"/>
      <c r="BOA240" s="397"/>
      <c r="BOB240" s="397"/>
      <c r="BOC240" s="397"/>
      <c r="BOD240" s="397"/>
      <c r="BOE240" s="397"/>
      <c r="BOF240" s="397"/>
      <c r="BOG240" s="397"/>
      <c r="BOH240" s="397"/>
      <c r="BOI240" s="397"/>
      <c r="BOJ240" s="397"/>
      <c r="BOK240" s="397"/>
      <c r="BOL240" s="397"/>
      <c r="BOM240" s="397"/>
      <c r="BON240" s="397"/>
      <c r="BOO240" s="397"/>
      <c r="BOP240" s="397"/>
      <c r="BOQ240" s="397"/>
      <c r="BOR240" s="397"/>
      <c r="BOS240" s="397"/>
      <c r="BOT240" s="397"/>
      <c r="BOU240" s="397"/>
      <c r="BOV240" s="397"/>
      <c r="BOW240" s="397"/>
      <c r="BOX240" s="397"/>
      <c r="BOY240" s="397"/>
      <c r="BOZ240" s="397"/>
      <c r="BPA240" s="397"/>
      <c r="BPB240" s="397"/>
      <c r="BPC240" s="397"/>
      <c r="BPD240" s="397"/>
      <c r="BPE240" s="397"/>
      <c r="BPF240" s="397"/>
      <c r="BPG240" s="397"/>
      <c r="BPH240" s="397"/>
      <c r="BPI240" s="397"/>
      <c r="BPJ240" s="397"/>
      <c r="BPK240" s="397"/>
      <c r="BPL240" s="397"/>
      <c r="BPM240" s="397"/>
      <c r="BPN240" s="397"/>
      <c r="BPO240" s="397"/>
      <c r="BPP240" s="397"/>
      <c r="BPQ240" s="397"/>
      <c r="BPR240" s="397"/>
      <c r="BPS240" s="397"/>
      <c r="BPT240" s="397"/>
      <c r="BPU240" s="397"/>
      <c r="BPV240" s="397"/>
      <c r="BPW240" s="397"/>
      <c r="BPX240" s="397"/>
      <c r="BPY240" s="397"/>
      <c r="BPZ240" s="397"/>
      <c r="BQA240" s="397"/>
      <c r="BQB240" s="397"/>
      <c r="BQC240" s="397"/>
      <c r="BQD240" s="397"/>
      <c r="BQE240" s="397"/>
      <c r="BQF240" s="397"/>
      <c r="BQG240" s="397"/>
      <c r="BQH240" s="397"/>
      <c r="BQI240" s="397"/>
      <c r="BQJ240" s="397"/>
      <c r="BQK240" s="397"/>
      <c r="BQL240" s="397"/>
      <c r="BQM240" s="397"/>
      <c r="BQN240" s="397"/>
      <c r="BQO240" s="397"/>
      <c r="BQP240" s="397"/>
      <c r="BQQ240" s="397"/>
      <c r="BQR240" s="397"/>
      <c r="BQS240" s="397"/>
      <c r="BQT240" s="397"/>
      <c r="BQU240" s="397"/>
      <c r="BQV240" s="397"/>
      <c r="BQW240" s="397"/>
      <c r="BQX240" s="397"/>
      <c r="BQY240" s="397"/>
      <c r="BQZ240" s="397"/>
      <c r="BRA240" s="397"/>
      <c r="BRB240" s="397"/>
      <c r="BRC240" s="397"/>
      <c r="BRD240" s="397"/>
      <c r="BRE240" s="397"/>
      <c r="BRF240" s="397"/>
      <c r="BRG240" s="397"/>
      <c r="BRH240" s="397"/>
      <c r="BRI240" s="397"/>
      <c r="BRJ240" s="397"/>
      <c r="BRK240" s="397"/>
      <c r="BRL240" s="397"/>
      <c r="BRM240" s="397"/>
      <c r="BRN240" s="397"/>
      <c r="BRO240" s="397"/>
      <c r="BRP240" s="397"/>
      <c r="BRQ240" s="397"/>
      <c r="BRR240" s="397"/>
      <c r="BRS240" s="397"/>
      <c r="BRT240" s="397"/>
      <c r="BRU240" s="397"/>
      <c r="BRV240" s="397"/>
      <c r="BRW240" s="397"/>
      <c r="BRX240" s="397"/>
      <c r="BRY240" s="397"/>
      <c r="BRZ240" s="397"/>
      <c r="BSA240" s="397"/>
      <c r="BSB240" s="397"/>
      <c r="BSC240" s="397"/>
      <c r="BSD240" s="397"/>
      <c r="BSE240" s="397"/>
      <c r="BSF240" s="397"/>
      <c r="BSG240" s="397"/>
      <c r="BSH240" s="397"/>
      <c r="BSI240" s="397"/>
      <c r="BSJ240" s="397"/>
      <c r="BSK240" s="397"/>
      <c r="BSL240" s="397"/>
      <c r="BSM240" s="397"/>
      <c r="BSN240" s="397"/>
      <c r="BSO240" s="397"/>
      <c r="BSP240" s="397"/>
      <c r="BSQ240" s="397"/>
      <c r="BSR240" s="397"/>
      <c r="BSS240" s="397"/>
      <c r="BST240" s="397"/>
      <c r="BSU240" s="397"/>
      <c r="BSV240" s="397"/>
      <c r="BSW240" s="397"/>
      <c r="BSX240" s="397"/>
      <c r="BSY240" s="397"/>
      <c r="BSZ240" s="397"/>
      <c r="BTA240" s="397"/>
      <c r="BTB240" s="397"/>
      <c r="BTC240" s="397"/>
      <c r="BTD240" s="397"/>
      <c r="BTE240" s="397"/>
      <c r="BTF240" s="397"/>
      <c r="BTG240" s="397"/>
      <c r="BTH240" s="397"/>
      <c r="BTI240" s="397"/>
      <c r="BTJ240" s="397"/>
      <c r="BTK240" s="397"/>
      <c r="BTL240" s="397"/>
      <c r="BTM240" s="397"/>
      <c r="BTN240" s="397"/>
      <c r="BTO240" s="397"/>
      <c r="BTP240" s="397"/>
      <c r="BTQ240" s="397"/>
      <c r="BTR240" s="397"/>
      <c r="BTS240" s="397"/>
      <c r="BTT240" s="397"/>
      <c r="BTU240" s="397"/>
      <c r="BTV240" s="397"/>
      <c r="BTW240" s="397"/>
      <c r="BTX240" s="397"/>
      <c r="BTY240" s="397"/>
      <c r="BTZ240" s="397"/>
      <c r="BUA240" s="397"/>
      <c r="BUB240" s="397"/>
      <c r="BUC240" s="397"/>
      <c r="BUD240" s="397"/>
      <c r="BUE240" s="397"/>
      <c r="BUF240" s="397"/>
      <c r="BUG240" s="397"/>
      <c r="BUH240" s="397"/>
      <c r="BUI240" s="397"/>
      <c r="BUJ240" s="397"/>
      <c r="BUK240" s="397"/>
      <c r="BUL240" s="397"/>
      <c r="BUM240" s="397"/>
      <c r="BUN240" s="397"/>
      <c r="BUO240" s="397"/>
      <c r="BUP240" s="397"/>
      <c r="BUQ240" s="397"/>
      <c r="BUR240" s="397"/>
      <c r="BUS240" s="397"/>
      <c r="BUT240" s="397"/>
      <c r="BUU240" s="397"/>
      <c r="BUV240" s="397"/>
      <c r="BUW240" s="397"/>
      <c r="BUX240" s="397"/>
      <c r="BUY240" s="397"/>
      <c r="BUZ240" s="397"/>
      <c r="BVA240" s="397"/>
      <c r="BVB240" s="397"/>
      <c r="BVC240" s="397"/>
      <c r="BVD240" s="397"/>
      <c r="BVE240" s="397"/>
      <c r="BVF240" s="397"/>
      <c r="BVG240" s="397"/>
      <c r="BVH240" s="397"/>
      <c r="BVI240" s="397"/>
      <c r="BVJ240" s="397"/>
      <c r="BVK240" s="397"/>
      <c r="BVL240" s="397"/>
      <c r="BVM240" s="397"/>
      <c r="BVN240" s="397"/>
      <c r="BVO240" s="397"/>
      <c r="BVP240" s="397"/>
      <c r="BVQ240" s="397"/>
      <c r="BVR240" s="397"/>
      <c r="BVS240" s="397"/>
      <c r="BVT240" s="397"/>
      <c r="BVU240" s="397"/>
      <c r="BVV240" s="397"/>
      <c r="BVW240" s="397"/>
      <c r="BVX240" s="397"/>
      <c r="BVY240" s="397"/>
      <c r="BVZ240" s="397"/>
      <c r="BWA240" s="397"/>
      <c r="BWB240" s="397"/>
      <c r="BWC240" s="397"/>
      <c r="BWD240" s="397"/>
      <c r="BWE240" s="397"/>
      <c r="BWF240" s="397"/>
      <c r="BWG240" s="397"/>
      <c r="BWH240" s="397"/>
      <c r="BWI240" s="397"/>
      <c r="BWJ240" s="397"/>
      <c r="BWK240" s="397"/>
      <c r="BWL240" s="397"/>
      <c r="BWM240" s="397"/>
      <c r="BWN240" s="397"/>
      <c r="BWO240" s="397"/>
      <c r="BWP240" s="397"/>
      <c r="BWQ240" s="397"/>
      <c r="BWR240" s="397"/>
      <c r="BWS240" s="397"/>
      <c r="BWT240" s="397"/>
      <c r="BWU240" s="397"/>
      <c r="BWV240" s="397"/>
      <c r="BWW240" s="397"/>
      <c r="BWX240" s="397"/>
      <c r="BWY240" s="397"/>
      <c r="BWZ240" s="397"/>
      <c r="BXA240" s="397"/>
      <c r="BXB240" s="397"/>
      <c r="BXC240" s="397"/>
      <c r="BXD240" s="397"/>
      <c r="BXE240" s="397"/>
      <c r="BXF240" s="397"/>
      <c r="BXG240" s="397"/>
      <c r="BXH240" s="397"/>
      <c r="BXI240" s="397"/>
      <c r="BXJ240" s="397"/>
      <c r="BXK240" s="397"/>
      <c r="BXL240" s="397"/>
      <c r="BXM240" s="397"/>
      <c r="BXN240" s="397"/>
      <c r="BXO240" s="397"/>
      <c r="BXP240" s="397"/>
      <c r="BXQ240" s="397"/>
      <c r="BXR240" s="397"/>
      <c r="BXS240" s="397"/>
      <c r="BXT240" s="397"/>
      <c r="BXU240" s="397"/>
      <c r="BXV240" s="397"/>
      <c r="BXW240" s="397"/>
      <c r="BXX240" s="397"/>
      <c r="BXY240" s="397"/>
      <c r="BXZ240" s="397"/>
      <c r="BYA240" s="397"/>
      <c r="BYB240" s="397"/>
      <c r="BYC240" s="397"/>
      <c r="BYD240" s="397"/>
      <c r="BYE240" s="397"/>
      <c r="BYF240" s="397"/>
      <c r="BYG240" s="397"/>
      <c r="BYH240" s="397"/>
      <c r="BYI240" s="397"/>
      <c r="BYJ240" s="397"/>
      <c r="BYK240" s="397"/>
      <c r="BYL240" s="397"/>
      <c r="BYM240" s="397"/>
      <c r="BYN240" s="397"/>
      <c r="BYO240" s="397"/>
      <c r="BYP240" s="397"/>
      <c r="BYQ240" s="397"/>
      <c r="BYR240" s="397"/>
      <c r="BYS240" s="397"/>
      <c r="BYT240" s="397"/>
      <c r="BYU240" s="397"/>
      <c r="BYV240" s="397"/>
      <c r="BYW240" s="397"/>
      <c r="BYX240" s="397"/>
      <c r="BYY240" s="397"/>
      <c r="BYZ240" s="397"/>
      <c r="BZA240" s="397"/>
      <c r="BZB240" s="397"/>
      <c r="BZC240" s="397"/>
      <c r="BZD240" s="397"/>
      <c r="BZE240" s="397"/>
      <c r="BZF240" s="397"/>
      <c r="BZG240" s="397"/>
      <c r="BZH240" s="397"/>
      <c r="BZI240" s="397"/>
      <c r="BZJ240" s="397"/>
      <c r="BZK240" s="397"/>
      <c r="BZL240" s="397"/>
      <c r="BZM240" s="397"/>
      <c r="BZN240" s="397"/>
      <c r="BZO240" s="397"/>
      <c r="BZP240" s="397"/>
      <c r="BZQ240" s="397"/>
      <c r="BZR240" s="397"/>
      <c r="BZS240" s="397"/>
      <c r="BZT240" s="397"/>
      <c r="BZU240" s="397"/>
      <c r="BZV240" s="397"/>
      <c r="BZW240" s="397"/>
      <c r="BZX240" s="397"/>
      <c r="BZY240" s="397"/>
      <c r="BZZ240" s="397"/>
      <c r="CAA240" s="397"/>
      <c r="CAB240" s="397"/>
      <c r="CAC240" s="397"/>
      <c r="CAD240" s="397"/>
      <c r="CAE240" s="397"/>
      <c r="CAF240" s="397"/>
      <c r="CAG240" s="397"/>
      <c r="CAH240" s="397"/>
      <c r="CAI240" s="397"/>
      <c r="CAJ240" s="397"/>
      <c r="CAK240" s="397"/>
      <c r="CAL240" s="397"/>
      <c r="CAM240" s="397"/>
      <c r="CAN240" s="397"/>
      <c r="CAO240" s="397"/>
      <c r="CAP240" s="397"/>
      <c r="CAQ240" s="397"/>
      <c r="CAR240" s="397"/>
      <c r="CAS240" s="397"/>
      <c r="CAT240" s="397"/>
      <c r="CAU240" s="397"/>
      <c r="CAV240" s="397"/>
      <c r="CAW240" s="397"/>
      <c r="CAX240" s="397"/>
      <c r="CAY240" s="397"/>
      <c r="CAZ240" s="397"/>
      <c r="CBA240" s="397"/>
      <c r="CBB240" s="397"/>
      <c r="CBC240" s="397"/>
      <c r="CBD240" s="397"/>
      <c r="CBE240" s="397"/>
      <c r="CBF240" s="397"/>
      <c r="CBG240" s="397"/>
      <c r="CBH240" s="397"/>
      <c r="CBI240" s="397"/>
      <c r="CBJ240" s="397"/>
      <c r="CBK240" s="397"/>
      <c r="CBL240" s="397"/>
      <c r="CBM240" s="397"/>
      <c r="CBN240" s="397"/>
      <c r="CBO240" s="397"/>
      <c r="CBP240" s="397"/>
      <c r="CBQ240" s="397"/>
      <c r="CBR240" s="397"/>
      <c r="CBS240" s="397"/>
      <c r="CBT240" s="397"/>
      <c r="CBU240" s="397"/>
      <c r="CBV240" s="397"/>
      <c r="CBW240" s="397"/>
      <c r="CBX240" s="397"/>
      <c r="CBY240" s="397"/>
      <c r="CBZ240" s="397"/>
      <c r="CCA240" s="397"/>
      <c r="CCB240" s="397"/>
      <c r="CCC240" s="397"/>
      <c r="CCD240" s="397"/>
      <c r="CCE240" s="397"/>
      <c r="CCF240" s="397"/>
      <c r="CCG240" s="397"/>
      <c r="CCH240" s="397"/>
      <c r="CCI240" s="397"/>
      <c r="CCJ240" s="397"/>
      <c r="CCK240" s="397"/>
      <c r="CCL240" s="397"/>
      <c r="CCM240" s="397"/>
      <c r="CCN240" s="397"/>
      <c r="CCO240" s="397"/>
      <c r="CCP240" s="397"/>
      <c r="CCQ240" s="397"/>
      <c r="CCR240" s="397"/>
      <c r="CCS240" s="397"/>
      <c r="CCT240" s="397"/>
      <c r="CCU240" s="397"/>
      <c r="CCV240" s="397"/>
      <c r="CCW240" s="397"/>
      <c r="CCX240" s="397"/>
      <c r="CCY240" s="397"/>
      <c r="CCZ240" s="397"/>
      <c r="CDA240" s="397"/>
      <c r="CDB240" s="397"/>
      <c r="CDC240" s="397"/>
      <c r="CDD240" s="397"/>
      <c r="CDE240" s="397"/>
      <c r="CDF240" s="397"/>
      <c r="CDG240" s="397"/>
      <c r="CDH240" s="397"/>
      <c r="CDI240" s="397"/>
      <c r="CDJ240" s="397"/>
      <c r="CDK240" s="397"/>
      <c r="CDL240" s="397"/>
      <c r="CDM240" s="397"/>
      <c r="CDN240" s="397"/>
      <c r="CDO240" s="397"/>
      <c r="CDP240" s="397"/>
      <c r="CDQ240" s="397"/>
      <c r="CDR240" s="397"/>
      <c r="CDS240" s="397"/>
      <c r="CDT240" s="397"/>
      <c r="CDU240" s="397"/>
      <c r="CDV240" s="397"/>
      <c r="CDW240" s="397"/>
      <c r="CDX240" s="397"/>
      <c r="CDY240" s="397"/>
      <c r="CDZ240" s="397"/>
      <c r="CEA240" s="397"/>
      <c r="CEB240" s="397"/>
      <c r="CEC240" s="397"/>
      <c r="CED240" s="397"/>
      <c r="CEE240" s="397"/>
      <c r="CEF240" s="397"/>
      <c r="CEG240" s="397"/>
      <c r="CEH240" s="397"/>
      <c r="CEI240" s="397"/>
      <c r="CEJ240" s="397"/>
      <c r="CEK240" s="397"/>
      <c r="CEL240" s="397"/>
      <c r="CEM240" s="397"/>
      <c r="CEN240" s="397"/>
      <c r="CEO240" s="397"/>
      <c r="CEP240" s="397"/>
      <c r="CEQ240" s="397"/>
      <c r="CER240" s="397"/>
      <c r="CES240" s="397"/>
      <c r="CET240" s="397"/>
      <c r="CEU240" s="397"/>
      <c r="CEV240" s="397"/>
      <c r="CEW240" s="397"/>
      <c r="CEX240" s="397"/>
      <c r="CEY240" s="397"/>
      <c r="CEZ240" s="397"/>
      <c r="CFA240" s="397"/>
      <c r="CFB240" s="397"/>
      <c r="CFC240" s="397"/>
      <c r="CFD240" s="397"/>
      <c r="CFE240" s="397"/>
      <c r="CFF240" s="397"/>
      <c r="CFG240" s="397"/>
      <c r="CFH240" s="397"/>
      <c r="CFI240" s="397"/>
      <c r="CFJ240" s="397"/>
      <c r="CFK240" s="397"/>
      <c r="CFL240" s="397"/>
      <c r="CFM240" s="397"/>
      <c r="CFN240" s="397"/>
      <c r="CFO240" s="397"/>
      <c r="CFP240" s="397"/>
      <c r="CFQ240" s="397"/>
      <c r="CFR240" s="397"/>
      <c r="CFS240" s="397"/>
      <c r="CFT240" s="397"/>
      <c r="CFU240" s="397"/>
      <c r="CFV240" s="397"/>
      <c r="CFW240" s="397"/>
      <c r="CFX240" s="397"/>
      <c r="CFY240" s="397"/>
      <c r="CFZ240" s="397"/>
      <c r="CGA240" s="397"/>
      <c r="CGB240" s="397"/>
      <c r="CGC240" s="397"/>
      <c r="CGD240" s="397"/>
      <c r="CGE240" s="397"/>
      <c r="CGF240" s="397"/>
      <c r="CGG240" s="397"/>
      <c r="CGH240" s="397"/>
      <c r="CGI240" s="397"/>
      <c r="CGJ240" s="397"/>
      <c r="CGK240" s="397"/>
      <c r="CGL240" s="397"/>
      <c r="CGM240" s="397"/>
      <c r="CGN240" s="397"/>
      <c r="CGO240" s="397"/>
      <c r="CGP240" s="397"/>
      <c r="CGQ240" s="397"/>
      <c r="CGR240" s="397"/>
      <c r="CGS240" s="397"/>
      <c r="CGT240" s="397"/>
      <c r="CGU240" s="397"/>
      <c r="CGV240" s="397"/>
      <c r="CGW240" s="397"/>
      <c r="CGX240" s="397"/>
      <c r="CGY240" s="397"/>
      <c r="CGZ240" s="397"/>
      <c r="CHA240" s="397"/>
      <c r="CHB240" s="397"/>
      <c r="CHC240" s="397"/>
      <c r="CHD240" s="397"/>
      <c r="CHE240" s="397"/>
      <c r="CHF240" s="397"/>
      <c r="CHG240" s="397"/>
      <c r="CHH240" s="397"/>
      <c r="CHI240" s="397"/>
      <c r="CHJ240" s="397"/>
      <c r="CHK240" s="397"/>
      <c r="CHL240" s="397"/>
      <c r="CHM240" s="397"/>
      <c r="CHN240" s="397"/>
      <c r="CHO240" s="397"/>
      <c r="CHP240" s="397"/>
      <c r="CHQ240" s="397"/>
      <c r="CHR240" s="397"/>
      <c r="CHS240" s="397"/>
      <c r="CHT240" s="397"/>
      <c r="CHU240" s="397"/>
      <c r="CHV240" s="397"/>
      <c r="CHW240" s="397"/>
      <c r="CHX240" s="397"/>
      <c r="CHY240" s="397"/>
      <c r="CHZ240" s="397"/>
      <c r="CIA240" s="397"/>
      <c r="CIB240" s="397"/>
      <c r="CIC240" s="397"/>
      <c r="CID240" s="397"/>
      <c r="CIE240" s="397"/>
      <c r="CIF240" s="397"/>
      <c r="CIG240" s="397"/>
      <c r="CIH240" s="397"/>
      <c r="CII240" s="397"/>
      <c r="CIJ240" s="397"/>
      <c r="CIK240" s="397"/>
      <c r="CIL240" s="397"/>
      <c r="CIM240" s="397"/>
      <c r="CIN240" s="397"/>
      <c r="CIO240" s="397"/>
      <c r="CIP240" s="397"/>
      <c r="CIQ240" s="397"/>
      <c r="CIR240" s="397"/>
      <c r="CIS240" s="397"/>
      <c r="CIT240" s="397"/>
      <c r="CIU240" s="397"/>
      <c r="CIV240" s="397"/>
      <c r="CIW240" s="397"/>
      <c r="CIX240" s="397"/>
      <c r="CIY240" s="397"/>
      <c r="CIZ240" s="397"/>
      <c r="CJA240" s="397"/>
      <c r="CJB240" s="397"/>
      <c r="CJC240" s="397"/>
      <c r="CJD240" s="397"/>
      <c r="CJE240" s="397"/>
      <c r="CJF240" s="397"/>
      <c r="CJG240" s="397"/>
      <c r="CJH240" s="397"/>
      <c r="CJI240" s="397"/>
      <c r="CJJ240" s="397"/>
      <c r="CJK240" s="397"/>
      <c r="CJL240" s="397"/>
      <c r="CJM240" s="397"/>
      <c r="CJN240" s="397"/>
      <c r="CJO240" s="397"/>
      <c r="CJP240" s="397"/>
      <c r="CJQ240" s="397"/>
      <c r="CJR240" s="397"/>
      <c r="CJS240" s="397"/>
      <c r="CJT240" s="397"/>
      <c r="CJU240" s="397"/>
      <c r="CJV240" s="397"/>
      <c r="CJW240" s="397"/>
      <c r="CJX240" s="397"/>
      <c r="CJY240" s="397"/>
      <c r="CJZ240" s="397"/>
      <c r="CKA240" s="397"/>
      <c r="CKB240" s="397"/>
      <c r="CKC240" s="397"/>
      <c r="CKD240" s="397"/>
      <c r="CKE240" s="397"/>
      <c r="CKF240" s="397"/>
      <c r="CKG240" s="397"/>
      <c r="CKH240" s="397"/>
      <c r="CKI240" s="397"/>
      <c r="CKJ240" s="397"/>
      <c r="CKK240" s="397"/>
      <c r="CKL240" s="397"/>
      <c r="CKM240" s="397"/>
      <c r="CKN240" s="397"/>
      <c r="CKO240" s="397"/>
      <c r="CKP240" s="397"/>
      <c r="CKQ240" s="397"/>
      <c r="CKR240" s="397"/>
      <c r="CKS240" s="397"/>
      <c r="CKT240" s="397"/>
      <c r="CKU240" s="397"/>
      <c r="CKV240" s="397"/>
      <c r="CKW240" s="397"/>
      <c r="CKX240" s="397"/>
      <c r="CKY240" s="397"/>
      <c r="CKZ240" s="397"/>
      <c r="CLA240" s="397"/>
      <c r="CLB240" s="397"/>
      <c r="CLC240" s="397"/>
      <c r="CLD240" s="397"/>
      <c r="CLE240" s="397"/>
      <c r="CLF240" s="397"/>
      <c r="CLG240" s="397"/>
      <c r="CLH240" s="397"/>
      <c r="CLI240" s="397"/>
      <c r="CLJ240" s="397"/>
      <c r="CLK240" s="397"/>
      <c r="CLL240" s="397"/>
      <c r="CLM240" s="397"/>
      <c r="CLN240" s="397"/>
      <c r="CLO240" s="397"/>
      <c r="CLP240" s="397"/>
      <c r="CLQ240" s="397"/>
      <c r="CLR240" s="397"/>
      <c r="CLS240" s="397"/>
      <c r="CLT240" s="397"/>
      <c r="CLU240" s="397"/>
      <c r="CLV240" s="397"/>
      <c r="CLW240" s="397"/>
      <c r="CLX240" s="397"/>
      <c r="CLY240" s="397"/>
      <c r="CLZ240" s="397"/>
      <c r="CMA240" s="397"/>
      <c r="CMB240" s="397"/>
      <c r="CMC240" s="397"/>
      <c r="CMD240" s="397"/>
      <c r="CME240" s="397"/>
      <c r="CMF240" s="397"/>
      <c r="CMG240" s="397"/>
      <c r="CMH240" s="397"/>
      <c r="CMI240" s="397"/>
      <c r="CMJ240" s="397"/>
      <c r="CMK240" s="397"/>
      <c r="CML240" s="397"/>
      <c r="CMM240" s="397"/>
      <c r="CMN240" s="397"/>
      <c r="CMO240" s="397"/>
      <c r="CMP240" s="397"/>
      <c r="CMQ240" s="397"/>
      <c r="CMR240" s="397"/>
      <c r="CMS240" s="397"/>
      <c r="CMT240" s="397"/>
      <c r="CMU240" s="397"/>
      <c r="CMV240" s="397"/>
      <c r="CMW240" s="397"/>
      <c r="CMX240" s="397"/>
      <c r="CMY240" s="397"/>
      <c r="CMZ240" s="397"/>
      <c r="CNA240" s="397"/>
      <c r="CNB240" s="397"/>
      <c r="CNC240" s="397"/>
      <c r="CND240" s="397"/>
      <c r="CNE240" s="397"/>
      <c r="CNF240" s="397"/>
      <c r="CNG240" s="397"/>
      <c r="CNH240" s="397"/>
      <c r="CNI240" s="397"/>
      <c r="CNJ240" s="397"/>
      <c r="CNK240" s="397"/>
      <c r="CNL240" s="397"/>
      <c r="CNM240" s="397"/>
      <c r="CNN240" s="397"/>
      <c r="CNO240" s="397"/>
      <c r="CNP240" s="397"/>
      <c r="CNQ240" s="397"/>
      <c r="CNR240" s="397"/>
      <c r="CNS240" s="397"/>
      <c r="CNT240" s="397"/>
      <c r="CNU240" s="397"/>
      <c r="CNV240" s="397"/>
      <c r="CNW240" s="397"/>
      <c r="CNX240" s="397"/>
      <c r="CNY240" s="397"/>
      <c r="CNZ240" s="397"/>
      <c r="COA240" s="397"/>
      <c r="COB240" s="397"/>
      <c r="COC240" s="397"/>
      <c r="COD240" s="397"/>
      <c r="COE240" s="397"/>
      <c r="COF240" s="397"/>
      <c r="COG240" s="397"/>
      <c r="COH240" s="397"/>
      <c r="COI240" s="397"/>
      <c r="COJ240" s="397"/>
      <c r="COK240" s="397"/>
      <c r="COL240" s="397"/>
      <c r="COM240" s="397"/>
      <c r="CON240" s="397"/>
      <c r="COO240" s="397"/>
      <c r="COP240" s="397"/>
      <c r="COQ240" s="397"/>
      <c r="COR240" s="397"/>
      <c r="COS240" s="397"/>
      <c r="COT240" s="397"/>
      <c r="COU240" s="397"/>
      <c r="COV240" s="397"/>
      <c r="COW240" s="397"/>
      <c r="COX240" s="397"/>
      <c r="COY240" s="397"/>
      <c r="COZ240" s="397"/>
      <c r="CPA240" s="397"/>
      <c r="CPB240" s="397"/>
      <c r="CPC240" s="397"/>
      <c r="CPD240" s="397"/>
      <c r="CPE240" s="397"/>
      <c r="CPF240" s="397"/>
      <c r="CPG240" s="397"/>
      <c r="CPH240" s="397"/>
      <c r="CPI240" s="397"/>
      <c r="CPJ240" s="397"/>
      <c r="CPK240" s="397"/>
      <c r="CPL240" s="397"/>
      <c r="CPM240" s="397"/>
      <c r="CPN240" s="397"/>
      <c r="CPO240" s="397"/>
      <c r="CPP240" s="397"/>
      <c r="CPQ240" s="397"/>
      <c r="CPR240" s="397"/>
      <c r="CPS240" s="397"/>
      <c r="CPT240" s="397"/>
      <c r="CPU240" s="397"/>
      <c r="CPV240" s="397"/>
      <c r="CPW240" s="397"/>
      <c r="CPX240" s="397"/>
      <c r="CPY240" s="397"/>
      <c r="CPZ240" s="397"/>
      <c r="CQA240" s="397"/>
      <c r="CQB240" s="397"/>
      <c r="CQC240" s="397"/>
      <c r="CQD240" s="397"/>
      <c r="CQE240" s="397"/>
      <c r="CQF240" s="397"/>
      <c r="CQG240" s="397"/>
      <c r="CQH240" s="397"/>
      <c r="CQI240" s="397"/>
      <c r="CQJ240" s="397"/>
      <c r="CQK240" s="397"/>
      <c r="CQL240" s="397"/>
      <c r="CQM240" s="397"/>
      <c r="CQN240" s="397"/>
      <c r="CQO240" s="397"/>
      <c r="CQP240" s="397"/>
      <c r="CQQ240" s="397"/>
      <c r="CQR240" s="397"/>
      <c r="CQS240" s="397"/>
      <c r="CQT240" s="397"/>
      <c r="CQU240" s="397"/>
      <c r="CQV240" s="397"/>
      <c r="CQW240" s="397"/>
      <c r="CQX240" s="397"/>
      <c r="CQY240" s="397"/>
      <c r="CQZ240" s="397"/>
      <c r="CRA240" s="397"/>
      <c r="CRB240" s="397"/>
      <c r="CRC240" s="397"/>
      <c r="CRD240" s="397"/>
      <c r="CRE240" s="397"/>
      <c r="CRF240" s="397"/>
      <c r="CRG240" s="397"/>
      <c r="CRH240" s="397"/>
      <c r="CRI240" s="397"/>
      <c r="CRJ240" s="397"/>
      <c r="CRK240" s="397"/>
      <c r="CRL240" s="397"/>
      <c r="CRM240" s="397"/>
      <c r="CRN240" s="397"/>
      <c r="CRO240" s="397"/>
      <c r="CRP240" s="397"/>
      <c r="CRQ240" s="397"/>
      <c r="CRR240" s="397"/>
      <c r="CRS240" s="397"/>
      <c r="CRT240" s="397"/>
      <c r="CRU240" s="397"/>
      <c r="CRV240" s="397"/>
      <c r="CRW240" s="397"/>
      <c r="CRX240" s="397"/>
      <c r="CRY240" s="397"/>
      <c r="CRZ240" s="397"/>
      <c r="CSA240" s="397"/>
      <c r="CSB240" s="397"/>
      <c r="CSC240" s="397"/>
      <c r="CSD240" s="397"/>
      <c r="CSE240" s="397"/>
      <c r="CSF240" s="397"/>
      <c r="CSG240" s="397"/>
      <c r="CSH240" s="397"/>
      <c r="CSI240" s="397"/>
      <c r="CSJ240" s="397"/>
      <c r="CSK240" s="397"/>
      <c r="CSL240" s="397"/>
      <c r="CSM240" s="397"/>
      <c r="CSN240" s="397"/>
      <c r="CSO240" s="397"/>
      <c r="CSP240" s="397"/>
      <c r="CSQ240" s="397"/>
      <c r="CSR240" s="397"/>
      <c r="CSS240" s="397"/>
      <c r="CST240" s="397"/>
      <c r="CSU240" s="397"/>
      <c r="CSV240" s="397"/>
      <c r="CSW240" s="397"/>
      <c r="CSX240" s="397"/>
      <c r="CSY240" s="397"/>
      <c r="CSZ240" s="397"/>
      <c r="CTA240" s="397"/>
      <c r="CTB240" s="397"/>
      <c r="CTC240" s="397"/>
      <c r="CTD240" s="397"/>
      <c r="CTE240" s="397"/>
      <c r="CTF240" s="397"/>
      <c r="CTG240" s="397"/>
      <c r="CTH240" s="397"/>
      <c r="CTI240" s="397"/>
      <c r="CTJ240" s="397"/>
      <c r="CTK240" s="397"/>
      <c r="CTL240" s="397"/>
      <c r="CTM240" s="397"/>
      <c r="CTN240" s="397"/>
      <c r="CTO240" s="397"/>
      <c r="CTP240" s="397"/>
      <c r="CTQ240" s="397"/>
      <c r="CTR240" s="397"/>
      <c r="CTS240" s="397"/>
      <c r="CTT240" s="397"/>
      <c r="CTU240" s="397"/>
      <c r="CTV240" s="397"/>
      <c r="CTW240" s="397"/>
      <c r="CTX240" s="397"/>
      <c r="CTY240" s="397"/>
      <c r="CTZ240" s="397"/>
      <c r="CUA240" s="397"/>
      <c r="CUB240" s="397"/>
      <c r="CUC240" s="397"/>
      <c r="CUD240" s="397"/>
      <c r="CUE240" s="397"/>
      <c r="CUF240" s="397"/>
      <c r="CUG240" s="397"/>
      <c r="CUH240" s="397"/>
      <c r="CUI240" s="397"/>
      <c r="CUJ240" s="397"/>
      <c r="CUK240" s="397"/>
      <c r="CUL240" s="397"/>
      <c r="CUM240" s="397"/>
      <c r="CUN240" s="397"/>
      <c r="CUO240" s="397"/>
      <c r="CUP240" s="397"/>
      <c r="CUQ240" s="397"/>
      <c r="CUR240" s="397"/>
      <c r="CUS240" s="397"/>
      <c r="CUT240" s="397"/>
      <c r="CUU240" s="397"/>
      <c r="CUV240" s="397"/>
      <c r="CUW240" s="397"/>
      <c r="CUX240" s="397"/>
      <c r="CUY240" s="397"/>
      <c r="CUZ240" s="397"/>
      <c r="CVA240" s="397"/>
      <c r="CVB240" s="397"/>
      <c r="CVC240" s="397"/>
      <c r="CVD240" s="397"/>
      <c r="CVE240" s="397"/>
      <c r="CVF240" s="397"/>
      <c r="CVG240" s="397"/>
      <c r="CVH240" s="397"/>
      <c r="CVI240" s="397"/>
      <c r="CVJ240" s="397"/>
      <c r="CVK240" s="397"/>
      <c r="CVL240" s="397"/>
      <c r="CVM240" s="397"/>
      <c r="CVN240" s="397"/>
      <c r="CVO240" s="397"/>
      <c r="CVP240" s="397"/>
      <c r="CVQ240" s="397"/>
      <c r="CVR240" s="397"/>
      <c r="CVS240" s="397"/>
      <c r="CVT240" s="397"/>
      <c r="CVU240" s="397"/>
      <c r="CVV240" s="397"/>
      <c r="CVW240" s="397"/>
      <c r="CVX240" s="397"/>
      <c r="CVY240" s="397"/>
      <c r="CVZ240" s="397"/>
      <c r="CWA240" s="397"/>
      <c r="CWB240" s="397"/>
      <c r="CWC240" s="397"/>
      <c r="CWD240" s="397"/>
      <c r="CWE240" s="397"/>
      <c r="CWF240" s="397"/>
      <c r="CWG240" s="397"/>
      <c r="CWH240" s="397"/>
      <c r="CWI240" s="397"/>
      <c r="CWJ240" s="397"/>
      <c r="CWK240" s="397"/>
      <c r="CWL240" s="397"/>
      <c r="CWM240" s="397"/>
      <c r="CWN240" s="397"/>
      <c r="CWO240" s="397"/>
      <c r="CWP240" s="397"/>
      <c r="CWQ240" s="397"/>
      <c r="CWR240" s="397"/>
      <c r="CWS240" s="397"/>
      <c r="CWT240" s="397"/>
      <c r="CWU240" s="397"/>
      <c r="CWV240" s="397"/>
      <c r="CWW240" s="397"/>
      <c r="CWX240" s="397"/>
      <c r="CWY240" s="397"/>
      <c r="CWZ240" s="397"/>
      <c r="CXA240" s="397"/>
      <c r="CXB240" s="397"/>
      <c r="CXC240" s="397"/>
      <c r="CXD240" s="397"/>
      <c r="CXE240" s="397"/>
      <c r="CXF240" s="397"/>
      <c r="CXG240" s="397"/>
      <c r="CXH240" s="397"/>
      <c r="CXI240" s="397"/>
      <c r="CXJ240" s="397"/>
      <c r="CXK240" s="397"/>
      <c r="CXL240" s="397"/>
      <c r="CXM240" s="397"/>
      <c r="CXN240" s="397"/>
      <c r="CXO240" s="397"/>
      <c r="CXP240" s="397"/>
      <c r="CXQ240" s="397"/>
      <c r="CXR240" s="397"/>
      <c r="CXS240" s="397"/>
      <c r="CXT240" s="397"/>
      <c r="CXU240" s="397"/>
      <c r="CXV240" s="397"/>
      <c r="CXW240" s="397"/>
      <c r="CXX240" s="397"/>
      <c r="CXY240" s="397"/>
      <c r="CXZ240" s="397"/>
      <c r="CYA240" s="397"/>
      <c r="CYB240" s="397"/>
      <c r="CYC240" s="397"/>
      <c r="CYD240" s="397"/>
      <c r="CYE240" s="397"/>
      <c r="CYF240" s="397"/>
      <c r="CYG240" s="397"/>
      <c r="CYH240" s="397"/>
      <c r="CYI240" s="397"/>
      <c r="CYJ240" s="397"/>
      <c r="CYK240" s="397"/>
      <c r="CYL240" s="397"/>
      <c r="CYM240" s="397"/>
      <c r="CYN240" s="397"/>
      <c r="CYO240" s="397"/>
      <c r="CYP240" s="397"/>
      <c r="CYQ240" s="397"/>
      <c r="CYR240" s="397"/>
      <c r="CYS240" s="397"/>
      <c r="CYT240" s="397"/>
      <c r="CYU240" s="397"/>
      <c r="CYV240" s="397"/>
      <c r="CYW240" s="397"/>
      <c r="CYX240" s="397"/>
      <c r="CYY240" s="397"/>
      <c r="CYZ240" s="397"/>
      <c r="CZA240" s="397"/>
      <c r="CZB240" s="397"/>
      <c r="CZC240" s="397"/>
      <c r="CZD240" s="397"/>
      <c r="CZE240" s="397"/>
      <c r="CZF240" s="397"/>
      <c r="CZG240" s="397"/>
      <c r="CZH240" s="397"/>
      <c r="CZI240" s="397"/>
      <c r="CZJ240" s="397"/>
      <c r="CZK240" s="397"/>
      <c r="CZL240" s="397"/>
      <c r="CZM240" s="397"/>
      <c r="CZN240" s="397"/>
      <c r="CZO240" s="397"/>
      <c r="CZP240" s="397"/>
      <c r="CZQ240" s="397"/>
      <c r="CZR240" s="397"/>
      <c r="CZS240" s="397"/>
      <c r="CZT240" s="397"/>
      <c r="CZU240" s="397"/>
      <c r="CZV240" s="397"/>
      <c r="CZW240" s="397"/>
      <c r="CZX240" s="397"/>
      <c r="CZY240" s="397"/>
      <c r="CZZ240" s="397"/>
      <c r="DAA240" s="397"/>
      <c r="DAB240" s="397"/>
      <c r="DAC240" s="397"/>
      <c r="DAD240" s="397"/>
      <c r="DAE240" s="397"/>
      <c r="DAF240" s="397"/>
      <c r="DAG240" s="397"/>
      <c r="DAH240" s="397"/>
      <c r="DAI240" s="397"/>
      <c r="DAJ240" s="397"/>
      <c r="DAK240" s="397"/>
      <c r="DAL240" s="397"/>
      <c r="DAM240" s="397"/>
      <c r="DAN240" s="397"/>
      <c r="DAO240" s="397"/>
      <c r="DAP240" s="397"/>
      <c r="DAQ240" s="397"/>
      <c r="DAR240" s="397"/>
      <c r="DAS240" s="397"/>
      <c r="DAT240" s="397"/>
      <c r="DAU240" s="397"/>
      <c r="DAV240" s="397"/>
      <c r="DAW240" s="397"/>
      <c r="DAX240" s="397"/>
      <c r="DAY240" s="397"/>
      <c r="DAZ240" s="397"/>
      <c r="DBA240" s="397"/>
      <c r="DBB240" s="397"/>
      <c r="DBC240" s="397"/>
      <c r="DBD240" s="397"/>
      <c r="DBE240" s="397"/>
      <c r="DBF240" s="397"/>
      <c r="DBG240" s="397"/>
      <c r="DBH240" s="397"/>
      <c r="DBI240" s="397"/>
      <c r="DBJ240" s="397"/>
      <c r="DBK240" s="397"/>
      <c r="DBL240" s="397"/>
      <c r="DBM240" s="397"/>
      <c r="DBN240" s="397"/>
      <c r="DBO240" s="397"/>
      <c r="DBP240" s="397"/>
      <c r="DBQ240" s="397"/>
      <c r="DBR240" s="397"/>
      <c r="DBS240" s="397"/>
      <c r="DBT240" s="397"/>
      <c r="DBU240" s="397"/>
      <c r="DBV240" s="397"/>
      <c r="DBW240" s="397"/>
      <c r="DBX240" s="397"/>
      <c r="DBY240" s="397"/>
      <c r="DBZ240" s="397"/>
      <c r="DCA240" s="397"/>
      <c r="DCB240" s="397"/>
      <c r="DCC240" s="397"/>
      <c r="DCD240" s="397"/>
      <c r="DCE240" s="397"/>
      <c r="DCF240" s="397"/>
      <c r="DCG240" s="397"/>
      <c r="DCH240" s="397"/>
      <c r="DCI240" s="397"/>
      <c r="DCJ240" s="397"/>
      <c r="DCK240" s="397"/>
      <c r="DCL240" s="397"/>
      <c r="DCM240" s="397"/>
      <c r="DCN240" s="397"/>
      <c r="DCO240" s="397"/>
      <c r="DCP240" s="397"/>
      <c r="DCQ240" s="397"/>
      <c r="DCR240" s="397"/>
      <c r="DCS240" s="397"/>
      <c r="DCT240" s="397"/>
      <c r="DCU240" s="397"/>
      <c r="DCV240" s="397"/>
      <c r="DCW240" s="397"/>
      <c r="DCX240" s="397"/>
      <c r="DCY240" s="397"/>
      <c r="DCZ240" s="397"/>
      <c r="DDA240" s="397"/>
      <c r="DDB240" s="397"/>
      <c r="DDC240" s="397"/>
      <c r="DDD240" s="397"/>
      <c r="DDE240" s="397"/>
      <c r="DDF240" s="397"/>
      <c r="DDG240" s="397"/>
      <c r="DDH240" s="397"/>
      <c r="DDI240" s="397"/>
      <c r="DDJ240" s="397"/>
      <c r="DDK240" s="397"/>
      <c r="DDL240" s="397"/>
      <c r="DDM240" s="397"/>
      <c r="DDN240" s="397"/>
      <c r="DDO240" s="397"/>
      <c r="DDP240" s="397"/>
      <c r="DDQ240" s="397"/>
      <c r="DDR240" s="397"/>
      <c r="DDS240" s="397"/>
      <c r="DDT240" s="397"/>
      <c r="DDU240" s="397"/>
      <c r="DDV240" s="397"/>
      <c r="DDW240" s="397"/>
      <c r="DDX240" s="397"/>
      <c r="DDY240" s="397"/>
      <c r="DDZ240" s="397"/>
      <c r="DEA240" s="397"/>
      <c r="DEB240" s="397"/>
      <c r="DEC240" s="397"/>
      <c r="DED240" s="397"/>
      <c r="DEE240" s="397"/>
      <c r="DEF240" s="397"/>
      <c r="DEG240" s="397"/>
      <c r="DEH240" s="397"/>
      <c r="DEI240" s="397"/>
      <c r="DEJ240" s="397"/>
      <c r="DEK240" s="397"/>
      <c r="DEL240" s="397"/>
      <c r="DEM240" s="397"/>
      <c r="DEN240" s="397"/>
      <c r="DEO240" s="397"/>
      <c r="DEP240" s="397"/>
      <c r="DEQ240" s="397"/>
      <c r="DER240" s="397"/>
      <c r="DES240" s="397"/>
      <c r="DET240" s="397"/>
      <c r="DEU240" s="397"/>
      <c r="DEV240" s="397"/>
      <c r="DEW240" s="397"/>
      <c r="DEX240" s="397"/>
      <c r="DEY240" s="397"/>
      <c r="DEZ240" s="397"/>
      <c r="DFA240" s="397"/>
      <c r="DFB240" s="397"/>
      <c r="DFC240" s="397"/>
      <c r="DFD240" s="397"/>
      <c r="DFE240" s="397"/>
      <c r="DFF240" s="397"/>
      <c r="DFG240" s="397"/>
      <c r="DFH240" s="397"/>
      <c r="DFI240" s="397"/>
      <c r="DFJ240" s="397"/>
      <c r="DFK240" s="397"/>
      <c r="DFL240" s="397"/>
      <c r="DFM240" s="397"/>
      <c r="DFN240" s="397"/>
      <c r="DFO240" s="397"/>
      <c r="DFP240" s="397"/>
      <c r="DFQ240" s="397"/>
      <c r="DFR240" s="397"/>
      <c r="DFS240" s="397"/>
      <c r="DFT240" s="397"/>
      <c r="DFU240" s="397"/>
      <c r="DFV240" s="397"/>
      <c r="DFW240" s="397"/>
      <c r="DFX240" s="397"/>
      <c r="DFY240" s="397"/>
      <c r="DFZ240" s="397"/>
      <c r="DGA240" s="397"/>
      <c r="DGB240" s="397"/>
      <c r="DGC240" s="397"/>
      <c r="DGD240" s="397"/>
      <c r="DGE240" s="397"/>
      <c r="DGF240" s="397"/>
      <c r="DGG240" s="397"/>
      <c r="DGH240" s="397"/>
      <c r="DGI240" s="397"/>
      <c r="DGJ240" s="397"/>
      <c r="DGK240" s="397"/>
      <c r="DGL240" s="397"/>
      <c r="DGM240" s="397"/>
      <c r="DGN240" s="397"/>
      <c r="DGO240" s="397"/>
      <c r="DGP240" s="397"/>
      <c r="DGQ240" s="397"/>
      <c r="DGR240" s="397"/>
      <c r="DGS240" s="397"/>
      <c r="DGT240" s="397"/>
      <c r="DGU240" s="397"/>
      <c r="DGV240" s="397"/>
      <c r="DGW240" s="397"/>
      <c r="DGX240" s="397"/>
      <c r="DGY240" s="397"/>
      <c r="DGZ240" s="397"/>
      <c r="DHA240" s="397"/>
      <c r="DHB240" s="397"/>
      <c r="DHC240" s="397"/>
      <c r="DHD240" s="397"/>
      <c r="DHE240" s="397"/>
      <c r="DHF240" s="397"/>
      <c r="DHG240" s="397"/>
      <c r="DHH240" s="397"/>
      <c r="DHI240" s="397"/>
      <c r="DHJ240" s="397"/>
      <c r="DHK240" s="397"/>
      <c r="DHL240" s="397"/>
      <c r="DHM240" s="397"/>
      <c r="DHN240" s="397"/>
      <c r="DHO240" s="397"/>
      <c r="DHP240" s="397"/>
      <c r="DHQ240" s="397"/>
      <c r="DHR240" s="397"/>
      <c r="DHS240" s="397"/>
      <c r="DHT240" s="397"/>
      <c r="DHU240" s="397"/>
      <c r="DHV240" s="397"/>
      <c r="DHW240" s="397"/>
      <c r="DHX240" s="397"/>
      <c r="DHY240" s="397"/>
      <c r="DHZ240" s="397"/>
      <c r="DIA240" s="397"/>
      <c r="DIB240" s="397"/>
      <c r="DIC240" s="397"/>
      <c r="DID240" s="397"/>
      <c r="DIE240" s="397"/>
      <c r="DIF240" s="397"/>
      <c r="DIG240" s="397"/>
      <c r="DIH240" s="397"/>
      <c r="DII240" s="397"/>
      <c r="DIJ240" s="397"/>
      <c r="DIK240" s="397"/>
      <c r="DIL240" s="397"/>
      <c r="DIM240" s="397"/>
      <c r="DIN240" s="397"/>
      <c r="DIO240" s="397"/>
      <c r="DIP240" s="397"/>
      <c r="DIQ240" s="397"/>
      <c r="DIR240" s="397"/>
      <c r="DIS240" s="397"/>
      <c r="DIT240" s="397"/>
      <c r="DIU240" s="397"/>
      <c r="DIV240" s="397"/>
      <c r="DIW240" s="397"/>
      <c r="DIX240" s="397"/>
      <c r="DIY240" s="397"/>
      <c r="DIZ240" s="397"/>
      <c r="DJA240" s="397"/>
      <c r="DJB240" s="397"/>
      <c r="DJC240" s="397"/>
      <c r="DJD240" s="397"/>
      <c r="DJE240" s="397"/>
      <c r="DJF240" s="397"/>
      <c r="DJG240" s="397"/>
      <c r="DJH240" s="397"/>
      <c r="DJI240" s="397"/>
      <c r="DJJ240" s="397"/>
      <c r="DJK240" s="397"/>
      <c r="DJL240" s="397"/>
      <c r="DJM240" s="397"/>
      <c r="DJN240" s="397"/>
      <c r="DJO240" s="397"/>
      <c r="DJP240" s="397"/>
      <c r="DJQ240" s="397"/>
      <c r="DJR240" s="397"/>
      <c r="DJS240" s="397"/>
      <c r="DJT240" s="397"/>
      <c r="DJU240" s="397"/>
      <c r="DJV240" s="397"/>
      <c r="DJW240" s="397"/>
      <c r="DJX240" s="397"/>
      <c r="DJY240" s="397"/>
      <c r="DJZ240" s="397"/>
      <c r="DKA240" s="397"/>
      <c r="DKB240" s="397"/>
      <c r="DKC240" s="397"/>
      <c r="DKD240" s="397"/>
      <c r="DKE240" s="397"/>
      <c r="DKF240" s="397"/>
      <c r="DKG240" s="397"/>
      <c r="DKH240" s="397"/>
      <c r="DKI240" s="397"/>
      <c r="DKJ240" s="397"/>
      <c r="DKK240" s="397"/>
      <c r="DKL240" s="397"/>
      <c r="DKM240" s="397"/>
      <c r="DKN240" s="397"/>
      <c r="DKO240" s="397"/>
      <c r="DKP240" s="397"/>
      <c r="DKQ240" s="397"/>
      <c r="DKR240" s="397"/>
      <c r="DKS240" s="397"/>
      <c r="DKT240" s="397"/>
      <c r="DKU240" s="397"/>
      <c r="DKV240" s="397"/>
      <c r="DKW240" s="397"/>
      <c r="DKX240" s="397"/>
      <c r="DKY240" s="397"/>
      <c r="DKZ240" s="397"/>
      <c r="DLA240" s="397"/>
      <c r="DLB240" s="397"/>
      <c r="DLC240" s="397"/>
      <c r="DLD240" s="397"/>
      <c r="DLE240" s="397"/>
      <c r="DLF240" s="397"/>
      <c r="DLG240" s="397"/>
      <c r="DLH240" s="397"/>
      <c r="DLI240" s="397"/>
      <c r="DLJ240" s="397"/>
      <c r="DLK240" s="397"/>
      <c r="DLL240" s="397"/>
      <c r="DLM240" s="397"/>
      <c r="DLN240" s="397"/>
      <c r="DLO240" s="397"/>
      <c r="DLP240" s="397"/>
      <c r="DLQ240" s="397"/>
      <c r="DLR240" s="397"/>
      <c r="DLS240" s="397"/>
      <c r="DLT240" s="397"/>
      <c r="DLU240" s="397"/>
      <c r="DLV240" s="397"/>
      <c r="DLW240" s="397"/>
      <c r="DLX240" s="397"/>
      <c r="DLY240" s="397"/>
      <c r="DLZ240" s="397"/>
      <c r="DMA240" s="397"/>
      <c r="DMB240" s="397"/>
      <c r="DMC240" s="397"/>
      <c r="DMD240" s="397"/>
      <c r="DME240" s="397"/>
      <c r="DMF240" s="397"/>
      <c r="DMG240" s="397"/>
      <c r="DMH240" s="397"/>
      <c r="DMI240" s="397"/>
      <c r="DMJ240" s="397"/>
      <c r="DMK240" s="397"/>
      <c r="DML240" s="397"/>
      <c r="DMM240" s="397"/>
      <c r="DMN240" s="397"/>
      <c r="DMO240" s="397"/>
      <c r="DMP240" s="397"/>
      <c r="DMQ240" s="397"/>
      <c r="DMR240" s="397"/>
      <c r="DMS240" s="397"/>
      <c r="DMT240" s="397"/>
      <c r="DMU240" s="397"/>
      <c r="DMV240" s="397"/>
      <c r="DMW240" s="397"/>
      <c r="DMX240" s="397"/>
      <c r="DMY240" s="397"/>
      <c r="DMZ240" s="397"/>
      <c r="DNA240" s="397"/>
      <c r="DNB240" s="397"/>
      <c r="DNC240" s="397"/>
      <c r="DND240" s="397"/>
      <c r="DNE240" s="397"/>
      <c r="DNF240" s="397"/>
      <c r="DNG240" s="397"/>
      <c r="DNH240" s="397"/>
      <c r="DNI240" s="397"/>
      <c r="DNJ240" s="397"/>
      <c r="DNK240" s="397"/>
      <c r="DNL240" s="397"/>
      <c r="DNM240" s="397"/>
      <c r="DNN240" s="397"/>
      <c r="DNO240" s="397"/>
      <c r="DNP240" s="397"/>
      <c r="DNQ240" s="397"/>
      <c r="DNR240" s="397"/>
      <c r="DNS240" s="397"/>
      <c r="DNT240" s="397"/>
      <c r="DNU240" s="397"/>
      <c r="DNV240" s="397"/>
      <c r="DNW240" s="397"/>
      <c r="DNX240" s="397"/>
      <c r="DNY240" s="397"/>
      <c r="DNZ240" s="397"/>
      <c r="DOA240" s="397"/>
      <c r="DOB240" s="397"/>
      <c r="DOC240" s="397"/>
      <c r="DOD240" s="397"/>
      <c r="DOE240" s="397"/>
      <c r="DOF240" s="397"/>
      <c r="DOG240" s="397"/>
      <c r="DOH240" s="397"/>
      <c r="DOI240" s="397"/>
      <c r="DOJ240" s="397"/>
      <c r="DOK240" s="397"/>
      <c r="DOL240" s="397"/>
      <c r="DOM240" s="397"/>
      <c r="DON240" s="397"/>
      <c r="DOO240" s="397"/>
      <c r="DOP240" s="397"/>
      <c r="DOQ240" s="397"/>
      <c r="DOR240" s="397"/>
      <c r="DOS240" s="397"/>
      <c r="DOT240" s="397"/>
      <c r="DOU240" s="397"/>
      <c r="DOV240" s="397"/>
      <c r="DOW240" s="397"/>
      <c r="DOX240" s="397"/>
      <c r="DOY240" s="397"/>
      <c r="DOZ240" s="397"/>
      <c r="DPA240" s="397"/>
      <c r="DPB240" s="397"/>
      <c r="DPC240" s="397"/>
      <c r="DPD240" s="397"/>
      <c r="DPE240" s="397"/>
      <c r="DPF240" s="397"/>
      <c r="DPG240" s="397"/>
      <c r="DPH240" s="397"/>
      <c r="DPI240" s="397"/>
      <c r="DPJ240" s="397"/>
      <c r="DPK240" s="397"/>
      <c r="DPL240" s="397"/>
      <c r="DPM240" s="397"/>
      <c r="DPN240" s="397"/>
      <c r="DPO240" s="397"/>
      <c r="DPP240" s="397"/>
      <c r="DPQ240" s="397"/>
      <c r="DPR240" s="397"/>
      <c r="DPS240" s="397"/>
      <c r="DPT240" s="397"/>
      <c r="DPU240" s="397"/>
      <c r="DPV240" s="397"/>
      <c r="DPW240" s="397"/>
      <c r="DPX240" s="397"/>
      <c r="DPY240" s="397"/>
      <c r="DPZ240" s="397"/>
      <c r="DQA240" s="397"/>
      <c r="DQB240" s="397"/>
      <c r="DQC240" s="397"/>
      <c r="DQD240" s="397"/>
      <c r="DQE240" s="397"/>
      <c r="DQF240" s="397"/>
      <c r="DQG240" s="397"/>
      <c r="DQH240" s="397"/>
      <c r="DQI240" s="397"/>
      <c r="DQJ240" s="397"/>
      <c r="DQK240" s="397"/>
      <c r="DQL240" s="397"/>
      <c r="DQM240" s="397"/>
      <c r="DQN240" s="397"/>
      <c r="DQO240" s="397"/>
      <c r="DQP240" s="397"/>
      <c r="DQQ240" s="397"/>
      <c r="DQR240" s="397"/>
      <c r="DQS240" s="397"/>
      <c r="DQT240" s="397"/>
      <c r="DQU240" s="397"/>
      <c r="DQV240" s="397"/>
      <c r="DQW240" s="397"/>
      <c r="DQX240" s="397"/>
      <c r="DQY240" s="397"/>
      <c r="DQZ240" s="397"/>
      <c r="DRA240" s="397"/>
      <c r="DRB240" s="397"/>
      <c r="DRC240" s="397"/>
      <c r="DRD240" s="397"/>
      <c r="DRE240" s="397"/>
      <c r="DRF240" s="397"/>
      <c r="DRG240" s="397"/>
      <c r="DRH240" s="397"/>
      <c r="DRI240" s="397"/>
      <c r="DRJ240" s="397"/>
      <c r="DRK240" s="397"/>
      <c r="DRL240" s="397"/>
      <c r="DRM240" s="397"/>
      <c r="DRN240" s="397"/>
      <c r="DRO240" s="397"/>
      <c r="DRP240" s="397"/>
      <c r="DRQ240" s="397"/>
      <c r="DRR240" s="397"/>
      <c r="DRS240" s="397"/>
      <c r="DRT240" s="397"/>
      <c r="DRU240" s="397"/>
      <c r="DRV240" s="397"/>
      <c r="DRW240" s="397"/>
      <c r="DRX240" s="397"/>
      <c r="DRY240" s="397"/>
      <c r="DRZ240" s="397"/>
      <c r="DSA240" s="397"/>
      <c r="DSB240" s="397"/>
      <c r="DSC240" s="397"/>
      <c r="DSD240" s="397"/>
      <c r="DSE240" s="397"/>
      <c r="DSF240" s="397"/>
      <c r="DSG240" s="397"/>
      <c r="DSH240" s="397"/>
      <c r="DSI240" s="397"/>
      <c r="DSJ240" s="397"/>
      <c r="DSK240" s="397"/>
      <c r="DSL240" s="397"/>
      <c r="DSM240" s="397"/>
      <c r="DSN240" s="397"/>
      <c r="DSO240" s="397"/>
      <c r="DSP240" s="397"/>
      <c r="DSQ240" s="397"/>
      <c r="DSR240" s="397"/>
      <c r="DSS240" s="397"/>
      <c r="DST240" s="397"/>
      <c r="DSU240" s="397"/>
      <c r="DSV240" s="397"/>
      <c r="DSW240" s="397"/>
      <c r="DSX240" s="397"/>
      <c r="DSY240" s="397"/>
      <c r="DSZ240" s="397"/>
      <c r="DTA240" s="397"/>
      <c r="DTB240" s="397"/>
      <c r="DTC240" s="397"/>
      <c r="DTD240" s="397"/>
      <c r="DTE240" s="397"/>
      <c r="DTF240" s="397"/>
      <c r="DTG240" s="397"/>
      <c r="DTH240" s="397"/>
      <c r="DTI240" s="397"/>
      <c r="DTJ240" s="397"/>
      <c r="DTK240" s="397"/>
      <c r="DTL240" s="397"/>
      <c r="DTM240" s="397"/>
      <c r="DTN240" s="397"/>
      <c r="DTO240" s="397"/>
      <c r="DTP240" s="397"/>
      <c r="DTQ240" s="397"/>
      <c r="DTR240" s="397"/>
      <c r="DTS240" s="397"/>
      <c r="DTT240" s="397"/>
      <c r="DTU240" s="397"/>
      <c r="DTV240" s="397"/>
      <c r="DTW240" s="397"/>
      <c r="DTX240" s="397"/>
      <c r="DTY240" s="397"/>
      <c r="DTZ240" s="397"/>
      <c r="DUA240" s="397"/>
      <c r="DUB240" s="397"/>
      <c r="DUC240" s="397"/>
      <c r="DUD240" s="397"/>
      <c r="DUE240" s="397"/>
      <c r="DUF240" s="397"/>
      <c r="DUG240" s="397"/>
      <c r="DUH240" s="397"/>
      <c r="DUI240" s="397"/>
      <c r="DUJ240" s="397"/>
      <c r="DUK240" s="397"/>
      <c r="DUL240" s="397"/>
      <c r="DUM240" s="397"/>
      <c r="DUN240" s="397"/>
      <c r="DUO240" s="397"/>
      <c r="DUP240" s="397"/>
      <c r="DUQ240" s="397"/>
      <c r="DUR240" s="397"/>
      <c r="DUS240" s="397"/>
      <c r="DUT240" s="397"/>
      <c r="DUU240" s="397"/>
      <c r="DUV240" s="397"/>
      <c r="DUW240" s="397"/>
      <c r="DUX240" s="397"/>
      <c r="DUY240" s="397"/>
      <c r="DUZ240" s="397"/>
      <c r="DVA240" s="397"/>
      <c r="DVB240" s="397"/>
      <c r="DVC240" s="397"/>
      <c r="DVD240" s="397"/>
      <c r="DVE240" s="397"/>
      <c r="DVF240" s="397"/>
      <c r="DVG240" s="397"/>
      <c r="DVH240" s="397"/>
      <c r="DVI240" s="397"/>
      <c r="DVJ240" s="397"/>
      <c r="DVK240" s="397"/>
      <c r="DVL240" s="397"/>
      <c r="DVM240" s="397"/>
      <c r="DVN240" s="397"/>
      <c r="DVO240" s="397"/>
      <c r="DVP240" s="397"/>
      <c r="DVQ240" s="397"/>
      <c r="DVR240" s="397"/>
      <c r="DVS240" s="397"/>
      <c r="DVT240" s="397"/>
      <c r="DVU240" s="397"/>
      <c r="DVV240" s="397"/>
      <c r="DVW240" s="397"/>
      <c r="DVX240" s="397"/>
      <c r="DVY240" s="397"/>
      <c r="DVZ240" s="397"/>
      <c r="DWA240" s="397"/>
      <c r="DWB240" s="397"/>
      <c r="DWC240" s="397"/>
      <c r="DWD240" s="397"/>
      <c r="DWE240" s="397"/>
      <c r="DWF240" s="397"/>
      <c r="DWG240" s="397"/>
      <c r="DWH240" s="397"/>
      <c r="DWI240" s="397"/>
      <c r="DWJ240" s="397"/>
      <c r="DWK240" s="397"/>
      <c r="DWL240" s="397"/>
      <c r="DWM240" s="397"/>
      <c r="DWN240" s="397"/>
      <c r="DWO240" s="397"/>
      <c r="DWP240" s="397"/>
      <c r="DWQ240" s="397"/>
      <c r="DWR240" s="397"/>
      <c r="DWS240" s="397"/>
      <c r="DWT240" s="397"/>
      <c r="DWU240" s="397"/>
      <c r="DWV240" s="397"/>
      <c r="DWW240" s="397"/>
      <c r="DWX240" s="397"/>
      <c r="DWY240" s="397"/>
      <c r="DWZ240" s="397"/>
      <c r="DXA240" s="397"/>
      <c r="DXB240" s="397"/>
      <c r="DXC240" s="397"/>
      <c r="DXD240" s="397"/>
      <c r="DXE240" s="397"/>
      <c r="DXF240" s="397"/>
      <c r="DXG240" s="397"/>
      <c r="DXH240" s="397"/>
      <c r="DXI240" s="397"/>
      <c r="DXJ240" s="397"/>
      <c r="DXK240" s="397"/>
      <c r="DXL240" s="397"/>
      <c r="DXM240" s="397"/>
      <c r="DXN240" s="397"/>
      <c r="DXO240" s="397"/>
      <c r="DXP240" s="397"/>
      <c r="DXQ240" s="397"/>
      <c r="DXR240" s="397"/>
      <c r="DXS240" s="397"/>
      <c r="DXT240" s="397"/>
      <c r="DXU240" s="397"/>
      <c r="DXV240" s="397"/>
      <c r="DXW240" s="397"/>
      <c r="DXX240" s="397"/>
      <c r="DXY240" s="397"/>
      <c r="DXZ240" s="397"/>
      <c r="DYA240" s="397"/>
      <c r="DYB240" s="397"/>
      <c r="DYC240" s="397"/>
      <c r="DYD240" s="397"/>
      <c r="DYE240" s="397"/>
      <c r="DYF240" s="397"/>
      <c r="DYG240" s="397"/>
      <c r="DYH240" s="397"/>
      <c r="DYI240" s="397"/>
      <c r="DYJ240" s="397"/>
      <c r="DYK240" s="397"/>
      <c r="DYL240" s="397"/>
      <c r="DYM240" s="397"/>
      <c r="DYN240" s="397"/>
      <c r="DYO240" s="397"/>
      <c r="DYP240" s="397"/>
      <c r="DYQ240" s="397"/>
      <c r="DYR240" s="397"/>
      <c r="DYS240" s="397"/>
      <c r="DYT240" s="397"/>
      <c r="DYU240" s="397"/>
      <c r="DYV240" s="397"/>
      <c r="DYW240" s="397"/>
      <c r="DYX240" s="397"/>
      <c r="DYY240" s="397"/>
      <c r="DYZ240" s="397"/>
      <c r="DZA240" s="397"/>
      <c r="DZB240" s="397"/>
      <c r="DZC240" s="397"/>
      <c r="DZD240" s="397"/>
      <c r="DZE240" s="397"/>
      <c r="DZF240" s="397"/>
      <c r="DZG240" s="397"/>
      <c r="DZH240" s="397"/>
      <c r="DZI240" s="397"/>
      <c r="DZJ240" s="397"/>
      <c r="DZK240" s="397"/>
      <c r="DZL240" s="397"/>
      <c r="DZM240" s="397"/>
      <c r="DZN240" s="397"/>
      <c r="DZO240" s="397"/>
      <c r="DZP240" s="397"/>
      <c r="DZQ240" s="397"/>
      <c r="DZR240" s="397"/>
      <c r="DZS240" s="397"/>
      <c r="DZT240" s="397"/>
      <c r="DZU240" s="397"/>
      <c r="DZV240" s="397"/>
      <c r="DZW240" s="397"/>
      <c r="DZX240" s="397"/>
      <c r="DZY240" s="397"/>
      <c r="DZZ240" s="397"/>
      <c r="EAA240" s="397"/>
      <c r="EAB240" s="397"/>
      <c r="EAC240" s="397"/>
      <c r="EAD240" s="397"/>
      <c r="EAE240" s="397"/>
      <c r="EAF240" s="397"/>
      <c r="EAG240" s="397"/>
      <c r="EAH240" s="397"/>
      <c r="EAI240" s="397"/>
      <c r="EAJ240" s="397"/>
      <c r="EAK240" s="397"/>
      <c r="EAL240" s="397"/>
      <c r="EAM240" s="397"/>
      <c r="EAN240" s="397"/>
      <c r="EAO240" s="397"/>
      <c r="EAP240" s="397"/>
      <c r="EAQ240" s="397"/>
      <c r="EAR240" s="397"/>
      <c r="EAS240" s="397"/>
      <c r="EAT240" s="397"/>
      <c r="EAU240" s="397"/>
      <c r="EAV240" s="397"/>
      <c r="EAW240" s="397"/>
      <c r="EAX240" s="397"/>
      <c r="EAY240" s="397"/>
      <c r="EAZ240" s="397"/>
      <c r="EBA240" s="397"/>
      <c r="EBB240" s="397"/>
      <c r="EBC240" s="397"/>
      <c r="EBD240" s="397"/>
      <c r="EBE240" s="397"/>
      <c r="EBF240" s="397"/>
      <c r="EBG240" s="397"/>
      <c r="EBH240" s="397"/>
      <c r="EBI240" s="397"/>
      <c r="EBJ240" s="397"/>
      <c r="EBK240" s="397"/>
      <c r="EBL240" s="397"/>
      <c r="EBM240" s="397"/>
      <c r="EBN240" s="397"/>
      <c r="EBO240" s="397"/>
      <c r="EBP240" s="397"/>
      <c r="EBQ240" s="397"/>
      <c r="EBR240" s="397"/>
      <c r="EBS240" s="397"/>
      <c r="EBT240" s="397"/>
      <c r="EBU240" s="397"/>
      <c r="EBV240" s="397"/>
      <c r="EBW240" s="397"/>
      <c r="EBX240" s="397"/>
      <c r="EBY240" s="397"/>
      <c r="EBZ240" s="397"/>
      <c r="ECA240" s="397"/>
      <c r="ECB240" s="397"/>
      <c r="ECC240" s="397"/>
      <c r="ECD240" s="397"/>
      <c r="ECE240" s="397"/>
      <c r="ECF240" s="397"/>
      <c r="ECG240" s="397"/>
      <c r="ECH240" s="397"/>
      <c r="ECI240" s="397"/>
      <c r="ECJ240" s="397"/>
      <c r="ECK240" s="397"/>
      <c r="ECL240" s="397"/>
      <c r="ECM240" s="397"/>
      <c r="ECN240" s="397"/>
      <c r="ECO240" s="397"/>
      <c r="ECP240" s="397"/>
      <c r="ECQ240" s="397"/>
      <c r="ECR240" s="397"/>
      <c r="ECS240" s="397"/>
      <c r="ECT240" s="397"/>
      <c r="ECU240" s="397"/>
      <c r="ECV240" s="397"/>
      <c r="ECW240" s="397"/>
      <c r="ECX240" s="397"/>
      <c r="ECY240" s="397"/>
      <c r="ECZ240" s="397"/>
      <c r="EDA240" s="397"/>
      <c r="EDB240" s="397"/>
      <c r="EDC240" s="397"/>
      <c r="EDD240" s="397"/>
      <c r="EDE240" s="397"/>
      <c r="EDF240" s="397"/>
      <c r="EDG240" s="397"/>
      <c r="EDH240" s="397"/>
      <c r="EDI240" s="397"/>
      <c r="EDJ240" s="397"/>
      <c r="EDK240" s="397"/>
      <c r="EDL240" s="397"/>
      <c r="EDM240" s="397"/>
      <c r="EDN240" s="397"/>
      <c r="EDO240" s="397"/>
      <c r="EDP240" s="397"/>
      <c r="EDQ240" s="397"/>
      <c r="EDR240" s="397"/>
      <c r="EDS240" s="397"/>
      <c r="EDT240" s="397"/>
      <c r="EDU240" s="397"/>
      <c r="EDV240" s="397"/>
      <c r="EDW240" s="397"/>
      <c r="EDX240" s="397"/>
      <c r="EDY240" s="397"/>
      <c r="EDZ240" s="397"/>
      <c r="EEA240" s="397"/>
      <c r="EEB240" s="397"/>
      <c r="EEC240" s="397"/>
      <c r="EED240" s="397"/>
      <c r="EEE240" s="397"/>
      <c r="EEF240" s="397"/>
      <c r="EEG240" s="397"/>
      <c r="EEH240" s="397"/>
      <c r="EEI240" s="397"/>
      <c r="EEJ240" s="397"/>
      <c r="EEK240" s="397"/>
      <c r="EEL240" s="397"/>
      <c r="EEM240" s="397"/>
      <c r="EEN240" s="397"/>
      <c r="EEO240" s="397"/>
      <c r="EEP240" s="397"/>
      <c r="EEQ240" s="397"/>
      <c r="EER240" s="397"/>
      <c r="EES240" s="397"/>
      <c r="EET240" s="397"/>
      <c r="EEU240" s="397"/>
      <c r="EEV240" s="397"/>
      <c r="EEW240" s="397"/>
      <c r="EEX240" s="397"/>
      <c r="EEY240" s="397"/>
      <c r="EEZ240" s="397"/>
      <c r="EFA240" s="397"/>
      <c r="EFB240" s="397"/>
      <c r="EFC240" s="397"/>
      <c r="EFD240" s="397"/>
      <c r="EFE240" s="397"/>
      <c r="EFF240" s="397"/>
      <c r="EFG240" s="397"/>
      <c r="EFH240" s="397"/>
      <c r="EFI240" s="397"/>
      <c r="EFJ240" s="397"/>
      <c r="EFK240" s="397"/>
      <c r="EFL240" s="397"/>
      <c r="EFM240" s="397"/>
      <c r="EFN240" s="397"/>
      <c r="EFO240" s="397"/>
      <c r="EFP240" s="397"/>
      <c r="EFQ240" s="397"/>
      <c r="EFR240" s="397"/>
      <c r="EFS240" s="397"/>
      <c r="EFT240" s="397"/>
      <c r="EFU240" s="397"/>
      <c r="EFV240" s="397"/>
      <c r="EFW240" s="397"/>
      <c r="EFX240" s="397"/>
      <c r="EFY240" s="397"/>
      <c r="EFZ240" s="397"/>
      <c r="EGA240" s="397"/>
      <c r="EGB240" s="397"/>
      <c r="EGC240" s="397"/>
      <c r="EGD240" s="397"/>
      <c r="EGE240" s="397"/>
      <c r="EGF240" s="397"/>
      <c r="EGG240" s="397"/>
      <c r="EGH240" s="397"/>
      <c r="EGI240" s="397"/>
      <c r="EGJ240" s="397"/>
      <c r="EGK240" s="397"/>
      <c r="EGL240" s="397"/>
      <c r="EGM240" s="397"/>
      <c r="EGN240" s="397"/>
      <c r="EGO240" s="397"/>
      <c r="EGP240" s="397"/>
      <c r="EGQ240" s="397"/>
      <c r="EGR240" s="397"/>
      <c r="EGS240" s="397"/>
      <c r="EGT240" s="397"/>
      <c r="EGU240" s="397"/>
      <c r="EGV240" s="397"/>
      <c r="EGW240" s="397"/>
      <c r="EGX240" s="397"/>
      <c r="EGY240" s="397"/>
      <c r="EGZ240" s="397"/>
      <c r="EHA240" s="397"/>
      <c r="EHB240" s="397"/>
      <c r="EHC240" s="397"/>
      <c r="EHD240" s="397"/>
      <c r="EHE240" s="397"/>
      <c r="EHF240" s="397"/>
      <c r="EHG240" s="397"/>
      <c r="EHH240" s="397"/>
      <c r="EHI240" s="397"/>
      <c r="EHJ240" s="397"/>
      <c r="EHK240" s="397"/>
      <c r="EHL240" s="397"/>
      <c r="EHM240" s="397"/>
      <c r="EHN240" s="397"/>
      <c r="EHO240" s="397"/>
      <c r="EHP240" s="397"/>
      <c r="EHQ240" s="397"/>
      <c r="EHR240" s="397"/>
      <c r="EHS240" s="397"/>
      <c r="EHT240" s="397"/>
      <c r="EHU240" s="397"/>
      <c r="EHV240" s="397"/>
      <c r="EHW240" s="397"/>
      <c r="EHX240" s="397"/>
      <c r="EHY240" s="397"/>
      <c r="EHZ240" s="397"/>
      <c r="EIA240" s="397"/>
      <c r="EIB240" s="397"/>
      <c r="EIC240" s="397"/>
      <c r="EID240" s="397"/>
      <c r="EIE240" s="397"/>
      <c r="EIF240" s="397"/>
      <c r="EIG240" s="397"/>
      <c r="EIH240" s="397"/>
      <c r="EII240" s="397"/>
      <c r="EIJ240" s="397"/>
      <c r="EIK240" s="397"/>
      <c r="EIL240" s="397"/>
      <c r="EIM240" s="397"/>
      <c r="EIN240" s="397"/>
      <c r="EIO240" s="397"/>
      <c r="EIP240" s="397"/>
      <c r="EIQ240" s="397"/>
      <c r="EIR240" s="397"/>
      <c r="EIS240" s="397"/>
      <c r="EIT240" s="397"/>
      <c r="EIU240" s="397"/>
      <c r="EIV240" s="397"/>
      <c r="EIW240" s="397"/>
      <c r="EIX240" s="397"/>
      <c r="EIY240" s="397"/>
      <c r="EIZ240" s="397"/>
      <c r="EJA240" s="397"/>
      <c r="EJB240" s="397"/>
      <c r="EJC240" s="397"/>
      <c r="EJD240" s="397"/>
      <c r="EJE240" s="397"/>
      <c r="EJF240" s="397"/>
      <c r="EJG240" s="397"/>
      <c r="EJH240" s="397"/>
      <c r="EJI240" s="397"/>
      <c r="EJJ240" s="397"/>
      <c r="EJK240" s="397"/>
      <c r="EJL240" s="397"/>
      <c r="EJM240" s="397"/>
      <c r="EJN240" s="397"/>
      <c r="EJO240" s="397"/>
      <c r="EJP240" s="397"/>
      <c r="EJQ240" s="397"/>
      <c r="EJR240" s="397"/>
      <c r="EJS240" s="397"/>
      <c r="EJT240" s="397"/>
      <c r="EJU240" s="397"/>
      <c r="EJV240" s="397"/>
      <c r="EJW240" s="397"/>
      <c r="EJX240" s="397"/>
      <c r="EJY240" s="397"/>
      <c r="EJZ240" s="397"/>
      <c r="EKA240" s="397"/>
      <c r="EKB240" s="397"/>
      <c r="EKC240" s="397"/>
      <c r="EKD240" s="397"/>
      <c r="EKE240" s="397"/>
      <c r="EKF240" s="397"/>
      <c r="EKG240" s="397"/>
      <c r="EKH240" s="397"/>
      <c r="EKI240" s="397"/>
      <c r="EKJ240" s="397"/>
      <c r="EKK240" s="397"/>
      <c r="EKL240" s="397"/>
      <c r="EKM240" s="397"/>
      <c r="EKN240" s="397"/>
      <c r="EKO240" s="397"/>
      <c r="EKP240" s="397"/>
      <c r="EKQ240" s="397"/>
      <c r="EKR240" s="397"/>
      <c r="EKS240" s="397"/>
      <c r="EKT240" s="397"/>
      <c r="EKU240" s="397"/>
      <c r="EKV240" s="397"/>
      <c r="EKW240" s="397"/>
      <c r="EKX240" s="397"/>
      <c r="EKY240" s="397"/>
      <c r="EKZ240" s="397"/>
      <c r="ELA240" s="397"/>
      <c r="ELB240" s="397"/>
      <c r="ELC240" s="397"/>
      <c r="ELD240" s="397"/>
      <c r="ELE240" s="397"/>
      <c r="ELF240" s="397"/>
      <c r="ELG240" s="397"/>
      <c r="ELH240" s="397"/>
      <c r="ELI240" s="397"/>
      <c r="ELJ240" s="397"/>
      <c r="ELK240" s="397"/>
      <c r="ELL240" s="397"/>
      <c r="ELM240" s="397"/>
      <c r="ELN240" s="397"/>
      <c r="ELO240" s="397"/>
      <c r="ELP240" s="397"/>
      <c r="ELQ240" s="397"/>
      <c r="ELR240" s="397"/>
      <c r="ELS240" s="397"/>
      <c r="ELT240" s="397"/>
      <c r="ELU240" s="397"/>
      <c r="ELV240" s="397"/>
      <c r="ELW240" s="397"/>
      <c r="ELX240" s="397"/>
      <c r="ELY240" s="397"/>
      <c r="ELZ240" s="397"/>
      <c r="EMA240" s="397"/>
      <c r="EMB240" s="397"/>
      <c r="EMC240" s="397"/>
      <c r="EMD240" s="397"/>
      <c r="EME240" s="397"/>
      <c r="EMF240" s="397"/>
      <c r="EMG240" s="397"/>
      <c r="EMH240" s="397"/>
      <c r="EMI240" s="397"/>
      <c r="EMJ240" s="397"/>
      <c r="EMK240" s="397"/>
      <c r="EML240" s="397"/>
      <c r="EMM240" s="397"/>
      <c r="EMN240" s="397"/>
      <c r="EMO240" s="397"/>
      <c r="EMP240" s="397"/>
      <c r="EMQ240" s="397"/>
      <c r="EMR240" s="397"/>
      <c r="EMS240" s="397"/>
      <c r="EMT240" s="397"/>
      <c r="EMU240" s="397"/>
      <c r="EMV240" s="397"/>
      <c r="EMW240" s="397"/>
      <c r="EMX240" s="397"/>
      <c r="EMY240" s="397"/>
      <c r="EMZ240" s="397"/>
      <c r="ENA240" s="397"/>
      <c r="ENB240" s="397"/>
      <c r="ENC240" s="397"/>
      <c r="END240" s="397"/>
      <c r="ENE240" s="397"/>
      <c r="ENF240" s="397"/>
      <c r="ENG240" s="397"/>
      <c r="ENH240" s="397"/>
      <c r="ENI240" s="397"/>
      <c r="ENJ240" s="397"/>
      <c r="ENK240" s="397"/>
      <c r="ENL240" s="397"/>
      <c r="ENM240" s="397"/>
      <c r="ENN240" s="397"/>
      <c r="ENO240" s="397"/>
      <c r="ENP240" s="397"/>
      <c r="ENQ240" s="397"/>
      <c r="ENR240" s="397"/>
      <c r="ENS240" s="397"/>
      <c r="ENT240" s="397"/>
      <c r="ENU240" s="397"/>
      <c r="ENV240" s="397"/>
      <c r="ENW240" s="397"/>
      <c r="ENX240" s="397"/>
      <c r="ENY240" s="397"/>
      <c r="ENZ240" s="397"/>
      <c r="EOA240" s="397"/>
      <c r="EOB240" s="397"/>
      <c r="EOC240" s="397"/>
      <c r="EOD240" s="397"/>
      <c r="EOE240" s="397"/>
      <c r="EOF240" s="397"/>
      <c r="EOG240" s="397"/>
      <c r="EOH240" s="397"/>
      <c r="EOI240" s="397"/>
      <c r="EOJ240" s="397"/>
      <c r="EOK240" s="397"/>
      <c r="EOL240" s="397"/>
      <c r="EOM240" s="397"/>
      <c r="EON240" s="397"/>
      <c r="EOO240" s="397"/>
      <c r="EOP240" s="397"/>
      <c r="EOQ240" s="397"/>
      <c r="EOR240" s="397"/>
      <c r="EOS240" s="397"/>
      <c r="EOT240" s="397"/>
      <c r="EOU240" s="397"/>
      <c r="EOV240" s="397"/>
      <c r="EOW240" s="397"/>
      <c r="EOX240" s="397"/>
      <c r="EOY240" s="397"/>
      <c r="EOZ240" s="397"/>
      <c r="EPA240" s="397"/>
      <c r="EPB240" s="397"/>
      <c r="EPC240" s="397"/>
      <c r="EPD240" s="397"/>
      <c r="EPE240" s="397"/>
      <c r="EPF240" s="397"/>
      <c r="EPG240" s="397"/>
      <c r="EPH240" s="397"/>
      <c r="EPI240" s="397"/>
      <c r="EPJ240" s="397"/>
      <c r="EPK240" s="397"/>
      <c r="EPL240" s="397"/>
      <c r="EPM240" s="397"/>
      <c r="EPN240" s="397"/>
      <c r="EPO240" s="397"/>
      <c r="EPP240" s="397"/>
      <c r="EPQ240" s="397"/>
      <c r="EPR240" s="397"/>
      <c r="EPS240" s="397"/>
      <c r="EPT240" s="397"/>
      <c r="EPU240" s="397"/>
      <c r="EPV240" s="397"/>
      <c r="EPW240" s="397"/>
      <c r="EPX240" s="397"/>
      <c r="EPY240" s="397"/>
      <c r="EPZ240" s="397"/>
      <c r="EQA240" s="397"/>
      <c r="EQB240" s="397"/>
      <c r="EQC240" s="397"/>
      <c r="EQD240" s="397"/>
      <c r="EQE240" s="397"/>
      <c r="EQF240" s="397"/>
      <c r="EQG240" s="397"/>
      <c r="EQH240" s="397"/>
      <c r="EQI240" s="397"/>
      <c r="EQJ240" s="397"/>
      <c r="EQK240" s="397"/>
      <c r="EQL240" s="397"/>
      <c r="EQM240" s="397"/>
      <c r="EQN240" s="397"/>
      <c r="EQO240" s="397"/>
      <c r="EQP240" s="397"/>
      <c r="EQQ240" s="397"/>
      <c r="EQR240" s="397"/>
      <c r="EQS240" s="397"/>
      <c r="EQT240" s="397"/>
      <c r="EQU240" s="397"/>
      <c r="EQV240" s="397"/>
      <c r="EQW240" s="397"/>
      <c r="EQX240" s="397"/>
      <c r="EQY240" s="397"/>
      <c r="EQZ240" s="397"/>
      <c r="ERA240" s="397"/>
      <c r="ERB240" s="397"/>
      <c r="ERC240" s="397"/>
      <c r="ERD240" s="397"/>
      <c r="ERE240" s="397"/>
      <c r="ERF240" s="397"/>
      <c r="ERG240" s="397"/>
      <c r="ERH240" s="397"/>
      <c r="ERI240" s="397"/>
      <c r="ERJ240" s="397"/>
      <c r="ERK240" s="397"/>
      <c r="ERL240" s="397"/>
      <c r="ERM240" s="397"/>
      <c r="ERN240" s="397"/>
      <c r="ERO240" s="397"/>
      <c r="ERP240" s="397"/>
      <c r="ERQ240" s="397"/>
      <c r="ERR240" s="397"/>
      <c r="ERS240" s="397"/>
      <c r="ERT240" s="397"/>
      <c r="ERU240" s="397"/>
      <c r="ERV240" s="397"/>
      <c r="ERW240" s="397"/>
      <c r="ERX240" s="397"/>
      <c r="ERY240" s="397"/>
      <c r="ERZ240" s="397"/>
      <c r="ESA240" s="397"/>
      <c r="ESB240" s="397"/>
      <c r="ESC240" s="397"/>
      <c r="ESD240" s="397"/>
      <c r="ESE240" s="397"/>
      <c r="ESF240" s="397"/>
      <c r="ESG240" s="397"/>
      <c r="ESH240" s="397"/>
      <c r="ESI240" s="397"/>
      <c r="ESJ240" s="397"/>
      <c r="ESK240" s="397"/>
      <c r="ESL240" s="397"/>
      <c r="ESM240" s="397"/>
      <c r="ESN240" s="397"/>
      <c r="ESO240" s="397"/>
      <c r="ESP240" s="397"/>
      <c r="ESQ240" s="397"/>
      <c r="ESR240" s="397"/>
      <c r="ESS240" s="397"/>
      <c r="EST240" s="397"/>
      <c r="ESU240" s="397"/>
      <c r="ESV240" s="397"/>
      <c r="ESW240" s="397"/>
      <c r="ESX240" s="397"/>
      <c r="ESY240" s="397"/>
      <c r="ESZ240" s="397"/>
      <c r="ETA240" s="397"/>
      <c r="ETB240" s="397"/>
      <c r="ETC240" s="397"/>
      <c r="ETD240" s="397"/>
      <c r="ETE240" s="397"/>
      <c r="ETF240" s="397"/>
      <c r="ETG240" s="397"/>
      <c r="ETH240" s="397"/>
      <c r="ETI240" s="397"/>
      <c r="ETJ240" s="397"/>
      <c r="ETK240" s="397"/>
      <c r="ETL240" s="397"/>
      <c r="ETM240" s="397"/>
      <c r="ETN240" s="397"/>
      <c r="ETO240" s="397"/>
      <c r="ETP240" s="397"/>
      <c r="ETQ240" s="397"/>
      <c r="ETR240" s="397"/>
      <c r="ETS240" s="397"/>
      <c r="ETT240" s="397"/>
      <c r="ETU240" s="397"/>
      <c r="ETV240" s="397"/>
      <c r="ETW240" s="397"/>
      <c r="ETX240" s="397"/>
      <c r="ETY240" s="397"/>
      <c r="ETZ240" s="397"/>
      <c r="EUA240" s="397"/>
      <c r="EUB240" s="397"/>
      <c r="EUC240" s="397"/>
      <c r="EUD240" s="397"/>
      <c r="EUE240" s="397"/>
      <c r="EUF240" s="397"/>
      <c r="EUG240" s="397"/>
      <c r="EUH240" s="397"/>
      <c r="EUI240" s="397"/>
      <c r="EUJ240" s="397"/>
      <c r="EUK240" s="397"/>
      <c r="EUL240" s="397"/>
      <c r="EUM240" s="397"/>
      <c r="EUN240" s="397"/>
      <c r="EUO240" s="397"/>
      <c r="EUP240" s="397"/>
      <c r="EUQ240" s="397"/>
      <c r="EUR240" s="397"/>
      <c r="EUS240" s="397"/>
      <c r="EUT240" s="397"/>
      <c r="EUU240" s="397"/>
      <c r="EUV240" s="397"/>
      <c r="EUW240" s="397"/>
      <c r="EUX240" s="397"/>
      <c r="EUY240" s="397"/>
      <c r="EUZ240" s="397"/>
      <c r="EVA240" s="397"/>
      <c r="EVB240" s="397"/>
      <c r="EVC240" s="397"/>
      <c r="EVD240" s="397"/>
      <c r="EVE240" s="397"/>
      <c r="EVF240" s="397"/>
      <c r="EVG240" s="397"/>
      <c r="EVH240" s="397"/>
      <c r="EVI240" s="397"/>
      <c r="EVJ240" s="397"/>
      <c r="EVK240" s="397"/>
      <c r="EVL240" s="397"/>
      <c r="EVM240" s="397"/>
      <c r="EVN240" s="397"/>
      <c r="EVO240" s="397"/>
      <c r="EVP240" s="397"/>
      <c r="EVQ240" s="397"/>
      <c r="EVR240" s="397"/>
      <c r="EVS240" s="397"/>
      <c r="EVT240" s="397"/>
      <c r="EVU240" s="397"/>
      <c r="EVV240" s="397"/>
      <c r="EVW240" s="397"/>
      <c r="EVX240" s="397"/>
      <c r="EVY240" s="397"/>
      <c r="EVZ240" s="397"/>
      <c r="EWA240" s="397"/>
      <c r="EWB240" s="397"/>
      <c r="EWC240" s="397"/>
      <c r="EWD240" s="397"/>
      <c r="EWE240" s="397"/>
      <c r="EWF240" s="397"/>
      <c r="EWG240" s="397"/>
      <c r="EWH240" s="397"/>
      <c r="EWI240" s="397"/>
      <c r="EWJ240" s="397"/>
      <c r="EWK240" s="397"/>
      <c r="EWL240" s="397"/>
      <c r="EWM240" s="397"/>
      <c r="EWN240" s="397"/>
      <c r="EWO240" s="397"/>
      <c r="EWP240" s="397"/>
      <c r="EWQ240" s="397"/>
      <c r="EWR240" s="397"/>
      <c r="EWS240" s="397"/>
      <c r="EWT240" s="397"/>
      <c r="EWU240" s="397"/>
      <c r="EWV240" s="397"/>
      <c r="EWW240" s="397"/>
      <c r="EWX240" s="397"/>
      <c r="EWY240" s="397"/>
      <c r="EWZ240" s="397"/>
      <c r="EXA240" s="397"/>
      <c r="EXB240" s="397"/>
      <c r="EXC240" s="397"/>
      <c r="EXD240" s="397"/>
      <c r="EXE240" s="397"/>
      <c r="EXF240" s="397"/>
      <c r="EXG240" s="397"/>
      <c r="EXH240" s="397"/>
      <c r="EXI240" s="397"/>
      <c r="EXJ240" s="397"/>
      <c r="EXK240" s="397"/>
      <c r="EXL240" s="397"/>
      <c r="EXM240" s="397"/>
      <c r="EXN240" s="397"/>
      <c r="EXO240" s="397"/>
      <c r="EXP240" s="397"/>
      <c r="EXQ240" s="397"/>
      <c r="EXR240" s="397"/>
      <c r="EXS240" s="397"/>
      <c r="EXT240" s="397"/>
      <c r="EXU240" s="397"/>
      <c r="EXV240" s="397"/>
      <c r="EXW240" s="397"/>
      <c r="EXX240" s="397"/>
      <c r="EXY240" s="397"/>
      <c r="EXZ240" s="397"/>
      <c r="EYA240" s="397"/>
      <c r="EYB240" s="397"/>
      <c r="EYC240" s="397"/>
      <c r="EYD240" s="397"/>
      <c r="EYE240" s="397"/>
      <c r="EYF240" s="397"/>
      <c r="EYG240" s="397"/>
      <c r="EYH240" s="397"/>
      <c r="EYI240" s="397"/>
      <c r="EYJ240" s="397"/>
      <c r="EYK240" s="397"/>
      <c r="EYL240" s="397"/>
      <c r="EYM240" s="397"/>
      <c r="EYN240" s="397"/>
      <c r="EYO240" s="397"/>
      <c r="EYP240" s="397"/>
      <c r="EYQ240" s="397"/>
      <c r="EYR240" s="397"/>
      <c r="EYS240" s="397"/>
      <c r="EYT240" s="397"/>
      <c r="EYU240" s="397"/>
      <c r="EYV240" s="397"/>
      <c r="EYW240" s="397"/>
      <c r="EYX240" s="397"/>
      <c r="EYY240" s="397"/>
      <c r="EYZ240" s="397"/>
      <c r="EZA240" s="397"/>
      <c r="EZB240" s="397"/>
      <c r="EZC240" s="397"/>
      <c r="EZD240" s="397"/>
      <c r="EZE240" s="397"/>
      <c r="EZF240" s="397"/>
      <c r="EZG240" s="397"/>
      <c r="EZH240" s="397"/>
      <c r="EZI240" s="397"/>
      <c r="EZJ240" s="397"/>
      <c r="EZK240" s="397"/>
      <c r="EZL240" s="397"/>
      <c r="EZM240" s="397"/>
      <c r="EZN240" s="397"/>
      <c r="EZO240" s="397"/>
      <c r="EZP240" s="397"/>
      <c r="EZQ240" s="397"/>
      <c r="EZR240" s="397"/>
      <c r="EZS240" s="397"/>
      <c r="EZT240" s="397"/>
      <c r="EZU240" s="397"/>
      <c r="EZV240" s="397"/>
      <c r="EZW240" s="397"/>
      <c r="EZX240" s="397"/>
      <c r="EZY240" s="397"/>
      <c r="EZZ240" s="397"/>
      <c r="FAA240" s="397"/>
      <c r="FAB240" s="397"/>
      <c r="FAC240" s="397"/>
      <c r="FAD240" s="397"/>
      <c r="FAE240" s="397"/>
      <c r="FAF240" s="397"/>
      <c r="FAG240" s="397"/>
      <c r="FAH240" s="397"/>
      <c r="FAI240" s="397"/>
      <c r="FAJ240" s="397"/>
      <c r="FAK240" s="397"/>
      <c r="FAL240" s="397"/>
      <c r="FAM240" s="397"/>
      <c r="FAN240" s="397"/>
      <c r="FAO240" s="397"/>
      <c r="FAP240" s="397"/>
      <c r="FAQ240" s="397"/>
      <c r="FAR240" s="397"/>
      <c r="FAS240" s="397"/>
      <c r="FAT240" s="397"/>
      <c r="FAU240" s="397"/>
      <c r="FAV240" s="397"/>
      <c r="FAW240" s="397"/>
      <c r="FAX240" s="397"/>
      <c r="FAY240" s="397"/>
      <c r="FAZ240" s="397"/>
      <c r="FBA240" s="397"/>
      <c r="FBB240" s="397"/>
      <c r="FBC240" s="397"/>
      <c r="FBD240" s="397"/>
      <c r="FBE240" s="397"/>
      <c r="FBF240" s="397"/>
      <c r="FBG240" s="397"/>
      <c r="FBH240" s="397"/>
      <c r="FBI240" s="397"/>
      <c r="FBJ240" s="397"/>
      <c r="FBK240" s="397"/>
      <c r="FBL240" s="397"/>
      <c r="FBM240" s="397"/>
      <c r="FBN240" s="397"/>
      <c r="FBO240" s="397"/>
      <c r="FBP240" s="397"/>
      <c r="FBQ240" s="397"/>
      <c r="FBR240" s="397"/>
      <c r="FBS240" s="397"/>
      <c r="FBT240" s="397"/>
      <c r="FBU240" s="397"/>
      <c r="FBV240" s="397"/>
      <c r="FBW240" s="397"/>
      <c r="FBX240" s="397"/>
      <c r="FBY240" s="397"/>
      <c r="FBZ240" s="397"/>
      <c r="FCA240" s="397"/>
      <c r="FCB240" s="397"/>
      <c r="FCC240" s="397"/>
      <c r="FCD240" s="397"/>
      <c r="FCE240" s="397"/>
      <c r="FCF240" s="397"/>
      <c r="FCG240" s="397"/>
      <c r="FCH240" s="397"/>
      <c r="FCI240" s="397"/>
      <c r="FCJ240" s="397"/>
      <c r="FCK240" s="397"/>
      <c r="FCL240" s="397"/>
      <c r="FCM240" s="397"/>
      <c r="FCN240" s="397"/>
      <c r="FCO240" s="397"/>
      <c r="FCP240" s="397"/>
      <c r="FCQ240" s="397"/>
      <c r="FCR240" s="397"/>
      <c r="FCS240" s="397"/>
      <c r="FCT240" s="397"/>
      <c r="FCU240" s="397"/>
      <c r="FCV240" s="397"/>
      <c r="FCW240" s="397"/>
      <c r="FCX240" s="397"/>
      <c r="FCY240" s="397"/>
      <c r="FCZ240" s="397"/>
      <c r="FDA240" s="397"/>
      <c r="FDB240" s="397"/>
      <c r="FDC240" s="397"/>
      <c r="FDD240" s="397"/>
      <c r="FDE240" s="397"/>
      <c r="FDF240" s="397"/>
      <c r="FDG240" s="397"/>
      <c r="FDH240" s="397"/>
      <c r="FDI240" s="397"/>
      <c r="FDJ240" s="397"/>
      <c r="FDK240" s="397"/>
      <c r="FDL240" s="397"/>
      <c r="FDM240" s="397"/>
      <c r="FDN240" s="397"/>
      <c r="FDO240" s="397"/>
      <c r="FDP240" s="397"/>
      <c r="FDQ240" s="397"/>
      <c r="FDR240" s="397"/>
      <c r="FDS240" s="397"/>
      <c r="FDT240" s="397"/>
      <c r="FDU240" s="397"/>
      <c r="FDV240" s="397"/>
      <c r="FDW240" s="397"/>
      <c r="FDX240" s="397"/>
      <c r="FDY240" s="397"/>
      <c r="FDZ240" s="397"/>
      <c r="FEA240" s="397"/>
      <c r="FEB240" s="397"/>
      <c r="FEC240" s="397"/>
      <c r="FED240" s="397"/>
      <c r="FEE240" s="397"/>
      <c r="FEF240" s="397"/>
      <c r="FEG240" s="397"/>
      <c r="FEH240" s="397"/>
      <c r="FEI240" s="397"/>
      <c r="FEJ240" s="397"/>
      <c r="FEK240" s="397"/>
      <c r="FEL240" s="397"/>
      <c r="FEM240" s="397"/>
      <c r="FEN240" s="397"/>
      <c r="FEO240" s="397"/>
      <c r="FEP240" s="397"/>
      <c r="FEQ240" s="397"/>
      <c r="FER240" s="397"/>
      <c r="FES240" s="397"/>
      <c r="FET240" s="397"/>
      <c r="FEU240" s="397"/>
      <c r="FEV240" s="397"/>
      <c r="FEW240" s="397"/>
      <c r="FEX240" s="397"/>
      <c r="FEY240" s="397"/>
      <c r="FEZ240" s="397"/>
      <c r="FFA240" s="397"/>
      <c r="FFB240" s="397"/>
      <c r="FFC240" s="397"/>
      <c r="FFD240" s="397"/>
      <c r="FFE240" s="397"/>
      <c r="FFF240" s="397"/>
      <c r="FFG240" s="397"/>
      <c r="FFH240" s="397"/>
      <c r="FFI240" s="397"/>
      <c r="FFJ240" s="397"/>
      <c r="FFK240" s="397"/>
      <c r="FFL240" s="397"/>
      <c r="FFM240" s="397"/>
      <c r="FFN240" s="397"/>
      <c r="FFO240" s="397"/>
      <c r="FFP240" s="397"/>
      <c r="FFQ240" s="397"/>
      <c r="FFR240" s="397"/>
      <c r="FFS240" s="397"/>
      <c r="FFT240" s="397"/>
      <c r="FFU240" s="397"/>
      <c r="FFV240" s="397"/>
      <c r="FFW240" s="397"/>
      <c r="FFX240" s="397"/>
      <c r="FFY240" s="397"/>
      <c r="FFZ240" s="397"/>
      <c r="FGA240" s="397"/>
      <c r="FGB240" s="397"/>
      <c r="FGC240" s="397"/>
      <c r="FGD240" s="397"/>
      <c r="FGE240" s="397"/>
      <c r="FGF240" s="397"/>
      <c r="FGG240" s="397"/>
      <c r="FGH240" s="397"/>
      <c r="FGI240" s="397"/>
      <c r="FGJ240" s="397"/>
      <c r="FGK240" s="397"/>
      <c r="FGL240" s="397"/>
      <c r="FGM240" s="397"/>
      <c r="FGN240" s="397"/>
      <c r="FGO240" s="397"/>
      <c r="FGP240" s="397"/>
      <c r="FGQ240" s="397"/>
      <c r="FGR240" s="397"/>
      <c r="FGS240" s="397"/>
      <c r="FGT240" s="397"/>
      <c r="FGU240" s="397"/>
      <c r="FGV240" s="397"/>
      <c r="FGW240" s="397"/>
      <c r="FGX240" s="397"/>
      <c r="FGY240" s="397"/>
      <c r="FGZ240" s="397"/>
      <c r="FHA240" s="397"/>
      <c r="FHB240" s="397"/>
      <c r="FHC240" s="397"/>
      <c r="FHD240" s="397"/>
      <c r="FHE240" s="397"/>
      <c r="FHF240" s="397"/>
      <c r="FHG240" s="397"/>
      <c r="FHH240" s="397"/>
      <c r="FHI240" s="397"/>
      <c r="FHJ240" s="397"/>
      <c r="FHK240" s="397"/>
      <c r="FHL240" s="397"/>
      <c r="FHM240" s="397"/>
      <c r="FHN240" s="397"/>
      <c r="FHO240" s="397"/>
      <c r="FHP240" s="397"/>
      <c r="FHQ240" s="397"/>
      <c r="FHR240" s="397"/>
      <c r="FHS240" s="397"/>
      <c r="FHT240" s="397"/>
      <c r="FHU240" s="397"/>
      <c r="FHV240" s="397"/>
      <c r="FHW240" s="397"/>
      <c r="FHX240" s="397"/>
      <c r="FHY240" s="397"/>
      <c r="FHZ240" s="397"/>
      <c r="FIA240" s="397"/>
      <c r="FIB240" s="397"/>
      <c r="FIC240" s="397"/>
      <c r="FID240" s="397"/>
      <c r="FIE240" s="397"/>
      <c r="FIF240" s="397"/>
      <c r="FIG240" s="397"/>
      <c r="FIH240" s="397"/>
      <c r="FII240" s="397"/>
      <c r="FIJ240" s="397"/>
      <c r="FIK240" s="397"/>
      <c r="FIL240" s="397"/>
      <c r="FIM240" s="397"/>
      <c r="FIN240" s="397"/>
      <c r="FIO240" s="397"/>
      <c r="FIP240" s="397"/>
      <c r="FIQ240" s="397"/>
      <c r="FIR240" s="397"/>
      <c r="FIS240" s="397"/>
      <c r="FIT240" s="397"/>
      <c r="FIU240" s="397"/>
      <c r="FIV240" s="397"/>
      <c r="FIW240" s="397"/>
      <c r="FIX240" s="397"/>
      <c r="FIY240" s="397"/>
      <c r="FIZ240" s="397"/>
      <c r="FJA240" s="397"/>
      <c r="FJB240" s="397"/>
      <c r="FJC240" s="397"/>
      <c r="FJD240" s="397"/>
      <c r="FJE240" s="397"/>
      <c r="FJF240" s="397"/>
      <c r="FJG240" s="397"/>
      <c r="FJH240" s="397"/>
      <c r="FJI240" s="397"/>
      <c r="FJJ240" s="397"/>
      <c r="FJK240" s="397"/>
      <c r="FJL240" s="397"/>
      <c r="FJM240" s="397"/>
      <c r="FJN240" s="397"/>
      <c r="FJO240" s="397"/>
      <c r="FJP240" s="397"/>
      <c r="FJQ240" s="397"/>
      <c r="FJR240" s="397"/>
      <c r="FJS240" s="397"/>
      <c r="FJT240" s="397"/>
      <c r="FJU240" s="397"/>
      <c r="FJV240" s="397"/>
      <c r="FJW240" s="397"/>
      <c r="FJX240" s="397"/>
      <c r="FJY240" s="397"/>
      <c r="FJZ240" s="397"/>
      <c r="FKA240" s="397"/>
      <c r="FKB240" s="397"/>
      <c r="FKC240" s="397"/>
      <c r="FKD240" s="397"/>
      <c r="FKE240" s="397"/>
      <c r="FKF240" s="397"/>
      <c r="FKG240" s="397"/>
      <c r="FKH240" s="397"/>
      <c r="FKI240" s="397"/>
      <c r="FKJ240" s="397"/>
      <c r="FKK240" s="397"/>
      <c r="FKL240" s="397"/>
      <c r="FKM240" s="397"/>
      <c r="FKN240" s="397"/>
      <c r="FKO240" s="397"/>
      <c r="FKP240" s="397"/>
      <c r="FKQ240" s="397"/>
      <c r="FKR240" s="397"/>
      <c r="FKS240" s="397"/>
      <c r="FKT240" s="397"/>
      <c r="FKU240" s="397"/>
      <c r="FKV240" s="397"/>
      <c r="FKW240" s="397"/>
      <c r="FKX240" s="397"/>
      <c r="FKY240" s="397"/>
      <c r="FKZ240" s="397"/>
      <c r="FLA240" s="397"/>
      <c r="FLB240" s="397"/>
      <c r="FLC240" s="397"/>
      <c r="FLD240" s="397"/>
      <c r="FLE240" s="397"/>
      <c r="FLF240" s="397"/>
      <c r="FLG240" s="397"/>
      <c r="FLH240" s="397"/>
      <c r="FLI240" s="397"/>
      <c r="FLJ240" s="397"/>
      <c r="FLK240" s="397"/>
      <c r="FLL240" s="397"/>
      <c r="FLM240" s="397"/>
      <c r="FLN240" s="397"/>
      <c r="FLO240" s="397"/>
      <c r="FLP240" s="397"/>
      <c r="FLQ240" s="397"/>
      <c r="FLR240" s="397"/>
      <c r="FLS240" s="397"/>
      <c r="FLT240" s="397"/>
      <c r="FLU240" s="397"/>
      <c r="FLV240" s="397"/>
      <c r="FLW240" s="397"/>
      <c r="FLX240" s="397"/>
      <c r="FLY240" s="397"/>
      <c r="FLZ240" s="397"/>
      <c r="FMA240" s="397"/>
      <c r="FMB240" s="397"/>
      <c r="FMC240" s="397"/>
      <c r="FMD240" s="397"/>
      <c r="FME240" s="397"/>
      <c r="FMF240" s="397"/>
      <c r="FMG240" s="397"/>
      <c r="FMH240" s="397"/>
      <c r="FMI240" s="397"/>
      <c r="FMJ240" s="397"/>
      <c r="FMK240" s="397"/>
      <c r="FML240" s="397"/>
      <c r="FMM240" s="397"/>
      <c r="FMN240" s="397"/>
      <c r="FMO240" s="397"/>
      <c r="FMP240" s="397"/>
      <c r="FMQ240" s="397"/>
      <c r="FMR240" s="397"/>
      <c r="FMS240" s="397"/>
      <c r="FMT240" s="397"/>
      <c r="FMU240" s="397"/>
      <c r="FMV240" s="397"/>
      <c r="FMW240" s="397"/>
      <c r="FMX240" s="397"/>
      <c r="FMY240" s="397"/>
      <c r="FMZ240" s="397"/>
      <c r="FNA240" s="397"/>
      <c r="FNB240" s="397"/>
      <c r="FNC240" s="397"/>
      <c r="FND240" s="397"/>
      <c r="FNE240" s="397"/>
      <c r="FNF240" s="397"/>
      <c r="FNG240" s="397"/>
      <c r="FNH240" s="397"/>
      <c r="FNI240" s="397"/>
      <c r="FNJ240" s="397"/>
      <c r="FNK240" s="397"/>
      <c r="FNL240" s="397"/>
      <c r="FNM240" s="397"/>
      <c r="FNN240" s="397"/>
      <c r="FNO240" s="397"/>
      <c r="FNP240" s="397"/>
      <c r="FNQ240" s="397"/>
      <c r="FNR240" s="397"/>
      <c r="FNS240" s="397"/>
      <c r="FNT240" s="397"/>
      <c r="FNU240" s="397"/>
      <c r="FNV240" s="397"/>
      <c r="FNW240" s="397"/>
      <c r="FNX240" s="397"/>
      <c r="FNY240" s="397"/>
      <c r="FNZ240" s="397"/>
      <c r="FOA240" s="397"/>
      <c r="FOB240" s="397"/>
      <c r="FOC240" s="397"/>
      <c r="FOD240" s="397"/>
      <c r="FOE240" s="397"/>
      <c r="FOF240" s="397"/>
      <c r="FOG240" s="397"/>
      <c r="FOH240" s="397"/>
      <c r="FOI240" s="397"/>
      <c r="FOJ240" s="397"/>
      <c r="FOK240" s="397"/>
      <c r="FOL240" s="397"/>
      <c r="FOM240" s="397"/>
      <c r="FON240" s="397"/>
      <c r="FOO240" s="397"/>
      <c r="FOP240" s="397"/>
      <c r="FOQ240" s="397"/>
      <c r="FOR240" s="397"/>
      <c r="FOS240" s="397"/>
      <c r="FOT240" s="397"/>
      <c r="FOU240" s="397"/>
      <c r="FOV240" s="397"/>
      <c r="FOW240" s="397"/>
      <c r="FOX240" s="397"/>
      <c r="FOY240" s="397"/>
      <c r="FOZ240" s="397"/>
      <c r="FPA240" s="397"/>
      <c r="FPB240" s="397"/>
      <c r="FPC240" s="397"/>
      <c r="FPD240" s="397"/>
      <c r="FPE240" s="397"/>
      <c r="FPF240" s="397"/>
      <c r="FPG240" s="397"/>
      <c r="FPH240" s="397"/>
      <c r="FPI240" s="397"/>
      <c r="FPJ240" s="397"/>
      <c r="FPK240" s="397"/>
      <c r="FPL240" s="397"/>
      <c r="FPM240" s="397"/>
      <c r="FPN240" s="397"/>
      <c r="FPO240" s="397"/>
      <c r="FPP240" s="397"/>
      <c r="FPQ240" s="397"/>
      <c r="FPR240" s="397"/>
      <c r="FPS240" s="397"/>
      <c r="FPT240" s="397"/>
      <c r="FPU240" s="397"/>
      <c r="FPV240" s="397"/>
      <c r="FPW240" s="397"/>
      <c r="FPX240" s="397"/>
      <c r="FPY240" s="397"/>
      <c r="FPZ240" s="397"/>
      <c r="FQA240" s="397"/>
      <c r="FQB240" s="397"/>
      <c r="FQC240" s="397"/>
      <c r="FQD240" s="397"/>
      <c r="FQE240" s="397"/>
      <c r="FQF240" s="397"/>
      <c r="FQG240" s="397"/>
      <c r="FQH240" s="397"/>
      <c r="FQI240" s="397"/>
      <c r="FQJ240" s="397"/>
      <c r="FQK240" s="397"/>
      <c r="FQL240" s="397"/>
      <c r="FQM240" s="397"/>
      <c r="FQN240" s="397"/>
      <c r="FQO240" s="397"/>
      <c r="FQP240" s="397"/>
      <c r="FQQ240" s="397"/>
      <c r="FQR240" s="397"/>
      <c r="FQS240" s="397"/>
      <c r="FQT240" s="397"/>
      <c r="FQU240" s="397"/>
      <c r="FQV240" s="397"/>
      <c r="FQW240" s="397"/>
      <c r="FQX240" s="397"/>
      <c r="FQY240" s="397"/>
      <c r="FQZ240" s="397"/>
      <c r="FRA240" s="397"/>
      <c r="FRB240" s="397"/>
      <c r="FRC240" s="397"/>
      <c r="FRD240" s="397"/>
      <c r="FRE240" s="397"/>
      <c r="FRF240" s="397"/>
      <c r="FRG240" s="397"/>
      <c r="FRH240" s="397"/>
      <c r="FRI240" s="397"/>
      <c r="FRJ240" s="397"/>
      <c r="FRK240" s="397"/>
      <c r="FRL240" s="397"/>
      <c r="FRM240" s="397"/>
      <c r="FRN240" s="397"/>
      <c r="FRO240" s="397"/>
      <c r="FRP240" s="397"/>
      <c r="FRQ240" s="397"/>
      <c r="FRR240" s="397"/>
      <c r="FRS240" s="397"/>
      <c r="FRT240" s="397"/>
      <c r="FRU240" s="397"/>
      <c r="FRV240" s="397"/>
      <c r="FRW240" s="397"/>
      <c r="FRX240" s="397"/>
      <c r="FRY240" s="397"/>
      <c r="FRZ240" s="397"/>
      <c r="FSA240" s="397"/>
      <c r="FSB240" s="397"/>
      <c r="FSC240" s="397"/>
      <c r="FSD240" s="397"/>
      <c r="FSE240" s="397"/>
      <c r="FSF240" s="397"/>
      <c r="FSG240" s="397"/>
      <c r="FSH240" s="397"/>
      <c r="FSI240" s="397"/>
      <c r="FSJ240" s="397"/>
      <c r="FSK240" s="397"/>
      <c r="FSL240" s="397"/>
      <c r="FSM240" s="397"/>
      <c r="FSN240" s="397"/>
      <c r="FSO240" s="397"/>
      <c r="FSP240" s="397"/>
      <c r="FSQ240" s="397"/>
      <c r="FSR240" s="397"/>
      <c r="FSS240" s="397"/>
      <c r="FST240" s="397"/>
      <c r="FSU240" s="397"/>
      <c r="FSV240" s="397"/>
      <c r="FSW240" s="397"/>
      <c r="FSX240" s="397"/>
      <c r="FSY240" s="397"/>
      <c r="FSZ240" s="397"/>
      <c r="FTA240" s="397"/>
      <c r="FTB240" s="397"/>
      <c r="FTC240" s="397"/>
      <c r="FTD240" s="397"/>
      <c r="FTE240" s="397"/>
      <c r="FTF240" s="397"/>
      <c r="FTG240" s="397"/>
      <c r="FTH240" s="397"/>
      <c r="FTI240" s="397"/>
      <c r="FTJ240" s="397"/>
      <c r="FTK240" s="397"/>
      <c r="FTL240" s="397"/>
      <c r="FTM240" s="397"/>
      <c r="FTN240" s="397"/>
      <c r="FTO240" s="397"/>
      <c r="FTP240" s="397"/>
      <c r="FTQ240" s="397"/>
      <c r="FTR240" s="397"/>
      <c r="FTS240" s="397"/>
      <c r="FTT240" s="397"/>
      <c r="FTU240" s="397"/>
      <c r="FTV240" s="397"/>
      <c r="FTW240" s="397"/>
      <c r="FTX240" s="397"/>
      <c r="FTY240" s="397"/>
      <c r="FTZ240" s="397"/>
      <c r="FUA240" s="397"/>
      <c r="FUB240" s="397"/>
      <c r="FUC240" s="397"/>
      <c r="FUD240" s="397"/>
      <c r="FUE240" s="397"/>
      <c r="FUF240" s="397"/>
      <c r="FUG240" s="397"/>
      <c r="FUH240" s="397"/>
      <c r="FUI240" s="397"/>
      <c r="FUJ240" s="397"/>
      <c r="FUK240" s="397"/>
      <c r="FUL240" s="397"/>
      <c r="FUM240" s="397"/>
      <c r="FUN240" s="397"/>
      <c r="FUO240" s="397"/>
      <c r="FUP240" s="397"/>
      <c r="FUQ240" s="397"/>
      <c r="FUR240" s="397"/>
      <c r="FUS240" s="397"/>
      <c r="FUT240" s="397"/>
      <c r="FUU240" s="397"/>
      <c r="FUV240" s="397"/>
      <c r="FUW240" s="397"/>
      <c r="FUX240" s="397"/>
      <c r="FUY240" s="397"/>
      <c r="FUZ240" s="397"/>
      <c r="FVA240" s="397"/>
      <c r="FVB240" s="397"/>
      <c r="FVC240" s="397"/>
      <c r="FVD240" s="397"/>
      <c r="FVE240" s="397"/>
      <c r="FVF240" s="397"/>
      <c r="FVG240" s="397"/>
      <c r="FVH240" s="397"/>
      <c r="FVI240" s="397"/>
      <c r="FVJ240" s="397"/>
      <c r="FVK240" s="397"/>
      <c r="FVL240" s="397"/>
      <c r="FVM240" s="397"/>
      <c r="FVN240" s="397"/>
      <c r="FVO240" s="397"/>
      <c r="FVP240" s="397"/>
      <c r="FVQ240" s="397"/>
      <c r="FVR240" s="397"/>
      <c r="FVS240" s="397"/>
      <c r="FVT240" s="397"/>
      <c r="FVU240" s="397"/>
      <c r="FVV240" s="397"/>
      <c r="FVW240" s="397"/>
      <c r="FVX240" s="397"/>
      <c r="FVY240" s="397"/>
      <c r="FVZ240" s="397"/>
      <c r="FWA240" s="397"/>
      <c r="FWB240" s="397"/>
      <c r="FWC240" s="397"/>
      <c r="FWD240" s="397"/>
      <c r="FWE240" s="397"/>
      <c r="FWF240" s="397"/>
      <c r="FWG240" s="397"/>
      <c r="FWH240" s="397"/>
      <c r="FWI240" s="397"/>
      <c r="FWJ240" s="397"/>
      <c r="FWK240" s="397"/>
      <c r="FWL240" s="397"/>
      <c r="FWM240" s="397"/>
      <c r="FWN240" s="397"/>
      <c r="FWO240" s="397"/>
      <c r="FWP240" s="397"/>
      <c r="FWQ240" s="397"/>
      <c r="FWR240" s="397"/>
      <c r="FWS240" s="397"/>
      <c r="FWT240" s="397"/>
      <c r="FWU240" s="397"/>
      <c r="FWV240" s="397"/>
      <c r="FWW240" s="397"/>
      <c r="FWX240" s="397"/>
      <c r="FWY240" s="397"/>
      <c r="FWZ240" s="397"/>
      <c r="FXA240" s="397"/>
      <c r="FXB240" s="397"/>
      <c r="FXC240" s="397"/>
      <c r="FXD240" s="397"/>
      <c r="FXE240" s="397"/>
      <c r="FXF240" s="397"/>
      <c r="FXG240" s="397"/>
      <c r="FXH240" s="397"/>
      <c r="FXI240" s="397"/>
      <c r="FXJ240" s="397"/>
      <c r="FXK240" s="397"/>
      <c r="FXL240" s="397"/>
      <c r="FXM240" s="397"/>
      <c r="FXN240" s="397"/>
      <c r="FXO240" s="397"/>
      <c r="FXP240" s="397"/>
      <c r="FXQ240" s="397"/>
      <c r="FXR240" s="397"/>
      <c r="FXS240" s="397"/>
      <c r="FXT240" s="397"/>
      <c r="FXU240" s="397"/>
      <c r="FXV240" s="397"/>
      <c r="FXW240" s="397"/>
      <c r="FXX240" s="397"/>
      <c r="FXY240" s="397"/>
      <c r="FXZ240" s="397"/>
      <c r="FYA240" s="397"/>
      <c r="FYB240" s="397"/>
      <c r="FYC240" s="397"/>
      <c r="FYD240" s="397"/>
      <c r="FYE240" s="397"/>
      <c r="FYF240" s="397"/>
      <c r="FYG240" s="397"/>
      <c r="FYH240" s="397"/>
      <c r="FYI240" s="397"/>
      <c r="FYJ240" s="397"/>
      <c r="FYK240" s="397"/>
      <c r="FYL240" s="397"/>
      <c r="FYM240" s="397"/>
      <c r="FYN240" s="397"/>
      <c r="FYO240" s="397"/>
      <c r="FYP240" s="397"/>
      <c r="FYQ240" s="397"/>
      <c r="FYR240" s="397"/>
      <c r="FYS240" s="397"/>
      <c r="FYT240" s="397"/>
      <c r="FYU240" s="397"/>
      <c r="FYV240" s="397"/>
      <c r="FYW240" s="397"/>
      <c r="FYX240" s="397"/>
      <c r="FYY240" s="397"/>
      <c r="FYZ240" s="397"/>
      <c r="FZA240" s="397"/>
      <c r="FZB240" s="397"/>
      <c r="FZC240" s="397"/>
      <c r="FZD240" s="397"/>
      <c r="FZE240" s="397"/>
      <c r="FZF240" s="397"/>
      <c r="FZG240" s="397"/>
      <c r="FZH240" s="397"/>
      <c r="FZI240" s="397"/>
      <c r="FZJ240" s="397"/>
      <c r="FZK240" s="397"/>
      <c r="FZL240" s="397"/>
      <c r="FZM240" s="397"/>
      <c r="FZN240" s="397"/>
      <c r="FZO240" s="397"/>
      <c r="FZP240" s="397"/>
      <c r="FZQ240" s="397"/>
      <c r="FZR240" s="397"/>
      <c r="FZS240" s="397"/>
      <c r="FZT240" s="397"/>
      <c r="FZU240" s="397"/>
      <c r="FZV240" s="397"/>
      <c r="FZW240" s="397"/>
      <c r="FZX240" s="397"/>
      <c r="FZY240" s="397"/>
      <c r="FZZ240" s="397"/>
      <c r="GAA240" s="397"/>
      <c r="GAB240" s="397"/>
      <c r="GAC240" s="397"/>
      <c r="GAD240" s="397"/>
      <c r="GAE240" s="397"/>
      <c r="GAF240" s="397"/>
      <c r="GAG240" s="397"/>
      <c r="GAH240" s="397"/>
      <c r="GAI240" s="397"/>
      <c r="GAJ240" s="397"/>
      <c r="GAK240" s="397"/>
      <c r="GAL240" s="397"/>
      <c r="GAM240" s="397"/>
      <c r="GAN240" s="397"/>
      <c r="GAO240" s="397"/>
      <c r="GAP240" s="397"/>
      <c r="GAQ240" s="397"/>
      <c r="GAR240" s="397"/>
      <c r="GAS240" s="397"/>
      <c r="GAT240" s="397"/>
      <c r="GAU240" s="397"/>
      <c r="GAV240" s="397"/>
      <c r="GAW240" s="397"/>
      <c r="GAX240" s="397"/>
      <c r="GAY240" s="397"/>
      <c r="GAZ240" s="397"/>
      <c r="GBA240" s="397"/>
      <c r="GBB240" s="397"/>
      <c r="GBC240" s="397"/>
      <c r="GBD240" s="397"/>
      <c r="GBE240" s="397"/>
      <c r="GBF240" s="397"/>
      <c r="GBG240" s="397"/>
      <c r="GBH240" s="397"/>
      <c r="GBI240" s="397"/>
      <c r="GBJ240" s="397"/>
      <c r="GBK240" s="397"/>
      <c r="GBL240" s="397"/>
      <c r="GBM240" s="397"/>
      <c r="GBN240" s="397"/>
      <c r="GBO240" s="397"/>
      <c r="GBP240" s="397"/>
      <c r="GBQ240" s="397"/>
      <c r="GBR240" s="397"/>
      <c r="GBS240" s="397"/>
      <c r="GBT240" s="397"/>
      <c r="GBU240" s="397"/>
      <c r="GBV240" s="397"/>
      <c r="GBW240" s="397"/>
      <c r="GBX240" s="397"/>
      <c r="GBY240" s="397"/>
      <c r="GBZ240" s="397"/>
      <c r="GCA240" s="397"/>
      <c r="GCB240" s="397"/>
      <c r="GCC240" s="397"/>
      <c r="GCD240" s="397"/>
      <c r="GCE240" s="397"/>
      <c r="GCF240" s="397"/>
      <c r="GCG240" s="397"/>
      <c r="GCH240" s="397"/>
      <c r="GCI240" s="397"/>
      <c r="GCJ240" s="397"/>
      <c r="GCK240" s="397"/>
      <c r="GCL240" s="397"/>
      <c r="GCM240" s="397"/>
      <c r="GCN240" s="397"/>
      <c r="GCO240" s="397"/>
      <c r="GCP240" s="397"/>
      <c r="GCQ240" s="397"/>
      <c r="GCR240" s="397"/>
      <c r="GCS240" s="397"/>
      <c r="GCT240" s="397"/>
      <c r="GCU240" s="397"/>
      <c r="GCV240" s="397"/>
      <c r="GCW240" s="397"/>
      <c r="GCX240" s="397"/>
      <c r="GCY240" s="397"/>
      <c r="GCZ240" s="397"/>
      <c r="GDA240" s="397"/>
      <c r="GDB240" s="397"/>
      <c r="GDC240" s="397"/>
      <c r="GDD240" s="397"/>
      <c r="GDE240" s="397"/>
      <c r="GDF240" s="397"/>
      <c r="GDG240" s="397"/>
      <c r="GDH240" s="397"/>
      <c r="GDI240" s="397"/>
      <c r="GDJ240" s="397"/>
      <c r="GDK240" s="397"/>
      <c r="GDL240" s="397"/>
      <c r="GDM240" s="397"/>
      <c r="GDN240" s="397"/>
      <c r="GDO240" s="397"/>
      <c r="GDP240" s="397"/>
      <c r="GDQ240" s="397"/>
      <c r="GDR240" s="397"/>
      <c r="GDS240" s="397"/>
      <c r="GDT240" s="397"/>
      <c r="GDU240" s="397"/>
      <c r="GDV240" s="397"/>
      <c r="GDW240" s="397"/>
      <c r="GDX240" s="397"/>
      <c r="GDY240" s="397"/>
      <c r="GDZ240" s="397"/>
      <c r="GEA240" s="397"/>
      <c r="GEB240" s="397"/>
      <c r="GEC240" s="397"/>
      <c r="GED240" s="397"/>
      <c r="GEE240" s="397"/>
      <c r="GEF240" s="397"/>
      <c r="GEG240" s="397"/>
      <c r="GEH240" s="397"/>
      <c r="GEI240" s="397"/>
      <c r="GEJ240" s="397"/>
      <c r="GEK240" s="397"/>
      <c r="GEL240" s="397"/>
      <c r="GEM240" s="397"/>
      <c r="GEN240" s="397"/>
      <c r="GEO240" s="397"/>
      <c r="GEP240" s="397"/>
      <c r="GEQ240" s="397"/>
      <c r="GER240" s="397"/>
      <c r="GES240" s="397"/>
      <c r="GET240" s="397"/>
      <c r="GEU240" s="397"/>
      <c r="GEV240" s="397"/>
      <c r="GEW240" s="397"/>
      <c r="GEX240" s="397"/>
      <c r="GEY240" s="397"/>
      <c r="GEZ240" s="397"/>
      <c r="GFA240" s="397"/>
      <c r="GFB240" s="397"/>
      <c r="GFC240" s="397"/>
      <c r="GFD240" s="397"/>
      <c r="GFE240" s="397"/>
      <c r="GFF240" s="397"/>
      <c r="GFG240" s="397"/>
      <c r="GFH240" s="397"/>
      <c r="GFI240" s="397"/>
      <c r="GFJ240" s="397"/>
      <c r="GFK240" s="397"/>
      <c r="GFL240" s="397"/>
      <c r="GFM240" s="397"/>
      <c r="GFN240" s="397"/>
      <c r="GFO240" s="397"/>
      <c r="GFP240" s="397"/>
      <c r="GFQ240" s="397"/>
      <c r="GFR240" s="397"/>
      <c r="GFS240" s="397"/>
      <c r="GFT240" s="397"/>
      <c r="GFU240" s="397"/>
      <c r="GFV240" s="397"/>
      <c r="GFW240" s="397"/>
      <c r="GFX240" s="397"/>
      <c r="GFY240" s="397"/>
      <c r="GFZ240" s="397"/>
      <c r="GGA240" s="397"/>
      <c r="GGB240" s="397"/>
      <c r="GGC240" s="397"/>
      <c r="GGD240" s="397"/>
      <c r="GGE240" s="397"/>
      <c r="GGF240" s="397"/>
      <c r="GGG240" s="397"/>
      <c r="GGH240" s="397"/>
      <c r="GGI240" s="397"/>
      <c r="GGJ240" s="397"/>
      <c r="GGK240" s="397"/>
      <c r="GGL240" s="397"/>
      <c r="GGM240" s="397"/>
      <c r="GGN240" s="397"/>
      <c r="GGO240" s="397"/>
      <c r="GGP240" s="397"/>
      <c r="GGQ240" s="397"/>
      <c r="GGR240" s="397"/>
      <c r="GGS240" s="397"/>
      <c r="GGT240" s="397"/>
      <c r="GGU240" s="397"/>
      <c r="GGV240" s="397"/>
      <c r="GGW240" s="397"/>
      <c r="GGX240" s="397"/>
      <c r="GGY240" s="397"/>
      <c r="GGZ240" s="397"/>
      <c r="GHA240" s="397"/>
      <c r="GHB240" s="397"/>
      <c r="GHC240" s="397"/>
      <c r="GHD240" s="397"/>
      <c r="GHE240" s="397"/>
      <c r="GHF240" s="397"/>
      <c r="GHG240" s="397"/>
      <c r="GHH240" s="397"/>
      <c r="GHI240" s="397"/>
      <c r="GHJ240" s="397"/>
      <c r="GHK240" s="397"/>
      <c r="GHL240" s="397"/>
      <c r="GHM240" s="397"/>
      <c r="GHN240" s="397"/>
      <c r="GHO240" s="397"/>
      <c r="GHP240" s="397"/>
      <c r="GHQ240" s="397"/>
      <c r="GHR240" s="397"/>
      <c r="GHS240" s="397"/>
      <c r="GHT240" s="397"/>
      <c r="GHU240" s="397"/>
      <c r="GHV240" s="397"/>
      <c r="GHW240" s="397"/>
      <c r="GHX240" s="397"/>
      <c r="GHY240" s="397"/>
      <c r="GHZ240" s="397"/>
      <c r="GIA240" s="397"/>
      <c r="GIB240" s="397"/>
      <c r="GIC240" s="397"/>
      <c r="GID240" s="397"/>
      <c r="GIE240" s="397"/>
      <c r="GIF240" s="397"/>
      <c r="GIG240" s="397"/>
      <c r="GIH240" s="397"/>
      <c r="GII240" s="397"/>
      <c r="GIJ240" s="397"/>
      <c r="GIK240" s="397"/>
      <c r="GIL240" s="397"/>
      <c r="GIM240" s="397"/>
      <c r="GIN240" s="397"/>
      <c r="GIO240" s="397"/>
      <c r="GIP240" s="397"/>
      <c r="GIQ240" s="397"/>
      <c r="GIR240" s="397"/>
      <c r="GIS240" s="397"/>
      <c r="GIT240" s="397"/>
      <c r="GIU240" s="397"/>
      <c r="GIV240" s="397"/>
      <c r="GIW240" s="397"/>
      <c r="GIX240" s="397"/>
      <c r="GIY240" s="397"/>
      <c r="GIZ240" s="397"/>
      <c r="GJA240" s="397"/>
      <c r="GJB240" s="397"/>
      <c r="GJC240" s="397"/>
      <c r="GJD240" s="397"/>
      <c r="GJE240" s="397"/>
      <c r="GJF240" s="397"/>
      <c r="GJG240" s="397"/>
      <c r="GJH240" s="397"/>
      <c r="GJI240" s="397"/>
      <c r="GJJ240" s="397"/>
      <c r="GJK240" s="397"/>
      <c r="GJL240" s="397"/>
      <c r="GJM240" s="397"/>
      <c r="GJN240" s="397"/>
      <c r="GJO240" s="397"/>
      <c r="GJP240" s="397"/>
      <c r="GJQ240" s="397"/>
      <c r="GJR240" s="397"/>
      <c r="GJS240" s="397"/>
      <c r="GJT240" s="397"/>
      <c r="GJU240" s="397"/>
      <c r="GJV240" s="397"/>
      <c r="GJW240" s="397"/>
      <c r="GJX240" s="397"/>
      <c r="GJY240" s="397"/>
      <c r="GJZ240" s="397"/>
      <c r="GKA240" s="397"/>
      <c r="GKB240" s="397"/>
      <c r="GKC240" s="397"/>
      <c r="GKD240" s="397"/>
      <c r="GKE240" s="397"/>
      <c r="GKF240" s="397"/>
      <c r="GKG240" s="397"/>
      <c r="GKH240" s="397"/>
      <c r="GKI240" s="397"/>
      <c r="GKJ240" s="397"/>
      <c r="GKK240" s="397"/>
      <c r="GKL240" s="397"/>
      <c r="GKM240" s="397"/>
      <c r="GKN240" s="397"/>
      <c r="GKO240" s="397"/>
      <c r="GKP240" s="397"/>
      <c r="GKQ240" s="397"/>
      <c r="GKR240" s="397"/>
      <c r="GKS240" s="397"/>
      <c r="GKT240" s="397"/>
      <c r="GKU240" s="397"/>
      <c r="GKV240" s="397"/>
      <c r="GKW240" s="397"/>
      <c r="GKX240" s="397"/>
      <c r="GKY240" s="397"/>
      <c r="GKZ240" s="397"/>
      <c r="GLA240" s="397"/>
      <c r="GLB240" s="397"/>
      <c r="GLC240" s="397"/>
      <c r="GLD240" s="397"/>
      <c r="GLE240" s="397"/>
      <c r="GLF240" s="397"/>
      <c r="GLG240" s="397"/>
      <c r="GLH240" s="397"/>
      <c r="GLI240" s="397"/>
      <c r="GLJ240" s="397"/>
      <c r="GLK240" s="397"/>
      <c r="GLL240" s="397"/>
      <c r="GLM240" s="397"/>
      <c r="GLN240" s="397"/>
      <c r="GLO240" s="397"/>
      <c r="GLP240" s="397"/>
      <c r="GLQ240" s="397"/>
      <c r="GLR240" s="397"/>
      <c r="GLS240" s="397"/>
      <c r="GLT240" s="397"/>
      <c r="GLU240" s="397"/>
      <c r="GLV240" s="397"/>
      <c r="GLW240" s="397"/>
      <c r="GLX240" s="397"/>
      <c r="GLY240" s="397"/>
      <c r="GLZ240" s="397"/>
      <c r="GMA240" s="397"/>
      <c r="GMB240" s="397"/>
      <c r="GMC240" s="397"/>
      <c r="GMD240" s="397"/>
      <c r="GME240" s="397"/>
      <c r="GMF240" s="397"/>
      <c r="GMG240" s="397"/>
      <c r="GMH240" s="397"/>
      <c r="GMI240" s="397"/>
      <c r="GMJ240" s="397"/>
      <c r="GMK240" s="397"/>
      <c r="GML240" s="397"/>
      <c r="GMM240" s="397"/>
      <c r="GMN240" s="397"/>
      <c r="GMO240" s="397"/>
      <c r="GMP240" s="397"/>
      <c r="GMQ240" s="397"/>
      <c r="GMR240" s="397"/>
      <c r="GMS240" s="397"/>
      <c r="GMT240" s="397"/>
      <c r="GMU240" s="397"/>
      <c r="GMV240" s="397"/>
      <c r="GMW240" s="397"/>
      <c r="GMX240" s="397"/>
      <c r="GMY240" s="397"/>
      <c r="GMZ240" s="397"/>
      <c r="GNA240" s="397"/>
      <c r="GNB240" s="397"/>
      <c r="GNC240" s="397"/>
      <c r="GND240" s="397"/>
      <c r="GNE240" s="397"/>
      <c r="GNF240" s="397"/>
      <c r="GNG240" s="397"/>
      <c r="GNH240" s="397"/>
      <c r="GNI240" s="397"/>
      <c r="GNJ240" s="397"/>
      <c r="GNK240" s="397"/>
      <c r="GNL240" s="397"/>
      <c r="GNM240" s="397"/>
      <c r="GNN240" s="397"/>
      <c r="GNO240" s="397"/>
      <c r="GNP240" s="397"/>
      <c r="GNQ240" s="397"/>
      <c r="GNR240" s="397"/>
      <c r="GNS240" s="397"/>
      <c r="GNT240" s="397"/>
      <c r="GNU240" s="397"/>
      <c r="GNV240" s="397"/>
      <c r="GNW240" s="397"/>
      <c r="GNX240" s="397"/>
      <c r="GNY240" s="397"/>
      <c r="GNZ240" s="397"/>
      <c r="GOA240" s="397"/>
      <c r="GOB240" s="397"/>
      <c r="GOC240" s="397"/>
      <c r="GOD240" s="397"/>
      <c r="GOE240" s="397"/>
      <c r="GOF240" s="397"/>
      <c r="GOG240" s="397"/>
      <c r="GOH240" s="397"/>
      <c r="GOI240" s="397"/>
      <c r="GOJ240" s="397"/>
      <c r="GOK240" s="397"/>
      <c r="GOL240" s="397"/>
      <c r="GOM240" s="397"/>
      <c r="GON240" s="397"/>
      <c r="GOO240" s="397"/>
      <c r="GOP240" s="397"/>
      <c r="GOQ240" s="397"/>
      <c r="GOR240" s="397"/>
      <c r="GOS240" s="397"/>
      <c r="GOT240" s="397"/>
      <c r="GOU240" s="397"/>
      <c r="GOV240" s="397"/>
      <c r="GOW240" s="397"/>
      <c r="GOX240" s="397"/>
      <c r="GOY240" s="397"/>
      <c r="GOZ240" s="397"/>
      <c r="GPA240" s="397"/>
      <c r="GPB240" s="397"/>
      <c r="GPC240" s="397"/>
      <c r="GPD240" s="397"/>
      <c r="GPE240" s="397"/>
      <c r="GPF240" s="397"/>
      <c r="GPG240" s="397"/>
      <c r="GPH240" s="397"/>
      <c r="GPI240" s="397"/>
      <c r="GPJ240" s="397"/>
      <c r="GPK240" s="397"/>
      <c r="GPL240" s="397"/>
      <c r="GPM240" s="397"/>
      <c r="GPN240" s="397"/>
      <c r="GPO240" s="397"/>
      <c r="GPP240" s="397"/>
      <c r="GPQ240" s="397"/>
      <c r="GPR240" s="397"/>
      <c r="GPS240" s="397"/>
      <c r="GPT240" s="397"/>
      <c r="GPU240" s="397"/>
      <c r="GPV240" s="397"/>
      <c r="GPW240" s="397"/>
      <c r="GPX240" s="397"/>
      <c r="GPY240" s="397"/>
      <c r="GPZ240" s="397"/>
      <c r="GQA240" s="397"/>
      <c r="GQB240" s="397"/>
      <c r="GQC240" s="397"/>
      <c r="GQD240" s="397"/>
      <c r="GQE240" s="397"/>
      <c r="GQF240" s="397"/>
      <c r="GQG240" s="397"/>
      <c r="GQH240" s="397"/>
      <c r="GQI240" s="397"/>
      <c r="GQJ240" s="397"/>
      <c r="GQK240" s="397"/>
      <c r="GQL240" s="397"/>
      <c r="GQM240" s="397"/>
      <c r="GQN240" s="397"/>
      <c r="GQO240" s="397"/>
      <c r="GQP240" s="397"/>
      <c r="GQQ240" s="397"/>
      <c r="GQR240" s="397"/>
      <c r="GQS240" s="397"/>
      <c r="GQT240" s="397"/>
      <c r="GQU240" s="397"/>
      <c r="GQV240" s="397"/>
      <c r="GQW240" s="397"/>
      <c r="GQX240" s="397"/>
      <c r="GQY240" s="397"/>
      <c r="GQZ240" s="397"/>
      <c r="GRA240" s="397"/>
      <c r="GRB240" s="397"/>
      <c r="GRC240" s="397"/>
      <c r="GRD240" s="397"/>
      <c r="GRE240" s="397"/>
      <c r="GRF240" s="397"/>
      <c r="GRG240" s="397"/>
      <c r="GRH240" s="397"/>
      <c r="GRI240" s="397"/>
      <c r="GRJ240" s="397"/>
      <c r="GRK240" s="397"/>
      <c r="GRL240" s="397"/>
      <c r="GRM240" s="397"/>
      <c r="GRN240" s="397"/>
      <c r="GRO240" s="397"/>
      <c r="GRP240" s="397"/>
      <c r="GRQ240" s="397"/>
      <c r="GRR240" s="397"/>
      <c r="GRS240" s="397"/>
      <c r="GRT240" s="397"/>
      <c r="GRU240" s="397"/>
      <c r="GRV240" s="397"/>
      <c r="GRW240" s="397"/>
      <c r="GRX240" s="397"/>
      <c r="GRY240" s="397"/>
      <c r="GRZ240" s="397"/>
      <c r="GSA240" s="397"/>
      <c r="GSB240" s="397"/>
      <c r="GSC240" s="397"/>
      <c r="GSD240" s="397"/>
      <c r="GSE240" s="397"/>
      <c r="GSF240" s="397"/>
      <c r="GSG240" s="397"/>
      <c r="GSH240" s="397"/>
      <c r="GSI240" s="397"/>
      <c r="GSJ240" s="397"/>
      <c r="GSK240" s="397"/>
      <c r="GSL240" s="397"/>
      <c r="GSM240" s="397"/>
      <c r="GSN240" s="397"/>
      <c r="GSO240" s="397"/>
      <c r="GSP240" s="397"/>
      <c r="GSQ240" s="397"/>
      <c r="GSR240" s="397"/>
      <c r="GSS240" s="397"/>
      <c r="GST240" s="397"/>
      <c r="GSU240" s="397"/>
      <c r="GSV240" s="397"/>
      <c r="GSW240" s="397"/>
      <c r="GSX240" s="397"/>
      <c r="GSY240" s="397"/>
      <c r="GSZ240" s="397"/>
      <c r="GTA240" s="397"/>
      <c r="GTB240" s="397"/>
      <c r="GTC240" s="397"/>
      <c r="GTD240" s="397"/>
      <c r="GTE240" s="397"/>
      <c r="GTF240" s="397"/>
      <c r="GTG240" s="397"/>
      <c r="GTH240" s="397"/>
      <c r="GTI240" s="397"/>
      <c r="GTJ240" s="397"/>
      <c r="GTK240" s="397"/>
      <c r="GTL240" s="397"/>
      <c r="GTM240" s="397"/>
      <c r="GTN240" s="397"/>
      <c r="GTO240" s="397"/>
      <c r="GTP240" s="397"/>
      <c r="GTQ240" s="397"/>
      <c r="GTR240" s="397"/>
      <c r="GTS240" s="397"/>
      <c r="GTT240" s="397"/>
      <c r="GTU240" s="397"/>
      <c r="GTV240" s="397"/>
      <c r="GTW240" s="397"/>
      <c r="GTX240" s="397"/>
      <c r="GTY240" s="397"/>
      <c r="GTZ240" s="397"/>
      <c r="GUA240" s="397"/>
      <c r="GUB240" s="397"/>
      <c r="GUC240" s="397"/>
      <c r="GUD240" s="397"/>
      <c r="GUE240" s="397"/>
      <c r="GUF240" s="397"/>
      <c r="GUG240" s="397"/>
      <c r="GUH240" s="397"/>
      <c r="GUI240" s="397"/>
      <c r="GUJ240" s="397"/>
      <c r="GUK240" s="397"/>
      <c r="GUL240" s="397"/>
      <c r="GUM240" s="397"/>
      <c r="GUN240" s="397"/>
      <c r="GUO240" s="397"/>
      <c r="GUP240" s="397"/>
      <c r="GUQ240" s="397"/>
      <c r="GUR240" s="397"/>
      <c r="GUS240" s="397"/>
      <c r="GUT240" s="397"/>
      <c r="GUU240" s="397"/>
      <c r="GUV240" s="397"/>
      <c r="GUW240" s="397"/>
      <c r="GUX240" s="397"/>
      <c r="GUY240" s="397"/>
      <c r="GUZ240" s="397"/>
      <c r="GVA240" s="397"/>
      <c r="GVB240" s="397"/>
      <c r="GVC240" s="397"/>
      <c r="GVD240" s="397"/>
      <c r="GVE240" s="397"/>
      <c r="GVF240" s="397"/>
      <c r="GVG240" s="397"/>
      <c r="GVH240" s="397"/>
      <c r="GVI240" s="397"/>
      <c r="GVJ240" s="397"/>
      <c r="GVK240" s="397"/>
      <c r="GVL240" s="397"/>
      <c r="GVM240" s="397"/>
      <c r="GVN240" s="397"/>
      <c r="GVO240" s="397"/>
      <c r="GVP240" s="397"/>
      <c r="GVQ240" s="397"/>
      <c r="GVR240" s="397"/>
      <c r="GVS240" s="397"/>
      <c r="GVT240" s="397"/>
      <c r="GVU240" s="397"/>
      <c r="GVV240" s="397"/>
      <c r="GVW240" s="397"/>
      <c r="GVX240" s="397"/>
      <c r="GVY240" s="397"/>
      <c r="GVZ240" s="397"/>
      <c r="GWA240" s="397"/>
      <c r="GWB240" s="397"/>
      <c r="GWC240" s="397"/>
      <c r="GWD240" s="397"/>
      <c r="GWE240" s="397"/>
      <c r="GWF240" s="397"/>
      <c r="GWG240" s="397"/>
      <c r="GWH240" s="397"/>
      <c r="GWI240" s="397"/>
      <c r="GWJ240" s="397"/>
      <c r="GWK240" s="397"/>
      <c r="GWL240" s="397"/>
      <c r="GWM240" s="397"/>
      <c r="GWN240" s="397"/>
      <c r="GWO240" s="397"/>
      <c r="GWP240" s="397"/>
      <c r="GWQ240" s="397"/>
      <c r="GWR240" s="397"/>
      <c r="GWS240" s="397"/>
      <c r="GWT240" s="397"/>
      <c r="GWU240" s="397"/>
      <c r="GWV240" s="397"/>
      <c r="GWW240" s="397"/>
      <c r="GWX240" s="397"/>
      <c r="GWY240" s="397"/>
      <c r="GWZ240" s="397"/>
      <c r="GXA240" s="397"/>
      <c r="GXB240" s="397"/>
      <c r="GXC240" s="397"/>
      <c r="GXD240" s="397"/>
      <c r="GXE240" s="397"/>
      <c r="GXF240" s="397"/>
      <c r="GXG240" s="397"/>
      <c r="GXH240" s="397"/>
      <c r="GXI240" s="397"/>
      <c r="GXJ240" s="397"/>
      <c r="GXK240" s="397"/>
      <c r="GXL240" s="397"/>
      <c r="GXM240" s="397"/>
      <c r="GXN240" s="397"/>
      <c r="GXO240" s="397"/>
      <c r="GXP240" s="397"/>
      <c r="GXQ240" s="397"/>
      <c r="GXR240" s="397"/>
      <c r="GXS240" s="397"/>
      <c r="GXT240" s="397"/>
      <c r="GXU240" s="397"/>
      <c r="GXV240" s="397"/>
      <c r="GXW240" s="397"/>
      <c r="GXX240" s="397"/>
      <c r="GXY240" s="397"/>
      <c r="GXZ240" s="397"/>
      <c r="GYA240" s="397"/>
      <c r="GYB240" s="397"/>
      <c r="GYC240" s="397"/>
      <c r="GYD240" s="397"/>
      <c r="GYE240" s="397"/>
      <c r="GYF240" s="397"/>
      <c r="GYG240" s="397"/>
      <c r="GYH240" s="397"/>
      <c r="GYI240" s="397"/>
      <c r="GYJ240" s="397"/>
      <c r="GYK240" s="397"/>
      <c r="GYL240" s="397"/>
      <c r="GYM240" s="397"/>
      <c r="GYN240" s="397"/>
      <c r="GYO240" s="397"/>
      <c r="GYP240" s="397"/>
      <c r="GYQ240" s="397"/>
      <c r="GYR240" s="397"/>
      <c r="GYS240" s="397"/>
      <c r="GYT240" s="397"/>
      <c r="GYU240" s="397"/>
      <c r="GYV240" s="397"/>
      <c r="GYW240" s="397"/>
      <c r="GYX240" s="397"/>
      <c r="GYY240" s="397"/>
      <c r="GYZ240" s="397"/>
      <c r="GZA240" s="397"/>
      <c r="GZB240" s="397"/>
      <c r="GZC240" s="397"/>
      <c r="GZD240" s="397"/>
      <c r="GZE240" s="397"/>
      <c r="GZF240" s="397"/>
      <c r="GZG240" s="397"/>
      <c r="GZH240" s="397"/>
      <c r="GZI240" s="397"/>
      <c r="GZJ240" s="397"/>
      <c r="GZK240" s="397"/>
      <c r="GZL240" s="397"/>
      <c r="GZM240" s="397"/>
      <c r="GZN240" s="397"/>
      <c r="GZO240" s="397"/>
      <c r="GZP240" s="397"/>
      <c r="GZQ240" s="397"/>
      <c r="GZR240" s="397"/>
      <c r="GZS240" s="397"/>
      <c r="GZT240" s="397"/>
      <c r="GZU240" s="397"/>
      <c r="GZV240" s="397"/>
      <c r="GZW240" s="397"/>
      <c r="GZX240" s="397"/>
      <c r="GZY240" s="397"/>
      <c r="GZZ240" s="397"/>
      <c r="HAA240" s="397"/>
      <c r="HAB240" s="397"/>
      <c r="HAC240" s="397"/>
      <c r="HAD240" s="397"/>
      <c r="HAE240" s="397"/>
      <c r="HAF240" s="397"/>
      <c r="HAG240" s="397"/>
      <c r="HAH240" s="397"/>
      <c r="HAI240" s="397"/>
      <c r="HAJ240" s="397"/>
      <c r="HAK240" s="397"/>
      <c r="HAL240" s="397"/>
      <c r="HAM240" s="397"/>
      <c r="HAN240" s="397"/>
      <c r="HAO240" s="397"/>
      <c r="HAP240" s="397"/>
      <c r="HAQ240" s="397"/>
      <c r="HAR240" s="397"/>
      <c r="HAS240" s="397"/>
      <c r="HAT240" s="397"/>
      <c r="HAU240" s="397"/>
      <c r="HAV240" s="397"/>
      <c r="HAW240" s="397"/>
      <c r="HAX240" s="397"/>
      <c r="HAY240" s="397"/>
      <c r="HAZ240" s="397"/>
      <c r="HBA240" s="397"/>
      <c r="HBB240" s="397"/>
      <c r="HBC240" s="397"/>
      <c r="HBD240" s="397"/>
      <c r="HBE240" s="397"/>
      <c r="HBF240" s="397"/>
      <c r="HBG240" s="397"/>
      <c r="HBH240" s="397"/>
      <c r="HBI240" s="397"/>
      <c r="HBJ240" s="397"/>
      <c r="HBK240" s="397"/>
      <c r="HBL240" s="397"/>
      <c r="HBM240" s="397"/>
      <c r="HBN240" s="397"/>
      <c r="HBO240" s="397"/>
      <c r="HBP240" s="397"/>
      <c r="HBQ240" s="397"/>
      <c r="HBR240" s="397"/>
      <c r="HBS240" s="397"/>
      <c r="HBT240" s="397"/>
      <c r="HBU240" s="397"/>
      <c r="HBV240" s="397"/>
      <c r="HBW240" s="397"/>
      <c r="HBX240" s="397"/>
      <c r="HBY240" s="397"/>
      <c r="HBZ240" s="397"/>
      <c r="HCA240" s="397"/>
      <c r="HCB240" s="397"/>
      <c r="HCC240" s="397"/>
      <c r="HCD240" s="397"/>
      <c r="HCE240" s="397"/>
      <c r="HCF240" s="397"/>
      <c r="HCG240" s="397"/>
      <c r="HCH240" s="397"/>
      <c r="HCI240" s="397"/>
      <c r="HCJ240" s="397"/>
      <c r="HCK240" s="397"/>
      <c r="HCL240" s="397"/>
      <c r="HCM240" s="397"/>
      <c r="HCN240" s="397"/>
      <c r="HCO240" s="397"/>
      <c r="HCP240" s="397"/>
      <c r="HCQ240" s="397"/>
      <c r="HCR240" s="397"/>
      <c r="HCS240" s="397"/>
      <c r="HCT240" s="397"/>
      <c r="HCU240" s="397"/>
      <c r="HCV240" s="397"/>
      <c r="HCW240" s="397"/>
      <c r="HCX240" s="397"/>
      <c r="HCY240" s="397"/>
      <c r="HCZ240" s="397"/>
      <c r="HDA240" s="397"/>
      <c r="HDB240" s="397"/>
      <c r="HDC240" s="397"/>
      <c r="HDD240" s="397"/>
      <c r="HDE240" s="397"/>
      <c r="HDF240" s="397"/>
      <c r="HDG240" s="397"/>
      <c r="HDH240" s="397"/>
      <c r="HDI240" s="397"/>
      <c r="HDJ240" s="397"/>
      <c r="HDK240" s="397"/>
      <c r="HDL240" s="397"/>
      <c r="HDM240" s="397"/>
      <c r="HDN240" s="397"/>
      <c r="HDO240" s="397"/>
      <c r="HDP240" s="397"/>
      <c r="HDQ240" s="397"/>
      <c r="HDR240" s="397"/>
      <c r="HDS240" s="397"/>
      <c r="HDT240" s="397"/>
      <c r="HDU240" s="397"/>
      <c r="HDV240" s="397"/>
      <c r="HDW240" s="397"/>
      <c r="HDX240" s="397"/>
      <c r="HDY240" s="397"/>
      <c r="HDZ240" s="397"/>
      <c r="HEA240" s="397"/>
      <c r="HEB240" s="397"/>
      <c r="HEC240" s="397"/>
      <c r="HED240" s="397"/>
      <c r="HEE240" s="397"/>
      <c r="HEF240" s="397"/>
      <c r="HEG240" s="397"/>
      <c r="HEH240" s="397"/>
      <c r="HEI240" s="397"/>
      <c r="HEJ240" s="397"/>
      <c r="HEK240" s="397"/>
      <c r="HEL240" s="397"/>
      <c r="HEM240" s="397"/>
      <c r="HEN240" s="397"/>
      <c r="HEO240" s="397"/>
      <c r="HEP240" s="397"/>
      <c r="HEQ240" s="397"/>
      <c r="HER240" s="397"/>
      <c r="HES240" s="397"/>
      <c r="HET240" s="397"/>
      <c r="HEU240" s="397"/>
      <c r="HEV240" s="397"/>
      <c r="HEW240" s="397"/>
      <c r="HEX240" s="397"/>
      <c r="HEY240" s="397"/>
      <c r="HEZ240" s="397"/>
      <c r="HFA240" s="397"/>
      <c r="HFB240" s="397"/>
      <c r="HFC240" s="397"/>
      <c r="HFD240" s="397"/>
      <c r="HFE240" s="397"/>
      <c r="HFF240" s="397"/>
      <c r="HFG240" s="397"/>
      <c r="HFH240" s="397"/>
      <c r="HFI240" s="397"/>
      <c r="HFJ240" s="397"/>
      <c r="HFK240" s="397"/>
      <c r="HFL240" s="397"/>
      <c r="HFM240" s="397"/>
      <c r="HFN240" s="397"/>
      <c r="HFO240" s="397"/>
      <c r="HFP240" s="397"/>
      <c r="HFQ240" s="397"/>
      <c r="HFR240" s="397"/>
      <c r="HFS240" s="397"/>
      <c r="HFT240" s="397"/>
      <c r="HFU240" s="397"/>
      <c r="HFV240" s="397"/>
      <c r="HFW240" s="397"/>
      <c r="HFX240" s="397"/>
      <c r="HFY240" s="397"/>
      <c r="HFZ240" s="397"/>
      <c r="HGA240" s="397"/>
      <c r="HGB240" s="397"/>
      <c r="HGC240" s="397"/>
      <c r="HGD240" s="397"/>
      <c r="HGE240" s="397"/>
      <c r="HGF240" s="397"/>
      <c r="HGG240" s="397"/>
      <c r="HGH240" s="397"/>
      <c r="HGI240" s="397"/>
      <c r="HGJ240" s="397"/>
      <c r="HGK240" s="397"/>
      <c r="HGL240" s="397"/>
      <c r="HGM240" s="397"/>
      <c r="HGN240" s="397"/>
      <c r="HGO240" s="397"/>
      <c r="HGP240" s="397"/>
      <c r="HGQ240" s="397"/>
      <c r="HGR240" s="397"/>
      <c r="HGS240" s="397"/>
      <c r="HGT240" s="397"/>
      <c r="HGU240" s="397"/>
      <c r="HGV240" s="397"/>
      <c r="HGW240" s="397"/>
      <c r="HGX240" s="397"/>
      <c r="HGY240" s="397"/>
      <c r="HGZ240" s="397"/>
      <c r="HHA240" s="397"/>
      <c r="HHB240" s="397"/>
      <c r="HHC240" s="397"/>
      <c r="HHD240" s="397"/>
      <c r="HHE240" s="397"/>
      <c r="HHF240" s="397"/>
      <c r="HHG240" s="397"/>
      <c r="HHH240" s="397"/>
      <c r="HHI240" s="397"/>
      <c r="HHJ240" s="397"/>
      <c r="HHK240" s="397"/>
      <c r="HHL240" s="397"/>
      <c r="HHM240" s="397"/>
      <c r="HHN240" s="397"/>
      <c r="HHO240" s="397"/>
      <c r="HHP240" s="397"/>
      <c r="HHQ240" s="397"/>
      <c r="HHR240" s="397"/>
      <c r="HHS240" s="397"/>
      <c r="HHT240" s="397"/>
      <c r="HHU240" s="397"/>
      <c r="HHV240" s="397"/>
      <c r="HHW240" s="397"/>
      <c r="HHX240" s="397"/>
      <c r="HHY240" s="397"/>
      <c r="HHZ240" s="397"/>
      <c r="HIA240" s="397"/>
      <c r="HIB240" s="397"/>
      <c r="HIC240" s="397"/>
      <c r="HID240" s="397"/>
      <c r="HIE240" s="397"/>
      <c r="HIF240" s="397"/>
      <c r="HIG240" s="397"/>
      <c r="HIH240" s="397"/>
      <c r="HII240" s="397"/>
      <c r="HIJ240" s="397"/>
      <c r="HIK240" s="397"/>
      <c r="HIL240" s="397"/>
      <c r="HIM240" s="397"/>
      <c r="HIN240" s="397"/>
      <c r="HIO240" s="397"/>
      <c r="HIP240" s="397"/>
      <c r="HIQ240" s="397"/>
      <c r="HIR240" s="397"/>
      <c r="HIS240" s="397"/>
      <c r="HIT240" s="397"/>
      <c r="HIU240" s="397"/>
      <c r="HIV240" s="397"/>
      <c r="HIW240" s="397"/>
      <c r="HIX240" s="397"/>
      <c r="HIY240" s="397"/>
      <c r="HIZ240" s="397"/>
      <c r="HJA240" s="397"/>
      <c r="HJB240" s="397"/>
      <c r="HJC240" s="397"/>
      <c r="HJD240" s="397"/>
      <c r="HJE240" s="397"/>
      <c r="HJF240" s="397"/>
      <c r="HJG240" s="397"/>
      <c r="HJH240" s="397"/>
      <c r="HJI240" s="397"/>
      <c r="HJJ240" s="397"/>
      <c r="HJK240" s="397"/>
      <c r="HJL240" s="397"/>
      <c r="HJM240" s="397"/>
      <c r="HJN240" s="397"/>
      <c r="HJO240" s="397"/>
      <c r="HJP240" s="397"/>
      <c r="HJQ240" s="397"/>
      <c r="HJR240" s="397"/>
      <c r="HJS240" s="397"/>
      <c r="HJT240" s="397"/>
      <c r="HJU240" s="397"/>
      <c r="HJV240" s="397"/>
      <c r="HJW240" s="397"/>
      <c r="HJX240" s="397"/>
      <c r="HJY240" s="397"/>
      <c r="HJZ240" s="397"/>
      <c r="HKA240" s="397"/>
      <c r="HKB240" s="397"/>
      <c r="HKC240" s="397"/>
      <c r="HKD240" s="397"/>
      <c r="HKE240" s="397"/>
      <c r="HKF240" s="397"/>
      <c r="HKG240" s="397"/>
      <c r="HKH240" s="397"/>
      <c r="HKI240" s="397"/>
      <c r="HKJ240" s="397"/>
      <c r="HKK240" s="397"/>
      <c r="HKL240" s="397"/>
      <c r="HKM240" s="397"/>
      <c r="HKN240" s="397"/>
      <c r="HKO240" s="397"/>
      <c r="HKP240" s="397"/>
      <c r="HKQ240" s="397"/>
      <c r="HKR240" s="397"/>
      <c r="HKS240" s="397"/>
      <c r="HKT240" s="397"/>
      <c r="HKU240" s="397"/>
      <c r="HKV240" s="397"/>
      <c r="HKW240" s="397"/>
      <c r="HKX240" s="397"/>
      <c r="HKY240" s="397"/>
      <c r="HKZ240" s="397"/>
      <c r="HLA240" s="397"/>
      <c r="HLB240" s="397"/>
      <c r="HLC240" s="397"/>
      <c r="HLD240" s="397"/>
      <c r="HLE240" s="397"/>
      <c r="HLF240" s="397"/>
      <c r="HLG240" s="397"/>
      <c r="HLH240" s="397"/>
      <c r="HLI240" s="397"/>
      <c r="HLJ240" s="397"/>
      <c r="HLK240" s="397"/>
      <c r="HLL240" s="397"/>
      <c r="HLM240" s="397"/>
      <c r="HLN240" s="397"/>
      <c r="HLO240" s="397"/>
      <c r="HLP240" s="397"/>
      <c r="HLQ240" s="397"/>
      <c r="HLR240" s="397"/>
      <c r="HLS240" s="397"/>
      <c r="HLT240" s="397"/>
      <c r="HLU240" s="397"/>
      <c r="HLV240" s="397"/>
      <c r="HLW240" s="397"/>
      <c r="HLX240" s="397"/>
      <c r="HLY240" s="397"/>
      <c r="HLZ240" s="397"/>
      <c r="HMA240" s="397"/>
      <c r="HMB240" s="397"/>
      <c r="HMC240" s="397"/>
      <c r="HMD240" s="397"/>
      <c r="HME240" s="397"/>
      <c r="HMF240" s="397"/>
      <c r="HMG240" s="397"/>
      <c r="HMH240" s="397"/>
      <c r="HMI240" s="397"/>
      <c r="HMJ240" s="397"/>
      <c r="HMK240" s="397"/>
      <c r="HML240" s="397"/>
      <c r="HMM240" s="397"/>
      <c r="HMN240" s="397"/>
      <c r="HMO240" s="397"/>
      <c r="HMP240" s="397"/>
      <c r="HMQ240" s="397"/>
      <c r="HMR240" s="397"/>
      <c r="HMS240" s="397"/>
      <c r="HMT240" s="397"/>
      <c r="HMU240" s="397"/>
      <c r="HMV240" s="397"/>
      <c r="HMW240" s="397"/>
      <c r="HMX240" s="397"/>
      <c r="HMY240" s="397"/>
      <c r="HMZ240" s="397"/>
      <c r="HNA240" s="397"/>
      <c r="HNB240" s="397"/>
      <c r="HNC240" s="397"/>
      <c r="HND240" s="397"/>
      <c r="HNE240" s="397"/>
      <c r="HNF240" s="397"/>
      <c r="HNG240" s="397"/>
      <c r="HNH240" s="397"/>
      <c r="HNI240" s="397"/>
      <c r="HNJ240" s="397"/>
      <c r="HNK240" s="397"/>
      <c r="HNL240" s="397"/>
      <c r="HNM240" s="397"/>
      <c r="HNN240" s="397"/>
      <c r="HNO240" s="397"/>
      <c r="HNP240" s="397"/>
      <c r="HNQ240" s="397"/>
      <c r="HNR240" s="397"/>
      <c r="HNS240" s="397"/>
      <c r="HNT240" s="397"/>
      <c r="HNU240" s="397"/>
      <c r="HNV240" s="397"/>
      <c r="HNW240" s="397"/>
      <c r="HNX240" s="397"/>
      <c r="HNY240" s="397"/>
      <c r="HNZ240" s="397"/>
      <c r="HOA240" s="397"/>
      <c r="HOB240" s="397"/>
      <c r="HOC240" s="397"/>
      <c r="HOD240" s="397"/>
      <c r="HOE240" s="397"/>
      <c r="HOF240" s="397"/>
      <c r="HOG240" s="397"/>
      <c r="HOH240" s="397"/>
      <c r="HOI240" s="397"/>
      <c r="HOJ240" s="397"/>
      <c r="HOK240" s="397"/>
      <c r="HOL240" s="397"/>
      <c r="HOM240" s="397"/>
      <c r="HON240" s="397"/>
      <c r="HOO240" s="397"/>
      <c r="HOP240" s="397"/>
      <c r="HOQ240" s="397"/>
      <c r="HOR240" s="397"/>
      <c r="HOS240" s="397"/>
      <c r="HOT240" s="397"/>
      <c r="HOU240" s="397"/>
      <c r="HOV240" s="397"/>
      <c r="HOW240" s="397"/>
      <c r="HOX240" s="397"/>
      <c r="HOY240" s="397"/>
      <c r="HOZ240" s="397"/>
      <c r="HPA240" s="397"/>
      <c r="HPB240" s="397"/>
      <c r="HPC240" s="397"/>
      <c r="HPD240" s="397"/>
      <c r="HPE240" s="397"/>
      <c r="HPF240" s="397"/>
      <c r="HPG240" s="397"/>
      <c r="HPH240" s="397"/>
      <c r="HPI240" s="397"/>
      <c r="HPJ240" s="397"/>
      <c r="HPK240" s="397"/>
      <c r="HPL240" s="397"/>
      <c r="HPM240" s="397"/>
      <c r="HPN240" s="397"/>
      <c r="HPO240" s="397"/>
      <c r="HPP240" s="397"/>
      <c r="HPQ240" s="397"/>
      <c r="HPR240" s="397"/>
      <c r="HPS240" s="397"/>
      <c r="HPT240" s="397"/>
      <c r="HPU240" s="397"/>
      <c r="HPV240" s="397"/>
      <c r="HPW240" s="397"/>
      <c r="HPX240" s="397"/>
      <c r="HPY240" s="397"/>
      <c r="HPZ240" s="397"/>
      <c r="HQA240" s="397"/>
      <c r="HQB240" s="397"/>
      <c r="HQC240" s="397"/>
      <c r="HQD240" s="397"/>
      <c r="HQE240" s="397"/>
      <c r="HQF240" s="397"/>
      <c r="HQG240" s="397"/>
      <c r="HQH240" s="397"/>
      <c r="HQI240" s="397"/>
      <c r="HQJ240" s="397"/>
      <c r="HQK240" s="397"/>
      <c r="HQL240" s="397"/>
      <c r="HQM240" s="397"/>
      <c r="HQN240" s="397"/>
      <c r="HQO240" s="397"/>
      <c r="HQP240" s="397"/>
      <c r="HQQ240" s="397"/>
      <c r="HQR240" s="397"/>
      <c r="HQS240" s="397"/>
      <c r="HQT240" s="397"/>
      <c r="HQU240" s="397"/>
      <c r="HQV240" s="397"/>
      <c r="HQW240" s="397"/>
      <c r="HQX240" s="397"/>
      <c r="HQY240" s="397"/>
      <c r="HQZ240" s="397"/>
      <c r="HRA240" s="397"/>
      <c r="HRB240" s="397"/>
      <c r="HRC240" s="397"/>
      <c r="HRD240" s="397"/>
      <c r="HRE240" s="397"/>
      <c r="HRF240" s="397"/>
      <c r="HRG240" s="397"/>
      <c r="HRH240" s="397"/>
      <c r="HRI240" s="397"/>
      <c r="HRJ240" s="397"/>
      <c r="HRK240" s="397"/>
      <c r="HRL240" s="397"/>
      <c r="HRM240" s="397"/>
      <c r="HRN240" s="397"/>
      <c r="HRO240" s="397"/>
      <c r="HRP240" s="397"/>
      <c r="HRQ240" s="397"/>
      <c r="HRR240" s="397"/>
      <c r="HRS240" s="397"/>
      <c r="HRT240" s="397"/>
      <c r="HRU240" s="397"/>
      <c r="HRV240" s="397"/>
      <c r="HRW240" s="397"/>
      <c r="HRX240" s="397"/>
      <c r="HRY240" s="397"/>
      <c r="HRZ240" s="397"/>
      <c r="HSA240" s="397"/>
      <c r="HSB240" s="397"/>
      <c r="HSC240" s="397"/>
      <c r="HSD240" s="397"/>
      <c r="HSE240" s="397"/>
      <c r="HSF240" s="397"/>
      <c r="HSG240" s="397"/>
      <c r="HSH240" s="397"/>
      <c r="HSI240" s="397"/>
      <c r="HSJ240" s="397"/>
      <c r="HSK240" s="397"/>
      <c r="HSL240" s="397"/>
      <c r="HSM240" s="397"/>
      <c r="HSN240" s="397"/>
      <c r="HSO240" s="397"/>
      <c r="HSP240" s="397"/>
      <c r="HSQ240" s="397"/>
      <c r="HSR240" s="397"/>
      <c r="HSS240" s="397"/>
      <c r="HST240" s="397"/>
      <c r="HSU240" s="397"/>
      <c r="HSV240" s="397"/>
      <c r="HSW240" s="397"/>
      <c r="HSX240" s="397"/>
      <c r="HSY240" s="397"/>
      <c r="HSZ240" s="397"/>
      <c r="HTA240" s="397"/>
      <c r="HTB240" s="397"/>
      <c r="HTC240" s="397"/>
      <c r="HTD240" s="397"/>
      <c r="HTE240" s="397"/>
      <c r="HTF240" s="397"/>
      <c r="HTG240" s="397"/>
      <c r="HTH240" s="397"/>
      <c r="HTI240" s="397"/>
      <c r="HTJ240" s="397"/>
      <c r="HTK240" s="397"/>
      <c r="HTL240" s="397"/>
      <c r="HTM240" s="397"/>
      <c r="HTN240" s="397"/>
      <c r="HTO240" s="397"/>
      <c r="HTP240" s="397"/>
      <c r="HTQ240" s="397"/>
      <c r="HTR240" s="397"/>
      <c r="HTS240" s="397"/>
      <c r="HTT240" s="397"/>
      <c r="HTU240" s="397"/>
      <c r="HTV240" s="397"/>
      <c r="HTW240" s="397"/>
      <c r="HTX240" s="397"/>
      <c r="HTY240" s="397"/>
      <c r="HTZ240" s="397"/>
      <c r="HUA240" s="397"/>
      <c r="HUB240" s="397"/>
      <c r="HUC240" s="397"/>
      <c r="HUD240" s="397"/>
      <c r="HUE240" s="397"/>
      <c r="HUF240" s="397"/>
      <c r="HUG240" s="397"/>
      <c r="HUH240" s="397"/>
      <c r="HUI240" s="397"/>
      <c r="HUJ240" s="397"/>
      <c r="HUK240" s="397"/>
      <c r="HUL240" s="397"/>
      <c r="HUM240" s="397"/>
      <c r="HUN240" s="397"/>
      <c r="HUO240" s="397"/>
      <c r="HUP240" s="397"/>
      <c r="HUQ240" s="397"/>
      <c r="HUR240" s="397"/>
      <c r="HUS240" s="397"/>
      <c r="HUT240" s="397"/>
      <c r="HUU240" s="397"/>
      <c r="HUV240" s="397"/>
      <c r="HUW240" s="397"/>
      <c r="HUX240" s="397"/>
      <c r="HUY240" s="397"/>
      <c r="HUZ240" s="397"/>
      <c r="HVA240" s="397"/>
      <c r="HVB240" s="397"/>
      <c r="HVC240" s="397"/>
      <c r="HVD240" s="397"/>
      <c r="HVE240" s="397"/>
      <c r="HVF240" s="397"/>
      <c r="HVG240" s="397"/>
      <c r="HVH240" s="397"/>
      <c r="HVI240" s="397"/>
      <c r="HVJ240" s="397"/>
      <c r="HVK240" s="397"/>
      <c r="HVL240" s="397"/>
      <c r="HVM240" s="397"/>
      <c r="HVN240" s="397"/>
      <c r="HVO240" s="397"/>
      <c r="HVP240" s="397"/>
      <c r="HVQ240" s="397"/>
      <c r="HVR240" s="397"/>
      <c r="HVS240" s="397"/>
      <c r="HVT240" s="397"/>
      <c r="HVU240" s="397"/>
      <c r="HVV240" s="397"/>
      <c r="HVW240" s="397"/>
      <c r="HVX240" s="397"/>
      <c r="HVY240" s="397"/>
      <c r="HVZ240" s="397"/>
      <c r="HWA240" s="397"/>
      <c r="HWB240" s="397"/>
      <c r="HWC240" s="397"/>
      <c r="HWD240" s="397"/>
      <c r="HWE240" s="397"/>
      <c r="HWF240" s="397"/>
      <c r="HWG240" s="397"/>
      <c r="HWH240" s="397"/>
      <c r="HWI240" s="397"/>
      <c r="HWJ240" s="397"/>
      <c r="HWK240" s="397"/>
      <c r="HWL240" s="397"/>
      <c r="HWM240" s="397"/>
      <c r="HWN240" s="397"/>
      <c r="HWO240" s="397"/>
      <c r="HWP240" s="397"/>
      <c r="HWQ240" s="397"/>
      <c r="HWR240" s="397"/>
      <c r="HWS240" s="397"/>
      <c r="HWT240" s="397"/>
      <c r="HWU240" s="397"/>
      <c r="HWV240" s="397"/>
      <c r="HWW240" s="397"/>
      <c r="HWX240" s="397"/>
      <c r="HWY240" s="397"/>
      <c r="HWZ240" s="397"/>
      <c r="HXA240" s="397"/>
      <c r="HXB240" s="397"/>
      <c r="HXC240" s="397"/>
      <c r="HXD240" s="397"/>
      <c r="HXE240" s="397"/>
      <c r="HXF240" s="397"/>
      <c r="HXG240" s="397"/>
      <c r="HXH240" s="397"/>
      <c r="HXI240" s="397"/>
      <c r="HXJ240" s="397"/>
      <c r="HXK240" s="397"/>
      <c r="HXL240" s="397"/>
      <c r="HXM240" s="397"/>
      <c r="HXN240" s="397"/>
      <c r="HXO240" s="397"/>
      <c r="HXP240" s="397"/>
      <c r="HXQ240" s="397"/>
      <c r="HXR240" s="397"/>
      <c r="HXS240" s="397"/>
      <c r="HXT240" s="397"/>
      <c r="HXU240" s="397"/>
      <c r="HXV240" s="397"/>
      <c r="HXW240" s="397"/>
      <c r="HXX240" s="397"/>
      <c r="HXY240" s="397"/>
      <c r="HXZ240" s="397"/>
      <c r="HYA240" s="397"/>
      <c r="HYB240" s="397"/>
      <c r="HYC240" s="397"/>
      <c r="HYD240" s="397"/>
      <c r="HYE240" s="397"/>
      <c r="HYF240" s="397"/>
      <c r="HYG240" s="397"/>
      <c r="HYH240" s="397"/>
      <c r="HYI240" s="397"/>
      <c r="HYJ240" s="397"/>
      <c r="HYK240" s="397"/>
      <c r="HYL240" s="397"/>
      <c r="HYM240" s="397"/>
      <c r="HYN240" s="397"/>
      <c r="HYO240" s="397"/>
      <c r="HYP240" s="397"/>
      <c r="HYQ240" s="397"/>
      <c r="HYR240" s="397"/>
      <c r="HYS240" s="397"/>
      <c r="HYT240" s="397"/>
      <c r="HYU240" s="397"/>
      <c r="HYV240" s="397"/>
      <c r="HYW240" s="397"/>
      <c r="HYX240" s="397"/>
      <c r="HYY240" s="397"/>
      <c r="HYZ240" s="397"/>
      <c r="HZA240" s="397"/>
      <c r="HZB240" s="397"/>
      <c r="HZC240" s="397"/>
      <c r="HZD240" s="397"/>
      <c r="HZE240" s="397"/>
      <c r="HZF240" s="397"/>
      <c r="HZG240" s="397"/>
      <c r="HZH240" s="397"/>
      <c r="HZI240" s="397"/>
      <c r="HZJ240" s="397"/>
      <c r="HZK240" s="397"/>
      <c r="HZL240" s="397"/>
      <c r="HZM240" s="397"/>
      <c r="HZN240" s="397"/>
      <c r="HZO240" s="397"/>
      <c r="HZP240" s="397"/>
      <c r="HZQ240" s="397"/>
      <c r="HZR240" s="397"/>
      <c r="HZS240" s="397"/>
      <c r="HZT240" s="397"/>
      <c r="HZU240" s="397"/>
      <c r="HZV240" s="397"/>
      <c r="HZW240" s="397"/>
      <c r="HZX240" s="397"/>
      <c r="HZY240" s="397"/>
      <c r="HZZ240" s="397"/>
      <c r="IAA240" s="397"/>
      <c r="IAB240" s="397"/>
      <c r="IAC240" s="397"/>
      <c r="IAD240" s="397"/>
      <c r="IAE240" s="397"/>
      <c r="IAF240" s="397"/>
      <c r="IAG240" s="397"/>
      <c r="IAH240" s="397"/>
      <c r="IAI240" s="397"/>
      <c r="IAJ240" s="397"/>
      <c r="IAK240" s="397"/>
      <c r="IAL240" s="397"/>
      <c r="IAM240" s="397"/>
      <c r="IAN240" s="397"/>
      <c r="IAO240" s="397"/>
      <c r="IAP240" s="397"/>
      <c r="IAQ240" s="397"/>
      <c r="IAR240" s="397"/>
      <c r="IAS240" s="397"/>
      <c r="IAT240" s="397"/>
      <c r="IAU240" s="397"/>
      <c r="IAV240" s="397"/>
      <c r="IAW240" s="397"/>
      <c r="IAX240" s="397"/>
      <c r="IAY240" s="397"/>
      <c r="IAZ240" s="397"/>
      <c r="IBA240" s="397"/>
      <c r="IBB240" s="397"/>
      <c r="IBC240" s="397"/>
      <c r="IBD240" s="397"/>
      <c r="IBE240" s="397"/>
      <c r="IBF240" s="397"/>
      <c r="IBG240" s="397"/>
      <c r="IBH240" s="397"/>
      <c r="IBI240" s="397"/>
      <c r="IBJ240" s="397"/>
      <c r="IBK240" s="397"/>
      <c r="IBL240" s="397"/>
      <c r="IBM240" s="397"/>
      <c r="IBN240" s="397"/>
      <c r="IBO240" s="397"/>
      <c r="IBP240" s="397"/>
      <c r="IBQ240" s="397"/>
      <c r="IBR240" s="397"/>
      <c r="IBS240" s="397"/>
      <c r="IBT240" s="397"/>
      <c r="IBU240" s="397"/>
      <c r="IBV240" s="397"/>
      <c r="IBW240" s="397"/>
      <c r="IBX240" s="397"/>
      <c r="IBY240" s="397"/>
      <c r="IBZ240" s="397"/>
      <c r="ICA240" s="397"/>
      <c r="ICB240" s="397"/>
      <c r="ICC240" s="397"/>
      <c r="ICD240" s="397"/>
      <c r="ICE240" s="397"/>
      <c r="ICF240" s="397"/>
      <c r="ICG240" s="397"/>
      <c r="ICH240" s="397"/>
      <c r="ICI240" s="397"/>
      <c r="ICJ240" s="397"/>
      <c r="ICK240" s="397"/>
      <c r="ICL240" s="397"/>
      <c r="ICM240" s="397"/>
      <c r="ICN240" s="397"/>
      <c r="ICO240" s="397"/>
      <c r="ICP240" s="397"/>
      <c r="ICQ240" s="397"/>
      <c r="ICR240" s="397"/>
      <c r="ICS240" s="397"/>
      <c r="ICT240" s="397"/>
      <c r="ICU240" s="397"/>
      <c r="ICV240" s="397"/>
      <c r="ICW240" s="397"/>
      <c r="ICX240" s="397"/>
      <c r="ICY240" s="397"/>
      <c r="ICZ240" s="397"/>
      <c r="IDA240" s="397"/>
      <c r="IDB240" s="397"/>
      <c r="IDC240" s="397"/>
      <c r="IDD240" s="397"/>
      <c r="IDE240" s="397"/>
      <c r="IDF240" s="397"/>
      <c r="IDG240" s="397"/>
      <c r="IDH240" s="397"/>
      <c r="IDI240" s="397"/>
      <c r="IDJ240" s="397"/>
      <c r="IDK240" s="397"/>
      <c r="IDL240" s="397"/>
      <c r="IDM240" s="397"/>
      <c r="IDN240" s="397"/>
      <c r="IDO240" s="397"/>
      <c r="IDP240" s="397"/>
      <c r="IDQ240" s="397"/>
      <c r="IDR240" s="397"/>
      <c r="IDS240" s="397"/>
      <c r="IDT240" s="397"/>
      <c r="IDU240" s="397"/>
      <c r="IDV240" s="397"/>
      <c r="IDW240" s="397"/>
      <c r="IDX240" s="397"/>
      <c r="IDY240" s="397"/>
      <c r="IDZ240" s="397"/>
      <c r="IEA240" s="397"/>
      <c r="IEB240" s="397"/>
      <c r="IEC240" s="397"/>
      <c r="IED240" s="397"/>
      <c r="IEE240" s="397"/>
      <c r="IEF240" s="397"/>
      <c r="IEG240" s="397"/>
      <c r="IEH240" s="397"/>
      <c r="IEI240" s="397"/>
      <c r="IEJ240" s="397"/>
      <c r="IEK240" s="397"/>
      <c r="IEL240" s="397"/>
      <c r="IEM240" s="397"/>
      <c r="IEN240" s="397"/>
      <c r="IEO240" s="397"/>
      <c r="IEP240" s="397"/>
      <c r="IEQ240" s="397"/>
      <c r="IER240" s="397"/>
      <c r="IES240" s="397"/>
      <c r="IET240" s="397"/>
      <c r="IEU240" s="397"/>
      <c r="IEV240" s="397"/>
      <c r="IEW240" s="397"/>
      <c r="IEX240" s="397"/>
      <c r="IEY240" s="397"/>
      <c r="IEZ240" s="397"/>
      <c r="IFA240" s="397"/>
      <c r="IFB240" s="397"/>
      <c r="IFC240" s="397"/>
      <c r="IFD240" s="397"/>
      <c r="IFE240" s="397"/>
      <c r="IFF240" s="397"/>
      <c r="IFG240" s="397"/>
      <c r="IFH240" s="397"/>
      <c r="IFI240" s="397"/>
      <c r="IFJ240" s="397"/>
      <c r="IFK240" s="397"/>
      <c r="IFL240" s="397"/>
      <c r="IFM240" s="397"/>
      <c r="IFN240" s="397"/>
      <c r="IFO240" s="397"/>
      <c r="IFP240" s="397"/>
      <c r="IFQ240" s="397"/>
      <c r="IFR240" s="397"/>
      <c r="IFS240" s="397"/>
      <c r="IFT240" s="397"/>
      <c r="IFU240" s="397"/>
      <c r="IFV240" s="397"/>
      <c r="IFW240" s="397"/>
      <c r="IFX240" s="397"/>
      <c r="IFY240" s="397"/>
      <c r="IFZ240" s="397"/>
      <c r="IGA240" s="397"/>
      <c r="IGB240" s="397"/>
      <c r="IGC240" s="397"/>
      <c r="IGD240" s="397"/>
      <c r="IGE240" s="397"/>
      <c r="IGF240" s="397"/>
      <c r="IGG240" s="397"/>
      <c r="IGH240" s="397"/>
      <c r="IGI240" s="397"/>
      <c r="IGJ240" s="397"/>
      <c r="IGK240" s="397"/>
      <c r="IGL240" s="397"/>
      <c r="IGM240" s="397"/>
      <c r="IGN240" s="397"/>
      <c r="IGO240" s="397"/>
      <c r="IGP240" s="397"/>
      <c r="IGQ240" s="397"/>
      <c r="IGR240" s="397"/>
      <c r="IGS240" s="397"/>
      <c r="IGT240" s="397"/>
      <c r="IGU240" s="397"/>
      <c r="IGV240" s="397"/>
      <c r="IGW240" s="397"/>
      <c r="IGX240" s="397"/>
      <c r="IGY240" s="397"/>
      <c r="IGZ240" s="397"/>
      <c r="IHA240" s="397"/>
      <c r="IHB240" s="397"/>
      <c r="IHC240" s="397"/>
      <c r="IHD240" s="397"/>
      <c r="IHE240" s="397"/>
      <c r="IHF240" s="397"/>
      <c r="IHG240" s="397"/>
      <c r="IHH240" s="397"/>
      <c r="IHI240" s="397"/>
      <c r="IHJ240" s="397"/>
      <c r="IHK240" s="397"/>
      <c r="IHL240" s="397"/>
      <c r="IHM240" s="397"/>
      <c r="IHN240" s="397"/>
      <c r="IHO240" s="397"/>
      <c r="IHP240" s="397"/>
      <c r="IHQ240" s="397"/>
      <c r="IHR240" s="397"/>
      <c r="IHS240" s="397"/>
      <c r="IHT240" s="397"/>
      <c r="IHU240" s="397"/>
      <c r="IHV240" s="397"/>
      <c r="IHW240" s="397"/>
      <c r="IHX240" s="397"/>
      <c r="IHY240" s="397"/>
      <c r="IHZ240" s="397"/>
      <c r="IIA240" s="397"/>
      <c r="IIB240" s="397"/>
      <c r="IIC240" s="397"/>
      <c r="IID240" s="397"/>
      <c r="IIE240" s="397"/>
      <c r="IIF240" s="397"/>
      <c r="IIG240" s="397"/>
      <c r="IIH240" s="397"/>
      <c r="III240" s="397"/>
      <c r="IIJ240" s="397"/>
      <c r="IIK240" s="397"/>
      <c r="IIL240" s="397"/>
      <c r="IIM240" s="397"/>
      <c r="IIN240" s="397"/>
      <c r="IIO240" s="397"/>
      <c r="IIP240" s="397"/>
      <c r="IIQ240" s="397"/>
      <c r="IIR240" s="397"/>
      <c r="IIS240" s="397"/>
      <c r="IIT240" s="397"/>
      <c r="IIU240" s="397"/>
      <c r="IIV240" s="397"/>
      <c r="IIW240" s="397"/>
      <c r="IIX240" s="397"/>
      <c r="IIY240" s="397"/>
      <c r="IIZ240" s="397"/>
      <c r="IJA240" s="397"/>
      <c r="IJB240" s="397"/>
      <c r="IJC240" s="397"/>
      <c r="IJD240" s="397"/>
      <c r="IJE240" s="397"/>
      <c r="IJF240" s="397"/>
      <c r="IJG240" s="397"/>
      <c r="IJH240" s="397"/>
      <c r="IJI240" s="397"/>
      <c r="IJJ240" s="397"/>
      <c r="IJK240" s="397"/>
      <c r="IJL240" s="397"/>
      <c r="IJM240" s="397"/>
      <c r="IJN240" s="397"/>
      <c r="IJO240" s="397"/>
      <c r="IJP240" s="397"/>
      <c r="IJQ240" s="397"/>
      <c r="IJR240" s="397"/>
      <c r="IJS240" s="397"/>
      <c r="IJT240" s="397"/>
      <c r="IJU240" s="397"/>
      <c r="IJV240" s="397"/>
      <c r="IJW240" s="397"/>
      <c r="IJX240" s="397"/>
      <c r="IJY240" s="397"/>
      <c r="IJZ240" s="397"/>
      <c r="IKA240" s="397"/>
      <c r="IKB240" s="397"/>
      <c r="IKC240" s="397"/>
      <c r="IKD240" s="397"/>
      <c r="IKE240" s="397"/>
      <c r="IKF240" s="397"/>
      <c r="IKG240" s="397"/>
      <c r="IKH240" s="397"/>
      <c r="IKI240" s="397"/>
      <c r="IKJ240" s="397"/>
      <c r="IKK240" s="397"/>
      <c r="IKL240" s="397"/>
      <c r="IKM240" s="397"/>
      <c r="IKN240" s="397"/>
      <c r="IKO240" s="397"/>
      <c r="IKP240" s="397"/>
      <c r="IKQ240" s="397"/>
      <c r="IKR240" s="397"/>
      <c r="IKS240" s="397"/>
      <c r="IKT240" s="397"/>
      <c r="IKU240" s="397"/>
      <c r="IKV240" s="397"/>
      <c r="IKW240" s="397"/>
      <c r="IKX240" s="397"/>
      <c r="IKY240" s="397"/>
      <c r="IKZ240" s="397"/>
      <c r="ILA240" s="397"/>
      <c r="ILB240" s="397"/>
      <c r="ILC240" s="397"/>
      <c r="ILD240" s="397"/>
      <c r="ILE240" s="397"/>
      <c r="ILF240" s="397"/>
      <c r="ILG240" s="397"/>
      <c r="ILH240" s="397"/>
      <c r="ILI240" s="397"/>
      <c r="ILJ240" s="397"/>
      <c r="ILK240" s="397"/>
      <c r="ILL240" s="397"/>
      <c r="ILM240" s="397"/>
      <c r="ILN240" s="397"/>
      <c r="ILO240" s="397"/>
      <c r="ILP240" s="397"/>
      <c r="ILQ240" s="397"/>
      <c r="ILR240" s="397"/>
      <c r="ILS240" s="397"/>
      <c r="ILT240" s="397"/>
      <c r="ILU240" s="397"/>
      <c r="ILV240" s="397"/>
      <c r="ILW240" s="397"/>
      <c r="ILX240" s="397"/>
      <c r="ILY240" s="397"/>
      <c r="ILZ240" s="397"/>
      <c r="IMA240" s="397"/>
      <c r="IMB240" s="397"/>
      <c r="IMC240" s="397"/>
      <c r="IMD240" s="397"/>
      <c r="IME240" s="397"/>
      <c r="IMF240" s="397"/>
      <c r="IMG240" s="397"/>
      <c r="IMH240" s="397"/>
      <c r="IMI240" s="397"/>
      <c r="IMJ240" s="397"/>
      <c r="IMK240" s="397"/>
      <c r="IML240" s="397"/>
      <c r="IMM240" s="397"/>
      <c r="IMN240" s="397"/>
      <c r="IMO240" s="397"/>
      <c r="IMP240" s="397"/>
      <c r="IMQ240" s="397"/>
      <c r="IMR240" s="397"/>
      <c r="IMS240" s="397"/>
      <c r="IMT240" s="397"/>
      <c r="IMU240" s="397"/>
      <c r="IMV240" s="397"/>
      <c r="IMW240" s="397"/>
      <c r="IMX240" s="397"/>
      <c r="IMY240" s="397"/>
      <c r="IMZ240" s="397"/>
      <c r="INA240" s="397"/>
      <c r="INB240" s="397"/>
      <c r="INC240" s="397"/>
      <c r="IND240" s="397"/>
      <c r="INE240" s="397"/>
      <c r="INF240" s="397"/>
      <c r="ING240" s="397"/>
      <c r="INH240" s="397"/>
      <c r="INI240" s="397"/>
      <c r="INJ240" s="397"/>
      <c r="INK240" s="397"/>
      <c r="INL240" s="397"/>
      <c r="INM240" s="397"/>
      <c r="INN240" s="397"/>
      <c r="INO240" s="397"/>
      <c r="INP240" s="397"/>
      <c r="INQ240" s="397"/>
      <c r="INR240" s="397"/>
      <c r="INS240" s="397"/>
      <c r="INT240" s="397"/>
      <c r="INU240" s="397"/>
      <c r="INV240" s="397"/>
      <c r="INW240" s="397"/>
      <c r="INX240" s="397"/>
      <c r="INY240" s="397"/>
      <c r="INZ240" s="397"/>
      <c r="IOA240" s="397"/>
      <c r="IOB240" s="397"/>
      <c r="IOC240" s="397"/>
      <c r="IOD240" s="397"/>
      <c r="IOE240" s="397"/>
      <c r="IOF240" s="397"/>
      <c r="IOG240" s="397"/>
      <c r="IOH240" s="397"/>
      <c r="IOI240" s="397"/>
      <c r="IOJ240" s="397"/>
      <c r="IOK240" s="397"/>
      <c r="IOL240" s="397"/>
      <c r="IOM240" s="397"/>
      <c r="ION240" s="397"/>
      <c r="IOO240" s="397"/>
      <c r="IOP240" s="397"/>
      <c r="IOQ240" s="397"/>
      <c r="IOR240" s="397"/>
      <c r="IOS240" s="397"/>
      <c r="IOT240" s="397"/>
      <c r="IOU240" s="397"/>
      <c r="IOV240" s="397"/>
      <c r="IOW240" s="397"/>
      <c r="IOX240" s="397"/>
      <c r="IOY240" s="397"/>
      <c r="IOZ240" s="397"/>
      <c r="IPA240" s="397"/>
      <c r="IPB240" s="397"/>
      <c r="IPC240" s="397"/>
      <c r="IPD240" s="397"/>
      <c r="IPE240" s="397"/>
      <c r="IPF240" s="397"/>
      <c r="IPG240" s="397"/>
      <c r="IPH240" s="397"/>
      <c r="IPI240" s="397"/>
      <c r="IPJ240" s="397"/>
      <c r="IPK240" s="397"/>
      <c r="IPL240" s="397"/>
      <c r="IPM240" s="397"/>
      <c r="IPN240" s="397"/>
      <c r="IPO240" s="397"/>
      <c r="IPP240" s="397"/>
      <c r="IPQ240" s="397"/>
      <c r="IPR240" s="397"/>
      <c r="IPS240" s="397"/>
      <c r="IPT240" s="397"/>
      <c r="IPU240" s="397"/>
      <c r="IPV240" s="397"/>
      <c r="IPW240" s="397"/>
      <c r="IPX240" s="397"/>
      <c r="IPY240" s="397"/>
      <c r="IPZ240" s="397"/>
      <c r="IQA240" s="397"/>
      <c r="IQB240" s="397"/>
      <c r="IQC240" s="397"/>
      <c r="IQD240" s="397"/>
      <c r="IQE240" s="397"/>
      <c r="IQF240" s="397"/>
      <c r="IQG240" s="397"/>
      <c r="IQH240" s="397"/>
      <c r="IQI240" s="397"/>
      <c r="IQJ240" s="397"/>
      <c r="IQK240" s="397"/>
      <c r="IQL240" s="397"/>
      <c r="IQM240" s="397"/>
      <c r="IQN240" s="397"/>
      <c r="IQO240" s="397"/>
      <c r="IQP240" s="397"/>
      <c r="IQQ240" s="397"/>
      <c r="IQR240" s="397"/>
      <c r="IQS240" s="397"/>
      <c r="IQT240" s="397"/>
      <c r="IQU240" s="397"/>
      <c r="IQV240" s="397"/>
      <c r="IQW240" s="397"/>
      <c r="IQX240" s="397"/>
      <c r="IQY240" s="397"/>
      <c r="IQZ240" s="397"/>
      <c r="IRA240" s="397"/>
      <c r="IRB240" s="397"/>
      <c r="IRC240" s="397"/>
      <c r="IRD240" s="397"/>
      <c r="IRE240" s="397"/>
      <c r="IRF240" s="397"/>
      <c r="IRG240" s="397"/>
      <c r="IRH240" s="397"/>
      <c r="IRI240" s="397"/>
      <c r="IRJ240" s="397"/>
      <c r="IRK240" s="397"/>
      <c r="IRL240" s="397"/>
      <c r="IRM240" s="397"/>
      <c r="IRN240" s="397"/>
      <c r="IRO240" s="397"/>
      <c r="IRP240" s="397"/>
      <c r="IRQ240" s="397"/>
      <c r="IRR240" s="397"/>
      <c r="IRS240" s="397"/>
      <c r="IRT240" s="397"/>
      <c r="IRU240" s="397"/>
      <c r="IRV240" s="397"/>
      <c r="IRW240" s="397"/>
      <c r="IRX240" s="397"/>
      <c r="IRY240" s="397"/>
      <c r="IRZ240" s="397"/>
      <c r="ISA240" s="397"/>
      <c r="ISB240" s="397"/>
      <c r="ISC240" s="397"/>
      <c r="ISD240" s="397"/>
      <c r="ISE240" s="397"/>
      <c r="ISF240" s="397"/>
      <c r="ISG240" s="397"/>
      <c r="ISH240" s="397"/>
      <c r="ISI240" s="397"/>
      <c r="ISJ240" s="397"/>
      <c r="ISK240" s="397"/>
      <c r="ISL240" s="397"/>
      <c r="ISM240" s="397"/>
      <c r="ISN240" s="397"/>
      <c r="ISO240" s="397"/>
      <c r="ISP240" s="397"/>
      <c r="ISQ240" s="397"/>
      <c r="ISR240" s="397"/>
      <c r="ISS240" s="397"/>
      <c r="IST240" s="397"/>
      <c r="ISU240" s="397"/>
      <c r="ISV240" s="397"/>
      <c r="ISW240" s="397"/>
      <c r="ISX240" s="397"/>
      <c r="ISY240" s="397"/>
      <c r="ISZ240" s="397"/>
      <c r="ITA240" s="397"/>
      <c r="ITB240" s="397"/>
      <c r="ITC240" s="397"/>
      <c r="ITD240" s="397"/>
      <c r="ITE240" s="397"/>
      <c r="ITF240" s="397"/>
      <c r="ITG240" s="397"/>
      <c r="ITH240" s="397"/>
      <c r="ITI240" s="397"/>
      <c r="ITJ240" s="397"/>
      <c r="ITK240" s="397"/>
      <c r="ITL240" s="397"/>
      <c r="ITM240" s="397"/>
      <c r="ITN240" s="397"/>
      <c r="ITO240" s="397"/>
      <c r="ITP240" s="397"/>
      <c r="ITQ240" s="397"/>
      <c r="ITR240" s="397"/>
      <c r="ITS240" s="397"/>
      <c r="ITT240" s="397"/>
      <c r="ITU240" s="397"/>
      <c r="ITV240" s="397"/>
      <c r="ITW240" s="397"/>
      <c r="ITX240" s="397"/>
      <c r="ITY240" s="397"/>
      <c r="ITZ240" s="397"/>
      <c r="IUA240" s="397"/>
      <c r="IUB240" s="397"/>
      <c r="IUC240" s="397"/>
      <c r="IUD240" s="397"/>
      <c r="IUE240" s="397"/>
      <c r="IUF240" s="397"/>
      <c r="IUG240" s="397"/>
      <c r="IUH240" s="397"/>
      <c r="IUI240" s="397"/>
      <c r="IUJ240" s="397"/>
      <c r="IUK240" s="397"/>
      <c r="IUL240" s="397"/>
      <c r="IUM240" s="397"/>
      <c r="IUN240" s="397"/>
      <c r="IUO240" s="397"/>
      <c r="IUP240" s="397"/>
      <c r="IUQ240" s="397"/>
      <c r="IUR240" s="397"/>
      <c r="IUS240" s="397"/>
      <c r="IUT240" s="397"/>
      <c r="IUU240" s="397"/>
      <c r="IUV240" s="397"/>
      <c r="IUW240" s="397"/>
      <c r="IUX240" s="397"/>
      <c r="IUY240" s="397"/>
      <c r="IUZ240" s="397"/>
      <c r="IVA240" s="397"/>
      <c r="IVB240" s="397"/>
      <c r="IVC240" s="397"/>
      <c r="IVD240" s="397"/>
      <c r="IVE240" s="397"/>
      <c r="IVF240" s="397"/>
      <c r="IVG240" s="397"/>
      <c r="IVH240" s="397"/>
      <c r="IVI240" s="397"/>
      <c r="IVJ240" s="397"/>
      <c r="IVK240" s="397"/>
      <c r="IVL240" s="397"/>
      <c r="IVM240" s="397"/>
      <c r="IVN240" s="397"/>
      <c r="IVO240" s="397"/>
      <c r="IVP240" s="397"/>
      <c r="IVQ240" s="397"/>
      <c r="IVR240" s="397"/>
      <c r="IVS240" s="397"/>
      <c r="IVT240" s="397"/>
      <c r="IVU240" s="397"/>
      <c r="IVV240" s="397"/>
      <c r="IVW240" s="397"/>
      <c r="IVX240" s="397"/>
      <c r="IVY240" s="397"/>
      <c r="IVZ240" s="397"/>
      <c r="IWA240" s="397"/>
      <c r="IWB240" s="397"/>
      <c r="IWC240" s="397"/>
      <c r="IWD240" s="397"/>
      <c r="IWE240" s="397"/>
      <c r="IWF240" s="397"/>
      <c r="IWG240" s="397"/>
      <c r="IWH240" s="397"/>
      <c r="IWI240" s="397"/>
      <c r="IWJ240" s="397"/>
      <c r="IWK240" s="397"/>
      <c r="IWL240" s="397"/>
      <c r="IWM240" s="397"/>
      <c r="IWN240" s="397"/>
      <c r="IWO240" s="397"/>
      <c r="IWP240" s="397"/>
      <c r="IWQ240" s="397"/>
      <c r="IWR240" s="397"/>
      <c r="IWS240" s="397"/>
      <c r="IWT240" s="397"/>
      <c r="IWU240" s="397"/>
      <c r="IWV240" s="397"/>
      <c r="IWW240" s="397"/>
      <c r="IWX240" s="397"/>
      <c r="IWY240" s="397"/>
      <c r="IWZ240" s="397"/>
      <c r="IXA240" s="397"/>
      <c r="IXB240" s="397"/>
      <c r="IXC240" s="397"/>
      <c r="IXD240" s="397"/>
      <c r="IXE240" s="397"/>
      <c r="IXF240" s="397"/>
      <c r="IXG240" s="397"/>
      <c r="IXH240" s="397"/>
      <c r="IXI240" s="397"/>
      <c r="IXJ240" s="397"/>
      <c r="IXK240" s="397"/>
      <c r="IXL240" s="397"/>
      <c r="IXM240" s="397"/>
      <c r="IXN240" s="397"/>
      <c r="IXO240" s="397"/>
      <c r="IXP240" s="397"/>
      <c r="IXQ240" s="397"/>
      <c r="IXR240" s="397"/>
      <c r="IXS240" s="397"/>
      <c r="IXT240" s="397"/>
      <c r="IXU240" s="397"/>
      <c r="IXV240" s="397"/>
      <c r="IXW240" s="397"/>
      <c r="IXX240" s="397"/>
      <c r="IXY240" s="397"/>
      <c r="IXZ240" s="397"/>
      <c r="IYA240" s="397"/>
      <c r="IYB240" s="397"/>
      <c r="IYC240" s="397"/>
      <c r="IYD240" s="397"/>
      <c r="IYE240" s="397"/>
      <c r="IYF240" s="397"/>
      <c r="IYG240" s="397"/>
      <c r="IYH240" s="397"/>
      <c r="IYI240" s="397"/>
      <c r="IYJ240" s="397"/>
      <c r="IYK240" s="397"/>
      <c r="IYL240" s="397"/>
      <c r="IYM240" s="397"/>
      <c r="IYN240" s="397"/>
      <c r="IYO240" s="397"/>
      <c r="IYP240" s="397"/>
      <c r="IYQ240" s="397"/>
      <c r="IYR240" s="397"/>
      <c r="IYS240" s="397"/>
      <c r="IYT240" s="397"/>
      <c r="IYU240" s="397"/>
      <c r="IYV240" s="397"/>
      <c r="IYW240" s="397"/>
      <c r="IYX240" s="397"/>
      <c r="IYY240" s="397"/>
      <c r="IYZ240" s="397"/>
      <c r="IZA240" s="397"/>
      <c r="IZB240" s="397"/>
      <c r="IZC240" s="397"/>
      <c r="IZD240" s="397"/>
      <c r="IZE240" s="397"/>
      <c r="IZF240" s="397"/>
      <c r="IZG240" s="397"/>
      <c r="IZH240" s="397"/>
      <c r="IZI240" s="397"/>
      <c r="IZJ240" s="397"/>
      <c r="IZK240" s="397"/>
      <c r="IZL240" s="397"/>
      <c r="IZM240" s="397"/>
      <c r="IZN240" s="397"/>
      <c r="IZO240" s="397"/>
      <c r="IZP240" s="397"/>
      <c r="IZQ240" s="397"/>
      <c r="IZR240" s="397"/>
      <c r="IZS240" s="397"/>
      <c r="IZT240" s="397"/>
      <c r="IZU240" s="397"/>
      <c r="IZV240" s="397"/>
      <c r="IZW240" s="397"/>
      <c r="IZX240" s="397"/>
      <c r="IZY240" s="397"/>
      <c r="IZZ240" s="397"/>
      <c r="JAA240" s="397"/>
      <c r="JAB240" s="397"/>
      <c r="JAC240" s="397"/>
      <c r="JAD240" s="397"/>
      <c r="JAE240" s="397"/>
      <c r="JAF240" s="397"/>
      <c r="JAG240" s="397"/>
      <c r="JAH240" s="397"/>
      <c r="JAI240" s="397"/>
      <c r="JAJ240" s="397"/>
      <c r="JAK240" s="397"/>
      <c r="JAL240" s="397"/>
      <c r="JAM240" s="397"/>
      <c r="JAN240" s="397"/>
      <c r="JAO240" s="397"/>
      <c r="JAP240" s="397"/>
      <c r="JAQ240" s="397"/>
      <c r="JAR240" s="397"/>
      <c r="JAS240" s="397"/>
      <c r="JAT240" s="397"/>
      <c r="JAU240" s="397"/>
      <c r="JAV240" s="397"/>
      <c r="JAW240" s="397"/>
      <c r="JAX240" s="397"/>
      <c r="JAY240" s="397"/>
      <c r="JAZ240" s="397"/>
      <c r="JBA240" s="397"/>
      <c r="JBB240" s="397"/>
      <c r="JBC240" s="397"/>
      <c r="JBD240" s="397"/>
      <c r="JBE240" s="397"/>
      <c r="JBF240" s="397"/>
      <c r="JBG240" s="397"/>
      <c r="JBH240" s="397"/>
      <c r="JBI240" s="397"/>
      <c r="JBJ240" s="397"/>
      <c r="JBK240" s="397"/>
      <c r="JBL240" s="397"/>
      <c r="JBM240" s="397"/>
      <c r="JBN240" s="397"/>
      <c r="JBO240" s="397"/>
      <c r="JBP240" s="397"/>
      <c r="JBQ240" s="397"/>
      <c r="JBR240" s="397"/>
      <c r="JBS240" s="397"/>
      <c r="JBT240" s="397"/>
      <c r="JBU240" s="397"/>
      <c r="JBV240" s="397"/>
      <c r="JBW240" s="397"/>
      <c r="JBX240" s="397"/>
      <c r="JBY240" s="397"/>
      <c r="JBZ240" s="397"/>
      <c r="JCA240" s="397"/>
      <c r="JCB240" s="397"/>
      <c r="JCC240" s="397"/>
      <c r="JCD240" s="397"/>
      <c r="JCE240" s="397"/>
      <c r="JCF240" s="397"/>
      <c r="JCG240" s="397"/>
      <c r="JCH240" s="397"/>
      <c r="JCI240" s="397"/>
      <c r="JCJ240" s="397"/>
      <c r="JCK240" s="397"/>
      <c r="JCL240" s="397"/>
      <c r="JCM240" s="397"/>
      <c r="JCN240" s="397"/>
      <c r="JCO240" s="397"/>
      <c r="JCP240" s="397"/>
      <c r="JCQ240" s="397"/>
      <c r="JCR240" s="397"/>
      <c r="JCS240" s="397"/>
      <c r="JCT240" s="397"/>
      <c r="JCU240" s="397"/>
      <c r="JCV240" s="397"/>
      <c r="JCW240" s="397"/>
      <c r="JCX240" s="397"/>
      <c r="JCY240" s="397"/>
      <c r="JCZ240" s="397"/>
      <c r="JDA240" s="397"/>
      <c r="JDB240" s="397"/>
      <c r="JDC240" s="397"/>
      <c r="JDD240" s="397"/>
      <c r="JDE240" s="397"/>
      <c r="JDF240" s="397"/>
      <c r="JDG240" s="397"/>
      <c r="JDH240" s="397"/>
      <c r="JDI240" s="397"/>
      <c r="JDJ240" s="397"/>
      <c r="JDK240" s="397"/>
      <c r="JDL240" s="397"/>
      <c r="JDM240" s="397"/>
      <c r="JDN240" s="397"/>
      <c r="JDO240" s="397"/>
      <c r="JDP240" s="397"/>
      <c r="JDQ240" s="397"/>
      <c r="JDR240" s="397"/>
      <c r="JDS240" s="397"/>
      <c r="JDT240" s="397"/>
      <c r="JDU240" s="397"/>
      <c r="JDV240" s="397"/>
      <c r="JDW240" s="397"/>
      <c r="JDX240" s="397"/>
      <c r="JDY240" s="397"/>
      <c r="JDZ240" s="397"/>
      <c r="JEA240" s="397"/>
      <c r="JEB240" s="397"/>
      <c r="JEC240" s="397"/>
      <c r="JED240" s="397"/>
      <c r="JEE240" s="397"/>
      <c r="JEF240" s="397"/>
      <c r="JEG240" s="397"/>
      <c r="JEH240" s="397"/>
      <c r="JEI240" s="397"/>
      <c r="JEJ240" s="397"/>
      <c r="JEK240" s="397"/>
      <c r="JEL240" s="397"/>
      <c r="JEM240" s="397"/>
      <c r="JEN240" s="397"/>
      <c r="JEO240" s="397"/>
      <c r="JEP240" s="397"/>
      <c r="JEQ240" s="397"/>
      <c r="JER240" s="397"/>
      <c r="JES240" s="397"/>
      <c r="JET240" s="397"/>
      <c r="JEU240" s="397"/>
      <c r="JEV240" s="397"/>
      <c r="JEW240" s="397"/>
      <c r="JEX240" s="397"/>
      <c r="JEY240" s="397"/>
      <c r="JEZ240" s="397"/>
      <c r="JFA240" s="397"/>
      <c r="JFB240" s="397"/>
      <c r="JFC240" s="397"/>
      <c r="JFD240" s="397"/>
      <c r="JFE240" s="397"/>
      <c r="JFF240" s="397"/>
      <c r="JFG240" s="397"/>
      <c r="JFH240" s="397"/>
      <c r="JFI240" s="397"/>
      <c r="JFJ240" s="397"/>
      <c r="JFK240" s="397"/>
      <c r="JFL240" s="397"/>
      <c r="JFM240" s="397"/>
      <c r="JFN240" s="397"/>
      <c r="JFO240" s="397"/>
      <c r="JFP240" s="397"/>
      <c r="JFQ240" s="397"/>
      <c r="JFR240" s="397"/>
      <c r="JFS240" s="397"/>
      <c r="JFT240" s="397"/>
      <c r="JFU240" s="397"/>
      <c r="JFV240" s="397"/>
      <c r="JFW240" s="397"/>
      <c r="JFX240" s="397"/>
      <c r="JFY240" s="397"/>
      <c r="JFZ240" s="397"/>
      <c r="JGA240" s="397"/>
      <c r="JGB240" s="397"/>
      <c r="JGC240" s="397"/>
      <c r="JGD240" s="397"/>
      <c r="JGE240" s="397"/>
      <c r="JGF240" s="397"/>
      <c r="JGG240" s="397"/>
      <c r="JGH240" s="397"/>
      <c r="JGI240" s="397"/>
      <c r="JGJ240" s="397"/>
      <c r="JGK240" s="397"/>
      <c r="JGL240" s="397"/>
      <c r="JGM240" s="397"/>
      <c r="JGN240" s="397"/>
      <c r="JGO240" s="397"/>
      <c r="JGP240" s="397"/>
      <c r="JGQ240" s="397"/>
      <c r="JGR240" s="397"/>
      <c r="JGS240" s="397"/>
      <c r="JGT240" s="397"/>
      <c r="JGU240" s="397"/>
      <c r="JGV240" s="397"/>
      <c r="JGW240" s="397"/>
      <c r="JGX240" s="397"/>
      <c r="JGY240" s="397"/>
      <c r="JGZ240" s="397"/>
      <c r="JHA240" s="397"/>
      <c r="JHB240" s="397"/>
      <c r="JHC240" s="397"/>
      <c r="JHD240" s="397"/>
      <c r="JHE240" s="397"/>
      <c r="JHF240" s="397"/>
      <c r="JHG240" s="397"/>
      <c r="JHH240" s="397"/>
      <c r="JHI240" s="397"/>
      <c r="JHJ240" s="397"/>
      <c r="JHK240" s="397"/>
      <c r="JHL240" s="397"/>
      <c r="JHM240" s="397"/>
      <c r="JHN240" s="397"/>
      <c r="JHO240" s="397"/>
      <c r="JHP240" s="397"/>
      <c r="JHQ240" s="397"/>
      <c r="JHR240" s="397"/>
      <c r="JHS240" s="397"/>
      <c r="JHT240" s="397"/>
      <c r="JHU240" s="397"/>
      <c r="JHV240" s="397"/>
      <c r="JHW240" s="397"/>
      <c r="JHX240" s="397"/>
      <c r="JHY240" s="397"/>
      <c r="JHZ240" s="397"/>
      <c r="JIA240" s="397"/>
      <c r="JIB240" s="397"/>
      <c r="JIC240" s="397"/>
      <c r="JID240" s="397"/>
      <c r="JIE240" s="397"/>
      <c r="JIF240" s="397"/>
      <c r="JIG240" s="397"/>
      <c r="JIH240" s="397"/>
      <c r="JII240" s="397"/>
      <c r="JIJ240" s="397"/>
      <c r="JIK240" s="397"/>
      <c r="JIL240" s="397"/>
      <c r="JIM240" s="397"/>
      <c r="JIN240" s="397"/>
      <c r="JIO240" s="397"/>
      <c r="JIP240" s="397"/>
      <c r="JIQ240" s="397"/>
      <c r="JIR240" s="397"/>
      <c r="JIS240" s="397"/>
      <c r="JIT240" s="397"/>
      <c r="JIU240" s="397"/>
      <c r="JIV240" s="397"/>
      <c r="JIW240" s="397"/>
      <c r="JIX240" s="397"/>
      <c r="JIY240" s="397"/>
      <c r="JIZ240" s="397"/>
      <c r="JJA240" s="397"/>
      <c r="JJB240" s="397"/>
      <c r="JJC240" s="397"/>
      <c r="JJD240" s="397"/>
      <c r="JJE240" s="397"/>
      <c r="JJF240" s="397"/>
      <c r="JJG240" s="397"/>
      <c r="JJH240" s="397"/>
      <c r="JJI240" s="397"/>
      <c r="JJJ240" s="397"/>
      <c r="JJK240" s="397"/>
      <c r="JJL240" s="397"/>
      <c r="JJM240" s="397"/>
      <c r="JJN240" s="397"/>
      <c r="JJO240" s="397"/>
      <c r="JJP240" s="397"/>
      <c r="JJQ240" s="397"/>
      <c r="JJR240" s="397"/>
      <c r="JJS240" s="397"/>
      <c r="JJT240" s="397"/>
      <c r="JJU240" s="397"/>
      <c r="JJV240" s="397"/>
      <c r="JJW240" s="397"/>
      <c r="JJX240" s="397"/>
      <c r="JJY240" s="397"/>
      <c r="JJZ240" s="397"/>
      <c r="JKA240" s="397"/>
      <c r="JKB240" s="397"/>
      <c r="JKC240" s="397"/>
      <c r="JKD240" s="397"/>
      <c r="JKE240" s="397"/>
      <c r="JKF240" s="397"/>
      <c r="JKG240" s="397"/>
      <c r="JKH240" s="397"/>
      <c r="JKI240" s="397"/>
      <c r="JKJ240" s="397"/>
      <c r="JKK240" s="397"/>
      <c r="JKL240" s="397"/>
      <c r="JKM240" s="397"/>
      <c r="JKN240" s="397"/>
      <c r="JKO240" s="397"/>
      <c r="JKP240" s="397"/>
      <c r="JKQ240" s="397"/>
      <c r="JKR240" s="397"/>
      <c r="JKS240" s="397"/>
      <c r="JKT240" s="397"/>
      <c r="JKU240" s="397"/>
      <c r="JKV240" s="397"/>
      <c r="JKW240" s="397"/>
      <c r="JKX240" s="397"/>
      <c r="JKY240" s="397"/>
      <c r="JKZ240" s="397"/>
      <c r="JLA240" s="397"/>
      <c r="JLB240" s="397"/>
      <c r="JLC240" s="397"/>
      <c r="JLD240" s="397"/>
      <c r="JLE240" s="397"/>
      <c r="JLF240" s="397"/>
      <c r="JLG240" s="397"/>
      <c r="JLH240" s="397"/>
      <c r="JLI240" s="397"/>
      <c r="JLJ240" s="397"/>
      <c r="JLK240" s="397"/>
      <c r="JLL240" s="397"/>
      <c r="JLM240" s="397"/>
      <c r="JLN240" s="397"/>
      <c r="JLO240" s="397"/>
      <c r="JLP240" s="397"/>
      <c r="JLQ240" s="397"/>
      <c r="JLR240" s="397"/>
      <c r="JLS240" s="397"/>
      <c r="JLT240" s="397"/>
      <c r="JLU240" s="397"/>
      <c r="JLV240" s="397"/>
      <c r="JLW240" s="397"/>
      <c r="JLX240" s="397"/>
      <c r="JLY240" s="397"/>
      <c r="JLZ240" s="397"/>
      <c r="JMA240" s="397"/>
      <c r="JMB240" s="397"/>
      <c r="JMC240" s="397"/>
      <c r="JMD240" s="397"/>
      <c r="JME240" s="397"/>
      <c r="JMF240" s="397"/>
      <c r="JMG240" s="397"/>
      <c r="JMH240" s="397"/>
      <c r="JMI240" s="397"/>
      <c r="JMJ240" s="397"/>
      <c r="JMK240" s="397"/>
      <c r="JML240" s="397"/>
      <c r="JMM240" s="397"/>
      <c r="JMN240" s="397"/>
      <c r="JMO240" s="397"/>
      <c r="JMP240" s="397"/>
      <c r="JMQ240" s="397"/>
      <c r="JMR240" s="397"/>
      <c r="JMS240" s="397"/>
      <c r="JMT240" s="397"/>
      <c r="JMU240" s="397"/>
      <c r="JMV240" s="397"/>
      <c r="JMW240" s="397"/>
      <c r="JMX240" s="397"/>
      <c r="JMY240" s="397"/>
      <c r="JMZ240" s="397"/>
      <c r="JNA240" s="397"/>
      <c r="JNB240" s="397"/>
      <c r="JNC240" s="397"/>
      <c r="JND240" s="397"/>
      <c r="JNE240" s="397"/>
      <c r="JNF240" s="397"/>
      <c r="JNG240" s="397"/>
      <c r="JNH240" s="397"/>
      <c r="JNI240" s="397"/>
      <c r="JNJ240" s="397"/>
      <c r="JNK240" s="397"/>
      <c r="JNL240" s="397"/>
      <c r="JNM240" s="397"/>
      <c r="JNN240" s="397"/>
      <c r="JNO240" s="397"/>
      <c r="JNP240" s="397"/>
      <c r="JNQ240" s="397"/>
      <c r="JNR240" s="397"/>
      <c r="JNS240" s="397"/>
      <c r="JNT240" s="397"/>
      <c r="JNU240" s="397"/>
      <c r="JNV240" s="397"/>
      <c r="JNW240" s="397"/>
      <c r="JNX240" s="397"/>
      <c r="JNY240" s="397"/>
      <c r="JNZ240" s="397"/>
      <c r="JOA240" s="397"/>
      <c r="JOB240" s="397"/>
      <c r="JOC240" s="397"/>
      <c r="JOD240" s="397"/>
      <c r="JOE240" s="397"/>
      <c r="JOF240" s="397"/>
      <c r="JOG240" s="397"/>
      <c r="JOH240" s="397"/>
      <c r="JOI240" s="397"/>
      <c r="JOJ240" s="397"/>
      <c r="JOK240" s="397"/>
      <c r="JOL240" s="397"/>
      <c r="JOM240" s="397"/>
      <c r="JON240" s="397"/>
      <c r="JOO240" s="397"/>
      <c r="JOP240" s="397"/>
      <c r="JOQ240" s="397"/>
      <c r="JOR240" s="397"/>
      <c r="JOS240" s="397"/>
      <c r="JOT240" s="397"/>
      <c r="JOU240" s="397"/>
      <c r="JOV240" s="397"/>
      <c r="JOW240" s="397"/>
      <c r="JOX240" s="397"/>
      <c r="JOY240" s="397"/>
      <c r="JOZ240" s="397"/>
      <c r="JPA240" s="397"/>
      <c r="JPB240" s="397"/>
      <c r="JPC240" s="397"/>
      <c r="JPD240" s="397"/>
      <c r="JPE240" s="397"/>
      <c r="JPF240" s="397"/>
      <c r="JPG240" s="397"/>
      <c r="JPH240" s="397"/>
      <c r="JPI240" s="397"/>
      <c r="JPJ240" s="397"/>
      <c r="JPK240" s="397"/>
      <c r="JPL240" s="397"/>
      <c r="JPM240" s="397"/>
      <c r="JPN240" s="397"/>
      <c r="JPO240" s="397"/>
      <c r="JPP240" s="397"/>
      <c r="JPQ240" s="397"/>
      <c r="JPR240" s="397"/>
      <c r="JPS240" s="397"/>
      <c r="JPT240" s="397"/>
      <c r="JPU240" s="397"/>
      <c r="JPV240" s="397"/>
      <c r="JPW240" s="397"/>
      <c r="JPX240" s="397"/>
      <c r="JPY240" s="397"/>
      <c r="JPZ240" s="397"/>
      <c r="JQA240" s="397"/>
      <c r="JQB240" s="397"/>
      <c r="JQC240" s="397"/>
      <c r="JQD240" s="397"/>
      <c r="JQE240" s="397"/>
      <c r="JQF240" s="397"/>
      <c r="JQG240" s="397"/>
      <c r="JQH240" s="397"/>
      <c r="JQI240" s="397"/>
      <c r="JQJ240" s="397"/>
      <c r="JQK240" s="397"/>
      <c r="JQL240" s="397"/>
      <c r="JQM240" s="397"/>
      <c r="JQN240" s="397"/>
      <c r="JQO240" s="397"/>
      <c r="JQP240" s="397"/>
      <c r="JQQ240" s="397"/>
      <c r="JQR240" s="397"/>
      <c r="JQS240" s="397"/>
      <c r="JQT240" s="397"/>
      <c r="JQU240" s="397"/>
      <c r="JQV240" s="397"/>
      <c r="JQW240" s="397"/>
      <c r="JQX240" s="397"/>
      <c r="JQY240" s="397"/>
      <c r="JQZ240" s="397"/>
      <c r="JRA240" s="397"/>
      <c r="JRB240" s="397"/>
      <c r="JRC240" s="397"/>
      <c r="JRD240" s="397"/>
      <c r="JRE240" s="397"/>
      <c r="JRF240" s="397"/>
      <c r="JRG240" s="397"/>
      <c r="JRH240" s="397"/>
      <c r="JRI240" s="397"/>
      <c r="JRJ240" s="397"/>
      <c r="JRK240" s="397"/>
      <c r="JRL240" s="397"/>
      <c r="JRM240" s="397"/>
      <c r="JRN240" s="397"/>
      <c r="JRO240" s="397"/>
      <c r="JRP240" s="397"/>
      <c r="JRQ240" s="397"/>
      <c r="JRR240" s="397"/>
      <c r="JRS240" s="397"/>
      <c r="JRT240" s="397"/>
      <c r="JRU240" s="397"/>
      <c r="JRV240" s="397"/>
      <c r="JRW240" s="397"/>
      <c r="JRX240" s="397"/>
      <c r="JRY240" s="397"/>
      <c r="JRZ240" s="397"/>
      <c r="JSA240" s="397"/>
      <c r="JSB240" s="397"/>
      <c r="JSC240" s="397"/>
      <c r="JSD240" s="397"/>
      <c r="JSE240" s="397"/>
      <c r="JSF240" s="397"/>
      <c r="JSG240" s="397"/>
      <c r="JSH240" s="397"/>
      <c r="JSI240" s="397"/>
      <c r="JSJ240" s="397"/>
      <c r="JSK240" s="397"/>
      <c r="JSL240" s="397"/>
      <c r="JSM240" s="397"/>
      <c r="JSN240" s="397"/>
      <c r="JSO240" s="397"/>
      <c r="JSP240" s="397"/>
      <c r="JSQ240" s="397"/>
      <c r="JSR240" s="397"/>
      <c r="JSS240" s="397"/>
      <c r="JST240" s="397"/>
      <c r="JSU240" s="397"/>
      <c r="JSV240" s="397"/>
      <c r="JSW240" s="397"/>
      <c r="JSX240" s="397"/>
      <c r="JSY240" s="397"/>
      <c r="JSZ240" s="397"/>
      <c r="JTA240" s="397"/>
      <c r="JTB240" s="397"/>
      <c r="JTC240" s="397"/>
      <c r="JTD240" s="397"/>
      <c r="JTE240" s="397"/>
      <c r="JTF240" s="397"/>
      <c r="JTG240" s="397"/>
      <c r="JTH240" s="397"/>
      <c r="JTI240" s="397"/>
      <c r="JTJ240" s="397"/>
      <c r="JTK240" s="397"/>
      <c r="JTL240" s="397"/>
      <c r="JTM240" s="397"/>
      <c r="JTN240" s="397"/>
      <c r="JTO240" s="397"/>
      <c r="JTP240" s="397"/>
      <c r="JTQ240" s="397"/>
      <c r="JTR240" s="397"/>
      <c r="JTS240" s="397"/>
      <c r="JTT240" s="397"/>
      <c r="JTU240" s="397"/>
      <c r="JTV240" s="397"/>
      <c r="JTW240" s="397"/>
      <c r="JTX240" s="397"/>
      <c r="JTY240" s="397"/>
      <c r="JTZ240" s="397"/>
      <c r="JUA240" s="397"/>
      <c r="JUB240" s="397"/>
      <c r="JUC240" s="397"/>
      <c r="JUD240" s="397"/>
      <c r="JUE240" s="397"/>
      <c r="JUF240" s="397"/>
      <c r="JUG240" s="397"/>
      <c r="JUH240" s="397"/>
      <c r="JUI240" s="397"/>
      <c r="JUJ240" s="397"/>
      <c r="JUK240" s="397"/>
      <c r="JUL240" s="397"/>
      <c r="JUM240" s="397"/>
      <c r="JUN240" s="397"/>
      <c r="JUO240" s="397"/>
      <c r="JUP240" s="397"/>
      <c r="JUQ240" s="397"/>
      <c r="JUR240" s="397"/>
      <c r="JUS240" s="397"/>
      <c r="JUT240" s="397"/>
      <c r="JUU240" s="397"/>
      <c r="JUV240" s="397"/>
      <c r="JUW240" s="397"/>
      <c r="JUX240" s="397"/>
      <c r="JUY240" s="397"/>
      <c r="JUZ240" s="397"/>
      <c r="JVA240" s="397"/>
      <c r="JVB240" s="397"/>
      <c r="JVC240" s="397"/>
      <c r="JVD240" s="397"/>
      <c r="JVE240" s="397"/>
      <c r="JVF240" s="397"/>
      <c r="JVG240" s="397"/>
      <c r="JVH240" s="397"/>
      <c r="JVI240" s="397"/>
      <c r="JVJ240" s="397"/>
      <c r="JVK240" s="397"/>
      <c r="JVL240" s="397"/>
      <c r="JVM240" s="397"/>
      <c r="JVN240" s="397"/>
      <c r="JVO240" s="397"/>
      <c r="JVP240" s="397"/>
      <c r="JVQ240" s="397"/>
      <c r="JVR240" s="397"/>
      <c r="JVS240" s="397"/>
      <c r="JVT240" s="397"/>
      <c r="JVU240" s="397"/>
      <c r="JVV240" s="397"/>
      <c r="JVW240" s="397"/>
      <c r="JVX240" s="397"/>
      <c r="JVY240" s="397"/>
      <c r="JVZ240" s="397"/>
      <c r="JWA240" s="397"/>
      <c r="JWB240" s="397"/>
      <c r="JWC240" s="397"/>
      <c r="JWD240" s="397"/>
      <c r="JWE240" s="397"/>
      <c r="JWF240" s="397"/>
      <c r="JWG240" s="397"/>
      <c r="JWH240" s="397"/>
      <c r="JWI240" s="397"/>
      <c r="JWJ240" s="397"/>
      <c r="JWK240" s="397"/>
      <c r="JWL240" s="397"/>
      <c r="JWM240" s="397"/>
      <c r="JWN240" s="397"/>
      <c r="JWO240" s="397"/>
      <c r="JWP240" s="397"/>
      <c r="JWQ240" s="397"/>
      <c r="JWR240" s="397"/>
      <c r="JWS240" s="397"/>
      <c r="JWT240" s="397"/>
      <c r="JWU240" s="397"/>
      <c r="JWV240" s="397"/>
      <c r="JWW240" s="397"/>
      <c r="JWX240" s="397"/>
      <c r="JWY240" s="397"/>
      <c r="JWZ240" s="397"/>
      <c r="JXA240" s="397"/>
      <c r="JXB240" s="397"/>
      <c r="JXC240" s="397"/>
      <c r="JXD240" s="397"/>
      <c r="JXE240" s="397"/>
      <c r="JXF240" s="397"/>
      <c r="JXG240" s="397"/>
      <c r="JXH240" s="397"/>
      <c r="JXI240" s="397"/>
      <c r="JXJ240" s="397"/>
      <c r="JXK240" s="397"/>
      <c r="JXL240" s="397"/>
      <c r="JXM240" s="397"/>
      <c r="JXN240" s="397"/>
      <c r="JXO240" s="397"/>
      <c r="JXP240" s="397"/>
      <c r="JXQ240" s="397"/>
      <c r="JXR240" s="397"/>
      <c r="JXS240" s="397"/>
      <c r="JXT240" s="397"/>
      <c r="JXU240" s="397"/>
      <c r="JXV240" s="397"/>
      <c r="JXW240" s="397"/>
      <c r="JXX240" s="397"/>
      <c r="JXY240" s="397"/>
      <c r="JXZ240" s="397"/>
      <c r="JYA240" s="397"/>
      <c r="JYB240" s="397"/>
      <c r="JYC240" s="397"/>
      <c r="JYD240" s="397"/>
      <c r="JYE240" s="397"/>
      <c r="JYF240" s="397"/>
      <c r="JYG240" s="397"/>
      <c r="JYH240" s="397"/>
      <c r="JYI240" s="397"/>
      <c r="JYJ240" s="397"/>
      <c r="JYK240" s="397"/>
      <c r="JYL240" s="397"/>
      <c r="JYM240" s="397"/>
      <c r="JYN240" s="397"/>
      <c r="JYO240" s="397"/>
      <c r="JYP240" s="397"/>
      <c r="JYQ240" s="397"/>
      <c r="JYR240" s="397"/>
      <c r="JYS240" s="397"/>
      <c r="JYT240" s="397"/>
      <c r="JYU240" s="397"/>
      <c r="JYV240" s="397"/>
      <c r="JYW240" s="397"/>
      <c r="JYX240" s="397"/>
      <c r="JYY240" s="397"/>
      <c r="JYZ240" s="397"/>
      <c r="JZA240" s="397"/>
      <c r="JZB240" s="397"/>
      <c r="JZC240" s="397"/>
      <c r="JZD240" s="397"/>
      <c r="JZE240" s="397"/>
      <c r="JZF240" s="397"/>
      <c r="JZG240" s="397"/>
      <c r="JZH240" s="397"/>
      <c r="JZI240" s="397"/>
      <c r="JZJ240" s="397"/>
      <c r="JZK240" s="397"/>
      <c r="JZL240" s="397"/>
      <c r="JZM240" s="397"/>
      <c r="JZN240" s="397"/>
      <c r="JZO240" s="397"/>
      <c r="JZP240" s="397"/>
      <c r="JZQ240" s="397"/>
      <c r="JZR240" s="397"/>
      <c r="JZS240" s="397"/>
      <c r="JZT240" s="397"/>
      <c r="JZU240" s="397"/>
      <c r="JZV240" s="397"/>
      <c r="JZW240" s="397"/>
      <c r="JZX240" s="397"/>
      <c r="JZY240" s="397"/>
      <c r="JZZ240" s="397"/>
      <c r="KAA240" s="397"/>
      <c r="KAB240" s="397"/>
      <c r="KAC240" s="397"/>
      <c r="KAD240" s="397"/>
      <c r="KAE240" s="397"/>
      <c r="KAF240" s="397"/>
      <c r="KAG240" s="397"/>
      <c r="KAH240" s="397"/>
      <c r="KAI240" s="397"/>
      <c r="KAJ240" s="397"/>
      <c r="KAK240" s="397"/>
      <c r="KAL240" s="397"/>
      <c r="KAM240" s="397"/>
      <c r="KAN240" s="397"/>
      <c r="KAO240" s="397"/>
      <c r="KAP240" s="397"/>
      <c r="KAQ240" s="397"/>
      <c r="KAR240" s="397"/>
      <c r="KAS240" s="397"/>
      <c r="KAT240" s="397"/>
      <c r="KAU240" s="397"/>
      <c r="KAV240" s="397"/>
      <c r="KAW240" s="397"/>
      <c r="KAX240" s="397"/>
      <c r="KAY240" s="397"/>
      <c r="KAZ240" s="397"/>
      <c r="KBA240" s="397"/>
      <c r="KBB240" s="397"/>
      <c r="KBC240" s="397"/>
      <c r="KBD240" s="397"/>
      <c r="KBE240" s="397"/>
      <c r="KBF240" s="397"/>
      <c r="KBG240" s="397"/>
      <c r="KBH240" s="397"/>
      <c r="KBI240" s="397"/>
      <c r="KBJ240" s="397"/>
      <c r="KBK240" s="397"/>
      <c r="KBL240" s="397"/>
      <c r="KBM240" s="397"/>
      <c r="KBN240" s="397"/>
      <c r="KBO240" s="397"/>
      <c r="KBP240" s="397"/>
      <c r="KBQ240" s="397"/>
      <c r="KBR240" s="397"/>
      <c r="KBS240" s="397"/>
      <c r="KBT240" s="397"/>
      <c r="KBU240" s="397"/>
      <c r="KBV240" s="397"/>
      <c r="KBW240" s="397"/>
      <c r="KBX240" s="397"/>
      <c r="KBY240" s="397"/>
      <c r="KBZ240" s="397"/>
      <c r="KCA240" s="397"/>
      <c r="KCB240" s="397"/>
      <c r="KCC240" s="397"/>
      <c r="KCD240" s="397"/>
      <c r="KCE240" s="397"/>
      <c r="KCF240" s="397"/>
      <c r="KCG240" s="397"/>
      <c r="KCH240" s="397"/>
      <c r="KCI240" s="397"/>
      <c r="KCJ240" s="397"/>
      <c r="KCK240" s="397"/>
      <c r="KCL240" s="397"/>
      <c r="KCM240" s="397"/>
      <c r="KCN240" s="397"/>
      <c r="KCO240" s="397"/>
      <c r="KCP240" s="397"/>
      <c r="KCQ240" s="397"/>
      <c r="KCR240" s="397"/>
      <c r="KCS240" s="397"/>
      <c r="KCT240" s="397"/>
      <c r="KCU240" s="397"/>
      <c r="KCV240" s="397"/>
      <c r="KCW240" s="397"/>
      <c r="KCX240" s="397"/>
      <c r="KCY240" s="397"/>
      <c r="KCZ240" s="397"/>
      <c r="KDA240" s="397"/>
      <c r="KDB240" s="397"/>
      <c r="KDC240" s="397"/>
      <c r="KDD240" s="397"/>
      <c r="KDE240" s="397"/>
      <c r="KDF240" s="397"/>
      <c r="KDG240" s="397"/>
      <c r="KDH240" s="397"/>
      <c r="KDI240" s="397"/>
      <c r="KDJ240" s="397"/>
      <c r="KDK240" s="397"/>
      <c r="KDL240" s="397"/>
      <c r="KDM240" s="397"/>
      <c r="KDN240" s="397"/>
      <c r="KDO240" s="397"/>
      <c r="KDP240" s="397"/>
      <c r="KDQ240" s="397"/>
      <c r="KDR240" s="397"/>
      <c r="KDS240" s="397"/>
      <c r="KDT240" s="397"/>
      <c r="KDU240" s="397"/>
      <c r="KDV240" s="397"/>
      <c r="KDW240" s="397"/>
      <c r="KDX240" s="397"/>
      <c r="KDY240" s="397"/>
      <c r="KDZ240" s="397"/>
      <c r="KEA240" s="397"/>
      <c r="KEB240" s="397"/>
      <c r="KEC240" s="397"/>
      <c r="KED240" s="397"/>
      <c r="KEE240" s="397"/>
      <c r="KEF240" s="397"/>
      <c r="KEG240" s="397"/>
      <c r="KEH240" s="397"/>
      <c r="KEI240" s="397"/>
      <c r="KEJ240" s="397"/>
      <c r="KEK240" s="397"/>
      <c r="KEL240" s="397"/>
      <c r="KEM240" s="397"/>
      <c r="KEN240" s="397"/>
      <c r="KEO240" s="397"/>
      <c r="KEP240" s="397"/>
      <c r="KEQ240" s="397"/>
      <c r="KER240" s="397"/>
      <c r="KES240" s="397"/>
      <c r="KET240" s="397"/>
      <c r="KEU240" s="397"/>
      <c r="KEV240" s="397"/>
      <c r="KEW240" s="397"/>
      <c r="KEX240" s="397"/>
      <c r="KEY240" s="397"/>
      <c r="KEZ240" s="397"/>
      <c r="KFA240" s="397"/>
      <c r="KFB240" s="397"/>
      <c r="KFC240" s="397"/>
      <c r="KFD240" s="397"/>
      <c r="KFE240" s="397"/>
      <c r="KFF240" s="397"/>
      <c r="KFG240" s="397"/>
      <c r="KFH240" s="397"/>
      <c r="KFI240" s="397"/>
      <c r="KFJ240" s="397"/>
      <c r="KFK240" s="397"/>
      <c r="KFL240" s="397"/>
      <c r="KFM240" s="397"/>
      <c r="KFN240" s="397"/>
      <c r="KFO240" s="397"/>
      <c r="KFP240" s="397"/>
      <c r="KFQ240" s="397"/>
      <c r="KFR240" s="397"/>
      <c r="KFS240" s="397"/>
      <c r="KFT240" s="397"/>
      <c r="KFU240" s="397"/>
      <c r="KFV240" s="397"/>
      <c r="KFW240" s="397"/>
      <c r="KFX240" s="397"/>
      <c r="KFY240" s="397"/>
      <c r="KFZ240" s="397"/>
      <c r="KGA240" s="397"/>
      <c r="KGB240" s="397"/>
      <c r="KGC240" s="397"/>
      <c r="KGD240" s="397"/>
      <c r="KGE240" s="397"/>
      <c r="KGF240" s="397"/>
      <c r="KGG240" s="397"/>
      <c r="KGH240" s="397"/>
      <c r="KGI240" s="397"/>
      <c r="KGJ240" s="397"/>
      <c r="KGK240" s="397"/>
      <c r="KGL240" s="397"/>
      <c r="KGM240" s="397"/>
      <c r="KGN240" s="397"/>
      <c r="KGO240" s="397"/>
      <c r="KGP240" s="397"/>
      <c r="KGQ240" s="397"/>
      <c r="KGR240" s="397"/>
      <c r="KGS240" s="397"/>
      <c r="KGT240" s="397"/>
      <c r="KGU240" s="397"/>
      <c r="KGV240" s="397"/>
      <c r="KGW240" s="397"/>
      <c r="KGX240" s="397"/>
      <c r="KGY240" s="397"/>
      <c r="KGZ240" s="397"/>
      <c r="KHA240" s="397"/>
      <c r="KHB240" s="397"/>
      <c r="KHC240" s="397"/>
      <c r="KHD240" s="397"/>
      <c r="KHE240" s="397"/>
      <c r="KHF240" s="397"/>
      <c r="KHG240" s="397"/>
      <c r="KHH240" s="397"/>
      <c r="KHI240" s="397"/>
      <c r="KHJ240" s="397"/>
      <c r="KHK240" s="397"/>
      <c r="KHL240" s="397"/>
      <c r="KHM240" s="397"/>
      <c r="KHN240" s="397"/>
      <c r="KHO240" s="397"/>
      <c r="KHP240" s="397"/>
      <c r="KHQ240" s="397"/>
      <c r="KHR240" s="397"/>
      <c r="KHS240" s="397"/>
      <c r="KHT240" s="397"/>
      <c r="KHU240" s="397"/>
      <c r="KHV240" s="397"/>
      <c r="KHW240" s="397"/>
      <c r="KHX240" s="397"/>
      <c r="KHY240" s="397"/>
      <c r="KHZ240" s="397"/>
      <c r="KIA240" s="397"/>
      <c r="KIB240" s="397"/>
      <c r="KIC240" s="397"/>
      <c r="KID240" s="397"/>
      <c r="KIE240" s="397"/>
      <c r="KIF240" s="397"/>
      <c r="KIG240" s="397"/>
      <c r="KIH240" s="397"/>
      <c r="KII240" s="397"/>
      <c r="KIJ240" s="397"/>
      <c r="KIK240" s="397"/>
      <c r="KIL240" s="397"/>
      <c r="KIM240" s="397"/>
      <c r="KIN240" s="397"/>
      <c r="KIO240" s="397"/>
      <c r="KIP240" s="397"/>
      <c r="KIQ240" s="397"/>
      <c r="KIR240" s="397"/>
      <c r="KIS240" s="397"/>
      <c r="KIT240" s="397"/>
      <c r="KIU240" s="397"/>
      <c r="KIV240" s="397"/>
      <c r="KIW240" s="397"/>
      <c r="KIX240" s="397"/>
      <c r="KIY240" s="397"/>
      <c r="KIZ240" s="397"/>
      <c r="KJA240" s="397"/>
      <c r="KJB240" s="397"/>
      <c r="KJC240" s="397"/>
      <c r="KJD240" s="397"/>
      <c r="KJE240" s="397"/>
      <c r="KJF240" s="397"/>
      <c r="KJG240" s="397"/>
      <c r="KJH240" s="397"/>
      <c r="KJI240" s="397"/>
      <c r="KJJ240" s="397"/>
      <c r="KJK240" s="397"/>
      <c r="KJL240" s="397"/>
      <c r="KJM240" s="397"/>
      <c r="KJN240" s="397"/>
      <c r="KJO240" s="397"/>
      <c r="KJP240" s="397"/>
      <c r="KJQ240" s="397"/>
      <c r="KJR240" s="397"/>
      <c r="KJS240" s="397"/>
      <c r="KJT240" s="397"/>
      <c r="KJU240" s="397"/>
      <c r="KJV240" s="397"/>
      <c r="KJW240" s="397"/>
      <c r="KJX240" s="397"/>
      <c r="KJY240" s="397"/>
      <c r="KJZ240" s="397"/>
      <c r="KKA240" s="397"/>
      <c r="KKB240" s="397"/>
      <c r="KKC240" s="397"/>
      <c r="KKD240" s="397"/>
      <c r="KKE240" s="397"/>
      <c r="KKF240" s="397"/>
      <c r="KKG240" s="397"/>
      <c r="KKH240" s="397"/>
      <c r="KKI240" s="397"/>
      <c r="KKJ240" s="397"/>
      <c r="KKK240" s="397"/>
      <c r="KKL240" s="397"/>
      <c r="KKM240" s="397"/>
      <c r="KKN240" s="397"/>
      <c r="KKO240" s="397"/>
      <c r="KKP240" s="397"/>
      <c r="KKQ240" s="397"/>
      <c r="KKR240" s="397"/>
      <c r="KKS240" s="397"/>
      <c r="KKT240" s="397"/>
      <c r="KKU240" s="397"/>
      <c r="KKV240" s="397"/>
      <c r="KKW240" s="397"/>
      <c r="KKX240" s="397"/>
      <c r="KKY240" s="397"/>
      <c r="KKZ240" s="397"/>
      <c r="KLA240" s="397"/>
      <c r="KLB240" s="397"/>
      <c r="KLC240" s="397"/>
      <c r="KLD240" s="397"/>
      <c r="KLE240" s="397"/>
      <c r="KLF240" s="397"/>
      <c r="KLG240" s="397"/>
      <c r="KLH240" s="397"/>
      <c r="KLI240" s="397"/>
      <c r="KLJ240" s="397"/>
      <c r="KLK240" s="397"/>
      <c r="KLL240" s="397"/>
      <c r="KLM240" s="397"/>
      <c r="KLN240" s="397"/>
      <c r="KLO240" s="397"/>
      <c r="KLP240" s="397"/>
      <c r="KLQ240" s="397"/>
      <c r="KLR240" s="397"/>
      <c r="KLS240" s="397"/>
      <c r="KLT240" s="397"/>
      <c r="KLU240" s="397"/>
      <c r="KLV240" s="397"/>
      <c r="KLW240" s="397"/>
      <c r="KLX240" s="397"/>
      <c r="KLY240" s="397"/>
      <c r="KLZ240" s="397"/>
      <c r="KMA240" s="397"/>
      <c r="KMB240" s="397"/>
      <c r="KMC240" s="397"/>
      <c r="KMD240" s="397"/>
      <c r="KME240" s="397"/>
      <c r="KMF240" s="397"/>
      <c r="KMG240" s="397"/>
      <c r="KMH240" s="397"/>
      <c r="KMI240" s="397"/>
      <c r="KMJ240" s="397"/>
      <c r="KMK240" s="397"/>
      <c r="KML240" s="397"/>
      <c r="KMM240" s="397"/>
      <c r="KMN240" s="397"/>
      <c r="KMO240" s="397"/>
      <c r="KMP240" s="397"/>
      <c r="KMQ240" s="397"/>
      <c r="KMR240" s="397"/>
      <c r="KMS240" s="397"/>
      <c r="KMT240" s="397"/>
      <c r="KMU240" s="397"/>
      <c r="KMV240" s="397"/>
      <c r="KMW240" s="397"/>
      <c r="KMX240" s="397"/>
      <c r="KMY240" s="397"/>
      <c r="KMZ240" s="397"/>
      <c r="KNA240" s="397"/>
      <c r="KNB240" s="397"/>
      <c r="KNC240" s="397"/>
      <c r="KND240" s="397"/>
      <c r="KNE240" s="397"/>
      <c r="KNF240" s="397"/>
      <c r="KNG240" s="397"/>
      <c r="KNH240" s="397"/>
      <c r="KNI240" s="397"/>
      <c r="KNJ240" s="397"/>
      <c r="KNK240" s="397"/>
      <c r="KNL240" s="397"/>
      <c r="KNM240" s="397"/>
      <c r="KNN240" s="397"/>
      <c r="KNO240" s="397"/>
      <c r="KNP240" s="397"/>
      <c r="KNQ240" s="397"/>
      <c r="KNR240" s="397"/>
      <c r="KNS240" s="397"/>
      <c r="KNT240" s="397"/>
      <c r="KNU240" s="397"/>
      <c r="KNV240" s="397"/>
      <c r="KNW240" s="397"/>
      <c r="KNX240" s="397"/>
      <c r="KNY240" s="397"/>
      <c r="KNZ240" s="397"/>
      <c r="KOA240" s="397"/>
      <c r="KOB240" s="397"/>
      <c r="KOC240" s="397"/>
      <c r="KOD240" s="397"/>
      <c r="KOE240" s="397"/>
      <c r="KOF240" s="397"/>
      <c r="KOG240" s="397"/>
      <c r="KOH240" s="397"/>
      <c r="KOI240" s="397"/>
      <c r="KOJ240" s="397"/>
      <c r="KOK240" s="397"/>
      <c r="KOL240" s="397"/>
      <c r="KOM240" s="397"/>
      <c r="KON240" s="397"/>
      <c r="KOO240" s="397"/>
      <c r="KOP240" s="397"/>
      <c r="KOQ240" s="397"/>
      <c r="KOR240" s="397"/>
      <c r="KOS240" s="397"/>
      <c r="KOT240" s="397"/>
      <c r="KOU240" s="397"/>
      <c r="KOV240" s="397"/>
      <c r="KOW240" s="397"/>
      <c r="KOX240" s="397"/>
      <c r="KOY240" s="397"/>
      <c r="KOZ240" s="397"/>
      <c r="KPA240" s="397"/>
      <c r="KPB240" s="397"/>
      <c r="KPC240" s="397"/>
      <c r="KPD240" s="397"/>
      <c r="KPE240" s="397"/>
      <c r="KPF240" s="397"/>
      <c r="KPG240" s="397"/>
      <c r="KPH240" s="397"/>
      <c r="KPI240" s="397"/>
      <c r="KPJ240" s="397"/>
      <c r="KPK240" s="397"/>
      <c r="KPL240" s="397"/>
      <c r="KPM240" s="397"/>
      <c r="KPN240" s="397"/>
      <c r="KPO240" s="397"/>
      <c r="KPP240" s="397"/>
      <c r="KPQ240" s="397"/>
      <c r="KPR240" s="397"/>
      <c r="KPS240" s="397"/>
      <c r="KPT240" s="397"/>
      <c r="KPU240" s="397"/>
      <c r="KPV240" s="397"/>
      <c r="KPW240" s="397"/>
      <c r="KPX240" s="397"/>
      <c r="KPY240" s="397"/>
      <c r="KPZ240" s="397"/>
      <c r="KQA240" s="397"/>
      <c r="KQB240" s="397"/>
      <c r="KQC240" s="397"/>
      <c r="KQD240" s="397"/>
      <c r="KQE240" s="397"/>
      <c r="KQF240" s="397"/>
      <c r="KQG240" s="397"/>
      <c r="KQH240" s="397"/>
      <c r="KQI240" s="397"/>
      <c r="KQJ240" s="397"/>
      <c r="KQK240" s="397"/>
      <c r="KQL240" s="397"/>
      <c r="KQM240" s="397"/>
      <c r="KQN240" s="397"/>
      <c r="KQO240" s="397"/>
      <c r="KQP240" s="397"/>
      <c r="KQQ240" s="397"/>
      <c r="KQR240" s="397"/>
      <c r="KQS240" s="397"/>
      <c r="KQT240" s="397"/>
      <c r="KQU240" s="397"/>
      <c r="KQV240" s="397"/>
      <c r="KQW240" s="397"/>
      <c r="KQX240" s="397"/>
      <c r="KQY240" s="397"/>
      <c r="KQZ240" s="397"/>
      <c r="KRA240" s="397"/>
      <c r="KRB240" s="397"/>
      <c r="KRC240" s="397"/>
      <c r="KRD240" s="397"/>
      <c r="KRE240" s="397"/>
      <c r="KRF240" s="397"/>
      <c r="KRG240" s="397"/>
      <c r="KRH240" s="397"/>
      <c r="KRI240" s="397"/>
      <c r="KRJ240" s="397"/>
      <c r="KRK240" s="397"/>
      <c r="KRL240" s="397"/>
      <c r="KRM240" s="397"/>
      <c r="KRN240" s="397"/>
      <c r="KRO240" s="397"/>
      <c r="KRP240" s="397"/>
      <c r="KRQ240" s="397"/>
      <c r="KRR240" s="397"/>
      <c r="KRS240" s="397"/>
      <c r="KRT240" s="397"/>
      <c r="KRU240" s="397"/>
      <c r="KRV240" s="397"/>
      <c r="KRW240" s="397"/>
      <c r="KRX240" s="397"/>
      <c r="KRY240" s="397"/>
      <c r="KRZ240" s="397"/>
      <c r="KSA240" s="397"/>
      <c r="KSB240" s="397"/>
      <c r="KSC240" s="397"/>
      <c r="KSD240" s="397"/>
      <c r="KSE240" s="397"/>
      <c r="KSF240" s="397"/>
      <c r="KSG240" s="397"/>
      <c r="KSH240" s="397"/>
      <c r="KSI240" s="397"/>
      <c r="KSJ240" s="397"/>
      <c r="KSK240" s="397"/>
      <c r="KSL240" s="397"/>
      <c r="KSM240" s="397"/>
      <c r="KSN240" s="397"/>
      <c r="KSO240" s="397"/>
      <c r="KSP240" s="397"/>
      <c r="KSQ240" s="397"/>
      <c r="KSR240" s="397"/>
      <c r="KSS240" s="397"/>
      <c r="KST240" s="397"/>
      <c r="KSU240" s="397"/>
      <c r="KSV240" s="397"/>
      <c r="KSW240" s="397"/>
      <c r="KSX240" s="397"/>
      <c r="KSY240" s="397"/>
      <c r="KSZ240" s="397"/>
      <c r="KTA240" s="397"/>
      <c r="KTB240" s="397"/>
      <c r="KTC240" s="397"/>
      <c r="KTD240" s="397"/>
      <c r="KTE240" s="397"/>
      <c r="KTF240" s="397"/>
      <c r="KTG240" s="397"/>
      <c r="KTH240" s="397"/>
      <c r="KTI240" s="397"/>
      <c r="KTJ240" s="397"/>
      <c r="KTK240" s="397"/>
      <c r="KTL240" s="397"/>
      <c r="KTM240" s="397"/>
      <c r="KTN240" s="397"/>
      <c r="KTO240" s="397"/>
      <c r="KTP240" s="397"/>
      <c r="KTQ240" s="397"/>
      <c r="KTR240" s="397"/>
      <c r="KTS240" s="397"/>
      <c r="KTT240" s="397"/>
      <c r="KTU240" s="397"/>
      <c r="KTV240" s="397"/>
      <c r="KTW240" s="397"/>
      <c r="KTX240" s="397"/>
      <c r="KTY240" s="397"/>
      <c r="KTZ240" s="397"/>
      <c r="KUA240" s="397"/>
      <c r="KUB240" s="397"/>
      <c r="KUC240" s="397"/>
      <c r="KUD240" s="397"/>
      <c r="KUE240" s="397"/>
      <c r="KUF240" s="397"/>
      <c r="KUG240" s="397"/>
      <c r="KUH240" s="397"/>
      <c r="KUI240" s="397"/>
      <c r="KUJ240" s="397"/>
      <c r="KUK240" s="397"/>
      <c r="KUL240" s="397"/>
      <c r="KUM240" s="397"/>
      <c r="KUN240" s="397"/>
      <c r="KUO240" s="397"/>
      <c r="KUP240" s="397"/>
      <c r="KUQ240" s="397"/>
      <c r="KUR240" s="397"/>
      <c r="KUS240" s="397"/>
      <c r="KUT240" s="397"/>
      <c r="KUU240" s="397"/>
      <c r="KUV240" s="397"/>
      <c r="KUW240" s="397"/>
      <c r="KUX240" s="397"/>
      <c r="KUY240" s="397"/>
      <c r="KUZ240" s="397"/>
      <c r="KVA240" s="397"/>
      <c r="KVB240" s="397"/>
      <c r="KVC240" s="397"/>
      <c r="KVD240" s="397"/>
      <c r="KVE240" s="397"/>
      <c r="KVF240" s="397"/>
      <c r="KVG240" s="397"/>
      <c r="KVH240" s="397"/>
      <c r="KVI240" s="397"/>
      <c r="KVJ240" s="397"/>
      <c r="KVK240" s="397"/>
      <c r="KVL240" s="397"/>
      <c r="KVM240" s="397"/>
      <c r="KVN240" s="397"/>
      <c r="KVO240" s="397"/>
      <c r="KVP240" s="397"/>
      <c r="KVQ240" s="397"/>
      <c r="KVR240" s="397"/>
      <c r="KVS240" s="397"/>
      <c r="KVT240" s="397"/>
      <c r="KVU240" s="397"/>
      <c r="KVV240" s="397"/>
      <c r="KVW240" s="397"/>
      <c r="KVX240" s="397"/>
      <c r="KVY240" s="397"/>
      <c r="KVZ240" s="397"/>
      <c r="KWA240" s="397"/>
      <c r="KWB240" s="397"/>
      <c r="KWC240" s="397"/>
      <c r="KWD240" s="397"/>
      <c r="KWE240" s="397"/>
      <c r="KWF240" s="397"/>
      <c r="KWG240" s="397"/>
      <c r="KWH240" s="397"/>
      <c r="KWI240" s="397"/>
      <c r="KWJ240" s="397"/>
      <c r="KWK240" s="397"/>
      <c r="KWL240" s="397"/>
      <c r="KWM240" s="397"/>
      <c r="KWN240" s="397"/>
      <c r="KWO240" s="397"/>
      <c r="KWP240" s="397"/>
      <c r="KWQ240" s="397"/>
      <c r="KWR240" s="397"/>
      <c r="KWS240" s="397"/>
      <c r="KWT240" s="397"/>
      <c r="KWU240" s="397"/>
      <c r="KWV240" s="397"/>
      <c r="KWW240" s="397"/>
      <c r="KWX240" s="397"/>
      <c r="KWY240" s="397"/>
      <c r="KWZ240" s="397"/>
      <c r="KXA240" s="397"/>
      <c r="KXB240" s="397"/>
      <c r="KXC240" s="397"/>
      <c r="KXD240" s="397"/>
      <c r="KXE240" s="397"/>
      <c r="KXF240" s="397"/>
      <c r="KXG240" s="397"/>
      <c r="KXH240" s="397"/>
      <c r="KXI240" s="397"/>
      <c r="KXJ240" s="397"/>
      <c r="KXK240" s="397"/>
      <c r="KXL240" s="397"/>
      <c r="KXM240" s="397"/>
      <c r="KXN240" s="397"/>
      <c r="KXO240" s="397"/>
      <c r="KXP240" s="397"/>
      <c r="KXQ240" s="397"/>
      <c r="KXR240" s="397"/>
      <c r="KXS240" s="397"/>
      <c r="KXT240" s="397"/>
      <c r="KXU240" s="397"/>
      <c r="KXV240" s="397"/>
      <c r="KXW240" s="397"/>
      <c r="KXX240" s="397"/>
      <c r="KXY240" s="397"/>
      <c r="KXZ240" s="397"/>
      <c r="KYA240" s="397"/>
      <c r="KYB240" s="397"/>
      <c r="KYC240" s="397"/>
      <c r="KYD240" s="397"/>
      <c r="KYE240" s="397"/>
      <c r="KYF240" s="397"/>
      <c r="KYG240" s="397"/>
      <c r="KYH240" s="397"/>
      <c r="KYI240" s="397"/>
      <c r="KYJ240" s="397"/>
      <c r="KYK240" s="397"/>
      <c r="KYL240" s="397"/>
      <c r="KYM240" s="397"/>
      <c r="KYN240" s="397"/>
      <c r="KYO240" s="397"/>
      <c r="KYP240" s="397"/>
      <c r="KYQ240" s="397"/>
      <c r="KYR240" s="397"/>
      <c r="KYS240" s="397"/>
      <c r="KYT240" s="397"/>
      <c r="KYU240" s="397"/>
      <c r="KYV240" s="397"/>
      <c r="KYW240" s="397"/>
      <c r="KYX240" s="397"/>
      <c r="KYY240" s="397"/>
      <c r="KYZ240" s="397"/>
      <c r="KZA240" s="397"/>
      <c r="KZB240" s="397"/>
      <c r="KZC240" s="397"/>
      <c r="KZD240" s="397"/>
      <c r="KZE240" s="397"/>
      <c r="KZF240" s="397"/>
      <c r="KZG240" s="397"/>
      <c r="KZH240" s="397"/>
      <c r="KZI240" s="397"/>
      <c r="KZJ240" s="397"/>
      <c r="KZK240" s="397"/>
      <c r="KZL240" s="397"/>
      <c r="KZM240" s="397"/>
      <c r="KZN240" s="397"/>
      <c r="KZO240" s="397"/>
      <c r="KZP240" s="397"/>
      <c r="KZQ240" s="397"/>
      <c r="KZR240" s="397"/>
      <c r="KZS240" s="397"/>
      <c r="KZT240" s="397"/>
      <c r="KZU240" s="397"/>
      <c r="KZV240" s="397"/>
      <c r="KZW240" s="397"/>
      <c r="KZX240" s="397"/>
      <c r="KZY240" s="397"/>
      <c r="KZZ240" s="397"/>
      <c r="LAA240" s="397"/>
      <c r="LAB240" s="397"/>
      <c r="LAC240" s="397"/>
      <c r="LAD240" s="397"/>
      <c r="LAE240" s="397"/>
      <c r="LAF240" s="397"/>
      <c r="LAG240" s="397"/>
      <c r="LAH240" s="397"/>
      <c r="LAI240" s="397"/>
      <c r="LAJ240" s="397"/>
      <c r="LAK240" s="397"/>
      <c r="LAL240" s="397"/>
      <c r="LAM240" s="397"/>
      <c r="LAN240" s="397"/>
      <c r="LAO240" s="397"/>
      <c r="LAP240" s="397"/>
      <c r="LAQ240" s="397"/>
      <c r="LAR240" s="397"/>
      <c r="LAS240" s="397"/>
      <c r="LAT240" s="397"/>
      <c r="LAU240" s="397"/>
      <c r="LAV240" s="397"/>
      <c r="LAW240" s="397"/>
      <c r="LAX240" s="397"/>
      <c r="LAY240" s="397"/>
      <c r="LAZ240" s="397"/>
      <c r="LBA240" s="397"/>
      <c r="LBB240" s="397"/>
      <c r="LBC240" s="397"/>
      <c r="LBD240" s="397"/>
      <c r="LBE240" s="397"/>
      <c r="LBF240" s="397"/>
      <c r="LBG240" s="397"/>
      <c r="LBH240" s="397"/>
      <c r="LBI240" s="397"/>
      <c r="LBJ240" s="397"/>
      <c r="LBK240" s="397"/>
      <c r="LBL240" s="397"/>
      <c r="LBM240" s="397"/>
      <c r="LBN240" s="397"/>
      <c r="LBO240" s="397"/>
      <c r="LBP240" s="397"/>
      <c r="LBQ240" s="397"/>
      <c r="LBR240" s="397"/>
      <c r="LBS240" s="397"/>
      <c r="LBT240" s="397"/>
      <c r="LBU240" s="397"/>
      <c r="LBV240" s="397"/>
      <c r="LBW240" s="397"/>
      <c r="LBX240" s="397"/>
      <c r="LBY240" s="397"/>
      <c r="LBZ240" s="397"/>
      <c r="LCA240" s="397"/>
      <c r="LCB240" s="397"/>
      <c r="LCC240" s="397"/>
      <c r="LCD240" s="397"/>
      <c r="LCE240" s="397"/>
      <c r="LCF240" s="397"/>
      <c r="LCG240" s="397"/>
      <c r="LCH240" s="397"/>
      <c r="LCI240" s="397"/>
      <c r="LCJ240" s="397"/>
      <c r="LCK240" s="397"/>
      <c r="LCL240" s="397"/>
      <c r="LCM240" s="397"/>
      <c r="LCN240" s="397"/>
      <c r="LCO240" s="397"/>
      <c r="LCP240" s="397"/>
      <c r="LCQ240" s="397"/>
      <c r="LCR240" s="397"/>
      <c r="LCS240" s="397"/>
      <c r="LCT240" s="397"/>
      <c r="LCU240" s="397"/>
      <c r="LCV240" s="397"/>
      <c r="LCW240" s="397"/>
      <c r="LCX240" s="397"/>
      <c r="LCY240" s="397"/>
      <c r="LCZ240" s="397"/>
      <c r="LDA240" s="397"/>
      <c r="LDB240" s="397"/>
      <c r="LDC240" s="397"/>
      <c r="LDD240" s="397"/>
      <c r="LDE240" s="397"/>
      <c r="LDF240" s="397"/>
      <c r="LDG240" s="397"/>
      <c r="LDH240" s="397"/>
      <c r="LDI240" s="397"/>
      <c r="LDJ240" s="397"/>
      <c r="LDK240" s="397"/>
      <c r="LDL240" s="397"/>
      <c r="LDM240" s="397"/>
      <c r="LDN240" s="397"/>
      <c r="LDO240" s="397"/>
      <c r="LDP240" s="397"/>
      <c r="LDQ240" s="397"/>
      <c r="LDR240" s="397"/>
      <c r="LDS240" s="397"/>
      <c r="LDT240" s="397"/>
      <c r="LDU240" s="397"/>
      <c r="LDV240" s="397"/>
      <c r="LDW240" s="397"/>
      <c r="LDX240" s="397"/>
      <c r="LDY240" s="397"/>
      <c r="LDZ240" s="397"/>
      <c r="LEA240" s="397"/>
      <c r="LEB240" s="397"/>
      <c r="LEC240" s="397"/>
      <c r="LED240" s="397"/>
      <c r="LEE240" s="397"/>
      <c r="LEF240" s="397"/>
      <c r="LEG240" s="397"/>
      <c r="LEH240" s="397"/>
      <c r="LEI240" s="397"/>
      <c r="LEJ240" s="397"/>
      <c r="LEK240" s="397"/>
      <c r="LEL240" s="397"/>
      <c r="LEM240" s="397"/>
      <c r="LEN240" s="397"/>
      <c r="LEO240" s="397"/>
      <c r="LEP240" s="397"/>
      <c r="LEQ240" s="397"/>
      <c r="LER240" s="397"/>
      <c r="LES240" s="397"/>
      <c r="LET240" s="397"/>
      <c r="LEU240" s="397"/>
      <c r="LEV240" s="397"/>
      <c r="LEW240" s="397"/>
      <c r="LEX240" s="397"/>
      <c r="LEY240" s="397"/>
      <c r="LEZ240" s="397"/>
      <c r="LFA240" s="397"/>
      <c r="LFB240" s="397"/>
      <c r="LFC240" s="397"/>
      <c r="LFD240" s="397"/>
      <c r="LFE240" s="397"/>
      <c r="LFF240" s="397"/>
      <c r="LFG240" s="397"/>
      <c r="LFH240" s="397"/>
      <c r="LFI240" s="397"/>
      <c r="LFJ240" s="397"/>
      <c r="LFK240" s="397"/>
      <c r="LFL240" s="397"/>
      <c r="LFM240" s="397"/>
      <c r="LFN240" s="397"/>
      <c r="LFO240" s="397"/>
      <c r="LFP240" s="397"/>
      <c r="LFQ240" s="397"/>
      <c r="LFR240" s="397"/>
      <c r="LFS240" s="397"/>
      <c r="LFT240" s="397"/>
      <c r="LFU240" s="397"/>
      <c r="LFV240" s="397"/>
      <c r="LFW240" s="397"/>
      <c r="LFX240" s="397"/>
      <c r="LFY240" s="397"/>
      <c r="LFZ240" s="397"/>
      <c r="LGA240" s="397"/>
      <c r="LGB240" s="397"/>
      <c r="LGC240" s="397"/>
      <c r="LGD240" s="397"/>
      <c r="LGE240" s="397"/>
      <c r="LGF240" s="397"/>
      <c r="LGG240" s="397"/>
      <c r="LGH240" s="397"/>
      <c r="LGI240" s="397"/>
      <c r="LGJ240" s="397"/>
      <c r="LGK240" s="397"/>
      <c r="LGL240" s="397"/>
      <c r="LGM240" s="397"/>
      <c r="LGN240" s="397"/>
      <c r="LGO240" s="397"/>
      <c r="LGP240" s="397"/>
      <c r="LGQ240" s="397"/>
      <c r="LGR240" s="397"/>
      <c r="LGS240" s="397"/>
      <c r="LGT240" s="397"/>
      <c r="LGU240" s="397"/>
      <c r="LGV240" s="397"/>
      <c r="LGW240" s="397"/>
      <c r="LGX240" s="397"/>
      <c r="LGY240" s="397"/>
      <c r="LGZ240" s="397"/>
      <c r="LHA240" s="397"/>
      <c r="LHB240" s="397"/>
      <c r="LHC240" s="397"/>
      <c r="LHD240" s="397"/>
      <c r="LHE240" s="397"/>
      <c r="LHF240" s="397"/>
      <c r="LHG240" s="397"/>
      <c r="LHH240" s="397"/>
      <c r="LHI240" s="397"/>
      <c r="LHJ240" s="397"/>
      <c r="LHK240" s="397"/>
      <c r="LHL240" s="397"/>
      <c r="LHM240" s="397"/>
      <c r="LHN240" s="397"/>
      <c r="LHO240" s="397"/>
      <c r="LHP240" s="397"/>
      <c r="LHQ240" s="397"/>
      <c r="LHR240" s="397"/>
      <c r="LHS240" s="397"/>
      <c r="LHT240" s="397"/>
      <c r="LHU240" s="397"/>
      <c r="LHV240" s="397"/>
      <c r="LHW240" s="397"/>
      <c r="LHX240" s="397"/>
      <c r="LHY240" s="397"/>
      <c r="LHZ240" s="397"/>
      <c r="LIA240" s="397"/>
      <c r="LIB240" s="397"/>
      <c r="LIC240" s="397"/>
      <c r="LID240" s="397"/>
      <c r="LIE240" s="397"/>
      <c r="LIF240" s="397"/>
      <c r="LIG240" s="397"/>
      <c r="LIH240" s="397"/>
      <c r="LII240" s="397"/>
      <c r="LIJ240" s="397"/>
      <c r="LIK240" s="397"/>
      <c r="LIL240" s="397"/>
      <c r="LIM240" s="397"/>
      <c r="LIN240" s="397"/>
      <c r="LIO240" s="397"/>
      <c r="LIP240" s="397"/>
      <c r="LIQ240" s="397"/>
      <c r="LIR240" s="397"/>
      <c r="LIS240" s="397"/>
      <c r="LIT240" s="397"/>
      <c r="LIU240" s="397"/>
      <c r="LIV240" s="397"/>
      <c r="LIW240" s="397"/>
      <c r="LIX240" s="397"/>
      <c r="LIY240" s="397"/>
      <c r="LIZ240" s="397"/>
      <c r="LJA240" s="397"/>
      <c r="LJB240" s="397"/>
      <c r="LJC240" s="397"/>
      <c r="LJD240" s="397"/>
      <c r="LJE240" s="397"/>
      <c r="LJF240" s="397"/>
      <c r="LJG240" s="397"/>
      <c r="LJH240" s="397"/>
      <c r="LJI240" s="397"/>
      <c r="LJJ240" s="397"/>
      <c r="LJK240" s="397"/>
      <c r="LJL240" s="397"/>
      <c r="LJM240" s="397"/>
      <c r="LJN240" s="397"/>
      <c r="LJO240" s="397"/>
      <c r="LJP240" s="397"/>
      <c r="LJQ240" s="397"/>
      <c r="LJR240" s="397"/>
      <c r="LJS240" s="397"/>
      <c r="LJT240" s="397"/>
      <c r="LJU240" s="397"/>
      <c r="LJV240" s="397"/>
      <c r="LJW240" s="397"/>
      <c r="LJX240" s="397"/>
      <c r="LJY240" s="397"/>
      <c r="LJZ240" s="397"/>
      <c r="LKA240" s="397"/>
      <c r="LKB240" s="397"/>
      <c r="LKC240" s="397"/>
      <c r="LKD240" s="397"/>
      <c r="LKE240" s="397"/>
      <c r="LKF240" s="397"/>
      <c r="LKG240" s="397"/>
      <c r="LKH240" s="397"/>
      <c r="LKI240" s="397"/>
      <c r="LKJ240" s="397"/>
      <c r="LKK240" s="397"/>
      <c r="LKL240" s="397"/>
      <c r="LKM240" s="397"/>
      <c r="LKN240" s="397"/>
      <c r="LKO240" s="397"/>
      <c r="LKP240" s="397"/>
      <c r="LKQ240" s="397"/>
      <c r="LKR240" s="397"/>
      <c r="LKS240" s="397"/>
      <c r="LKT240" s="397"/>
      <c r="LKU240" s="397"/>
      <c r="LKV240" s="397"/>
      <c r="LKW240" s="397"/>
      <c r="LKX240" s="397"/>
      <c r="LKY240" s="397"/>
      <c r="LKZ240" s="397"/>
      <c r="LLA240" s="397"/>
      <c r="LLB240" s="397"/>
      <c r="LLC240" s="397"/>
      <c r="LLD240" s="397"/>
      <c r="LLE240" s="397"/>
      <c r="LLF240" s="397"/>
      <c r="LLG240" s="397"/>
      <c r="LLH240" s="397"/>
      <c r="LLI240" s="397"/>
      <c r="LLJ240" s="397"/>
      <c r="LLK240" s="397"/>
      <c r="LLL240" s="397"/>
      <c r="LLM240" s="397"/>
      <c r="LLN240" s="397"/>
      <c r="LLO240" s="397"/>
      <c r="LLP240" s="397"/>
      <c r="LLQ240" s="397"/>
      <c r="LLR240" s="397"/>
      <c r="LLS240" s="397"/>
      <c r="LLT240" s="397"/>
      <c r="LLU240" s="397"/>
      <c r="LLV240" s="397"/>
      <c r="LLW240" s="397"/>
      <c r="LLX240" s="397"/>
      <c r="LLY240" s="397"/>
      <c r="LLZ240" s="397"/>
      <c r="LMA240" s="397"/>
      <c r="LMB240" s="397"/>
      <c r="LMC240" s="397"/>
      <c r="LMD240" s="397"/>
      <c r="LME240" s="397"/>
      <c r="LMF240" s="397"/>
      <c r="LMG240" s="397"/>
      <c r="LMH240" s="397"/>
      <c r="LMI240" s="397"/>
      <c r="LMJ240" s="397"/>
      <c r="LMK240" s="397"/>
      <c r="LML240" s="397"/>
      <c r="LMM240" s="397"/>
      <c r="LMN240" s="397"/>
      <c r="LMO240" s="397"/>
      <c r="LMP240" s="397"/>
      <c r="LMQ240" s="397"/>
      <c r="LMR240" s="397"/>
      <c r="LMS240" s="397"/>
      <c r="LMT240" s="397"/>
      <c r="LMU240" s="397"/>
      <c r="LMV240" s="397"/>
      <c r="LMW240" s="397"/>
      <c r="LMX240" s="397"/>
      <c r="LMY240" s="397"/>
      <c r="LMZ240" s="397"/>
      <c r="LNA240" s="397"/>
      <c r="LNB240" s="397"/>
      <c r="LNC240" s="397"/>
      <c r="LND240" s="397"/>
      <c r="LNE240" s="397"/>
      <c r="LNF240" s="397"/>
      <c r="LNG240" s="397"/>
      <c r="LNH240" s="397"/>
      <c r="LNI240" s="397"/>
      <c r="LNJ240" s="397"/>
      <c r="LNK240" s="397"/>
      <c r="LNL240" s="397"/>
      <c r="LNM240" s="397"/>
      <c r="LNN240" s="397"/>
      <c r="LNO240" s="397"/>
      <c r="LNP240" s="397"/>
      <c r="LNQ240" s="397"/>
      <c r="LNR240" s="397"/>
      <c r="LNS240" s="397"/>
      <c r="LNT240" s="397"/>
      <c r="LNU240" s="397"/>
      <c r="LNV240" s="397"/>
      <c r="LNW240" s="397"/>
      <c r="LNX240" s="397"/>
      <c r="LNY240" s="397"/>
      <c r="LNZ240" s="397"/>
      <c r="LOA240" s="397"/>
      <c r="LOB240" s="397"/>
      <c r="LOC240" s="397"/>
      <c r="LOD240" s="397"/>
      <c r="LOE240" s="397"/>
      <c r="LOF240" s="397"/>
      <c r="LOG240" s="397"/>
      <c r="LOH240" s="397"/>
      <c r="LOI240" s="397"/>
      <c r="LOJ240" s="397"/>
      <c r="LOK240" s="397"/>
      <c r="LOL240" s="397"/>
      <c r="LOM240" s="397"/>
      <c r="LON240" s="397"/>
      <c r="LOO240" s="397"/>
      <c r="LOP240" s="397"/>
      <c r="LOQ240" s="397"/>
      <c r="LOR240" s="397"/>
      <c r="LOS240" s="397"/>
      <c r="LOT240" s="397"/>
      <c r="LOU240" s="397"/>
      <c r="LOV240" s="397"/>
      <c r="LOW240" s="397"/>
      <c r="LOX240" s="397"/>
      <c r="LOY240" s="397"/>
      <c r="LOZ240" s="397"/>
      <c r="LPA240" s="397"/>
      <c r="LPB240" s="397"/>
      <c r="LPC240" s="397"/>
      <c r="LPD240" s="397"/>
      <c r="LPE240" s="397"/>
      <c r="LPF240" s="397"/>
      <c r="LPG240" s="397"/>
      <c r="LPH240" s="397"/>
      <c r="LPI240" s="397"/>
      <c r="LPJ240" s="397"/>
      <c r="LPK240" s="397"/>
      <c r="LPL240" s="397"/>
      <c r="LPM240" s="397"/>
      <c r="LPN240" s="397"/>
      <c r="LPO240" s="397"/>
      <c r="LPP240" s="397"/>
      <c r="LPQ240" s="397"/>
      <c r="LPR240" s="397"/>
      <c r="LPS240" s="397"/>
      <c r="LPT240" s="397"/>
      <c r="LPU240" s="397"/>
      <c r="LPV240" s="397"/>
      <c r="LPW240" s="397"/>
      <c r="LPX240" s="397"/>
      <c r="LPY240" s="397"/>
      <c r="LPZ240" s="397"/>
      <c r="LQA240" s="397"/>
      <c r="LQB240" s="397"/>
      <c r="LQC240" s="397"/>
      <c r="LQD240" s="397"/>
      <c r="LQE240" s="397"/>
      <c r="LQF240" s="397"/>
      <c r="LQG240" s="397"/>
      <c r="LQH240" s="397"/>
      <c r="LQI240" s="397"/>
      <c r="LQJ240" s="397"/>
      <c r="LQK240" s="397"/>
      <c r="LQL240" s="397"/>
      <c r="LQM240" s="397"/>
      <c r="LQN240" s="397"/>
      <c r="LQO240" s="397"/>
      <c r="LQP240" s="397"/>
      <c r="LQQ240" s="397"/>
      <c r="LQR240" s="397"/>
      <c r="LQS240" s="397"/>
      <c r="LQT240" s="397"/>
      <c r="LQU240" s="397"/>
      <c r="LQV240" s="397"/>
      <c r="LQW240" s="397"/>
      <c r="LQX240" s="397"/>
      <c r="LQY240" s="397"/>
      <c r="LQZ240" s="397"/>
      <c r="LRA240" s="397"/>
      <c r="LRB240" s="397"/>
      <c r="LRC240" s="397"/>
      <c r="LRD240" s="397"/>
      <c r="LRE240" s="397"/>
      <c r="LRF240" s="397"/>
      <c r="LRG240" s="397"/>
      <c r="LRH240" s="397"/>
      <c r="LRI240" s="397"/>
      <c r="LRJ240" s="397"/>
      <c r="LRK240" s="397"/>
      <c r="LRL240" s="397"/>
      <c r="LRM240" s="397"/>
      <c r="LRN240" s="397"/>
      <c r="LRO240" s="397"/>
      <c r="LRP240" s="397"/>
      <c r="LRQ240" s="397"/>
      <c r="LRR240" s="397"/>
      <c r="LRS240" s="397"/>
      <c r="LRT240" s="397"/>
      <c r="LRU240" s="397"/>
      <c r="LRV240" s="397"/>
      <c r="LRW240" s="397"/>
      <c r="LRX240" s="397"/>
      <c r="LRY240" s="397"/>
      <c r="LRZ240" s="397"/>
      <c r="LSA240" s="397"/>
      <c r="LSB240" s="397"/>
      <c r="LSC240" s="397"/>
      <c r="LSD240" s="397"/>
      <c r="LSE240" s="397"/>
      <c r="LSF240" s="397"/>
      <c r="LSG240" s="397"/>
      <c r="LSH240" s="397"/>
      <c r="LSI240" s="397"/>
      <c r="LSJ240" s="397"/>
      <c r="LSK240" s="397"/>
      <c r="LSL240" s="397"/>
      <c r="LSM240" s="397"/>
      <c r="LSN240" s="397"/>
      <c r="LSO240" s="397"/>
      <c r="LSP240" s="397"/>
      <c r="LSQ240" s="397"/>
      <c r="LSR240" s="397"/>
      <c r="LSS240" s="397"/>
      <c r="LST240" s="397"/>
      <c r="LSU240" s="397"/>
      <c r="LSV240" s="397"/>
      <c r="LSW240" s="397"/>
      <c r="LSX240" s="397"/>
      <c r="LSY240" s="397"/>
      <c r="LSZ240" s="397"/>
      <c r="LTA240" s="397"/>
      <c r="LTB240" s="397"/>
      <c r="LTC240" s="397"/>
      <c r="LTD240" s="397"/>
      <c r="LTE240" s="397"/>
      <c r="LTF240" s="397"/>
      <c r="LTG240" s="397"/>
      <c r="LTH240" s="397"/>
      <c r="LTI240" s="397"/>
      <c r="LTJ240" s="397"/>
      <c r="LTK240" s="397"/>
      <c r="LTL240" s="397"/>
      <c r="LTM240" s="397"/>
      <c r="LTN240" s="397"/>
      <c r="LTO240" s="397"/>
      <c r="LTP240" s="397"/>
      <c r="LTQ240" s="397"/>
      <c r="LTR240" s="397"/>
      <c r="LTS240" s="397"/>
      <c r="LTT240" s="397"/>
      <c r="LTU240" s="397"/>
      <c r="LTV240" s="397"/>
      <c r="LTW240" s="397"/>
      <c r="LTX240" s="397"/>
      <c r="LTY240" s="397"/>
      <c r="LTZ240" s="397"/>
      <c r="LUA240" s="397"/>
      <c r="LUB240" s="397"/>
      <c r="LUC240" s="397"/>
      <c r="LUD240" s="397"/>
      <c r="LUE240" s="397"/>
      <c r="LUF240" s="397"/>
      <c r="LUG240" s="397"/>
      <c r="LUH240" s="397"/>
      <c r="LUI240" s="397"/>
      <c r="LUJ240" s="397"/>
      <c r="LUK240" s="397"/>
      <c r="LUL240" s="397"/>
      <c r="LUM240" s="397"/>
      <c r="LUN240" s="397"/>
      <c r="LUO240" s="397"/>
      <c r="LUP240" s="397"/>
      <c r="LUQ240" s="397"/>
      <c r="LUR240" s="397"/>
      <c r="LUS240" s="397"/>
      <c r="LUT240" s="397"/>
      <c r="LUU240" s="397"/>
      <c r="LUV240" s="397"/>
      <c r="LUW240" s="397"/>
      <c r="LUX240" s="397"/>
      <c r="LUY240" s="397"/>
      <c r="LUZ240" s="397"/>
      <c r="LVA240" s="397"/>
      <c r="LVB240" s="397"/>
      <c r="LVC240" s="397"/>
      <c r="LVD240" s="397"/>
      <c r="LVE240" s="397"/>
      <c r="LVF240" s="397"/>
      <c r="LVG240" s="397"/>
      <c r="LVH240" s="397"/>
      <c r="LVI240" s="397"/>
      <c r="LVJ240" s="397"/>
      <c r="LVK240" s="397"/>
      <c r="LVL240" s="397"/>
      <c r="LVM240" s="397"/>
      <c r="LVN240" s="397"/>
      <c r="LVO240" s="397"/>
      <c r="LVP240" s="397"/>
      <c r="LVQ240" s="397"/>
      <c r="LVR240" s="397"/>
      <c r="LVS240" s="397"/>
      <c r="LVT240" s="397"/>
      <c r="LVU240" s="397"/>
      <c r="LVV240" s="397"/>
      <c r="LVW240" s="397"/>
      <c r="LVX240" s="397"/>
      <c r="LVY240" s="397"/>
      <c r="LVZ240" s="397"/>
      <c r="LWA240" s="397"/>
      <c r="LWB240" s="397"/>
      <c r="LWC240" s="397"/>
      <c r="LWD240" s="397"/>
      <c r="LWE240" s="397"/>
      <c r="LWF240" s="397"/>
      <c r="LWG240" s="397"/>
      <c r="LWH240" s="397"/>
      <c r="LWI240" s="397"/>
      <c r="LWJ240" s="397"/>
      <c r="LWK240" s="397"/>
      <c r="LWL240" s="397"/>
      <c r="LWM240" s="397"/>
      <c r="LWN240" s="397"/>
      <c r="LWO240" s="397"/>
      <c r="LWP240" s="397"/>
      <c r="LWQ240" s="397"/>
      <c r="LWR240" s="397"/>
      <c r="LWS240" s="397"/>
      <c r="LWT240" s="397"/>
      <c r="LWU240" s="397"/>
      <c r="LWV240" s="397"/>
      <c r="LWW240" s="397"/>
      <c r="LWX240" s="397"/>
      <c r="LWY240" s="397"/>
      <c r="LWZ240" s="397"/>
      <c r="LXA240" s="397"/>
      <c r="LXB240" s="397"/>
      <c r="LXC240" s="397"/>
      <c r="LXD240" s="397"/>
      <c r="LXE240" s="397"/>
      <c r="LXF240" s="397"/>
      <c r="LXG240" s="397"/>
      <c r="LXH240" s="397"/>
      <c r="LXI240" s="397"/>
      <c r="LXJ240" s="397"/>
      <c r="LXK240" s="397"/>
      <c r="LXL240" s="397"/>
      <c r="LXM240" s="397"/>
      <c r="LXN240" s="397"/>
      <c r="LXO240" s="397"/>
      <c r="LXP240" s="397"/>
      <c r="LXQ240" s="397"/>
      <c r="LXR240" s="397"/>
      <c r="LXS240" s="397"/>
      <c r="LXT240" s="397"/>
      <c r="LXU240" s="397"/>
      <c r="LXV240" s="397"/>
      <c r="LXW240" s="397"/>
      <c r="LXX240" s="397"/>
      <c r="LXY240" s="397"/>
      <c r="LXZ240" s="397"/>
      <c r="LYA240" s="397"/>
      <c r="LYB240" s="397"/>
      <c r="LYC240" s="397"/>
      <c r="LYD240" s="397"/>
      <c r="LYE240" s="397"/>
      <c r="LYF240" s="397"/>
      <c r="LYG240" s="397"/>
      <c r="LYH240" s="397"/>
      <c r="LYI240" s="397"/>
      <c r="LYJ240" s="397"/>
      <c r="LYK240" s="397"/>
      <c r="LYL240" s="397"/>
      <c r="LYM240" s="397"/>
      <c r="LYN240" s="397"/>
      <c r="LYO240" s="397"/>
      <c r="LYP240" s="397"/>
      <c r="LYQ240" s="397"/>
      <c r="LYR240" s="397"/>
      <c r="LYS240" s="397"/>
      <c r="LYT240" s="397"/>
      <c r="LYU240" s="397"/>
      <c r="LYV240" s="397"/>
      <c r="LYW240" s="397"/>
      <c r="LYX240" s="397"/>
      <c r="LYY240" s="397"/>
      <c r="LYZ240" s="397"/>
      <c r="LZA240" s="397"/>
      <c r="LZB240" s="397"/>
      <c r="LZC240" s="397"/>
      <c r="LZD240" s="397"/>
      <c r="LZE240" s="397"/>
      <c r="LZF240" s="397"/>
      <c r="LZG240" s="397"/>
      <c r="LZH240" s="397"/>
      <c r="LZI240" s="397"/>
      <c r="LZJ240" s="397"/>
      <c r="LZK240" s="397"/>
      <c r="LZL240" s="397"/>
      <c r="LZM240" s="397"/>
      <c r="LZN240" s="397"/>
      <c r="LZO240" s="397"/>
      <c r="LZP240" s="397"/>
      <c r="LZQ240" s="397"/>
      <c r="LZR240" s="397"/>
      <c r="LZS240" s="397"/>
      <c r="LZT240" s="397"/>
      <c r="LZU240" s="397"/>
      <c r="LZV240" s="397"/>
      <c r="LZW240" s="397"/>
      <c r="LZX240" s="397"/>
      <c r="LZY240" s="397"/>
      <c r="LZZ240" s="397"/>
      <c r="MAA240" s="397"/>
      <c r="MAB240" s="397"/>
      <c r="MAC240" s="397"/>
      <c r="MAD240" s="397"/>
      <c r="MAE240" s="397"/>
      <c r="MAF240" s="397"/>
      <c r="MAG240" s="397"/>
      <c r="MAH240" s="397"/>
      <c r="MAI240" s="397"/>
      <c r="MAJ240" s="397"/>
      <c r="MAK240" s="397"/>
      <c r="MAL240" s="397"/>
      <c r="MAM240" s="397"/>
      <c r="MAN240" s="397"/>
      <c r="MAO240" s="397"/>
      <c r="MAP240" s="397"/>
      <c r="MAQ240" s="397"/>
      <c r="MAR240" s="397"/>
      <c r="MAS240" s="397"/>
      <c r="MAT240" s="397"/>
      <c r="MAU240" s="397"/>
      <c r="MAV240" s="397"/>
      <c r="MAW240" s="397"/>
      <c r="MAX240" s="397"/>
      <c r="MAY240" s="397"/>
      <c r="MAZ240" s="397"/>
      <c r="MBA240" s="397"/>
      <c r="MBB240" s="397"/>
      <c r="MBC240" s="397"/>
      <c r="MBD240" s="397"/>
      <c r="MBE240" s="397"/>
      <c r="MBF240" s="397"/>
      <c r="MBG240" s="397"/>
      <c r="MBH240" s="397"/>
      <c r="MBI240" s="397"/>
      <c r="MBJ240" s="397"/>
      <c r="MBK240" s="397"/>
      <c r="MBL240" s="397"/>
      <c r="MBM240" s="397"/>
      <c r="MBN240" s="397"/>
      <c r="MBO240" s="397"/>
      <c r="MBP240" s="397"/>
      <c r="MBQ240" s="397"/>
      <c r="MBR240" s="397"/>
      <c r="MBS240" s="397"/>
      <c r="MBT240" s="397"/>
      <c r="MBU240" s="397"/>
      <c r="MBV240" s="397"/>
      <c r="MBW240" s="397"/>
      <c r="MBX240" s="397"/>
      <c r="MBY240" s="397"/>
      <c r="MBZ240" s="397"/>
      <c r="MCA240" s="397"/>
      <c r="MCB240" s="397"/>
      <c r="MCC240" s="397"/>
      <c r="MCD240" s="397"/>
      <c r="MCE240" s="397"/>
      <c r="MCF240" s="397"/>
      <c r="MCG240" s="397"/>
      <c r="MCH240" s="397"/>
      <c r="MCI240" s="397"/>
      <c r="MCJ240" s="397"/>
      <c r="MCK240" s="397"/>
      <c r="MCL240" s="397"/>
      <c r="MCM240" s="397"/>
      <c r="MCN240" s="397"/>
      <c r="MCO240" s="397"/>
      <c r="MCP240" s="397"/>
      <c r="MCQ240" s="397"/>
      <c r="MCR240" s="397"/>
      <c r="MCS240" s="397"/>
      <c r="MCT240" s="397"/>
      <c r="MCU240" s="397"/>
      <c r="MCV240" s="397"/>
      <c r="MCW240" s="397"/>
      <c r="MCX240" s="397"/>
      <c r="MCY240" s="397"/>
      <c r="MCZ240" s="397"/>
      <c r="MDA240" s="397"/>
      <c r="MDB240" s="397"/>
      <c r="MDC240" s="397"/>
      <c r="MDD240" s="397"/>
      <c r="MDE240" s="397"/>
      <c r="MDF240" s="397"/>
      <c r="MDG240" s="397"/>
      <c r="MDH240" s="397"/>
      <c r="MDI240" s="397"/>
      <c r="MDJ240" s="397"/>
      <c r="MDK240" s="397"/>
      <c r="MDL240" s="397"/>
      <c r="MDM240" s="397"/>
      <c r="MDN240" s="397"/>
      <c r="MDO240" s="397"/>
      <c r="MDP240" s="397"/>
      <c r="MDQ240" s="397"/>
      <c r="MDR240" s="397"/>
      <c r="MDS240" s="397"/>
      <c r="MDT240" s="397"/>
      <c r="MDU240" s="397"/>
      <c r="MDV240" s="397"/>
      <c r="MDW240" s="397"/>
      <c r="MDX240" s="397"/>
      <c r="MDY240" s="397"/>
      <c r="MDZ240" s="397"/>
      <c r="MEA240" s="397"/>
      <c r="MEB240" s="397"/>
      <c r="MEC240" s="397"/>
      <c r="MED240" s="397"/>
      <c r="MEE240" s="397"/>
      <c r="MEF240" s="397"/>
      <c r="MEG240" s="397"/>
      <c r="MEH240" s="397"/>
      <c r="MEI240" s="397"/>
      <c r="MEJ240" s="397"/>
      <c r="MEK240" s="397"/>
      <c r="MEL240" s="397"/>
      <c r="MEM240" s="397"/>
      <c r="MEN240" s="397"/>
      <c r="MEO240" s="397"/>
      <c r="MEP240" s="397"/>
      <c r="MEQ240" s="397"/>
      <c r="MER240" s="397"/>
      <c r="MES240" s="397"/>
      <c r="MET240" s="397"/>
      <c r="MEU240" s="397"/>
      <c r="MEV240" s="397"/>
      <c r="MEW240" s="397"/>
      <c r="MEX240" s="397"/>
      <c r="MEY240" s="397"/>
      <c r="MEZ240" s="397"/>
      <c r="MFA240" s="397"/>
      <c r="MFB240" s="397"/>
      <c r="MFC240" s="397"/>
      <c r="MFD240" s="397"/>
      <c r="MFE240" s="397"/>
      <c r="MFF240" s="397"/>
      <c r="MFG240" s="397"/>
      <c r="MFH240" s="397"/>
      <c r="MFI240" s="397"/>
      <c r="MFJ240" s="397"/>
      <c r="MFK240" s="397"/>
      <c r="MFL240" s="397"/>
      <c r="MFM240" s="397"/>
      <c r="MFN240" s="397"/>
      <c r="MFO240" s="397"/>
      <c r="MFP240" s="397"/>
      <c r="MFQ240" s="397"/>
      <c r="MFR240" s="397"/>
      <c r="MFS240" s="397"/>
      <c r="MFT240" s="397"/>
      <c r="MFU240" s="397"/>
      <c r="MFV240" s="397"/>
      <c r="MFW240" s="397"/>
      <c r="MFX240" s="397"/>
      <c r="MFY240" s="397"/>
      <c r="MFZ240" s="397"/>
      <c r="MGA240" s="397"/>
      <c r="MGB240" s="397"/>
      <c r="MGC240" s="397"/>
      <c r="MGD240" s="397"/>
      <c r="MGE240" s="397"/>
      <c r="MGF240" s="397"/>
      <c r="MGG240" s="397"/>
      <c r="MGH240" s="397"/>
      <c r="MGI240" s="397"/>
      <c r="MGJ240" s="397"/>
      <c r="MGK240" s="397"/>
      <c r="MGL240" s="397"/>
      <c r="MGM240" s="397"/>
      <c r="MGN240" s="397"/>
      <c r="MGO240" s="397"/>
      <c r="MGP240" s="397"/>
      <c r="MGQ240" s="397"/>
      <c r="MGR240" s="397"/>
      <c r="MGS240" s="397"/>
      <c r="MGT240" s="397"/>
      <c r="MGU240" s="397"/>
      <c r="MGV240" s="397"/>
      <c r="MGW240" s="397"/>
      <c r="MGX240" s="397"/>
      <c r="MGY240" s="397"/>
      <c r="MGZ240" s="397"/>
      <c r="MHA240" s="397"/>
      <c r="MHB240" s="397"/>
      <c r="MHC240" s="397"/>
      <c r="MHD240" s="397"/>
      <c r="MHE240" s="397"/>
      <c r="MHF240" s="397"/>
      <c r="MHG240" s="397"/>
      <c r="MHH240" s="397"/>
      <c r="MHI240" s="397"/>
      <c r="MHJ240" s="397"/>
      <c r="MHK240" s="397"/>
      <c r="MHL240" s="397"/>
      <c r="MHM240" s="397"/>
      <c r="MHN240" s="397"/>
      <c r="MHO240" s="397"/>
      <c r="MHP240" s="397"/>
      <c r="MHQ240" s="397"/>
      <c r="MHR240" s="397"/>
      <c r="MHS240" s="397"/>
      <c r="MHT240" s="397"/>
      <c r="MHU240" s="397"/>
      <c r="MHV240" s="397"/>
      <c r="MHW240" s="397"/>
      <c r="MHX240" s="397"/>
      <c r="MHY240" s="397"/>
      <c r="MHZ240" s="397"/>
      <c r="MIA240" s="397"/>
      <c r="MIB240" s="397"/>
      <c r="MIC240" s="397"/>
      <c r="MID240" s="397"/>
      <c r="MIE240" s="397"/>
      <c r="MIF240" s="397"/>
      <c r="MIG240" s="397"/>
      <c r="MIH240" s="397"/>
      <c r="MII240" s="397"/>
      <c r="MIJ240" s="397"/>
      <c r="MIK240" s="397"/>
      <c r="MIL240" s="397"/>
      <c r="MIM240" s="397"/>
      <c r="MIN240" s="397"/>
      <c r="MIO240" s="397"/>
      <c r="MIP240" s="397"/>
      <c r="MIQ240" s="397"/>
      <c r="MIR240" s="397"/>
      <c r="MIS240" s="397"/>
      <c r="MIT240" s="397"/>
      <c r="MIU240" s="397"/>
      <c r="MIV240" s="397"/>
      <c r="MIW240" s="397"/>
      <c r="MIX240" s="397"/>
      <c r="MIY240" s="397"/>
      <c r="MIZ240" s="397"/>
      <c r="MJA240" s="397"/>
      <c r="MJB240" s="397"/>
      <c r="MJC240" s="397"/>
      <c r="MJD240" s="397"/>
      <c r="MJE240" s="397"/>
      <c r="MJF240" s="397"/>
      <c r="MJG240" s="397"/>
      <c r="MJH240" s="397"/>
      <c r="MJI240" s="397"/>
      <c r="MJJ240" s="397"/>
      <c r="MJK240" s="397"/>
      <c r="MJL240" s="397"/>
      <c r="MJM240" s="397"/>
      <c r="MJN240" s="397"/>
      <c r="MJO240" s="397"/>
      <c r="MJP240" s="397"/>
      <c r="MJQ240" s="397"/>
      <c r="MJR240" s="397"/>
      <c r="MJS240" s="397"/>
      <c r="MJT240" s="397"/>
      <c r="MJU240" s="397"/>
      <c r="MJV240" s="397"/>
      <c r="MJW240" s="397"/>
      <c r="MJX240" s="397"/>
      <c r="MJY240" s="397"/>
      <c r="MJZ240" s="397"/>
      <c r="MKA240" s="397"/>
      <c r="MKB240" s="397"/>
      <c r="MKC240" s="397"/>
      <c r="MKD240" s="397"/>
      <c r="MKE240" s="397"/>
      <c r="MKF240" s="397"/>
      <c r="MKG240" s="397"/>
      <c r="MKH240" s="397"/>
      <c r="MKI240" s="397"/>
      <c r="MKJ240" s="397"/>
      <c r="MKK240" s="397"/>
      <c r="MKL240" s="397"/>
      <c r="MKM240" s="397"/>
      <c r="MKN240" s="397"/>
      <c r="MKO240" s="397"/>
      <c r="MKP240" s="397"/>
      <c r="MKQ240" s="397"/>
      <c r="MKR240" s="397"/>
      <c r="MKS240" s="397"/>
      <c r="MKT240" s="397"/>
      <c r="MKU240" s="397"/>
      <c r="MKV240" s="397"/>
      <c r="MKW240" s="397"/>
      <c r="MKX240" s="397"/>
      <c r="MKY240" s="397"/>
      <c r="MKZ240" s="397"/>
      <c r="MLA240" s="397"/>
      <c r="MLB240" s="397"/>
      <c r="MLC240" s="397"/>
      <c r="MLD240" s="397"/>
      <c r="MLE240" s="397"/>
      <c r="MLF240" s="397"/>
      <c r="MLG240" s="397"/>
      <c r="MLH240" s="397"/>
      <c r="MLI240" s="397"/>
      <c r="MLJ240" s="397"/>
      <c r="MLK240" s="397"/>
      <c r="MLL240" s="397"/>
      <c r="MLM240" s="397"/>
      <c r="MLN240" s="397"/>
      <c r="MLO240" s="397"/>
      <c r="MLP240" s="397"/>
      <c r="MLQ240" s="397"/>
      <c r="MLR240" s="397"/>
      <c r="MLS240" s="397"/>
      <c r="MLT240" s="397"/>
      <c r="MLU240" s="397"/>
      <c r="MLV240" s="397"/>
      <c r="MLW240" s="397"/>
      <c r="MLX240" s="397"/>
      <c r="MLY240" s="397"/>
      <c r="MLZ240" s="397"/>
      <c r="MMA240" s="397"/>
      <c r="MMB240" s="397"/>
      <c r="MMC240" s="397"/>
      <c r="MMD240" s="397"/>
      <c r="MME240" s="397"/>
      <c r="MMF240" s="397"/>
      <c r="MMG240" s="397"/>
      <c r="MMH240" s="397"/>
      <c r="MMI240" s="397"/>
      <c r="MMJ240" s="397"/>
      <c r="MMK240" s="397"/>
      <c r="MML240" s="397"/>
      <c r="MMM240" s="397"/>
      <c r="MMN240" s="397"/>
      <c r="MMO240" s="397"/>
      <c r="MMP240" s="397"/>
      <c r="MMQ240" s="397"/>
      <c r="MMR240" s="397"/>
      <c r="MMS240" s="397"/>
      <c r="MMT240" s="397"/>
      <c r="MMU240" s="397"/>
      <c r="MMV240" s="397"/>
      <c r="MMW240" s="397"/>
      <c r="MMX240" s="397"/>
      <c r="MMY240" s="397"/>
      <c r="MMZ240" s="397"/>
      <c r="MNA240" s="397"/>
      <c r="MNB240" s="397"/>
      <c r="MNC240" s="397"/>
      <c r="MND240" s="397"/>
      <c r="MNE240" s="397"/>
      <c r="MNF240" s="397"/>
      <c r="MNG240" s="397"/>
      <c r="MNH240" s="397"/>
      <c r="MNI240" s="397"/>
      <c r="MNJ240" s="397"/>
      <c r="MNK240" s="397"/>
      <c r="MNL240" s="397"/>
      <c r="MNM240" s="397"/>
      <c r="MNN240" s="397"/>
      <c r="MNO240" s="397"/>
      <c r="MNP240" s="397"/>
      <c r="MNQ240" s="397"/>
      <c r="MNR240" s="397"/>
      <c r="MNS240" s="397"/>
      <c r="MNT240" s="397"/>
      <c r="MNU240" s="397"/>
      <c r="MNV240" s="397"/>
      <c r="MNW240" s="397"/>
      <c r="MNX240" s="397"/>
      <c r="MNY240" s="397"/>
      <c r="MNZ240" s="397"/>
      <c r="MOA240" s="397"/>
      <c r="MOB240" s="397"/>
      <c r="MOC240" s="397"/>
      <c r="MOD240" s="397"/>
      <c r="MOE240" s="397"/>
      <c r="MOF240" s="397"/>
      <c r="MOG240" s="397"/>
      <c r="MOH240" s="397"/>
      <c r="MOI240" s="397"/>
      <c r="MOJ240" s="397"/>
      <c r="MOK240" s="397"/>
      <c r="MOL240" s="397"/>
      <c r="MOM240" s="397"/>
      <c r="MON240" s="397"/>
      <c r="MOO240" s="397"/>
      <c r="MOP240" s="397"/>
      <c r="MOQ240" s="397"/>
      <c r="MOR240" s="397"/>
      <c r="MOS240" s="397"/>
      <c r="MOT240" s="397"/>
      <c r="MOU240" s="397"/>
      <c r="MOV240" s="397"/>
      <c r="MOW240" s="397"/>
      <c r="MOX240" s="397"/>
      <c r="MOY240" s="397"/>
      <c r="MOZ240" s="397"/>
      <c r="MPA240" s="397"/>
      <c r="MPB240" s="397"/>
      <c r="MPC240" s="397"/>
      <c r="MPD240" s="397"/>
      <c r="MPE240" s="397"/>
      <c r="MPF240" s="397"/>
      <c r="MPG240" s="397"/>
      <c r="MPH240" s="397"/>
      <c r="MPI240" s="397"/>
      <c r="MPJ240" s="397"/>
      <c r="MPK240" s="397"/>
      <c r="MPL240" s="397"/>
      <c r="MPM240" s="397"/>
      <c r="MPN240" s="397"/>
      <c r="MPO240" s="397"/>
      <c r="MPP240" s="397"/>
      <c r="MPQ240" s="397"/>
      <c r="MPR240" s="397"/>
      <c r="MPS240" s="397"/>
      <c r="MPT240" s="397"/>
      <c r="MPU240" s="397"/>
      <c r="MPV240" s="397"/>
      <c r="MPW240" s="397"/>
      <c r="MPX240" s="397"/>
      <c r="MPY240" s="397"/>
      <c r="MPZ240" s="397"/>
      <c r="MQA240" s="397"/>
      <c r="MQB240" s="397"/>
      <c r="MQC240" s="397"/>
      <c r="MQD240" s="397"/>
      <c r="MQE240" s="397"/>
      <c r="MQF240" s="397"/>
      <c r="MQG240" s="397"/>
      <c r="MQH240" s="397"/>
      <c r="MQI240" s="397"/>
      <c r="MQJ240" s="397"/>
      <c r="MQK240" s="397"/>
      <c r="MQL240" s="397"/>
      <c r="MQM240" s="397"/>
      <c r="MQN240" s="397"/>
      <c r="MQO240" s="397"/>
      <c r="MQP240" s="397"/>
      <c r="MQQ240" s="397"/>
      <c r="MQR240" s="397"/>
      <c r="MQS240" s="397"/>
      <c r="MQT240" s="397"/>
      <c r="MQU240" s="397"/>
      <c r="MQV240" s="397"/>
      <c r="MQW240" s="397"/>
      <c r="MQX240" s="397"/>
      <c r="MQY240" s="397"/>
      <c r="MQZ240" s="397"/>
      <c r="MRA240" s="397"/>
      <c r="MRB240" s="397"/>
      <c r="MRC240" s="397"/>
      <c r="MRD240" s="397"/>
      <c r="MRE240" s="397"/>
      <c r="MRF240" s="397"/>
      <c r="MRG240" s="397"/>
      <c r="MRH240" s="397"/>
      <c r="MRI240" s="397"/>
      <c r="MRJ240" s="397"/>
      <c r="MRK240" s="397"/>
      <c r="MRL240" s="397"/>
      <c r="MRM240" s="397"/>
      <c r="MRN240" s="397"/>
      <c r="MRO240" s="397"/>
      <c r="MRP240" s="397"/>
      <c r="MRQ240" s="397"/>
      <c r="MRR240" s="397"/>
      <c r="MRS240" s="397"/>
      <c r="MRT240" s="397"/>
      <c r="MRU240" s="397"/>
      <c r="MRV240" s="397"/>
      <c r="MRW240" s="397"/>
      <c r="MRX240" s="397"/>
      <c r="MRY240" s="397"/>
      <c r="MRZ240" s="397"/>
      <c r="MSA240" s="397"/>
      <c r="MSB240" s="397"/>
      <c r="MSC240" s="397"/>
      <c r="MSD240" s="397"/>
      <c r="MSE240" s="397"/>
      <c r="MSF240" s="397"/>
      <c r="MSG240" s="397"/>
      <c r="MSH240" s="397"/>
      <c r="MSI240" s="397"/>
      <c r="MSJ240" s="397"/>
      <c r="MSK240" s="397"/>
      <c r="MSL240" s="397"/>
      <c r="MSM240" s="397"/>
      <c r="MSN240" s="397"/>
      <c r="MSO240" s="397"/>
      <c r="MSP240" s="397"/>
      <c r="MSQ240" s="397"/>
      <c r="MSR240" s="397"/>
      <c r="MSS240" s="397"/>
      <c r="MST240" s="397"/>
      <c r="MSU240" s="397"/>
      <c r="MSV240" s="397"/>
      <c r="MSW240" s="397"/>
      <c r="MSX240" s="397"/>
      <c r="MSY240" s="397"/>
      <c r="MSZ240" s="397"/>
      <c r="MTA240" s="397"/>
      <c r="MTB240" s="397"/>
      <c r="MTC240" s="397"/>
      <c r="MTD240" s="397"/>
      <c r="MTE240" s="397"/>
      <c r="MTF240" s="397"/>
      <c r="MTG240" s="397"/>
      <c r="MTH240" s="397"/>
      <c r="MTI240" s="397"/>
      <c r="MTJ240" s="397"/>
      <c r="MTK240" s="397"/>
      <c r="MTL240" s="397"/>
      <c r="MTM240" s="397"/>
      <c r="MTN240" s="397"/>
      <c r="MTO240" s="397"/>
      <c r="MTP240" s="397"/>
      <c r="MTQ240" s="397"/>
      <c r="MTR240" s="397"/>
      <c r="MTS240" s="397"/>
      <c r="MTT240" s="397"/>
      <c r="MTU240" s="397"/>
      <c r="MTV240" s="397"/>
      <c r="MTW240" s="397"/>
      <c r="MTX240" s="397"/>
      <c r="MTY240" s="397"/>
      <c r="MTZ240" s="397"/>
      <c r="MUA240" s="397"/>
      <c r="MUB240" s="397"/>
      <c r="MUC240" s="397"/>
      <c r="MUD240" s="397"/>
      <c r="MUE240" s="397"/>
      <c r="MUF240" s="397"/>
      <c r="MUG240" s="397"/>
      <c r="MUH240" s="397"/>
      <c r="MUI240" s="397"/>
      <c r="MUJ240" s="397"/>
      <c r="MUK240" s="397"/>
      <c r="MUL240" s="397"/>
      <c r="MUM240" s="397"/>
      <c r="MUN240" s="397"/>
      <c r="MUO240" s="397"/>
      <c r="MUP240" s="397"/>
      <c r="MUQ240" s="397"/>
      <c r="MUR240" s="397"/>
      <c r="MUS240" s="397"/>
      <c r="MUT240" s="397"/>
      <c r="MUU240" s="397"/>
      <c r="MUV240" s="397"/>
      <c r="MUW240" s="397"/>
      <c r="MUX240" s="397"/>
      <c r="MUY240" s="397"/>
      <c r="MUZ240" s="397"/>
      <c r="MVA240" s="397"/>
      <c r="MVB240" s="397"/>
      <c r="MVC240" s="397"/>
      <c r="MVD240" s="397"/>
      <c r="MVE240" s="397"/>
      <c r="MVF240" s="397"/>
      <c r="MVG240" s="397"/>
      <c r="MVH240" s="397"/>
      <c r="MVI240" s="397"/>
      <c r="MVJ240" s="397"/>
      <c r="MVK240" s="397"/>
      <c r="MVL240" s="397"/>
      <c r="MVM240" s="397"/>
      <c r="MVN240" s="397"/>
      <c r="MVO240" s="397"/>
      <c r="MVP240" s="397"/>
      <c r="MVQ240" s="397"/>
      <c r="MVR240" s="397"/>
      <c r="MVS240" s="397"/>
      <c r="MVT240" s="397"/>
      <c r="MVU240" s="397"/>
      <c r="MVV240" s="397"/>
      <c r="MVW240" s="397"/>
      <c r="MVX240" s="397"/>
      <c r="MVY240" s="397"/>
      <c r="MVZ240" s="397"/>
      <c r="MWA240" s="397"/>
      <c r="MWB240" s="397"/>
      <c r="MWC240" s="397"/>
      <c r="MWD240" s="397"/>
      <c r="MWE240" s="397"/>
      <c r="MWF240" s="397"/>
      <c r="MWG240" s="397"/>
      <c r="MWH240" s="397"/>
      <c r="MWI240" s="397"/>
      <c r="MWJ240" s="397"/>
      <c r="MWK240" s="397"/>
      <c r="MWL240" s="397"/>
      <c r="MWM240" s="397"/>
      <c r="MWN240" s="397"/>
      <c r="MWO240" s="397"/>
      <c r="MWP240" s="397"/>
      <c r="MWQ240" s="397"/>
      <c r="MWR240" s="397"/>
      <c r="MWS240" s="397"/>
      <c r="MWT240" s="397"/>
      <c r="MWU240" s="397"/>
      <c r="MWV240" s="397"/>
      <c r="MWW240" s="397"/>
      <c r="MWX240" s="397"/>
      <c r="MWY240" s="397"/>
      <c r="MWZ240" s="397"/>
      <c r="MXA240" s="397"/>
      <c r="MXB240" s="397"/>
      <c r="MXC240" s="397"/>
      <c r="MXD240" s="397"/>
      <c r="MXE240" s="397"/>
      <c r="MXF240" s="397"/>
      <c r="MXG240" s="397"/>
      <c r="MXH240" s="397"/>
      <c r="MXI240" s="397"/>
      <c r="MXJ240" s="397"/>
      <c r="MXK240" s="397"/>
      <c r="MXL240" s="397"/>
      <c r="MXM240" s="397"/>
      <c r="MXN240" s="397"/>
      <c r="MXO240" s="397"/>
      <c r="MXP240" s="397"/>
      <c r="MXQ240" s="397"/>
      <c r="MXR240" s="397"/>
      <c r="MXS240" s="397"/>
      <c r="MXT240" s="397"/>
      <c r="MXU240" s="397"/>
      <c r="MXV240" s="397"/>
      <c r="MXW240" s="397"/>
      <c r="MXX240" s="397"/>
      <c r="MXY240" s="397"/>
      <c r="MXZ240" s="397"/>
      <c r="MYA240" s="397"/>
      <c r="MYB240" s="397"/>
      <c r="MYC240" s="397"/>
      <c r="MYD240" s="397"/>
      <c r="MYE240" s="397"/>
      <c r="MYF240" s="397"/>
      <c r="MYG240" s="397"/>
      <c r="MYH240" s="397"/>
      <c r="MYI240" s="397"/>
      <c r="MYJ240" s="397"/>
      <c r="MYK240" s="397"/>
      <c r="MYL240" s="397"/>
      <c r="MYM240" s="397"/>
      <c r="MYN240" s="397"/>
      <c r="MYO240" s="397"/>
      <c r="MYP240" s="397"/>
      <c r="MYQ240" s="397"/>
      <c r="MYR240" s="397"/>
      <c r="MYS240" s="397"/>
      <c r="MYT240" s="397"/>
      <c r="MYU240" s="397"/>
      <c r="MYV240" s="397"/>
      <c r="MYW240" s="397"/>
      <c r="MYX240" s="397"/>
      <c r="MYY240" s="397"/>
      <c r="MYZ240" s="397"/>
      <c r="MZA240" s="397"/>
      <c r="MZB240" s="397"/>
      <c r="MZC240" s="397"/>
      <c r="MZD240" s="397"/>
      <c r="MZE240" s="397"/>
      <c r="MZF240" s="397"/>
      <c r="MZG240" s="397"/>
      <c r="MZH240" s="397"/>
      <c r="MZI240" s="397"/>
      <c r="MZJ240" s="397"/>
      <c r="MZK240" s="397"/>
      <c r="MZL240" s="397"/>
      <c r="MZM240" s="397"/>
      <c r="MZN240" s="397"/>
      <c r="MZO240" s="397"/>
      <c r="MZP240" s="397"/>
      <c r="MZQ240" s="397"/>
      <c r="MZR240" s="397"/>
      <c r="MZS240" s="397"/>
      <c r="MZT240" s="397"/>
      <c r="MZU240" s="397"/>
      <c r="MZV240" s="397"/>
      <c r="MZW240" s="397"/>
      <c r="MZX240" s="397"/>
      <c r="MZY240" s="397"/>
      <c r="MZZ240" s="397"/>
      <c r="NAA240" s="397"/>
      <c r="NAB240" s="397"/>
      <c r="NAC240" s="397"/>
      <c r="NAD240" s="397"/>
      <c r="NAE240" s="397"/>
      <c r="NAF240" s="397"/>
      <c r="NAG240" s="397"/>
      <c r="NAH240" s="397"/>
      <c r="NAI240" s="397"/>
      <c r="NAJ240" s="397"/>
      <c r="NAK240" s="397"/>
      <c r="NAL240" s="397"/>
      <c r="NAM240" s="397"/>
      <c r="NAN240" s="397"/>
      <c r="NAO240" s="397"/>
      <c r="NAP240" s="397"/>
      <c r="NAQ240" s="397"/>
      <c r="NAR240" s="397"/>
      <c r="NAS240" s="397"/>
      <c r="NAT240" s="397"/>
      <c r="NAU240" s="397"/>
      <c r="NAV240" s="397"/>
      <c r="NAW240" s="397"/>
      <c r="NAX240" s="397"/>
      <c r="NAY240" s="397"/>
      <c r="NAZ240" s="397"/>
      <c r="NBA240" s="397"/>
      <c r="NBB240" s="397"/>
      <c r="NBC240" s="397"/>
      <c r="NBD240" s="397"/>
      <c r="NBE240" s="397"/>
      <c r="NBF240" s="397"/>
      <c r="NBG240" s="397"/>
      <c r="NBH240" s="397"/>
      <c r="NBI240" s="397"/>
      <c r="NBJ240" s="397"/>
      <c r="NBK240" s="397"/>
      <c r="NBL240" s="397"/>
      <c r="NBM240" s="397"/>
      <c r="NBN240" s="397"/>
      <c r="NBO240" s="397"/>
      <c r="NBP240" s="397"/>
      <c r="NBQ240" s="397"/>
      <c r="NBR240" s="397"/>
      <c r="NBS240" s="397"/>
      <c r="NBT240" s="397"/>
      <c r="NBU240" s="397"/>
      <c r="NBV240" s="397"/>
      <c r="NBW240" s="397"/>
      <c r="NBX240" s="397"/>
      <c r="NBY240" s="397"/>
      <c r="NBZ240" s="397"/>
      <c r="NCA240" s="397"/>
      <c r="NCB240" s="397"/>
      <c r="NCC240" s="397"/>
      <c r="NCD240" s="397"/>
      <c r="NCE240" s="397"/>
      <c r="NCF240" s="397"/>
      <c r="NCG240" s="397"/>
      <c r="NCH240" s="397"/>
      <c r="NCI240" s="397"/>
      <c r="NCJ240" s="397"/>
      <c r="NCK240" s="397"/>
      <c r="NCL240" s="397"/>
      <c r="NCM240" s="397"/>
      <c r="NCN240" s="397"/>
      <c r="NCO240" s="397"/>
      <c r="NCP240" s="397"/>
      <c r="NCQ240" s="397"/>
      <c r="NCR240" s="397"/>
      <c r="NCS240" s="397"/>
      <c r="NCT240" s="397"/>
      <c r="NCU240" s="397"/>
      <c r="NCV240" s="397"/>
      <c r="NCW240" s="397"/>
      <c r="NCX240" s="397"/>
      <c r="NCY240" s="397"/>
      <c r="NCZ240" s="397"/>
      <c r="NDA240" s="397"/>
      <c r="NDB240" s="397"/>
      <c r="NDC240" s="397"/>
      <c r="NDD240" s="397"/>
      <c r="NDE240" s="397"/>
      <c r="NDF240" s="397"/>
      <c r="NDG240" s="397"/>
      <c r="NDH240" s="397"/>
      <c r="NDI240" s="397"/>
      <c r="NDJ240" s="397"/>
      <c r="NDK240" s="397"/>
      <c r="NDL240" s="397"/>
      <c r="NDM240" s="397"/>
      <c r="NDN240" s="397"/>
      <c r="NDO240" s="397"/>
      <c r="NDP240" s="397"/>
      <c r="NDQ240" s="397"/>
      <c r="NDR240" s="397"/>
      <c r="NDS240" s="397"/>
      <c r="NDT240" s="397"/>
      <c r="NDU240" s="397"/>
      <c r="NDV240" s="397"/>
      <c r="NDW240" s="397"/>
      <c r="NDX240" s="397"/>
      <c r="NDY240" s="397"/>
      <c r="NDZ240" s="397"/>
      <c r="NEA240" s="397"/>
      <c r="NEB240" s="397"/>
      <c r="NEC240" s="397"/>
      <c r="NED240" s="397"/>
      <c r="NEE240" s="397"/>
      <c r="NEF240" s="397"/>
      <c r="NEG240" s="397"/>
      <c r="NEH240" s="397"/>
      <c r="NEI240" s="397"/>
      <c r="NEJ240" s="397"/>
      <c r="NEK240" s="397"/>
      <c r="NEL240" s="397"/>
      <c r="NEM240" s="397"/>
      <c r="NEN240" s="397"/>
      <c r="NEO240" s="397"/>
      <c r="NEP240" s="397"/>
      <c r="NEQ240" s="397"/>
      <c r="NER240" s="397"/>
      <c r="NES240" s="397"/>
      <c r="NET240" s="397"/>
      <c r="NEU240" s="397"/>
      <c r="NEV240" s="397"/>
      <c r="NEW240" s="397"/>
      <c r="NEX240" s="397"/>
      <c r="NEY240" s="397"/>
      <c r="NEZ240" s="397"/>
      <c r="NFA240" s="397"/>
      <c r="NFB240" s="397"/>
      <c r="NFC240" s="397"/>
      <c r="NFD240" s="397"/>
      <c r="NFE240" s="397"/>
      <c r="NFF240" s="397"/>
      <c r="NFG240" s="397"/>
      <c r="NFH240" s="397"/>
      <c r="NFI240" s="397"/>
      <c r="NFJ240" s="397"/>
      <c r="NFK240" s="397"/>
      <c r="NFL240" s="397"/>
      <c r="NFM240" s="397"/>
      <c r="NFN240" s="397"/>
      <c r="NFO240" s="397"/>
      <c r="NFP240" s="397"/>
      <c r="NFQ240" s="397"/>
      <c r="NFR240" s="397"/>
      <c r="NFS240" s="397"/>
      <c r="NFT240" s="397"/>
      <c r="NFU240" s="397"/>
      <c r="NFV240" s="397"/>
      <c r="NFW240" s="397"/>
      <c r="NFX240" s="397"/>
      <c r="NFY240" s="397"/>
      <c r="NFZ240" s="397"/>
      <c r="NGA240" s="397"/>
      <c r="NGB240" s="397"/>
      <c r="NGC240" s="397"/>
      <c r="NGD240" s="397"/>
      <c r="NGE240" s="397"/>
      <c r="NGF240" s="397"/>
      <c r="NGG240" s="397"/>
      <c r="NGH240" s="397"/>
      <c r="NGI240" s="397"/>
      <c r="NGJ240" s="397"/>
      <c r="NGK240" s="397"/>
      <c r="NGL240" s="397"/>
      <c r="NGM240" s="397"/>
      <c r="NGN240" s="397"/>
      <c r="NGO240" s="397"/>
      <c r="NGP240" s="397"/>
      <c r="NGQ240" s="397"/>
      <c r="NGR240" s="397"/>
      <c r="NGS240" s="397"/>
      <c r="NGT240" s="397"/>
      <c r="NGU240" s="397"/>
      <c r="NGV240" s="397"/>
      <c r="NGW240" s="397"/>
      <c r="NGX240" s="397"/>
      <c r="NGY240" s="397"/>
      <c r="NGZ240" s="397"/>
      <c r="NHA240" s="397"/>
      <c r="NHB240" s="397"/>
      <c r="NHC240" s="397"/>
      <c r="NHD240" s="397"/>
      <c r="NHE240" s="397"/>
      <c r="NHF240" s="397"/>
      <c r="NHG240" s="397"/>
      <c r="NHH240" s="397"/>
      <c r="NHI240" s="397"/>
      <c r="NHJ240" s="397"/>
      <c r="NHK240" s="397"/>
      <c r="NHL240" s="397"/>
      <c r="NHM240" s="397"/>
      <c r="NHN240" s="397"/>
      <c r="NHO240" s="397"/>
      <c r="NHP240" s="397"/>
      <c r="NHQ240" s="397"/>
      <c r="NHR240" s="397"/>
      <c r="NHS240" s="397"/>
      <c r="NHT240" s="397"/>
      <c r="NHU240" s="397"/>
      <c r="NHV240" s="397"/>
      <c r="NHW240" s="397"/>
      <c r="NHX240" s="397"/>
      <c r="NHY240" s="397"/>
      <c r="NHZ240" s="397"/>
      <c r="NIA240" s="397"/>
      <c r="NIB240" s="397"/>
      <c r="NIC240" s="397"/>
      <c r="NID240" s="397"/>
      <c r="NIE240" s="397"/>
      <c r="NIF240" s="397"/>
      <c r="NIG240" s="397"/>
      <c r="NIH240" s="397"/>
      <c r="NII240" s="397"/>
      <c r="NIJ240" s="397"/>
      <c r="NIK240" s="397"/>
      <c r="NIL240" s="397"/>
      <c r="NIM240" s="397"/>
      <c r="NIN240" s="397"/>
      <c r="NIO240" s="397"/>
      <c r="NIP240" s="397"/>
      <c r="NIQ240" s="397"/>
      <c r="NIR240" s="397"/>
      <c r="NIS240" s="397"/>
      <c r="NIT240" s="397"/>
      <c r="NIU240" s="397"/>
      <c r="NIV240" s="397"/>
      <c r="NIW240" s="397"/>
      <c r="NIX240" s="397"/>
      <c r="NIY240" s="397"/>
      <c r="NIZ240" s="397"/>
      <c r="NJA240" s="397"/>
      <c r="NJB240" s="397"/>
      <c r="NJC240" s="397"/>
      <c r="NJD240" s="397"/>
      <c r="NJE240" s="397"/>
      <c r="NJF240" s="397"/>
      <c r="NJG240" s="397"/>
      <c r="NJH240" s="397"/>
      <c r="NJI240" s="397"/>
      <c r="NJJ240" s="397"/>
      <c r="NJK240" s="397"/>
      <c r="NJL240" s="397"/>
      <c r="NJM240" s="397"/>
      <c r="NJN240" s="397"/>
      <c r="NJO240" s="397"/>
      <c r="NJP240" s="397"/>
      <c r="NJQ240" s="397"/>
      <c r="NJR240" s="397"/>
      <c r="NJS240" s="397"/>
      <c r="NJT240" s="397"/>
      <c r="NJU240" s="397"/>
      <c r="NJV240" s="397"/>
      <c r="NJW240" s="397"/>
      <c r="NJX240" s="397"/>
      <c r="NJY240" s="397"/>
      <c r="NJZ240" s="397"/>
      <c r="NKA240" s="397"/>
      <c r="NKB240" s="397"/>
      <c r="NKC240" s="397"/>
      <c r="NKD240" s="397"/>
      <c r="NKE240" s="397"/>
      <c r="NKF240" s="397"/>
      <c r="NKG240" s="397"/>
      <c r="NKH240" s="397"/>
      <c r="NKI240" s="397"/>
      <c r="NKJ240" s="397"/>
      <c r="NKK240" s="397"/>
      <c r="NKL240" s="397"/>
      <c r="NKM240" s="397"/>
      <c r="NKN240" s="397"/>
      <c r="NKO240" s="397"/>
      <c r="NKP240" s="397"/>
      <c r="NKQ240" s="397"/>
      <c r="NKR240" s="397"/>
      <c r="NKS240" s="397"/>
      <c r="NKT240" s="397"/>
      <c r="NKU240" s="397"/>
      <c r="NKV240" s="397"/>
      <c r="NKW240" s="397"/>
      <c r="NKX240" s="397"/>
      <c r="NKY240" s="397"/>
      <c r="NKZ240" s="397"/>
      <c r="NLA240" s="397"/>
      <c r="NLB240" s="397"/>
      <c r="NLC240" s="397"/>
      <c r="NLD240" s="397"/>
      <c r="NLE240" s="397"/>
      <c r="NLF240" s="397"/>
      <c r="NLG240" s="397"/>
      <c r="NLH240" s="397"/>
      <c r="NLI240" s="397"/>
      <c r="NLJ240" s="397"/>
      <c r="NLK240" s="397"/>
      <c r="NLL240" s="397"/>
      <c r="NLM240" s="397"/>
      <c r="NLN240" s="397"/>
      <c r="NLO240" s="397"/>
      <c r="NLP240" s="397"/>
      <c r="NLQ240" s="397"/>
      <c r="NLR240" s="397"/>
      <c r="NLS240" s="397"/>
      <c r="NLT240" s="397"/>
      <c r="NLU240" s="397"/>
      <c r="NLV240" s="397"/>
      <c r="NLW240" s="397"/>
      <c r="NLX240" s="397"/>
      <c r="NLY240" s="397"/>
      <c r="NLZ240" s="397"/>
      <c r="NMA240" s="397"/>
      <c r="NMB240" s="397"/>
      <c r="NMC240" s="397"/>
      <c r="NMD240" s="397"/>
      <c r="NME240" s="397"/>
      <c r="NMF240" s="397"/>
      <c r="NMG240" s="397"/>
      <c r="NMH240" s="397"/>
      <c r="NMI240" s="397"/>
      <c r="NMJ240" s="397"/>
      <c r="NMK240" s="397"/>
      <c r="NML240" s="397"/>
      <c r="NMM240" s="397"/>
      <c r="NMN240" s="397"/>
      <c r="NMO240" s="397"/>
      <c r="NMP240" s="397"/>
      <c r="NMQ240" s="397"/>
      <c r="NMR240" s="397"/>
      <c r="NMS240" s="397"/>
      <c r="NMT240" s="397"/>
      <c r="NMU240" s="397"/>
      <c r="NMV240" s="397"/>
      <c r="NMW240" s="397"/>
      <c r="NMX240" s="397"/>
      <c r="NMY240" s="397"/>
      <c r="NMZ240" s="397"/>
      <c r="NNA240" s="397"/>
      <c r="NNB240" s="397"/>
      <c r="NNC240" s="397"/>
      <c r="NND240" s="397"/>
      <c r="NNE240" s="397"/>
      <c r="NNF240" s="397"/>
      <c r="NNG240" s="397"/>
      <c r="NNH240" s="397"/>
      <c r="NNI240" s="397"/>
      <c r="NNJ240" s="397"/>
      <c r="NNK240" s="397"/>
      <c r="NNL240" s="397"/>
      <c r="NNM240" s="397"/>
      <c r="NNN240" s="397"/>
      <c r="NNO240" s="397"/>
      <c r="NNP240" s="397"/>
      <c r="NNQ240" s="397"/>
      <c r="NNR240" s="397"/>
      <c r="NNS240" s="397"/>
      <c r="NNT240" s="397"/>
      <c r="NNU240" s="397"/>
      <c r="NNV240" s="397"/>
      <c r="NNW240" s="397"/>
      <c r="NNX240" s="397"/>
      <c r="NNY240" s="397"/>
      <c r="NNZ240" s="397"/>
      <c r="NOA240" s="397"/>
      <c r="NOB240" s="397"/>
      <c r="NOC240" s="397"/>
      <c r="NOD240" s="397"/>
      <c r="NOE240" s="397"/>
      <c r="NOF240" s="397"/>
      <c r="NOG240" s="397"/>
      <c r="NOH240" s="397"/>
      <c r="NOI240" s="397"/>
      <c r="NOJ240" s="397"/>
      <c r="NOK240" s="397"/>
      <c r="NOL240" s="397"/>
      <c r="NOM240" s="397"/>
      <c r="NON240" s="397"/>
      <c r="NOO240" s="397"/>
      <c r="NOP240" s="397"/>
      <c r="NOQ240" s="397"/>
      <c r="NOR240" s="397"/>
      <c r="NOS240" s="397"/>
      <c r="NOT240" s="397"/>
      <c r="NOU240" s="397"/>
      <c r="NOV240" s="397"/>
      <c r="NOW240" s="397"/>
      <c r="NOX240" s="397"/>
      <c r="NOY240" s="397"/>
      <c r="NOZ240" s="397"/>
      <c r="NPA240" s="397"/>
      <c r="NPB240" s="397"/>
      <c r="NPC240" s="397"/>
      <c r="NPD240" s="397"/>
      <c r="NPE240" s="397"/>
      <c r="NPF240" s="397"/>
      <c r="NPG240" s="397"/>
      <c r="NPH240" s="397"/>
      <c r="NPI240" s="397"/>
      <c r="NPJ240" s="397"/>
      <c r="NPK240" s="397"/>
      <c r="NPL240" s="397"/>
      <c r="NPM240" s="397"/>
      <c r="NPN240" s="397"/>
      <c r="NPO240" s="397"/>
      <c r="NPP240" s="397"/>
      <c r="NPQ240" s="397"/>
      <c r="NPR240" s="397"/>
      <c r="NPS240" s="397"/>
      <c r="NPT240" s="397"/>
      <c r="NPU240" s="397"/>
      <c r="NPV240" s="397"/>
      <c r="NPW240" s="397"/>
      <c r="NPX240" s="397"/>
      <c r="NPY240" s="397"/>
      <c r="NPZ240" s="397"/>
      <c r="NQA240" s="397"/>
      <c r="NQB240" s="397"/>
      <c r="NQC240" s="397"/>
      <c r="NQD240" s="397"/>
      <c r="NQE240" s="397"/>
      <c r="NQF240" s="397"/>
      <c r="NQG240" s="397"/>
      <c r="NQH240" s="397"/>
      <c r="NQI240" s="397"/>
      <c r="NQJ240" s="397"/>
      <c r="NQK240" s="397"/>
      <c r="NQL240" s="397"/>
      <c r="NQM240" s="397"/>
      <c r="NQN240" s="397"/>
      <c r="NQO240" s="397"/>
      <c r="NQP240" s="397"/>
      <c r="NQQ240" s="397"/>
      <c r="NQR240" s="397"/>
      <c r="NQS240" s="397"/>
      <c r="NQT240" s="397"/>
      <c r="NQU240" s="397"/>
      <c r="NQV240" s="397"/>
      <c r="NQW240" s="397"/>
      <c r="NQX240" s="397"/>
      <c r="NQY240" s="397"/>
      <c r="NQZ240" s="397"/>
      <c r="NRA240" s="397"/>
      <c r="NRB240" s="397"/>
      <c r="NRC240" s="397"/>
      <c r="NRD240" s="397"/>
      <c r="NRE240" s="397"/>
      <c r="NRF240" s="397"/>
      <c r="NRG240" s="397"/>
      <c r="NRH240" s="397"/>
      <c r="NRI240" s="397"/>
      <c r="NRJ240" s="397"/>
      <c r="NRK240" s="397"/>
      <c r="NRL240" s="397"/>
      <c r="NRM240" s="397"/>
      <c r="NRN240" s="397"/>
      <c r="NRO240" s="397"/>
      <c r="NRP240" s="397"/>
      <c r="NRQ240" s="397"/>
      <c r="NRR240" s="397"/>
      <c r="NRS240" s="397"/>
      <c r="NRT240" s="397"/>
      <c r="NRU240" s="397"/>
      <c r="NRV240" s="397"/>
      <c r="NRW240" s="397"/>
      <c r="NRX240" s="397"/>
      <c r="NRY240" s="397"/>
      <c r="NRZ240" s="397"/>
      <c r="NSA240" s="397"/>
      <c r="NSB240" s="397"/>
      <c r="NSC240" s="397"/>
      <c r="NSD240" s="397"/>
      <c r="NSE240" s="397"/>
      <c r="NSF240" s="397"/>
      <c r="NSG240" s="397"/>
      <c r="NSH240" s="397"/>
      <c r="NSI240" s="397"/>
      <c r="NSJ240" s="397"/>
      <c r="NSK240" s="397"/>
      <c r="NSL240" s="397"/>
      <c r="NSM240" s="397"/>
      <c r="NSN240" s="397"/>
      <c r="NSO240" s="397"/>
      <c r="NSP240" s="397"/>
      <c r="NSQ240" s="397"/>
      <c r="NSR240" s="397"/>
      <c r="NSS240" s="397"/>
      <c r="NST240" s="397"/>
      <c r="NSU240" s="397"/>
      <c r="NSV240" s="397"/>
      <c r="NSW240" s="397"/>
      <c r="NSX240" s="397"/>
      <c r="NSY240" s="397"/>
      <c r="NSZ240" s="397"/>
      <c r="NTA240" s="397"/>
      <c r="NTB240" s="397"/>
      <c r="NTC240" s="397"/>
      <c r="NTD240" s="397"/>
      <c r="NTE240" s="397"/>
      <c r="NTF240" s="397"/>
      <c r="NTG240" s="397"/>
      <c r="NTH240" s="397"/>
      <c r="NTI240" s="397"/>
      <c r="NTJ240" s="397"/>
      <c r="NTK240" s="397"/>
      <c r="NTL240" s="397"/>
      <c r="NTM240" s="397"/>
      <c r="NTN240" s="397"/>
      <c r="NTO240" s="397"/>
      <c r="NTP240" s="397"/>
      <c r="NTQ240" s="397"/>
      <c r="NTR240" s="397"/>
      <c r="NTS240" s="397"/>
      <c r="NTT240" s="397"/>
      <c r="NTU240" s="397"/>
      <c r="NTV240" s="397"/>
      <c r="NTW240" s="397"/>
      <c r="NTX240" s="397"/>
      <c r="NTY240" s="397"/>
      <c r="NTZ240" s="397"/>
      <c r="NUA240" s="397"/>
      <c r="NUB240" s="397"/>
      <c r="NUC240" s="397"/>
      <c r="NUD240" s="397"/>
      <c r="NUE240" s="397"/>
      <c r="NUF240" s="397"/>
      <c r="NUG240" s="397"/>
      <c r="NUH240" s="397"/>
      <c r="NUI240" s="397"/>
      <c r="NUJ240" s="397"/>
      <c r="NUK240" s="397"/>
      <c r="NUL240" s="397"/>
      <c r="NUM240" s="397"/>
      <c r="NUN240" s="397"/>
      <c r="NUO240" s="397"/>
      <c r="NUP240" s="397"/>
      <c r="NUQ240" s="397"/>
      <c r="NUR240" s="397"/>
      <c r="NUS240" s="397"/>
      <c r="NUT240" s="397"/>
      <c r="NUU240" s="397"/>
      <c r="NUV240" s="397"/>
      <c r="NUW240" s="397"/>
      <c r="NUX240" s="397"/>
      <c r="NUY240" s="397"/>
      <c r="NUZ240" s="397"/>
      <c r="NVA240" s="397"/>
      <c r="NVB240" s="397"/>
      <c r="NVC240" s="397"/>
      <c r="NVD240" s="397"/>
      <c r="NVE240" s="397"/>
      <c r="NVF240" s="397"/>
      <c r="NVG240" s="397"/>
      <c r="NVH240" s="397"/>
      <c r="NVI240" s="397"/>
      <c r="NVJ240" s="397"/>
      <c r="NVK240" s="397"/>
      <c r="NVL240" s="397"/>
      <c r="NVM240" s="397"/>
      <c r="NVN240" s="397"/>
      <c r="NVO240" s="397"/>
      <c r="NVP240" s="397"/>
      <c r="NVQ240" s="397"/>
      <c r="NVR240" s="397"/>
      <c r="NVS240" s="397"/>
      <c r="NVT240" s="397"/>
      <c r="NVU240" s="397"/>
      <c r="NVV240" s="397"/>
      <c r="NVW240" s="397"/>
      <c r="NVX240" s="397"/>
      <c r="NVY240" s="397"/>
      <c r="NVZ240" s="397"/>
      <c r="NWA240" s="397"/>
      <c r="NWB240" s="397"/>
      <c r="NWC240" s="397"/>
      <c r="NWD240" s="397"/>
      <c r="NWE240" s="397"/>
      <c r="NWF240" s="397"/>
      <c r="NWG240" s="397"/>
      <c r="NWH240" s="397"/>
      <c r="NWI240" s="397"/>
      <c r="NWJ240" s="397"/>
      <c r="NWK240" s="397"/>
      <c r="NWL240" s="397"/>
      <c r="NWM240" s="397"/>
      <c r="NWN240" s="397"/>
      <c r="NWO240" s="397"/>
      <c r="NWP240" s="397"/>
      <c r="NWQ240" s="397"/>
      <c r="NWR240" s="397"/>
      <c r="NWS240" s="397"/>
      <c r="NWT240" s="397"/>
      <c r="NWU240" s="397"/>
      <c r="NWV240" s="397"/>
      <c r="NWW240" s="397"/>
      <c r="NWX240" s="397"/>
      <c r="NWY240" s="397"/>
      <c r="NWZ240" s="397"/>
      <c r="NXA240" s="397"/>
      <c r="NXB240" s="397"/>
      <c r="NXC240" s="397"/>
      <c r="NXD240" s="397"/>
      <c r="NXE240" s="397"/>
      <c r="NXF240" s="397"/>
      <c r="NXG240" s="397"/>
      <c r="NXH240" s="397"/>
      <c r="NXI240" s="397"/>
      <c r="NXJ240" s="397"/>
      <c r="NXK240" s="397"/>
      <c r="NXL240" s="397"/>
      <c r="NXM240" s="397"/>
      <c r="NXN240" s="397"/>
      <c r="NXO240" s="397"/>
      <c r="NXP240" s="397"/>
      <c r="NXQ240" s="397"/>
      <c r="NXR240" s="397"/>
      <c r="NXS240" s="397"/>
      <c r="NXT240" s="397"/>
      <c r="NXU240" s="397"/>
      <c r="NXV240" s="397"/>
      <c r="NXW240" s="397"/>
      <c r="NXX240" s="397"/>
      <c r="NXY240" s="397"/>
      <c r="NXZ240" s="397"/>
      <c r="NYA240" s="397"/>
      <c r="NYB240" s="397"/>
      <c r="NYC240" s="397"/>
      <c r="NYD240" s="397"/>
      <c r="NYE240" s="397"/>
      <c r="NYF240" s="397"/>
      <c r="NYG240" s="397"/>
      <c r="NYH240" s="397"/>
      <c r="NYI240" s="397"/>
      <c r="NYJ240" s="397"/>
      <c r="NYK240" s="397"/>
      <c r="NYL240" s="397"/>
      <c r="NYM240" s="397"/>
      <c r="NYN240" s="397"/>
      <c r="NYO240" s="397"/>
      <c r="NYP240" s="397"/>
      <c r="NYQ240" s="397"/>
      <c r="NYR240" s="397"/>
      <c r="NYS240" s="397"/>
      <c r="NYT240" s="397"/>
      <c r="NYU240" s="397"/>
      <c r="NYV240" s="397"/>
      <c r="NYW240" s="397"/>
      <c r="NYX240" s="397"/>
      <c r="NYY240" s="397"/>
      <c r="NYZ240" s="397"/>
      <c r="NZA240" s="397"/>
      <c r="NZB240" s="397"/>
      <c r="NZC240" s="397"/>
      <c r="NZD240" s="397"/>
      <c r="NZE240" s="397"/>
      <c r="NZF240" s="397"/>
      <c r="NZG240" s="397"/>
      <c r="NZH240" s="397"/>
      <c r="NZI240" s="397"/>
      <c r="NZJ240" s="397"/>
      <c r="NZK240" s="397"/>
      <c r="NZL240" s="397"/>
      <c r="NZM240" s="397"/>
      <c r="NZN240" s="397"/>
      <c r="NZO240" s="397"/>
      <c r="NZP240" s="397"/>
      <c r="NZQ240" s="397"/>
      <c r="NZR240" s="397"/>
      <c r="NZS240" s="397"/>
      <c r="NZT240" s="397"/>
      <c r="NZU240" s="397"/>
      <c r="NZV240" s="397"/>
      <c r="NZW240" s="397"/>
      <c r="NZX240" s="397"/>
      <c r="NZY240" s="397"/>
      <c r="NZZ240" s="397"/>
      <c r="OAA240" s="397"/>
      <c r="OAB240" s="397"/>
      <c r="OAC240" s="397"/>
      <c r="OAD240" s="397"/>
      <c r="OAE240" s="397"/>
      <c r="OAF240" s="397"/>
      <c r="OAG240" s="397"/>
      <c r="OAH240" s="397"/>
      <c r="OAI240" s="397"/>
      <c r="OAJ240" s="397"/>
      <c r="OAK240" s="397"/>
      <c r="OAL240" s="397"/>
      <c r="OAM240" s="397"/>
      <c r="OAN240" s="397"/>
      <c r="OAO240" s="397"/>
      <c r="OAP240" s="397"/>
      <c r="OAQ240" s="397"/>
      <c r="OAR240" s="397"/>
      <c r="OAS240" s="397"/>
      <c r="OAT240" s="397"/>
      <c r="OAU240" s="397"/>
      <c r="OAV240" s="397"/>
      <c r="OAW240" s="397"/>
      <c r="OAX240" s="397"/>
      <c r="OAY240" s="397"/>
      <c r="OAZ240" s="397"/>
      <c r="OBA240" s="397"/>
      <c r="OBB240" s="397"/>
      <c r="OBC240" s="397"/>
      <c r="OBD240" s="397"/>
      <c r="OBE240" s="397"/>
      <c r="OBF240" s="397"/>
      <c r="OBG240" s="397"/>
      <c r="OBH240" s="397"/>
      <c r="OBI240" s="397"/>
      <c r="OBJ240" s="397"/>
      <c r="OBK240" s="397"/>
      <c r="OBL240" s="397"/>
      <c r="OBM240" s="397"/>
      <c r="OBN240" s="397"/>
      <c r="OBO240" s="397"/>
      <c r="OBP240" s="397"/>
      <c r="OBQ240" s="397"/>
      <c r="OBR240" s="397"/>
      <c r="OBS240" s="397"/>
      <c r="OBT240" s="397"/>
      <c r="OBU240" s="397"/>
      <c r="OBV240" s="397"/>
      <c r="OBW240" s="397"/>
      <c r="OBX240" s="397"/>
      <c r="OBY240" s="397"/>
      <c r="OBZ240" s="397"/>
      <c r="OCA240" s="397"/>
      <c r="OCB240" s="397"/>
      <c r="OCC240" s="397"/>
      <c r="OCD240" s="397"/>
      <c r="OCE240" s="397"/>
      <c r="OCF240" s="397"/>
      <c r="OCG240" s="397"/>
      <c r="OCH240" s="397"/>
      <c r="OCI240" s="397"/>
      <c r="OCJ240" s="397"/>
      <c r="OCK240" s="397"/>
      <c r="OCL240" s="397"/>
      <c r="OCM240" s="397"/>
      <c r="OCN240" s="397"/>
      <c r="OCO240" s="397"/>
      <c r="OCP240" s="397"/>
      <c r="OCQ240" s="397"/>
      <c r="OCR240" s="397"/>
      <c r="OCS240" s="397"/>
      <c r="OCT240" s="397"/>
      <c r="OCU240" s="397"/>
      <c r="OCV240" s="397"/>
      <c r="OCW240" s="397"/>
      <c r="OCX240" s="397"/>
      <c r="OCY240" s="397"/>
      <c r="OCZ240" s="397"/>
      <c r="ODA240" s="397"/>
      <c r="ODB240" s="397"/>
      <c r="ODC240" s="397"/>
      <c r="ODD240" s="397"/>
      <c r="ODE240" s="397"/>
      <c r="ODF240" s="397"/>
      <c r="ODG240" s="397"/>
      <c r="ODH240" s="397"/>
      <c r="ODI240" s="397"/>
      <c r="ODJ240" s="397"/>
      <c r="ODK240" s="397"/>
      <c r="ODL240" s="397"/>
      <c r="ODM240" s="397"/>
      <c r="ODN240" s="397"/>
      <c r="ODO240" s="397"/>
      <c r="ODP240" s="397"/>
      <c r="ODQ240" s="397"/>
      <c r="ODR240" s="397"/>
      <c r="ODS240" s="397"/>
      <c r="ODT240" s="397"/>
      <c r="ODU240" s="397"/>
      <c r="ODV240" s="397"/>
      <c r="ODW240" s="397"/>
      <c r="ODX240" s="397"/>
      <c r="ODY240" s="397"/>
      <c r="ODZ240" s="397"/>
      <c r="OEA240" s="397"/>
      <c r="OEB240" s="397"/>
      <c r="OEC240" s="397"/>
      <c r="OED240" s="397"/>
      <c r="OEE240" s="397"/>
      <c r="OEF240" s="397"/>
      <c r="OEG240" s="397"/>
      <c r="OEH240" s="397"/>
      <c r="OEI240" s="397"/>
      <c r="OEJ240" s="397"/>
      <c r="OEK240" s="397"/>
      <c r="OEL240" s="397"/>
      <c r="OEM240" s="397"/>
      <c r="OEN240" s="397"/>
      <c r="OEO240" s="397"/>
      <c r="OEP240" s="397"/>
      <c r="OEQ240" s="397"/>
      <c r="OER240" s="397"/>
      <c r="OES240" s="397"/>
      <c r="OET240" s="397"/>
      <c r="OEU240" s="397"/>
      <c r="OEV240" s="397"/>
      <c r="OEW240" s="397"/>
      <c r="OEX240" s="397"/>
      <c r="OEY240" s="397"/>
      <c r="OEZ240" s="397"/>
      <c r="OFA240" s="397"/>
      <c r="OFB240" s="397"/>
      <c r="OFC240" s="397"/>
      <c r="OFD240" s="397"/>
      <c r="OFE240" s="397"/>
      <c r="OFF240" s="397"/>
      <c r="OFG240" s="397"/>
      <c r="OFH240" s="397"/>
      <c r="OFI240" s="397"/>
      <c r="OFJ240" s="397"/>
      <c r="OFK240" s="397"/>
      <c r="OFL240" s="397"/>
      <c r="OFM240" s="397"/>
      <c r="OFN240" s="397"/>
      <c r="OFO240" s="397"/>
      <c r="OFP240" s="397"/>
      <c r="OFQ240" s="397"/>
      <c r="OFR240" s="397"/>
      <c r="OFS240" s="397"/>
      <c r="OFT240" s="397"/>
      <c r="OFU240" s="397"/>
      <c r="OFV240" s="397"/>
      <c r="OFW240" s="397"/>
      <c r="OFX240" s="397"/>
      <c r="OFY240" s="397"/>
      <c r="OFZ240" s="397"/>
      <c r="OGA240" s="397"/>
      <c r="OGB240" s="397"/>
      <c r="OGC240" s="397"/>
      <c r="OGD240" s="397"/>
      <c r="OGE240" s="397"/>
      <c r="OGF240" s="397"/>
      <c r="OGG240" s="397"/>
      <c r="OGH240" s="397"/>
      <c r="OGI240" s="397"/>
      <c r="OGJ240" s="397"/>
      <c r="OGK240" s="397"/>
      <c r="OGL240" s="397"/>
      <c r="OGM240" s="397"/>
      <c r="OGN240" s="397"/>
      <c r="OGO240" s="397"/>
      <c r="OGP240" s="397"/>
      <c r="OGQ240" s="397"/>
      <c r="OGR240" s="397"/>
      <c r="OGS240" s="397"/>
      <c r="OGT240" s="397"/>
      <c r="OGU240" s="397"/>
      <c r="OGV240" s="397"/>
      <c r="OGW240" s="397"/>
      <c r="OGX240" s="397"/>
      <c r="OGY240" s="397"/>
      <c r="OGZ240" s="397"/>
      <c r="OHA240" s="397"/>
      <c r="OHB240" s="397"/>
      <c r="OHC240" s="397"/>
      <c r="OHD240" s="397"/>
      <c r="OHE240" s="397"/>
      <c r="OHF240" s="397"/>
      <c r="OHG240" s="397"/>
      <c r="OHH240" s="397"/>
      <c r="OHI240" s="397"/>
      <c r="OHJ240" s="397"/>
      <c r="OHK240" s="397"/>
      <c r="OHL240" s="397"/>
      <c r="OHM240" s="397"/>
      <c r="OHN240" s="397"/>
      <c r="OHO240" s="397"/>
      <c r="OHP240" s="397"/>
      <c r="OHQ240" s="397"/>
      <c r="OHR240" s="397"/>
      <c r="OHS240" s="397"/>
      <c r="OHT240" s="397"/>
      <c r="OHU240" s="397"/>
      <c r="OHV240" s="397"/>
      <c r="OHW240" s="397"/>
      <c r="OHX240" s="397"/>
      <c r="OHY240" s="397"/>
      <c r="OHZ240" s="397"/>
      <c r="OIA240" s="397"/>
      <c r="OIB240" s="397"/>
      <c r="OIC240" s="397"/>
      <c r="OID240" s="397"/>
      <c r="OIE240" s="397"/>
      <c r="OIF240" s="397"/>
      <c r="OIG240" s="397"/>
      <c r="OIH240" s="397"/>
      <c r="OII240" s="397"/>
      <c r="OIJ240" s="397"/>
      <c r="OIK240" s="397"/>
      <c r="OIL240" s="397"/>
      <c r="OIM240" s="397"/>
      <c r="OIN240" s="397"/>
      <c r="OIO240" s="397"/>
      <c r="OIP240" s="397"/>
      <c r="OIQ240" s="397"/>
      <c r="OIR240" s="397"/>
      <c r="OIS240" s="397"/>
      <c r="OIT240" s="397"/>
      <c r="OIU240" s="397"/>
      <c r="OIV240" s="397"/>
      <c r="OIW240" s="397"/>
      <c r="OIX240" s="397"/>
      <c r="OIY240" s="397"/>
      <c r="OIZ240" s="397"/>
      <c r="OJA240" s="397"/>
      <c r="OJB240" s="397"/>
      <c r="OJC240" s="397"/>
      <c r="OJD240" s="397"/>
      <c r="OJE240" s="397"/>
      <c r="OJF240" s="397"/>
      <c r="OJG240" s="397"/>
      <c r="OJH240" s="397"/>
      <c r="OJI240" s="397"/>
      <c r="OJJ240" s="397"/>
      <c r="OJK240" s="397"/>
      <c r="OJL240" s="397"/>
      <c r="OJM240" s="397"/>
      <c r="OJN240" s="397"/>
      <c r="OJO240" s="397"/>
      <c r="OJP240" s="397"/>
      <c r="OJQ240" s="397"/>
      <c r="OJR240" s="397"/>
      <c r="OJS240" s="397"/>
      <c r="OJT240" s="397"/>
      <c r="OJU240" s="397"/>
      <c r="OJV240" s="397"/>
      <c r="OJW240" s="397"/>
      <c r="OJX240" s="397"/>
      <c r="OJY240" s="397"/>
      <c r="OJZ240" s="397"/>
      <c r="OKA240" s="397"/>
      <c r="OKB240" s="397"/>
      <c r="OKC240" s="397"/>
      <c r="OKD240" s="397"/>
      <c r="OKE240" s="397"/>
      <c r="OKF240" s="397"/>
      <c r="OKG240" s="397"/>
      <c r="OKH240" s="397"/>
      <c r="OKI240" s="397"/>
      <c r="OKJ240" s="397"/>
      <c r="OKK240" s="397"/>
      <c r="OKL240" s="397"/>
      <c r="OKM240" s="397"/>
      <c r="OKN240" s="397"/>
      <c r="OKO240" s="397"/>
      <c r="OKP240" s="397"/>
      <c r="OKQ240" s="397"/>
      <c r="OKR240" s="397"/>
      <c r="OKS240" s="397"/>
      <c r="OKT240" s="397"/>
      <c r="OKU240" s="397"/>
      <c r="OKV240" s="397"/>
      <c r="OKW240" s="397"/>
      <c r="OKX240" s="397"/>
      <c r="OKY240" s="397"/>
      <c r="OKZ240" s="397"/>
      <c r="OLA240" s="397"/>
      <c r="OLB240" s="397"/>
      <c r="OLC240" s="397"/>
      <c r="OLD240" s="397"/>
      <c r="OLE240" s="397"/>
      <c r="OLF240" s="397"/>
      <c r="OLG240" s="397"/>
      <c r="OLH240" s="397"/>
      <c r="OLI240" s="397"/>
      <c r="OLJ240" s="397"/>
      <c r="OLK240" s="397"/>
      <c r="OLL240" s="397"/>
      <c r="OLM240" s="397"/>
      <c r="OLN240" s="397"/>
      <c r="OLO240" s="397"/>
      <c r="OLP240" s="397"/>
      <c r="OLQ240" s="397"/>
      <c r="OLR240" s="397"/>
      <c r="OLS240" s="397"/>
      <c r="OLT240" s="397"/>
      <c r="OLU240" s="397"/>
      <c r="OLV240" s="397"/>
      <c r="OLW240" s="397"/>
      <c r="OLX240" s="397"/>
      <c r="OLY240" s="397"/>
      <c r="OLZ240" s="397"/>
      <c r="OMA240" s="397"/>
      <c r="OMB240" s="397"/>
      <c r="OMC240" s="397"/>
      <c r="OMD240" s="397"/>
      <c r="OME240" s="397"/>
      <c r="OMF240" s="397"/>
      <c r="OMG240" s="397"/>
      <c r="OMH240" s="397"/>
      <c r="OMI240" s="397"/>
      <c r="OMJ240" s="397"/>
      <c r="OMK240" s="397"/>
      <c r="OML240" s="397"/>
      <c r="OMM240" s="397"/>
      <c r="OMN240" s="397"/>
      <c r="OMO240" s="397"/>
      <c r="OMP240" s="397"/>
      <c r="OMQ240" s="397"/>
      <c r="OMR240" s="397"/>
      <c r="OMS240" s="397"/>
      <c r="OMT240" s="397"/>
      <c r="OMU240" s="397"/>
      <c r="OMV240" s="397"/>
      <c r="OMW240" s="397"/>
      <c r="OMX240" s="397"/>
      <c r="OMY240" s="397"/>
      <c r="OMZ240" s="397"/>
      <c r="ONA240" s="397"/>
      <c r="ONB240" s="397"/>
      <c r="ONC240" s="397"/>
      <c r="OND240" s="397"/>
      <c r="ONE240" s="397"/>
      <c r="ONF240" s="397"/>
      <c r="ONG240" s="397"/>
      <c r="ONH240" s="397"/>
      <c r="ONI240" s="397"/>
      <c r="ONJ240" s="397"/>
      <c r="ONK240" s="397"/>
      <c r="ONL240" s="397"/>
      <c r="ONM240" s="397"/>
      <c r="ONN240" s="397"/>
      <c r="ONO240" s="397"/>
      <c r="ONP240" s="397"/>
      <c r="ONQ240" s="397"/>
      <c r="ONR240" s="397"/>
      <c r="ONS240" s="397"/>
      <c r="ONT240" s="397"/>
      <c r="ONU240" s="397"/>
      <c r="ONV240" s="397"/>
      <c r="ONW240" s="397"/>
      <c r="ONX240" s="397"/>
      <c r="ONY240" s="397"/>
      <c r="ONZ240" s="397"/>
      <c r="OOA240" s="397"/>
      <c r="OOB240" s="397"/>
      <c r="OOC240" s="397"/>
      <c r="OOD240" s="397"/>
      <c r="OOE240" s="397"/>
      <c r="OOF240" s="397"/>
      <c r="OOG240" s="397"/>
      <c r="OOH240" s="397"/>
      <c r="OOI240" s="397"/>
      <c r="OOJ240" s="397"/>
      <c r="OOK240" s="397"/>
      <c r="OOL240" s="397"/>
      <c r="OOM240" s="397"/>
      <c r="OON240" s="397"/>
      <c r="OOO240" s="397"/>
      <c r="OOP240" s="397"/>
      <c r="OOQ240" s="397"/>
      <c r="OOR240" s="397"/>
      <c r="OOS240" s="397"/>
      <c r="OOT240" s="397"/>
      <c r="OOU240" s="397"/>
      <c r="OOV240" s="397"/>
      <c r="OOW240" s="397"/>
      <c r="OOX240" s="397"/>
      <c r="OOY240" s="397"/>
      <c r="OOZ240" s="397"/>
      <c r="OPA240" s="397"/>
      <c r="OPB240" s="397"/>
      <c r="OPC240" s="397"/>
      <c r="OPD240" s="397"/>
      <c r="OPE240" s="397"/>
      <c r="OPF240" s="397"/>
      <c r="OPG240" s="397"/>
      <c r="OPH240" s="397"/>
      <c r="OPI240" s="397"/>
      <c r="OPJ240" s="397"/>
      <c r="OPK240" s="397"/>
      <c r="OPL240" s="397"/>
      <c r="OPM240" s="397"/>
      <c r="OPN240" s="397"/>
      <c r="OPO240" s="397"/>
      <c r="OPP240" s="397"/>
      <c r="OPQ240" s="397"/>
      <c r="OPR240" s="397"/>
      <c r="OPS240" s="397"/>
      <c r="OPT240" s="397"/>
      <c r="OPU240" s="397"/>
      <c r="OPV240" s="397"/>
      <c r="OPW240" s="397"/>
      <c r="OPX240" s="397"/>
      <c r="OPY240" s="397"/>
      <c r="OPZ240" s="397"/>
      <c r="OQA240" s="397"/>
      <c r="OQB240" s="397"/>
      <c r="OQC240" s="397"/>
      <c r="OQD240" s="397"/>
      <c r="OQE240" s="397"/>
      <c r="OQF240" s="397"/>
      <c r="OQG240" s="397"/>
      <c r="OQH240" s="397"/>
      <c r="OQI240" s="397"/>
      <c r="OQJ240" s="397"/>
      <c r="OQK240" s="397"/>
      <c r="OQL240" s="397"/>
      <c r="OQM240" s="397"/>
      <c r="OQN240" s="397"/>
      <c r="OQO240" s="397"/>
      <c r="OQP240" s="397"/>
      <c r="OQQ240" s="397"/>
      <c r="OQR240" s="397"/>
      <c r="OQS240" s="397"/>
      <c r="OQT240" s="397"/>
      <c r="OQU240" s="397"/>
      <c r="OQV240" s="397"/>
      <c r="OQW240" s="397"/>
      <c r="OQX240" s="397"/>
      <c r="OQY240" s="397"/>
      <c r="OQZ240" s="397"/>
      <c r="ORA240" s="397"/>
      <c r="ORB240" s="397"/>
      <c r="ORC240" s="397"/>
      <c r="ORD240" s="397"/>
      <c r="ORE240" s="397"/>
      <c r="ORF240" s="397"/>
      <c r="ORG240" s="397"/>
      <c r="ORH240" s="397"/>
      <c r="ORI240" s="397"/>
      <c r="ORJ240" s="397"/>
      <c r="ORK240" s="397"/>
      <c r="ORL240" s="397"/>
      <c r="ORM240" s="397"/>
      <c r="ORN240" s="397"/>
      <c r="ORO240" s="397"/>
      <c r="ORP240" s="397"/>
      <c r="ORQ240" s="397"/>
      <c r="ORR240" s="397"/>
      <c r="ORS240" s="397"/>
      <c r="ORT240" s="397"/>
      <c r="ORU240" s="397"/>
      <c r="ORV240" s="397"/>
      <c r="ORW240" s="397"/>
      <c r="ORX240" s="397"/>
      <c r="ORY240" s="397"/>
      <c r="ORZ240" s="397"/>
      <c r="OSA240" s="397"/>
      <c r="OSB240" s="397"/>
      <c r="OSC240" s="397"/>
      <c r="OSD240" s="397"/>
      <c r="OSE240" s="397"/>
      <c r="OSF240" s="397"/>
      <c r="OSG240" s="397"/>
      <c r="OSH240" s="397"/>
      <c r="OSI240" s="397"/>
      <c r="OSJ240" s="397"/>
      <c r="OSK240" s="397"/>
      <c r="OSL240" s="397"/>
      <c r="OSM240" s="397"/>
      <c r="OSN240" s="397"/>
      <c r="OSO240" s="397"/>
      <c r="OSP240" s="397"/>
      <c r="OSQ240" s="397"/>
      <c r="OSR240" s="397"/>
      <c r="OSS240" s="397"/>
      <c r="OST240" s="397"/>
      <c r="OSU240" s="397"/>
      <c r="OSV240" s="397"/>
      <c r="OSW240" s="397"/>
      <c r="OSX240" s="397"/>
      <c r="OSY240" s="397"/>
      <c r="OSZ240" s="397"/>
      <c r="OTA240" s="397"/>
      <c r="OTB240" s="397"/>
      <c r="OTC240" s="397"/>
      <c r="OTD240" s="397"/>
      <c r="OTE240" s="397"/>
      <c r="OTF240" s="397"/>
      <c r="OTG240" s="397"/>
      <c r="OTH240" s="397"/>
      <c r="OTI240" s="397"/>
      <c r="OTJ240" s="397"/>
      <c r="OTK240" s="397"/>
      <c r="OTL240" s="397"/>
      <c r="OTM240" s="397"/>
      <c r="OTN240" s="397"/>
      <c r="OTO240" s="397"/>
      <c r="OTP240" s="397"/>
      <c r="OTQ240" s="397"/>
      <c r="OTR240" s="397"/>
      <c r="OTS240" s="397"/>
      <c r="OTT240" s="397"/>
      <c r="OTU240" s="397"/>
      <c r="OTV240" s="397"/>
      <c r="OTW240" s="397"/>
      <c r="OTX240" s="397"/>
      <c r="OTY240" s="397"/>
      <c r="OTZ240" s="397"/>
      <c r="OUA240" s="397"/>
      <c r="OUB240" s="397"/>
      <c r="OUC240" s="397"/>
      <c r="OUD240" s="397"/>
      <c r="OUE240" s="397"/>
      <c r="OUF240" s="397"/>
      <c r="OUG240" s="397"/>
      <c r="OUH240" s="397"/>
      <c r="OUI240" s="397"/>
      <c r="OUJ240" s="397"/>
      <c r="OUK240" s="397"/>
      <c r="OUL240" s="397"/>
      <c r="OUM240" s="397"/>
      <c r="OUN240" s="397"/>
      <c r="OUO240" s="397"/>
      <c r="OUP240" s="397"/>
      <c r="OUQ240" s="397"/>
      <c r="OUR240" s="397"/>
      <c r="OUS240" s="397"/>
      <c r="OUT240" s="397"/>
      <c r="OUU240" s="397"/>
      <c r="OUV240" s="397"/>
      <c r="OUW240" s="397"/>
      <c r="OUX240" s="397"/>
      <c r="OUY240" s="397"/>
      <c r="OUZ240" s="397"/>
      <c r="OVA240" s="397"/>
      <c r="OVB240" s="397"/>
      <c r="OVC240" s="397"/>
      <c r="OVD240" s="397"/>
      <c r="OVE240" s="397"/>
      <c r="OVF240" s="397"/>
      <c r="OVG240" s="397"/>
      <c r="OVH240" s="397"/>
      <c r="OVI240" s="397"/>
      <c r="OVJ240" s="397"/>
      <c r="OVK240" s="397"/>
      <c r="OVL240" s="397"/>
      <c r="OVM240" s="397"/>
      <c r="OVN240" s="397"/>
      <c r="OVO240" s="397"/>
      <c r="OVP240" s="397"/>
      <c r="OVQ240" s="397"/>
      <c r="OVR240" s="397"/>
      <c r="OVS240" s="397"/>
      <c r="OVT240" s="397"/>
      <c r="OVU240" s="397"/>
      <c r="OVV240" s="397"/>
      <c r="OVW240" s="397"/>
      <c r="OVX240" s="397"/>
      <c r="OVY240" s="397"/>
      <c r="OVZ240" s="397"/>
      <c r="OWA240" s="397"/>
      <c r="OWB240" s="397"/>
      <c r="OWC240" s="397"/>
      <c r="OWD240" s="397"/>
      <c r="OWE240" s="397"/>
      <c r="OWF240" s="397"/>
      <c r="OWG240" s="397"/>
      <c r="OWH240" s="397"/>
      <c r="OWI240" s="397"/>
      <c r="OWJ240" s="397"/>
      <c r="OWK240" s="397"/>
      <c r="OWL240" s="397"/>
      <c r="OWM240" s="397"/>
      <c r="OWN240" s="397"/>
      <c r="OWO240" s="397"/>
      <c r="OWP240" s="397"/>
      <c r="OWQ240" s="397"/>
      <c r="OWR240" s="397"/>
      <c r="OWS240" s="397"/>
      <c r="OWT240" s="397"/>
      <c r="OWU240" s="397"/>
      <c r="OWV240" s="397"/>
      <c r="OWW240" s="397"/>
      <c r="OWX240" s="397"/>
      <c r="OWY240" s="397"/>
      <c r="OWZ240" s="397"/>
      <c r="OXA240" s="397"/>
      <c r="OXB240" s="397"/>
      <c r="OXC240" s="397"/>
      <c r="OXD240" s="397"/>
      <c r="OXE240" s="397"/>
      <c r="OXF240" s="397"/>
      <c r="OXG240" s="397"/>
      <c r="OXH240" s="397"/>
      <c r="OXI240" s="397"/>
      <c r="OXJ240" s="397"/>
      <c r="OXK240" s="397"/>
      <c r="OXL240" s="397"/>
      <c r="OXM240" s="397"/>
      <c r="OXN240" s="397"/>
      <c r="OXO240" s="397"/>
      <c r="OXP240" s="397"/>
      <c r="OXQ240" s="397"/>
      <c r="OXR240" s="397"/>
      <c r="OXS240" s="397"/>
      <c r="OXT240" s="397"/>
      <c r="OXU240" s="397"/>
      <c r="OXV240" s="397"/>
      <c r="OXW240" s="397"/>
      <c r="OXX240" s="397"/>
      <c r="OXY240" s="397"/>
      <c r="OXZ240" s="397"/>
      <c r="OYA240" s="397"/>
      <c r="OYB240" s="397"/>
      <c r="OYC240" s="397"/>
      <c r="OYD240" s="397"/>
      <c r="OYE240" s="397"/>
      <c r="OYF240" s="397"/>
      <c r="OYG240" s="397"/>
      <c r="OYH240" s="397"/>
      <c r="OYI240" s="397"/>
      <c r="OYJ240" s="397"/>
      <c r="OYK240" s="397"/>
      <c r="OYL240" s="397"/>
      <c r="OYM240" s="397"/>
      <c r="OYN240" s="397"/>
      <c r="OYO240" s="397"/>
      <c r="OYP240" s="397"/>
      <c r="OYQ240" s="397"/>
      <c r="OYR240" s="397"/>
      <c r="OYS240" s="397"/>
      <c r="OYT240" s="397"/>
      <c r="OYU240" s="397"/>
      <c r="OYV240" s="397"/>
      <c r="OYW240" s="397"/>
      <c r="OYX240" s="397"/>
      <c r="OYY240" s="397"/>
      <c r="OYZ240" s="397"/>
      <c r="OZA240" s="397"/>
      <c r="OZB240" s="397"/>
      <c r="OZC240" s="397"/>
      <c r="OZD240" s="397"/>
      <c r="OZE240" s="397"/>
      <c r="OZF240" s="397"/>
      <c r="OZG240" s="397"/>
      <c r="OZH240" s="397"/>
      <c r="OZI240" s="397"/>
      <c r="OZJ240" s="397"/>
      <c r="OZK240" s="397"/>
      <c r="OZL240" s="397"/>
      <c r="OZM240" s="397"/>
      <c r="OZN240" s="397"/>
      <c r="OZO240" s="397"/>
      <c r="OZP240" s="397"/>
      <c r="OZQ240" s="397"/>
      <c r="OZR240" s="397"/>
      <c r="OZS240" s="397"/>
      <c r="OZT240" s="397"/>
      <c r="OZU240" s="397"/>
      <c r="OZV240" s="397"/>
      <c r="OZW240" s="397"/>
      <c r="OZX240" s="397"/>
      <c r="OZY240" s="397"/>
      <c r="OZZ240" s="397"/>
      <c r="PAA240" s="397"/>
      <c r="PAB240" s="397"/>
      <c r="PAC240" s="397"/>
      <c r="PAD240" s="397"/>
      <c r="PAE240" s="397"/>
      <c r="PAF240" s="397"/>
      <c r="PAG240" s="397"/>
      <c r="PAH240" s="397"/>
      <c r="PAI240" s="397"/>
      <c r="PAJ240" s="397"/>
      <c r="PAK240" s="397"/>
      <c r="PAL240" s="397"/>
      <c r="PAM240" s="397"/>
      <c r="PAN240" s="397"/>
      <c r="PAO240" s="397"/>
      <c r="PAP240" s="397"/>
      <c r="PAQ240" s="397"/>
      <c r="PAR240" s="397"/>
      <c r="PAS240" s="397"/>
      <c r="PAT240" s="397"/>
      <c r="PAU240" s="397"/>
      <c r="PAV240" s="397"/>
      <c r="PAW240" s="397"/>
      <c r="PAX240" s="397"/>
      <c r="PAY240" s="397"/>
      <c r="PAZ240" s="397"/>
      <c r="PBA240" s="397"/>
      <c r="PBB240" s="397"/>
      <c r="PBC240" s="397"/>
      <c r="PBD240" s="397"/>
      <c r="PBE240" s="397"/>
      <c r="PBF240" s="397"/>
      <c r="PBG240" s="397"/>
      <c r="PBH240" s="397"/>
      <c r="PBI240" s="397"/>
      <c r="PBJ240" s="397"/>
      <c r="PBK240" s="397"/>
      <c r="PBL240" s="397"/>
      <c r="PBM240" s="397"/>
      <c r="PBN240" s="397"/>
      <c r="PBO240" s="397"/>
      <c r="PBP240" s="397"/>
      <c r="PBQ240" s="397"/>
      <c r="PBR240" s="397"/>
      <c r="PBS240" s="397"/>
      <c r="PBT240" s="397"/>
      <c r="PBU240" s="397"/>
      <c r="PBV240" s="397"/>
      <c r="PBW240" s="397"/>
      <c r="PBX240" s="397"/>
      <c r="PBY240" s="397"/>
      <c r="PBZ240" s="397"/>
      <c r="PCA240" s="397"/>
      <c r="PCB240" s="397"/>
      <c r="PCC240" s="397"/>
      <c r="PCD240" s="397"/>
      <c r="PCE240" s="397"/>
      <c r="PCF240" s="397"/>
      <c r="PCG240" s="397"/>
      <c r="PCH240" s="397"/>
      <c r="PCI240" s="397"/>
      <c r="PCJ240" s="397"/>
      <c r="PCK240" s="397"/>
      <c r="PCL240" s="397"/>
      <c r="PCM240" s="397"/>
      <c r="PCN240" s="397"/>
      <c r="PCO240" s="397"/>
      <c r="PCP240" s="397"/>
      <c r="PCQ240" s="397"/>
      <c r="PCR240" s="397"/>
      <c r="PCS240" s="397"/>
      <c r="PCT240" s="397"/>
      <c r="PCU240" s="397"/>
      <c r="PCV240" s="397"/>
      <c r="PCW240" s="397"/>
      <c r="PCX240" s="397"/>
      <c r="PCY240" s="397"/>
      <c r="PCZ240" s="397"/>
      <c r="PDA240" s="397"/>
      <c r="PDB240" s="397"/>
      <c r="PDC240" s="397"/>
      <c r="PDD240" s="397"/>
      <c r="PDE240" s="397"/>
      <c r="PDF240" s="397"/>
      <c r="PDG240" s="397"/>
      <c r="PDH240" s="397"/>
      <c r="PDI240" s="397"/>
      <c r="PDJ240" s="397"/>
      <c r="PDK240" s="397"/>
      <c r="PDL240" s="397"/>
      <c r="PDM240" s="397"/>
      <c r="PDN240" s="397"/>
      <c r="PDO240" s="397"/>
      <c r="PDP240" s="397"/>
      <c r="PDQ240" s="397"/>
      <c r="PDR240" s="397"/>
      <c r="PDS240" s="397"/>
      <c r="PDT240" s="397"/>
      <c r="PDU240" s="397"/>
      <c r="PDV240" s="397"/>
      <c r="PDW240" s="397"/>
      <c r="PDX240" s="397"/>
      <c r="PDY240" s="397"/>
      <c r="PDZ240" s="397"/>
      <c r="PEA240" s="397"/>
      <c r="PEB240" s="397"/>
      <c r="PEC240" s="397"/>
      <c r="PED240" s="397"/>
      <c r="PEE240" s="397"/>
      <c r="PEF240" s="397"/>
      <c r="PEG240" s="397"/>
      <c r="PEH240" s="397"/>
      <c r="PEI240" s="397"/>
      <c r="PEJ240" s="397"/>
      <c r="PEK240" s="397"/>
      <c r="PEL240" s="397"/>
      <c r="PEM240" s="397"/>
      <c r="PEN240" s="397"/>
      <c r="PEO240" s="397"/>
      <c r="PEP240" s="397"/>
      <c r="PEQ240" s="397"/>
      <c r="PER240" s="397"/>
      <c r="PES240" s="397"/>
      <c r="PET240" s="397"/>
      <c r="PEU240" s="397"/>
      <c r="PEV240" s="397"/>
      <c r="PEW240" s="397"/>
      <c r="PEX240" s="397"/>
      <c r="PEY240" s="397"/>
      <c r="PEZ240" s="397"/>
      <c r="PFA240" s="397"/>
      <c r="PFB240" s="397"/>
      <c r="PFC240" s="397"/>
      <c r="PFD240" s="397"/>
      <c r="PFE240" s="397"/>
      <c r="PFF240" s="397"/>
      <c r="PFG240" s="397"/>
      <c r="PFH240" s="397"/>
      <c r="PFI240" s="397"/>
      <c r="PFJ240" s="397"/>
      <c r="PFK240" s="397"/>
      <c r="PFL240" s="397"/>
      <c r="PFM240" s="397"/>
      <c r="PFN240" s="397"/>
      <c r="PFO240" s="397"/>
      <c r="PFP240" s="397"/>
      <c r="PFQ240" s="397"/>
      <c r="PFR240" s="397"/>
      <c r="PFS240" s="397"/>
      <c r="PFT240" s="397"/>
      <c r="PFU240" s="397"/>
      <c r="PFV240" s="397"/>
      <c r="PFW240" s="397"/>
      <c r="PFX240" s="397"/>
      <c r="PFY240" s="397"/>
      <c r="PFZ240" s="397"/>
      <c r="PGA240" s="397"/>
      <c r="PGB240" s="397"/>
      <c r="PGC240" s="397"/>
      <c r="PGD240" s="397"/>
      <c r="PGE240" s="397"/>
      <c r="PGF240" s="397"/>
      <c r="PGG240" s="397"/>
      <c r="PGH240" s="397"/>
      <c r="PGI240" s="397"/>
      <c r="PGJ240" s="397"/>
      <c r="PGK240" s="397"/>
      <c r="PGL240" s="397"/>
      <c r="PGM240" s="397"/>
      <c r="PGN240" s="397"/>
      <c r="PGO240" s="397"/>
      <c r="PGP240" s="397"/>
      <c r="PGQ240" s="397"/>
      <c r="PGR240" s="397"/>
      <c r="PGS240" s="397"/>
      <c r="PGT240" s="397"/>
      <c r="PGU240" s="397"/>
      <c r="PGV240" s="397"/>
      <c r="PGW240" s="397"/>
      <c r="PGX240" s="397"/>
      <c r="PGY240" s="397"/>
      <c r="PGZ240" s="397"/>
      <c r="PHA240" s="397"/>
      <c r="PHB240" s="397"/>
      <c r="PHC240" s="397"/>
      <c r="PHD240" s="397"/>
      <c r="PHE240" s="397"/>
      <c r="PHF240" s="397"/>
      <c r="PHG240" s="397"/>
      <c r="PHH240" s="397"/>
      <c r="PHI240" s="397"/>
      <c r="PHJ240" s="397"/>
      <c r="PHK240" s="397"/>
      <c r="PHL240" s="397"/>
      <c r="PHM240" s="397"/>
      <c r="PHN240" s="397"/>
      <c r="PHO240" s="397"/>
      <c r="PHP240" s="397"/>
      <c r="PHQ240" s="397"/>
      <c r="PHR240" s="397"/>
      <c r="PHS240" s="397"/>
      <c r="PHT240" s="397"/>
      <c r="PHU240" s="397"/>
      <c r="PHV240" s="397"/>
      <c r="PHW240" s="397"/>
      <c r="PHX240" s="397"/>
      <c r="PHY240" s="397"/>
      <c r="PHZ240" s="397"/>
      <c r="PIA240" s="397"/>
      <c r="PIB240" s="397"/>
      <c r="PIC240" s="397"/>
      <c r="PID240" s="397"/>
      <c r="PIE240" s="397"/>
      <c r="PIF240" s="397"/>
      <c r="PIG240" s="397"/>
      <c r="PIH240" s="397"/>
      <c r="PII240" s="397"/>
      <c r="PIJ240" s="397"/>
      <c r="PIK240" s="397"/>
      <c r="PIL240" s="397"/>
      <c r="PIM240" s="397"/>
      <c r="PIN240" s="397"/>
      <c r="PIO240" s="397"/>
      <c r="PIP240" s="397"/>
      <c r="PIQ240" s="397"/>
      <c r="PIR240" s="397"/>
      <c r="PIS240" s="397"/>
      <c r="PIT240" s="397"/>
      <c r="PIU240" s="397"/>
      <c r="PIV240" s="397"/>
      <c r="PIW240" s="397"/>
      <c r="PIX240" s="397"/>
      <c r="PIY240" s="397"/>
      <c r="PIZ240" s="397"/>
      <c r="PJA240" s="397"/>
      <c r="PJB240" s="397"/>
      <c r="PJC240" s="397"/>
      <c r="PJD240" s="397"/>
      <c r="PJE240" s="397"/>
      <c r="PJF240" s="397"/>
      <c r="PJG240" s="397"/>
      <c r="PJH240" s="397"/>
      <c r="PJI240" s="397"/>
      <c r="PJJ240" s="397"/>
      <c r="PJK240" s="397"/>
      <c r="PJL240" s="397"/>
      <c r="PJM240" s="397"/>
      <c r="PJN240" s="397"/>
      <c r="PJO240" s="397"/>
      <c r="PJP240" s="397"/>
      <c r="PJQ240" s="397"/>
      <c r="PJR240" s="397"/>
      <c r="PJS240" s="397"/>
      <c r="PJT240" s="397"/>
      <c r="PJU240" s="397"/>
      <c r="PJV240" s="397"/>
      <c r="PJW240" s="397"/>
      <c r="PJX240" s="397"/>
      <c r="PJY240" s="397"/>
      <c r="PJZ240" s="397"/>
      <c r="PKA240" s="397"/>
      <c r="PKB240" s="397"/>
      <c r="PKC240" s="397"/>
      <c r="PKD240" s="397"/>
      <c r="PKE240" s="397"/>
      <c r="PKF240" s="397"/>
      <c r="PKG240" s="397"/>
      <c r="PKH240" s="397"/>
      <c r="PKI240" s="397"/>
      <c r="PKJ240" s="397"/>
      <c r="PKK240" s="397"/>
      <c r="PKL240" s="397"/>
      <c r="PKM240" s="397"/>
      <c r="PKN240" s="397"/>
      <c r="PKO240" s="397"/>
      <c r="PKP240" s="397"/>
      <c r="PKQ240" s="397"/>
      <c r="PKR240" s="397"/>
      <c r="PKS240" s="397"/>
      <c r="PKT240" s="397"/>
      <c r="PKU240" s="397"/>
      <c r="PKV240" s="397"/>
      <c r="PKW240" s="397"/>
      <c r="PKX240" s="397"/>
      <c r="PKY240" s="397"/>
      <c r="PKZ240" s="397"/>
      <c r="PLA240" s="397"/>
      <c r="PLB240" s="397"/>
      <c r="PLC240" s="397"/>
      <c r="PLD240" s="397"/>
      <c r="PLE240" s="397"/>
      <c r="PLF240" s="397"/>
      <c r="PLG240" s="397"/>
      <c r="PLH240" s="397"/>
      <c r="PLI240" s="397"/>
      <c r="PLJ240" s="397"/>
      <c r="PLK240" s="397"/>
      <c r="PLL240" s="397"/>
      <c r="PLM240" s="397"/>
      <c r="PLN240" s="397"/>
      <c r="PLO240" s="397"/>
      <c r="PLP240" s="397"/>
      <c r="PLQ240" s="397"/>
      <c r="PLR240" s="397"/>
      <c r="PLS240" s="397"/>
      <c r="PLT240" s="397"/>
      <c r="PLU240" s="397"/>
      <c r="PLV240" s="397"/>
      <c r="PLW240" s="397"/>
      <c r="PLX240" s="397"/>
      <c r="PLY240" s="397"/>
      <c r="PLZ240" s="397"/>
      <c r="PMA240" s="397"/>
      <c r="PMB240" s="397"/>
      <c r="PMC240" s="397"/>
      <c r="PMD240" s="397"/>
      <c r="PME240" s="397"/>
      <c r="PMF240" s="397"/>
      <c r="PMG240" s="397"/>
      <c r="PMH240" s="397"/>
      <c r="PMI240" s="397"/>
      <c r="PMJ240" s="397"/>
      <c r="PMK240" s="397"/>
      <c r="PML240" s="397"/>
      <c r="PMM240" s="397"/>
      <c r="PMN240" s="397"/>
      <c r="PMO240" s="397"/>
      <c r="PMP240" s="397"/>
      <c r="PMQ240" s="397"/>
      <c r="PMR240" s="397"/>
      <c r="PMS240" s="397"/>
      <c r="PMT240" s="397"/>
      <c r="PMU240" s="397"/>
      <c r="PMV240" s="397"/>
      <c r="PMW240" s="397"/>
      <c r="PMX240" s="397"/>
      <c r="PMY240" s="397"/>
      <c r="PMZ240" s="397"/>
      <c r="PNA240" s="397"/>
      <c r="PNB240" s="397"/>
      <c r="PNC240" s="397"/>
      <c r="PND240" s="397"/>
      <c r="PNE240" s="397"/>
      <c r="PNF240" s="397"/>
      <c r="PNG240" s="397"/>
      <c r="PNH240" s="397"/>
      <c r="PNI240" s="397"/>
      <c r="PNJ240" s="397"/>
      <c r="PNK240" s="397"/>
      <c r="PNL240" s="397"/>
      <c r="PNM240" s="397"/>
      <c r="PNN240" s="397"/>
      <c r="PNO240" s="397"/>
      <c r="PNP240" s="397"/>
      <c r="PNQ240" s="397"/>
      <c r="PNR240" s="397"/>
      <c r="PNS240" s="397"/>
      <c r="PNT240" s="397"/>
      <c r="PNU240" s="397"/>
      <c r="PNV240" s="397"/>
      <c r="PNW240" s="397"/>
      <c r="PNX240" s="397"/>
      <c r="PNY240" s="397"/>
      <c r="PNZ240" s="397"/>
      <c r="POA240" s="397"/>
      <c r="POB240" s="397"/>
      <c r="POC240" s="397"/>
      <c r="POD240" s="397"/>
      <c r="POE240" s="397"/>
      <c r="POF240" s="397"/>
      <c r="POG240" s="397"/>
      <c r="POH240" s="397"/>
      <c r="POI240" s="397"/>
      <c r="POJ240" s="397"/>
      <c r="POK240" s="397"/>
      <c r="POL240" s="397"/>
      <c r="POM240" s="397"/>
      <c r="PON240" s="397"/>
      <c r="POO240" s="397"/>
      <c r="POP240" s="397"/>
      <c r="POQ240" s="397"/>
      <c r="POR240" s="397"/>
      <c r="POS240" s="397"/>
      <c r="POT240" s="397"/>
      <c r="POU240" s="397"/>
      <c r="POV240" s="397"/>
      <c r="POW240" s="397"/>
      <c r="POX240" s="397"/>
      <c r="POY240" s="397"/>
      <c r="POZ240" s="397"/>
      <c r="PPA240" s="397"/>
      <c r="PPB240" s="397"/>
      <c r="PPC240" s="397"/>
      <c r="PPD240" s="397"/>
      <c r="PPE240" s="397"/>
      <c r="PPF240" s="397"/>
      <c r="PPG240" s="397"/>
      <c r="PPH240" s="397"/>
      <c r="PPI240" s="397"/>
      <c r="PPJ240" s="397"/>
      <c r="PPK240" s="397"/>
      <c r="PPL240" s="397"/>
      <c r="PPM240" s="397"/>
      <c r="PPN240" s="397"/>
      <c r="PPO240" s="397"/>
      <c r="PPP240" s="397"/>
      <c r="PPQ240" s="397"/>
      <c r="PPR240" s="397"/>
      <c r="PPS240" s="397"/>
      <c r="PPT240" s="397"/>
      <c r="PPU240" s="397"/>
      <c r="PPV240" s="397"/>
      <c r="PPW240" s="397"/>
      <c r="PPX240" s="397"/>
      <c r="PPY240" s="397"/>
      <c r="PPZ240" s="397"/>
      <c r="PQA240" s="397"/>
      <c r="PQB240" s="397"/>
      <c r="PQC240" s="397"/>
      <c r="PQD240" s="397"/>
      <c r="PQE240" s="397"/>
      <c r="PQF240" s="397"/>
      <c r="PQG240" s="397"/>
      <c r="PQH240" s="397"/>
      <c r="PQI240" s="397"/>
      <c r="PQJ240" s="397"/>
      <c r="PQK240" s="397"/>
      <c r="PQL240" s="397"/>
      <c r="PQM240" s="397"/>
      <c r="PQN240" s="397"/>
      <c r="PQO240" s="397"/>
      <c r="PQP240" s="397"/>
      <c r="PQQ240" s="397"/>
      <c r="PQR240" s="397"/>
      <c r="PQS240" s="397"/>
      <c r="PQT240" s="397"/>
      <c r="PQU240" s="397"/>
      <c r="PQV240" s="397"/>
      <c r="PQW240" s="397"/>
      <c r="PQX240" s="397"/>
      <c r="PQY240" s="397"/>
      <c r="PQZ240" s="397"/>
      <c r="PRA240" s="397"/>
      <c r="PRB240" s="397"/>
      <c r="PRC240" s="397"/>
      <c r="PRD240" s="397"/>
      <c r="PRE240" s="397"/>
      <c r="PRF240" s="397"/>
      <c r="PRG240" s="397"/>
      <c r="PRH240" s="397"/>
      <c r="PRI240" s="397"/>
      <c r="PRJ240" s="397"/>
      <c r="PRK240" s="397"/>
      <c r="PRL240" s="397"/>
      <c r="PRM240" s="397"/>
      <c r="PRN240" s="397"/>
      <c r="PRO240" s="397"/>
      <c r="PRP240" s="397"/>
      <c r="PRQ240" s="397"/>
      <c r="PRR240" s="397"/>
      <c r="PRS240" s="397"/>
      <c r="PRT240" s="397"/>
      <c r="PRU240" s="397"/>
      <c r="PRV240" s="397"/>
      <c r="PRW240" s="397"/>
      <c r="PRX240" s="397"/>
      <c r="PRY240" s="397"/>
      <c r="PRZ240" s="397"/>
      <c r="PSA240" s="397"/>
      <c r="PSB240" s="397"/>
      <c r="PSC240" s="397"/>
      <c r="PSD240" s="397"/>
      <c r="PSE240" s="397"/>
      <c r="PSF240" s="397"/>
      <c r="PSG240" s="397"/>
      <c r="PSH240" s="397"/>
      <c r="PSI240" s="397"/>
      <c r="PSJ240" s="397"/>
      <c r="PSK240" s="397"/>
      <c r="PSL240" s="397"/>
      <c r="PSM240" s="397"/>
      <c r="PSN240" s="397"/>
      <c r="PSO240" s="397"/>
      <c r="PSP240" s="397"/>
      <c r="PSQ240" s="397"/>
      <c r="PSR240" s="397"/>
      <c r="PSS240" s="397"/>
      <c r="PST240" s="397"/>
      <c r="PSU240" s="397"/>
      <c r="PSV240" s="397"/>
      <c r="PSW240" s="397"/>
      <c r="PSX240" s="397"/>
      <c r="PSY240" s="397"/>
      <c r="PSZ240" s="397"/>
      <c r="PTA240" s="397"/>
      <c r="PTB240" s="397"/>
      <c r="PTC240" s="397"/>
      <c r="PTD240" s="397"/>
      <c r="PTE240" s="397"/>
      <c r="PTF240" s="397"/>
      <c r="PTG240" s="397"/>
      <c r="PTH240" s="397"/>
      <c r="PTI240" s="397"/>
      <c r="PTJ240" s="397"/>
      <c r="PTK240" s="397"/>
      <c r="PTL240" s="397"/>
      <c r="PTM240" s="397"/>
      <c r="PTN240" s="397"/>
      <c r="PTO240" s="397"/>
      <c r="PTP240" s="397"/>
      <c r="PTQ240" s="397"/>
      <c r="PTR240" s="397"/>
      <c r="PTS240" s="397"/>
      <c r="PTT240" s="397"/>
      <c r="PTU240" s="397"/>
      <c r="PTV240" s="397"/>
      <c r="PTW240" s="397"/>
      <c r="PTX240" s="397"/>
      <c r="PTY240" s="397"/>
      <c r="PTZ240" s="397"/>
      <c r="PUA240" s="397"/>
      <c r="PUB240" s="397"/>
      <c r="PUC240" s="397"/>
      <c r="PUD240" s="397"/>
      <c r="PUE240" s="397"/>
      <c r="PUF240" s="397"/>
      <c r="PUG240" s="397"/>
      <c r="PUH240" s="397"/>
      <c r="PUI240" s="397"/>
      <c r="PUJ240" s="397"/>
      <c r="PUK240" s="397"/>
      <c r="PUL240" s="397"/>
      <c r="PUM240" s="397"/>
      <c r="PUN240" s="397"/>
      <c r="PUO240" s="397"/>
      <c r="PUP240" s="397"/>
      <c r="PUQ240" s="397"/>
      <c r="PUR240" s="397"/>
      <c r="PUS240" s="397"/>
      <c r="PUT240" s="397"/>
      <c r="PUU240" s="397"/>
      <c r="PUV240" s="397"/>
      <c r="PUW240" s="397"/>
      <c r="PUX240" s="397"/>
      <c r="PUY240" s="397"/>
      <c r="PUZ240" s="397"/>
      <c r="PVA240" s="397"/>
      <c r="PVB240" s="397"/>
      <c r="PVC240" s="397"/>
      <c r="PVD240" s="397"/>
      <c r="PVE240" s="397"/>
      <c r="PVF240" s="397"/>
      <c r="PVG240" s="397"/>
      <c r="PVH240" s="397"/>
      <c r="PVI240" s="397"/>
      <c r="PVJ240" s="397"/>
      <c r="PVK240" s="397"/>
      <c r="PVL240" s="397"/>
      <c r="PVM240" s="397"/>
      <c r="PVN240" s="397"/>
      <c r="PVO240" s="397"/>
      <c r="PVP240" s="397"/>
      <c r="PVQ240" s="397"/>
      <c r="PVR240" s="397"/>
      <c r="PVS240" s="397"/>
      <c r="PVT240" s="397"/>
      <c r="PVU240" s="397"/>
      <c r="PVV240" s="397"/>
      <c r="PVW240" s="397"/>
      <c r="PVX240" s="397"/>
      <c r="PVY240" s="397"/>
      <c r="PVZ240" s="397"/>
      <c r="PWA240" s="397"/>
      <c r="PWB240" s="397"/>
      <c r="PWC240" s="397"/>
      <c r="PWD240" s="397"/>
      <c r="PWE240" s="397"/>
      <c r="PWF240" s="397"/>
      <c r="PWG240" s="397"/>
      <c r="PWH240" s="397"/>
      <c r="PWI240" s="397"/>
      <c r="PWJ240" s="397"/>
      <c r="PWK240" s="397"/>
      <c r="PWL240" s="397"/>
      <c r="PWM240" s="397"/>
      <c r="PWN240" s="397"/>
      <c r="PWO240" s="397"/>
      <c r="PWP240" s="397"/>
      <c r="PWQ240" s="397"/>
      <c r="PWR240" s="397"/>
      <c r="PWS240" s="397"/>
      <c r="PWT240" s="397"/>
      <c r="PWU240" s="397"/>
      <c r="PWV240" s="397"/>
      <c r="PWW240" s="397"/>
      <c r="PWX240" s="397"/>
      <c r="PWY240" s="397"/>
      <c r="PWZ240" s="397"/>
      <c r="PXA240" s="397"/>
      <c r="PXB240" s="397"/>
      <c r="PXC240" s="397"/>
      <c r="PXD240" s="397"/>
      <c r="PXE240" s="397"/>
      <c r="PXF240" s="397"/>
      <c r="PXG240" s="397"/>
      <c r="PXH240" s="397"/>
      <c r="PXI240" s="397"/>
      <c r="PXJ240" s="397"/>
      <c r="PXK240" s="397"/>
      <c r="PXL240" s="397"/>
      <c r="PXM240" s="397"/>
      <c r="PXN240" s="397"/>
      <c r="PXO240" s="397"/>
      <c r="PXP240" s="397"/>
      <c r="PXQ240" s="397"/>
      <c r="PXR240" s="397"/>
      <c r="PXS240" s="397"/>
      <c r="PXT240" s="397"/>
      <c r="PXU240" s="397"/>
      <c r="PXV240" s="397"/>
      <c r="PXW240" s="397"/>
      <c r="PXX240" s="397"/>
      <c r="PXY240" s="397"/>
      <c r="PXZ240" s="397"/>
      <c r="PYA240" s="397"/>
      <c r="PYB240" s="397"/>
      <c r="PYC240" s="397"/>
      <c r="PYD240" s="397"/>
      <c r="PYE240" s="397"/>
      <c r="PYF240" s="397"/>
      <c r="PYG240" s="397"/>
      <c r="PYH240" s="397"/>
      <c r="PYI240" s="397"/>
      <c r="PYJ240" s="397"/>
      <c r="PYK240" s="397"/>
      <c r="PYL240" s="397"/>
      <c r="PYM240" s="397"/>
      <c r="PYN240" s="397"/>
      <c r="PYO240" s="397"/>
      <c r="PYP240" s="397"/>
      <c r="PYQ240" s="397"/>
      <c r="PYR240" s="397"/>
      <c r="PYS240" s="397"/>
      <c r="PYT240" s="397"/>
      <c r="PYU240" s="397"/>
      <c r="PYV240" s="397"/>
      <c r="PYW240" s="397"/>
      <c r="PYX240" s="397"/>
      <c r="PYY240" s="397"/>
      <c r="PYZ240" s="397"/>
      <c r="PZA240" s="397"/>
      <c r="PZB240" s="397"/>
      <c r="PZC240" s="397"/>
      <c r="PZD240" s="397"/>
      <c r="PZE240" s="397"/>
      <c r="PZF240" s="397"/>
      <c r="PZG240" s="397"/>
      <c r="PZH240" s="397"/>
      <c r="PZI240" s="397"/>
      <c r="PZJ240" s="397"/>
      <c r="PZK240" s="397"/>
      <c r="PZL240" s="397"/>
      <c r="PZM240" s="397"/>
      <c r="PZN240" s="397"/>
      <c r="PZO240" s="397"/>
      <c r="PZP240" s="397"/>
      <c r="PZQ240" s="397"/>
      <c r="PZR240" s="397"/>
      <c r="PZS240" s="397"/>
      <c r="PZT240" s="397"/>
      <c r="PZU240" s="397"/>
      <c r="PZV240" s="397"/>
      <c r="PZW240" s="397"/>
      <c r="PZX240" s="397"/>
      <c r="PZY240" s="397"/>
      <c r="PZZ240" s="397"/>
      <c r="QAA240" s="397"/>
      <c r="QAB240" s="397"/>
      <c r="QAC240" s="397"/>
      <c r="QAD240" s="397"/>
      <c r="QAE240" s="397"/>
      <c r="QAF240" s="397"/>
      <c r="QAG240" s="397"/>
      <c r="QAH240" s="397"/>
      <c r="QAI240" s="397"/>
      <c r="QAJ240" s="397"/>
      <c r="QAK240" s="397"/>
      <c r="QAL240" s="397"/>
      <c r="QAM240" s="397"/>
      <c r="QAN240" s="397"/>
      <c r="QAO240" s="397"/>
      <c r="QAP240" s="397"/>
      <c r="QAQ240" s="397"/>
      <c r="QAR240" s="397"/>
      <c r="QAS240" s="397"/>
      <c r="QAT240" s="397"/>
      <c r="QAU240" s="397"/>
      <c r="QAV240" s="397"/>
      <c r="QAW240" s="397"/>
      <c r="QAX240" s="397"/>
      <c r="QAY240" s="397"/>
      <c r="QAZ240" s="397"/>
      <c r="QBA240" s="397"/>
      <c r="QBB240" s="397"/>
      <c r="QBC240" s="397"/>
      <c r="QBD240" s="397"/>
      <c r="QBE240" s="397"/>
      <c r="QBF240" s="397"/>
      <c r="QBG240" s="397"/>
      <c r="QBH240" s="397"/>
      <c r="QBI240" s="397"/>
      <c r="QBJ240" s="397"/>
      <c r="QBK240" s="397"/>
      <c r="QBL240" s="397"/>
      <c r="QBM240" s="397"/>
      <c r="QBN240" s="397"/>
      <c r="QBO240" s="397"/>
      <c r="QBP240" s="397"/>
      <c r="QBQ240" s="397"/>
      <c r="QBR240" s="397"/>
      <c r="QBS240" s="397"/>
      <c r="QBT240" s="397"/>
      <c r="QBU240" s="397"/>
      <c r="QBV240" s="397"/>
      <c r="QBW240" s="397"/>
      <c r="QBX240" s="397"/>
      <c r="QBY240" s="397"/>
      <c r="QBZ240" s="397"/>
      <c r="QCA240" s="397"/>
      <c r="QCB240" s="397"/>
      <c r="QCC240" s="397"/>
      <c r="QCD240" s="397"/>
      <c r="QCE240" s="397"/>
      <c r="QCF240" s="397"/>
      <c r="QCG240" s="397"/>
      <c r="QCH240" s="397"/>
      <c r="QCI240" s="397"/>
      <c r="QCJ240" s="397"/>
      <c r="QCK240" s="397"/>
      <c r="QCL240" s="397"/>
      <c r="QCM240" s="397"/>
      <c r="QCN240" s="397"/>
      <c r="QCO240" s="397"/>
      <c r="QCP240" s="397"/>
      <c r="QCQ240" s="397"/>
      <c r="QCR240" s="397"/>
      <c r="QCS240" s="397"/>
      <c r="QCT240" s="397"/>
      <c r="QCU240" s="397"/>
      <c r="QCV240" s="397"/>
      <c r="QCW240" s="397"/>
      <c r="QCX240" s="397"/>
      <c r="QCY240" s="397"/>
      <c r="QCZ240" s="397"/>
      <c r="QDA240" s="397"/>
      <c r="QDB240" s="397"/>
      <c r="QDC240" s="397"/>
      <c r="QDD240" s="397"/>
      <c r="QDE240" s="397"/>
      <c r="QDF240" s="397"/>
      <c r="QDG240" s="397"/>
      <c r="QDH240" s="397"/>
      <c r="QDI240" s="397"/>
      <c r="QDJ240" s="397"/>
      <c r="QDK240" s="397"/>
      <c r="QDL240" s="397"/>
      <c r="QDM240" s="397"/>
      <c r="QDN240" s="397"/>
      <c r="QDO240" s="397"/>
      <c r="QDP240" s="397"/>
      <c r="QDQ240" s="397"/>
      <c r="QDR240" s="397"/>
      <c r="QDS240" s="397"/>
      <c r="QDT240" s="397"/>
      <c r="QDU240" s="397"/>
      <c r="QDV240" s="397"/>
      <c r="QDW240" s="397"/>
      <c r="QDX240" s="397"/>
      <c r="QDY240" s="397"/>
      <c r="QDZ240" s="397"/>
      <c r="QEA240" s="397"/>
      <c r="QEB240" s="397"/>
      <c r="QEC240" s="397"/>
      <c r="QED240" s="397"/>
      <c r="QEE240" s="397"/>
      <c r="QEF240" s="397"/>
      <c r="QEG240" s="397"/>
      <c r="QEH240" s="397"/>
      <c r="QEI240" s="397"/>
      <c r="QEJ240" s="397"/>
      <c r="QEK240" s="397"/>
      <c r="QEL240" s="397"/>
      <c r="QEM240" s="397"/>
      <c r="QEN240" s="397"/>
      <c r="QEO240" s="397"/>
      <c r="QEP240" s="397"/>
      <c r="QEQ240" s="397"/>
      <c r="QER240" s="397"/>
      <c r="QES240" s="397"/>
      <c r="QET240" s="397"/>
      <c r="QEU240" s="397"/>
      <c r="QEV240" s="397"/>
      <c r="QEW240" s="397"/>
      <c r="QEX240" s="397"/>
      <c r="QEY240" s="397"/>
      <c r="QEZ240" s="397"/>
      <c r="QFA240" s="397"/>
      <c r="QFB240" s="397"/>
      <c r="QFC240" s="397"/>
      <c r="QFD240" s="397"/>
      <c r="QFE240" s="397"/>
      <c r="QFF240" s="397"/>
      <c r="QFG240" s="397"/>
      <c r="QFH240" s="397"/>
      <c r="QFI240" s="397"/>
      <c r="QFJ240" s="397"/>
      <c r="QFK240" s="397"/>
      <c r="QFL240" s="397"/>
      <c r="QFM240" s="397"/>
      <c r="QFN240" s="397"/>
      <c r="QFO240" s="397"/>
      <c r="QFP240" s="397"/>
      <c r="QFQ240" s="397"/>
      <c r="QFR240" s="397"/>
      <c r="QFS240" s="397"/>
      <c r="QFT240" s="397"/>
      <c r="QFU240" s="397"/>
      <c r="QFV240" s="397"/>
      <c r="QFW240" s="397"/>
      <c r="QFX240" s="397"/>
      <c r="QFY240" s="397"/>
      <c r="QFZ240" s="397"/>
      <c r="QGA240" s="397"/>
      <c r="QGB240" s="397"/>
      <c r="QGC240" s="397"/>
      <c r="QGD240" s="397"/>
      <c r="QGE240" s="397"/>
      <c r="QGF240" s="397"/>
      <c r="QGG240" s="397"/>
      <c r="QGH240" s="397"/>
      <c r="QGI240" s="397"/>
      <c r="QGJ240" s="397"/>
      <c r="QGK240" s="397"/>
      <c r="QGL240" s="397"/>
      <c r="QGM240" s="397"/>
      <c r="QGN240" s="397"/>
      <c r="QGO240" s="397"/>
      <c r="QGP240" s="397"/>
      <c r="QGQ240" s="397"/>
      <c r="QGR240" s="397"/>
      <c r="QGS240" s="397"/>
      <c r="QGT240" s="397"/>
      <c r="QGU240" s="397"/>
      <c r="QGV240" s="397"/>
      <c r="QGW240" s="397"/>
      <c r="QGX240" s="397"/>
      <c r="QGY240" s="397"/>
      <c r="QGZ240" s="397"/>
      <c r="QHA240" s="397"/>
      <c r="QHB240" s="397"/>
      <c r="QHC240" s="397"/>
      <c r="QHD240" s="397"/>
      <c r="QHE240" s="397"/>
      <c r="QHF240" s="397"/>
      <c r="QHG240" s="397"/>
      <c r="QHH240" s="397"/>
      <c r="QHI240" s="397"/>
      <c r="QHJ240" s="397"/>
      <c r="QHK240" s="397"/>
      <c r="QHL240" s="397"/>
      <c r="QHM240" s="397"/>
      <c r="QHN240" s="397"/>
      <c r="QHO240" s="397"/>
      <c r="QHP240" s="397"/>
      <c r="QHQ240" s="397"/>
      <c r="QHR240" s="397"/>
      <c r="QHS240" s="397"/>
      <c r="QHT240" s="397"/>
      <c r="QHU240" s="397"/>
      <c r="QHV240" s="397"/>
      <c r="QHW240" s="397"/>
      <c r="QHX240" s="397"/>
      <c r="QHY240" s="397"/>
      <c r="QHZ240" s="397"/>
      <c r="QIA240" s="397"/>
      <c r="QIB240" s="397"/>
      <c r="QIC240" s="397"/>
      <c r="QID240" s="397"/>
      <c r="QIE240" s="397"/>
      <c r="QIF240" s="397"/>
      <c r="QIG240" s="397"/>
      <c r="QIH240" s="397"/>
      <c r="QII240" s="397"/>
      <c r="QIJ240" s="397"/>
      <c r="QIK240" s="397"/>
      <c r="QIL240" s="397"/>
      <c r="QIM240" s="397"/>
      <c r="QIN240" s="397"/>
      <c r="QIO240" s="397"/>
      <c r="QIP240" s="397"/>
      <c r="QIQ240" s="397"/>
      <c r="QIR240" s="397"/>
      <c r="QIS240" s="397"/>
      <c r="QIT240" s="397"/>
      <c r="QIU240" s="397"/>
      <c r="QIV240" s="397"/>
      <c r="QIW240" s="397"/>
      <c r="QIX240" s="397"/>
      <c r="QIY240" s="397"/>
      <c r="QIZ240" s="397"/>
      <c r="QJA240" s="397"/>
      <c r="QJB240" s="397"/>
      <c r="QJC240" s="397"/>
      <c r="QJD240" s="397"/>
      <c r="QJE240" s="397"/>
      <c r="QJF240" s="397"/>
      <c r="QJG240" s="397"/>
      <c r="QJH240" s="397"/>
      <c r="QJI240" s="397"/>
      <c r="QJJ240" s="397"/>
      <c r="QJK240" s="397"/>
      <c r="QJL240" s="397"/>
      <c r="QJM240" s="397"/>
      <c r="QJN240" s="397"/>
      <c r="QJO240" s="397"/>
      <c r="QJP240" s="397"/>
      <c r="QJQ240" s="397"/>
      <c r="QJR240" s="397"/>
      <c r="QJS240" s="397"/>
      <c r="QJT240" s="397"/>
      <c r="QJU240" s="397"/>
      <c r="QJV240" s="397"/>
      <c r="QJW240" s="397"/>
      <c r="QJX240" s="397"/>
      <c r="QJY240" s="397"/>
      <c r="QJZ240" s="397"/>
      <c r="QKA240" s="397"/>
      <c r="QKB240" s="397"/>
      <c r="QKC240" s="397"/>
      <c r="QKD240" s="397"/>
      <c r="QKE240" s="397"/>
      <c r="QKF240" s="397"/>
      <c r="QKG240" s="397"/>
      <c r="QKH240" s="397"/>
      <c r="QKI240" s="397"/>
      <c r="QKJ240" s="397"/>
      <c r="QKK240" s="397"/>
      <c r="QKL240" s="397"/>
      <c r="QKM240" s="397"/>
      <c r="QKN240" s="397"/>
      <c r="QKO240" s="397"/>
      <c r="QKP240" s="397"/>
      <c r="QKQ240" s="397"/>
      <c r="QKR240" s="397"/>
      <c r="QKS240" s="397"/>
      <c r="QKT240" s="397"/>
      <c r="QKU240" s="397"/>
      <c r="QKV240" s="397"/>
      <c r="QKW240" s="397"/>
      <c r="QKX240" s="397"/>
      <c r="QKY240" s="397"/>
      <c r="QKZ240" s="397"/>
      <c r="QLA240" s="397"/>
      <c r="QLB240" s="397"/>
      <c r="QLC240" s="397"/>
      <c r="QLD240" s="397"/>
      <c r="QLE240" s="397"/>
      <c r="QLF240" s="397"/>
      <c r="QLG240" s="397"/>
      <c r="QLH240" s="397"/>
      <c r="QLI240" s="397"/>
      <c r="QLJ240" s="397"/>
      <c r="QLK240" s="397"/>
      <c r="QLL240" s="397"/>
      <c r="QLM240" s="397"/>
      <c r="QLN240" s="397"/>
      <c r="QLO240" s="397"/>
      <c r="QLP240" s="397"/>
      <c r="QLQ240" s="397"/>
      <c r="QLR240" s="397"/>
      <c r="QLS240" s="397"/>
      <c r="QLT240" s="397"/>
      <c r="QLU240" s="397"/>
      <c r="QLV240" s="397"/>
      <c r="QLW240" s="397"/>
      <c r="QLX240" s="397"/>
      <c r="QLY240" s="397"/>
      <c r="QLZ240" s="397"/>
      <c r="QMA240" s="397"/>
      <c r="QMB240" s="397"/>
      <c r="QMC240" s="397"/>
      <c r="QMD240" s="397"/>
      <c r="QME240" s="397"/>
      <c r="QMF240" s="397"/>
      <c r="QMG240" s="397"/>
      <c r="QMH240" s="397"/>
      <c r="QMI240" s="397"/>
      <c r="QMJ240" s="397"/>
      <c r="QMK240" s="397"/>
      <c r="QML240" s="397"/>
      <c r="QMM240" s="397"/>
      <c r="QMN240" s="397"/>
      <c r="QMO240" s="397"/>
      <c r="QMP240" s="397"/>
      <c r="QMQ240" s="397"/>
      <c r="QMR240" s="397"/>
      <c r="QMS240" s="397"/>
      <c r="QMT240" s="397"/>
      <c r="QMU240" s="397"/>
      <c r="QMV240" s="397"/>
      <c r="QMW240" s="397"/>
      <c r="QMX240" s="397"/>
      <c r="QMY240" s="397"/>
      <c r="QMZ240" s="397"/>
      <c r="QNA240" s="397"/>
      <c r="QNB240" s="397"/>
      <c r="QNC240" s="397"/>
      <c r="QND240" s="397"/>
      <c r="QNE240" s="397"/>
      <c r="QNF240" s="397"/>
      <c r="QNG240" s="397"/>
      <c r="QNH240" s="397"/>
      <c r="QNI240" s="397"/>
      <c r="QNJ240" s="397"/>
      <c r="QNK240" s="397"/>
      <c r="QNL240" s="397"/>
      <c r="QNM240" s="397"/>
      <c r="QNN240" s="397"/>
      <c r="QNO240" s="397"/>
      <c r="QNP240" s="397"/>
      <c r="QNQ240" s="397"/>
      <c r="QNR240" s="397"/>
      <c r="QNS240" s="397"/>
      <c r="QNT240" s="397"/>
      <c r="QNU240" s="397"/>
      <c r="QNV240" s="397"/>
      <c r="QNW240" s="397"/>
      <c r="QNX240" s="397"/>
      <c r="QNY240" s="397"/>
      <c r="QNZ240" s="397"/>
      <c r="QOA240" s="397"/>
      <c r="QOB240" s="397"/>
      <c r="QOC240" s="397"/>
      <c r="QOD240" s="397"/>
      <c r="QOE240" s="397"/>
      <c r="QOF240" s="397"/>
      <c r="QOG240" s="397"/>
      <c r="QOH240" s="397"/>
      <c r="QOI240" s="397"/>
      <c r="QOJ240" s="397"/>
      <c r="QOK240" s="397"/>
      <c r="QOL240" s="397"/>
      <c r="QOM240" s="397"/>
      <c r="QON240" s="397"/>
      <c r="QOO240" s="397"/>
      <c r="QOP240" s="397"/>
      <c r="QOQ240" s="397"/>
      <c r="QOR240" s="397"/>
      <c r="QOS240" s="397"/>
      <c r="QOT240" s="397"/>
      <c r="QOU240" s="397"/>
      <c r="QOV240" s="397"/>
      <c r="QOW240" s="397"/>
      <c r="QOX240" s="397"/>
      <c r="QOY240" s="397"/>
      <c r="QOZ240" s="397"/>
      <c r="QPA240" s="397"/>
      <c r="QPB240" s="397"/>
      <c r="QPC240" s="397"/>
      <c r="QPD240" s="397"/>
      <c r="QPE240" s="397"/>
      <c r="QPF240" s="397"/>
      <c r="QPG240" s="397"/>
      <c r="QPH240" s="397"/>
      <c r="QPI240" s="397"/>
      <c r="QPJ240" s="397"/>
      <c r="QPK240" s="397"/>
      <c r="QPL240" s="397"/>
      <c r="QPM240" s="397"/>
      <c r="QPN240" s="397"/>
      <c r="QPO240" s="397"/>
      <c r="QPP240" s="397"/>
      <c r="QPQ240" s="397"/>
      <c r="QPR240" s="397"/>
      <c r="QPS240" s="397"/>
      <c r="QPT240" s="397"/>
      <c r="QPU240" s="397"/>
      <c r="QPV240" s="397"/>
      <c r="QPW240" s="397"/>
      <c r="QPX240" s="397"/>
      <c r="QPY240" s="397"/>
      <c r="QPZ240" s="397"/>
      <c r="QQA240" s="397"/>
      <c r="QQB240" s="397"/>
      <c r="QQC240" s="397"/>
      <c r="QQD240" s="397"/>
      <c r="QQE240" s="397"/>
      <c r="QQF240" s="397"/>
      <c r="QQG240" s="397"/>
      <c r="QQH240" s="397"/>
      <c r="QQI240" s="397"/>
      <c r="QQJ240" s="397"/>
      <c r="QQK240" s="397"/>
      <c r="QQL240" s="397"/>
      <c r="QQM240" s="397"/>
      <c r="QQN240" s="397"/>
      <c r="QQO240" s="397"/>
      <c r="QQP240" s="397"/>
      <c r="QQQ240" s="397"/>
      <c r="QQR240" s="397"/>
      <c r="QQS240" s="397"/>
      <c r="QQT240" s="397"/>
      <c r="QQU240" s="397"/>
      <c r="QQV240" s="397"/>
      <c r="QQW240" s="397"/>
      <c r="QQX240" s="397"/>
      <c r="QQY240" s="397"/>
      <c r="QQZ240" s="397"/>
      <c r="QRA240" s="397"/>
      <c r="QRB240" s="397"/>
      <c r="QRC240" s="397"/>
      <c r="QRD240" s="397"/>
      <c r="QRE240" s="397"/>
      <c r="QRF240" s="397"/>
      <c r="QRG240" s="397"/>
      <c r="QRH240" s="397"/>
      <c r="QRI240" s="397"/>
      <c r="QRJ240" s="397"/>
      <c r="QRK240" s="397"/>
      <c r="QRL240" s="397"/>
      <c r="QRM240" s="397"/>
      <c r="QRN240" s="397"/>
      <c r="QRO240" s="397"/>
      <c r="QRP240" s="397"/>
      <c r="QRQ240" s="397"/>
      <c r="QRR240" s="397"/>
      <c r="QRS240" s="397"/>
      <c r="QRT240" s="397"/>
      <c r="QRU240" s="397"/>
      <c r="QRV240" s="397"/>
      <c r="QRW240" s="397"/>
      <c r="QRX240" s="397"/>
      <c r="QRY240" s="397"/>
      <c r="QRZ240" s="397"/>
      <c r="QSA240" s="397"/>
      <c r="QSB240" s="397"/>
      <c r="QSC240" s="397"/>
      <c r="QSD240" s="397"/>
      <c r="QSE240" s="397"/>
      <c r="QSF240" s="397"/>
      <c r="QSG240" s="397"/>
      <c r="QSH240" s="397"/>
      <c r="QSI240" s="397"/>
      <c r="QSJ240" s="397"/>
      <c r="QSK240" s="397"/>
      <c r="QSL240" s="397"/>
      <c r="QSM240" s="397"/>
      <c r="QSN240" s="397"/>
      <c r="QSO240" s="397"/>
      <c r="QSP240" s="397"/>
      <c r="QSQ240" s="397"/>
      <c r="QSR240" s="397"/>
      <c r="QSS240" s="397"/>
      <c r="QST240" s="397"/>
      <c r="QSU240" s="397"/>
      <c r="QSV240" s="397"/>
      <c r="QSW240" s="397"/>
      <c r="QSX240" s="397"/>
      <c r="QSY240" s="397"/>
      <c r="QSZ240" s="397"/>
      <c r="QTA240" s="397"/>
      <c r="QTB240" s="397"/>
      <c r="QTC240" s="397"/>
      <c r="QTD240" s="397"/>
      <c r="QTE240" s="397"/>
      <c r="QTF240" s="397"/>
      <c r="QTG240" s="397"/>
      <c r="QTH240" s="397"/>
      <c r="QTI240" s="397"/>
      <c r="QTJ240" s="397"/>
      <c r="QTK240" s="397"/>
      <c r="QTL240" s="397"/>
      <c r="QTM240" s="397"/>
      <c r="QTN240" s="397"/>
      <c r="QTO240" s="397"/>
      <c r="QTP240" s="397"/>
      <c r="QTQ240" s="397"/>
      <c r="QTR240" s="397"/>
      <c r="QTS240" s="397"/>
      <c r="QTT240" s="397"/>
      <c r="QTU240" s="397"/>
      <c r="QTV240" s="397"/>
      <c r="QTW240" s="397"/>
      <c r="QTX240" s="397"/>
      <c r="QTY240" s="397"/>
      <c r="QTZ240" s="397"/>
      <c r="QUA240" s="397"/>
      <c r="QUB240" s="397"/>
      <c r="QUC240" s="397"/>
      <c r="QUD240" s="397"/>
      <c r="QUE240" s="397"/>
      <c r="QUF240" s="397"/>
      <c r="QUG240" s="397"/>
      <c r="QUH240" s="397"/>
      <c r="QUI240" s="397"/>
      <c r="QUJ240" s="397"/>
      <c r="QUK240" s="397"/>
      <c r="QUL240" s="397"/>
      <c r="QUM240" s="397"/>
      <c r="QUN240" s="397"/>
      <c r="QUO240" s="397"/>
      <c r="QUP240" s="397"/>
      <c r="QUQ240" s="397"/>
      <c r="QUR240" s="397"/>
      <c r="QUS240" s="397"/>
      <c r="QUT240" s="397"/>
      <c r="QUU240" s="397"/>
      <c r="QUV240" s="397"/>
      <c r="QUW240" s="397"/>
      <c r="QUX240" s="397"/>
      <c r="QUY240" s="397"/>
      <c r="QUZ240" s="397"/>
      <c r="QVA240" s="397"/>
      <c r="QVB240" s="397"/>
      <c r="QVC240" s="397"/>
      <c r="QVD240" s="397"/>
      <c r="QVE240" s="397"/>
      <c r="QVF240" s="397"/>
      <c r="QVG240" s="397"/>
      <c r="QVH240" s="397"/>
      <c r="QVI240" s="397"/>
      <c r="QVJ240" s="397"/>
      <c r="QVK240" s="397"/>
      <c r="QVL240" s="397"/>
      <c r="QVM240" s="397"/>
      <c r="QVN240" s="397"/>
      <c r="QVO240" s="397"/>
      <c r="QVP240" s="397"/>
      <c r="QVQ240" s="397"/>
      <c r="QVR240" s="397"/>
      <c r="QVS240" s="397"/>
      <c r="QVT240" s="397"/>
      <c r="QVU240" s="397"/>
      <c r="QVV240" s="397"/>
      <c r="QVW240" s="397"/>
      <c r="QVX240" s="397"/>
      <c r="QVY240" s="397"/>
      <c r="QVZ240" s="397"/>
      <c r="QWA240" s="397"/>
      <c r="QWB240" s="397"/>
      <c r="QWC240" s="397"/>
      <c r="QWD240" s="397"/>
      <c r="QWE240" s="397"/>
      <c r="QWF240" s="397"/>
      <c r="QWG240" s="397"/>
      <c r="QWH240" s="397"/>
      <c r="QWI240" s="397"/>
      <c r="QWJ240" s="397"/>
      <c r="QWK240" s="397"/>
      <c r="QWL240" s="397"/>
      <c r="QWM240" s="397"/>
      <c r="QWN240" s="397"/>
      <c r="QWO240" s="397"/>
      <c r="QWP240" s="397"/>
      <c r="QWQ240" s="397"/>
      <c r="QWR240" s="397"/>
      <c r="QWS240" s="397"/>
      <c r="QWT240" s="397"/>
      <c r="QWU240" s="397"/>
      <c r="QWV240" s="397"/>
      <c r="QWW240" s="397"/>
      <c r="QWX240" s="397"/>
      <c r="QWY240" s="397"/>
      <c r="QWZ240" s="397"/>
      <c r="QXA240" s="397"/>
      <c r="QXB240" s="397"/>
      <c r="QXC240" s="397"/>
      <c r="QXD240" s="397"/>
      <c r="QXE240" s="397"/>
      <c r="QXF240" s="397"/>
      <c r="QXG240" s="397"/>
      <c r="QXH240" s="397"/>
      <c r="QXI240" s="397"/>
      <c r="QXJ240" s="397"/>
      <c r="QXK240" s="397"/>
      <c r="QXL240" s="397"/>
      <c r="QXM240" s="397"/>
      <c r="QXN240" s="397"/>
      <c r="QXO240" s="397"/>
      <c r="QXP240" s="397"/>
      <c r="QXQ240" s="397"/>
      <c r="QXR240" s="397"/>
      <c r="QXS240" s="397"/>
      <c r="QXT240" s="397"/>
      <c r="QXU240" s="397"/>
      <c r="QXV240" s="397"/>
      <c r="QXW240" s="397"/>
      <c r="QXX240" s="397"/>
      <c r="QXY240" s="397"/>
      <c r="QXZ240" s="397"/>
      <c r="QYA240" s="397"/>
      <c r="QYB240" s="397"/>
      <c r="QYC240" s="397"/>
      <c r="QYD240" s="397"/>
      <c r="QYE240" s="397"/>
      <c r="QYF240" s="397"/>
      <c r="QYG240" s="397"/>
      <c r="QYH240" s="397"/>
      <c r="QYI240" s="397"/>
      <c r="QYJ240" s="397"/>
      <c r="QYK240" s="397"/>
      <c r="QYL240" s="397"/>
      <c r="QYM240" s="397"/>
      <c r="QYN240" s="397"/>
      <c r="QYO240" s="397"/>
      <c r="QYP240" s="397"/>
      <c r="QYQ240" s="397"/>
      <c r="QYR240" s="397"/>
      <c r="QYS240" s="397"/>
      <c r="QYT240" s="397"/>
      <c r="QYU240" s="397"/>
      <c r="QYV240" s="397"/>
      <c r="QYW240" s="397"/>
      <c r="QYX240" s="397"/>
      <c r="QYY240" s="397"/>
      <c r="QYZ240" s="397"/>
      <c r="QZA240" s="397"/>
      <c r="QZB240" s="397"/>
      <c r="QZC240" s="397"/>
      <c r="QZD240" s="397"/>
      <c r="QZE240" s="397"/>
      <c r="QZF240" s="397"/>
      <c r="QZG240" s="397"/>
      <c r="QZH240" s="397"/>
      <c r="QZI240" s="397"/>
      <c r="QZJ240" s="397"/>
      <c r="QZK240" s="397"/>
      <c r="QZL240" s="397"/>
      <c r="QZM240" s="397"/>
      <c r="QZN240" s="397"/>
      <c r="QZO240" s="397"/>
      <c r="QZP240" s="397"/>
      <c r="QZQ240" s="397"/>
      <c r="QZR240" s="397"/>
      <c r="QZS240" s="397"/>
      <c r="QZT240" s="397"/>
      <c r="QZU240" s="397"/>
      <c r="QZV240" s="397"/>
      <c r="QZW240" s="397"/>
      <c r="QZX240" s="397"/>
      <c r="QZY240" s="397"/>
      <c r="QZZ240" s="397"/>
      <c r="RAA240" s="397"/>
      <c r="RAB240" s="397"/>
      <c r="RAC240" s="397"/>
      <c r="RAD240" s="397"/>
      <c r="RAE240" s="397"/>
      <c r="RAF240" s="397"/>
      <c r="RAG240" s="397"/>
      <c r="RAH240" s="397"/>
      <c r="RAI240" s="397"/>
      <c r="RAJ240" s="397"/>
      <c r="RAK240" s="397"/>
      <c r="RAL240" s="397"/>
      <c r="RAM240" s="397"/>
      <c r="RAN240" s="397"/>
      <c r="RAO240" s="397"/>
      <c r="RAP240" s="397"/>
      <c r="RAQ240" s="397"/>
      <c r="RAR240" s="397"/>
      <c r="RAS240" s="397"/>
      <c r="RAT240" s="397"/>
      <c r="RAU240" s="397"/>
      <c r="RAV240" s="397"/>
      <c r="RAW240" s="397"/>
      <c r="RAX240" s="397"/>
      <c r="RAY240" s="397"/>
      <c r="RAZ240" s="397"/>
      <c r="RBA240" s="397"/>
      <c r="RBB240" s="397"/>
      <c r="RBC240" s="397"/>
      <c r="RBD240" s="397"/>
      <c r="RBE240" s="397"/>
      <c r="RBF240" s="397"/>
      <c r="RBG240" s="397"/>
      <c r="RBH240" s="397"/>
      <c r="RBI240" s="397"/>
      <c r="RBJ240" s="397"/>
      <c r="RBK240" s="397"/>
      <c r="RBL240" s="397"/>
      <c r="RBM240" s="397"/>
      <c r="RBN240" s="397"/>
      <c r="RBO240" s="397"/>
      <c r="RBP240" s="397"/>
      <c r="RBQ240" s="397"/>
      <c r="RBR240" s="397"/>
      <c r="RBS240" s="397"/>
      <c r="RBT240" s="397"/>
      <c r="RBU240" s="397"/>
      <c r="RBV240" s="397"/>
      <c r="RBW240" s="397"/>
      <c r="RBX240" s="397"/>
      <c r="RBY240" s="397"/>
      <c r="RBZ240" s="397"/>
      <c r="RCA240" s="397"/>
      <c r="RCB240" s="397"/>
      <c r="RCC240" s="397"/>
      <c r="RCD240" s="397"/>
      <c r="RCE240" s="397"/>
      <c r="RCF240" s="397"/>
      <c r="RCG240" s="397"/>
      <c r="RCH240" s="397"/>
      <c r="RCI240" s="397"/>
      <c r="RCJ240" s="397"/>
      <c r="RCK240" s="397"/>
      <c r="RCL240" s="397"/>
      <c r="RCM240" s="397"/>
      <c r="RCN240" s="397"/>
      <c r="RCO240" s="397"/>
      <c r="RCP240" s="397"/>
      <c r="RCQ240" s="397"/>
      <c r="RCR240" s="397"/>
      <c r="RCS240" s="397"/>
      <c r="RCT240" s="397"/>
      <c r="RCU240" s="397"/>
      <c r="RCV240" s="397"/>
      <c r="RCW240" s="397"/>
      <c r="RCX240" s="397"/>
      <c r="RCY240" s="397"/>
      <c r="RCZ240" s="397"/>
      <c r="RDA240" s="397"/>
      <c r="RDB240" s="397"/>
      <c r="RDC240" s="397"/>
      <c r="RDD240" s="397"/>
      <c r="RDE240" s="397"/>
      <c r="RDF240" s="397"/>
      <c r="RDG240" s="397"/>
      <c r="RDH240" s="397"/>
      <c r="RDI240" s="397"/>
      <c r="RDJ240" s="397"/>
      <c r="RDK240" s="397"/>
      <c r="RDL240" s="397"/>
      <c r="RDM240" s="397"/>
      <c r="RDN240" s="397"/>
      <c r="RDO240" s="397"/>
      <c r="RDP240" s="397"/>
      <c r="RDQ240" s="397"/>
      <c r="RDR240" s="397"/>
      <c r="RDS240" s="397"/>
      <c r="RDT240" s="397"/>
      <c r="RDU240" s="397"/>
      <c r="RDV240" s="397"/>
      <c r="RDW240" s="397"/>
      <c r="RDX240" s="397"/>
      <c r="RDY240" s="397"/>
      <c r="RDZ240" s="397"/>
      <c r="REA240" s="397"/>
      <c r="REB240" s="397"/>
      <c r="REC240" s="397"/>
      <c r="RED240" s="397"/>
      <c r="REE240" s="397"/>
      <c r="REF240" s="397"/>
      <c r="REG240" s="397"/>
      <c r="REH240" s="397"/>
      <c r="REI240" s="397"/>
      <c r="REJ240" s="397"/>
      <c r="REK240" s="397"/>
      <c r="REL240" s="397"/>
      <c r="REM240" s="397"/>
      <c r="REN240" s="397"/>
      <c r="REO240" s="397"/>
      <c r="REP240" s="397"/>
      <c r="REQ240" s="397"/>
      <c r="RER240" s="397"/>
      <c r="RES240" s="397"/>
      <c r="RET240" s="397"/>
      <c r="REU240" s="397"/>
      <c r="REV240" s="397"/>
      <c r="REW240" s="397"/>
      <c r="REX240" s="397"/>
      <c r="REY240" s="397"/>
      <c r="REZ240" s="397"/>
      <c r="RFA240" s="397"/>
      <c r="RFB240" s="397"/>
      <c r="RFC240" s="397"/>
      <c r="RFD240" s="397"/>
      <c r="RFE240" s="397"/>
      <c r="RFF240" s="397"/>
      <c r="RFG240" s="397"/>
      <c r="RFH240" s="397"/>
      <c r="RFI240" s="397"/>
      <c r="RFJ240" s="397"/>
      <c r="RFK240" s="397"/>
      <c r="RFL240" s="397"/>
      <c r="RFM240" s="397"/>
      <c r="RFN240" s="397"/>
      <c r="RFO240" s="397"/>
      <c r="RFP240" s="397"/>
      <c r="RFQ240" s="397"/>
      <c r="RFR240" s="397"/>
      <c r="RFS240" s="397"/>
      <c r="RFT240" s="397"/>
      <c r="RFU240" s="397"/>
      <c r="RFV240" s="397"/>
      <c r="RFW240" s="397"/>
      <c r="RFX240" s="397"/>
      <c r="RFY240" s="397"/>
      <c r="RFZ240" s="397"/>
      <c r="RGA240" s="397"/>
      <c r="RGB240" s="397"/>
      <c r="RGC240" s="397"/>
      <c r="RGD240" s="397"/>
      <c r="RGE240" s="397"/>
      <c r="RGF240" s="397"/>
      <c r="RGG240" s="397"/>
      <c r="RGH240" s="397"/>
      <c r="RGI240" s="397"/>
      <c r="RGJ240" s="397"/>
      <c r="RGK240" s="397"/>
      <c r="RGL240" s="397"/>
      <c r="RGM240" s="397"/>
      <c r="RGN240" s="397"/>
      <c r="RGO240" s="397"/>
      <c r="RGP240" s="397"/>
      <c r="RGQ240" s="397"/>
      <c r="RGR240" s="397"/>
      <c r="RGS240" s="397"/>
      <c r="RGT240" s="397"/>
      <c r="RGU240" s="397"/>
      <c r="RGV240" s="397"/>
      <c r="RGW240" s="397"/>
      <c r="RGX240" s="397"/>
      <c r="RGY240" s="397"/>
      <c r="RGZ240" s="397"/>
      <c r="RHA240" s="397"/>
      <c r="RHB240" s="397"/>
      <c r="RHC240" s="397"/>
      <c r="RHD240" s="397"/>
      <c r="RHE240" s="397"/>
      <c r="RHF240" s="397"/>
      <c r="RHG240" s="397"/>
      <c r="RHH240" s="397"/>
      <c r="RHI240" s="397"/>
      <c r="RHJ240" s="397"/>
      <c r="RHK240" s="397"/>
      <c r="RHL240" s="397"/>
      <c r="RHM240" s="397"/>
      <c r="RHN240" s="397"/>
      <c r="RHO240" s="397"/>
      <c r="RHP240" s="397"/>
      <c r="RHQ240" s="397"/>
      <c r="RHR240" s="397"/>
      <c r="RHS240" s="397"/>
      <c r="RHT240" s="397"/>
      <c r="RHU240" s="397"/>
      <c r="RHV240" s="397"/>
      <c r="RHW240" s="397"/>
      <c r="RHX240" s="397"/>
      <c r="RHY240" s="397"/>
      <c r="RHZ240" s="397"/>
      <c r="RIA240" s="397"/>
      <c r="RIB240" s="397"/>
      <c r="RIC240" s="397"/>
      <c r="RID240" s="397"/>
      <c r="RIE240" s="397"/>
      <c r="RIF240" s="397"/>
      <c r="RIG240" s="397"/>
      <c r="RIH240" s="397"/>
      <c r="RII240" s="397"/>
      <c r="RIJ240" s="397"/>
      <c r="RIK240" s="397"/>
      <c r="RIL240" s="397"/>
      <c r="RIM240" s="397"/>
      <c r="RIN240" s="397"/>
      <c r="RIO240" s="397"/>
      <c r="RIP240" s="397"/>
      <c r="RIQ240" s="397"/>
      <c r="RIR240" s="397"/>
      <c r="RIS240" s="397"/>
      <c r="RIT240" s="397"/>
      <c r="RIU240" s="397"/>
      <c r="RIV240" s="397"/>
      <c r="RIW240" s="397"/>
      <c r="RIX240" s="397"/>
      <c r="RIY240" s="397"/>
      <c r="RIZ240" s="397"/>
      <c r="RJA240" s="397"/>
      <c r="RJB240" s="397"/>
      <c r="RJC240" s="397"/>
      <c r="RJD240" s="397"/>
      <c r="RJE240" s="397"/>
      <c r="RJF240" s="397"/>
      <c r="RJG240" s="397"/>
      <c r="RJH240" s="397"/>
      <c r="RJI240" s="397"/>
      <c r="RJJ240" s="397"/>
      <c r="RJK240" s="397"/>
      <c r="RJL240" s="397"/>
      <c r="RJM240" s="397"/>
      <c r="RJN240" s="397"/>
      <c r="RJO240" s="397"/>
      <c r="RJP240" s="397"/>
      <c r="RJQ240" s="397"/>
      <c r="RJR240" s="397"/>
      <c r="RJS240" s="397"/>
      <c r="RJT240" s="397"/>
      <c r="RJU240" s="397"/>
      <c r="RJV240" s="397"/>
      <c r="RJW240" s="397"/>
      <c r="RJX240" s="397"/>
      <c r="RJY240" s="397"/>
      <c r="RJZ240" s="397"/>
      <c r="RKA240" s="397"/>
      <c r="RKB240" s="397"/>
      <c r="RKC240" s="397"/>
      <c r="RKD240" s="397"/>
      <c r="RKE240" s="397"/>
      <c r="RKF240" s="397"/>
      <c r="RKG240" s="397"/>
      <c r="RKH240" s="397"/>
      <c r="RKI240" s="397"/>
      <c r="RKJ240" s="397"/>
      <c r="RKK240" s="397"/>
      <c r="RKL240" s="397"/>
      <c r="RKM240" s="397"/>
      <c r="RKN240" s="397"/>
      <c r="RKO240" s="397"/>
      <c r="RKP240" s="397"/>
      <c r="RKQ240" s="397"/>
      <c r="RKR240" s="397"/>
      <c r="RKS240" s="397"/>
      <c r="RKT240" s="397"/>
      <c r="RKU240" s="397"/>
      <c r="RKV240" s="397"/>
      <c r="RKW240" s="397"/>
      <c r="RKX240" s="397"/>
      <c r="RKY240" s="397"/>
      <c r="RKZ240" s="397"/>
      <c r="RLA240" s="397"/>
      <c r="RLB240" s="397"/>
      <c r="RLC240" s="397"/>
      <c r="RLD240" s="397"/>
      <c r="RLE240" s="397"/>
      <c r="RLF240" s="397"/>
      <c r="RLG240" s="397"/>
      <c r="RLH240" s="397"/>
      <c r="RLI240" s="397"/>
      <c r="RLJ240" s="397"/>
      <c r="RLK240" s="397"/>
      <c r="RLL240" s="397"/>
      <c r="RLM240" s="397"/>
      <c r="RLN240" s="397"/>
      <c r="RLO240" s="397"/>
      <c r="RLP240" s="397"/>
      <c r="RLQ240" s="397"/>
      <c r="RLR240" s="397"/>
      <c r="RLS240" s="397"/>
      <c r="RLT240" s="397"/>
      <c r="RLU240" s="397"/>
      <c r="RLV240" s="397"/>
      <c r="RLW240" s="397"/>
      <c r="RLX240" s="397"/>
      <c r="RLY240" s="397"/>
      <c r="RLZ240" s="397"/>
      <c r="RMA240" s="397"/>
      <c r="RMB240" s="397"/>
      <c r="RMC240" s="397"/>
      <c r="RMD240" s="397"/>
      <c r="RME240" s="397"/>
      <c r="RMF240" s="397"/>
      <c r="RMG240" s="397"/>
      <c r="RMH240" s="397"/>
      <c r="RMI240" s="397"/>
      <c r="RMJ240" s="397"/>
      <c r="RMK240" s="397"/>
      <c r="RML240" s="397"/>
      <c r="RMM240" s="397"/>
      <c r="RMN240" s="397"/>
      <c r="RMO240" s="397"/>
      <c r="RMP240" s="397"/>
      <c r="RMQ240" s="397"/>
      <c r="RMR240" s="397"/>
      <c r="RMS240" s="397"/>
      <c r="RMT240" s="397"/>
      <c r="RMU240" s="397"/>
      <c r="RMV240" s="397"/>
      <c r="RMW240" s="397"/>
      <c r="RMX240" s="397"/>
      <c r="RMY240" s="397"/>
      <c r="RMZ240" s="397"/>
      <c r="RNA240" s="397"/>
      <c r="RNB240" s="397"/>
      <c r="RNC240" s="397"/>
      <c r="RND240" s="397"/>
      <c r="RNE240" s="397"/>
      <c r="RNF240" s="397"/>
      <c r="RNG240" s="397"/>
      <c r="RNH240" s="397"/>
      <c r="RNI240" s="397"/>
      <c r="RNJ240" s="397"/>
      <c r="RNK240" s="397"/>
      <c r="RNL240" s="397"/>
      <c r="RNM240" s="397"/>
      <c r="RNN240" s="397"/>
      <c r="RNO240" s="397"/>
      <c r="RNP240" s="397"/>
      <c r="RNQ240" s="397"/>
      <c r="RNR240" s="397"/>
      <c r="RNS240" s="397"/>
      <c r="RNT240" s="397"/>
      <c r="RNU240" s="397"/>
      <c r="RNV240" s="397"/>
      <c r="RNW240" s="397"/>
      <c r="RNX240" s="397"/>
      <c r="RNY240" s="397"/>
      <c r="RNZ240" s="397"/>
      <c r="ROA240" s="397"/>
      <c r="ROB240" s="397"/>
      <c r="ROC240" s="397"/>
      <c r="ROD240" s="397"/>
      <c r="ROE240" s="397"/>
      <c r="ROF240" s="397"/>
      <c r="ROG240" s="397"/>
      <c r="ROH240" s="397"/>
      <c r="ROI240" s="397"/>
      <c r="ROJ240" s="397"/>
      <c r="ROK240" s="397"/>
      <c r="ROL240" s="397"/>
      <c r="ROM240" s="397"/>
      <c r="RON240" s="397"/>
      <c r="ROO240" s="397"/>
      <c r="ROP240" s="397"/>
      <c r="ROQ240" s="397"/>
      <c r="ROR240" s="397"/>
      <c r="ROS240" s="397"/>
      <c r="ROT240" s="397"/>
      <c r="ROU240" s="397"/>
      <c r="ROV240" s="397"/>
      <c r="ROW240" s="397"/>
      <c r="ROX240" s="397"/>
      <c r="ROY240" s="397"/>
      <c r="ROZ240" s="397"/>
      <c r="RPA240" s="397"/>
      <c r="RPB240" s="397"/>
      <c r="RPC240" s="397"/>
      <c r="RPD240" s="397"/>
      <c r="RPE240" s="397"/>
      <c r="RPF240" s="397"/>
      <c r="RPG240" s="397"/>
      <c r="RPH240" s="397"/>
      <c r="RPI240" s="397"/>
      <c r="RPJ240" s="397"/>
      <c r="RPK240" s="397"/>
      <c r="RPL240" s="397"/>
      <c r="RPM240" s="397"/>
      <c r="RPN240" s="397"/>
      <c r="RPO240" s="397"/>
      <c r="RPP240" s="397"/>
      <c r="RPQ240" s="397"/>
      <c r="RPR240" s="397"/>
      <c r="RPS240" s="397"/>
      <c r="RPT240" s="397"/>
      <c r="RPU240" s="397"/>
      <c r="RPV240" s="397"/>
      <c r="RPW240" s="397"/>
      <c r="RPX240" s="397"/>
      <c r="RPY240" s="397"/>
      <c r="RPZ240" s="397"/>
      <c r="RQA240" s="397"/>
      <c r="RQB240" s="397"/>
      <c r="RQC240" s="397"/>
      <c r="RQD240" s="397"/>
      <c r="RQE240" s="397"/>
      <c r="RQF240" s="397"/>
      <c r="RQG240" s="397"/>
      <c r="RQH240" s="397"/>
      <c r="RQI240" s="397"/>
      <c r="RQJ240" s="397"/>
      <c r="RQK240" s="397"/>
      <c r="RQL240" s="397"/>
      <c r="RQM240" s="397"/>
      <c r="RQN240" s="397"/>
      <c r="RQO240" s="397"/>
      <c r="RQP240" s="397"/>
      <c r="RQQ240" s="397"/>
      <c r="RQR240" s="397"/>
      <c r="RQS240" s="397"/>
      <c r="RQT240" s="397"/>
      <c r="RQU240" s="397"/>
      <c r="RQV240" s="397"/>
      <c r="RQW240" s="397"/>
      <c r="RQX240" s="397"/>
      <c r="RQY240" s="397"/>
      <c r="RQZ240" s="397"/>
      <c r="RRA240" s="397"/>
      <c r="RRB240" s="397"/>
      <c r="RRC240" s="397"/>
      <c r="RRD240" s="397"/>
      <c r="RRE240" s="397"/>
      <c r="RRF240" s="397"/>
      <c r="RRG240" s="397"/>
      <c r="RRH240" s="397"/>
      <c r="RRI240" s="397"/>
      <c r="RRJ240" s="397"/>
      <c r="RRK240" s="397"/>
      <c r="RRL240" s="397"/>
      <c r="RRM240" s="397"/>
      <c r="RRN240" s="397"/>
      <c r="RRO240" s="397"/>
      <c r="RRP240" s="397"/>
      <c r="RRQ240" s="397"/>
      <c r="RRR240" s="397"/>
      <c r="RRS240" s="397"/>
      <c r="RRT240" s="397"/>
      <c r="RRU240" s="397"/>
      <c r="RRV240" s="397"/>
      <c r="RRW240" s="397"/>
      <c r="RRX240" s="397"/>
      <c r="RRY240" s="397"/>
      <c r="RRZ240" s="397"/>
      <c r="RSA240" s="397"/>
      <c r="RSB240" s="397"/>
      <c r="RSC240" s="397"/>
      <c r="RSD240" s="397"/>
      <c r="RSE240" s="397"/>
      <c r="RSF240" s="397"/>
      <c r="RSG240" s="397"/>
      <c r="RSH240" s="397"/>
      <c r="RSI240" s="397"/>
      <c r="RSJ240" s="397"/>
      <c r="RSK240" s="397"/>
      <c r="RSL240" s="397"/>
      <c r="RSM240" s="397"/>
      <c r="RSN240" s="397"/>
      <c r="RSO240" s="397"/>
      <c r="RSP240" s="397"/>
      <c r="RSQ240" s="397"/>
      <c r="RSR240" s="397"/>
      <c r="RSS240" s="397"/>
      <c r="RST240" s="397"/>
      <c r="RSU240" s="397"/>
      <c r="RSV240" s="397"/>
      <c r="RSW240" s="397"/>
      <c r="RSX240" s="397"/>
      <c r="RSY240" s="397"/>
      <c r="RSZ240" s="397"/>
      <c r="RTA240" s="397"/>
      <c r="RTB240" s="397"/>
      <c r="RTC240" s="397"/>
      <c r="RTD240" s="397"/>
      <c r="RTE240" s="397"/>
      <c r="RTF240" s="397"/>
      <c r="RTG240" s="397"/>
      <c r="RTH240" s="397"/>
      <c r="RTI240" s="397"/>
      <c r="RTJ240" s="397"/>
      <c r="RTK240" s="397"/>
      <c r="RTL240" s="397"/>
      <c r="RTM240" s="397"/>
      <c r="RTN240" s="397"/>
      <c r="RTO240" s="397"/>
      <c r="RTP240" s="397"/>
      <c r="RTQ240" s="397"/>
      <c r="RTR240" s="397"/>
      <c r="RTS240" s="397"/>
      <c r="RTT240" s="397"/>
      <c r="RTU240" s="397"/>
      <c r="RTV240" s="397"/>
      <c r="RTW240" s="397"/>
      <c r="RTX240" s="397"/>
      <c r="RTY240" s="397"/>
      <c r="RTZ240" s="397"/>
      <c r="RUA240" s="397"/>
      <c r="RUB240" s="397"/>
      <c r="RUC240" s="397"/>
      <c r="RUD240" s="397"/>
      <c r="RUE240" s="397"/>
      <c r="RUF240" s="397"/>
      <c r="RUG240" s="397"/>
      <c r="RUH240" s="397"/>
      <c r="RUI240" s="397"/>
      <c r="RUJ240" s="397"/>
      <c r="RUK240" s="397"/>
      <c r="RUL240" s="397"/>
      <c r="RUM240" s="397"/>
      <c r="RUN240" s="397"/>
      <c r="RUO240" s="397"/>
      <c r="RUP240" s="397"/>
      <c r="RUQ240" s="397"/>
      <c r="RUR240" s="397"/>
      <c r="RUS240" s="397"/>
      <c r="RUT240" s="397"/>
      <c r="RUU240" s="397"/>
      <c r="RUV240" s="397"/>
      <c r="RUW240" s="397"/>
      <c r="RUX240" s="397"/>
      <c r="RUY240" s="397"/>
      <c r="RUZ240" s="397"/>
      <c r="RVA240" s="397"/>
      <c r="RVB240" s="397"/>
      <c r="RVC240" s="397"/>
      <c r="RVD240" s="397"/>
      <c r="RVE240" s="397"/>
      <c r="RVF240" s="397"/>
      <c r="RVG240" s="397"/>
      <c r="RVH240" s="397"/>
      <c r="RVI240" s="397"/>
      <c r="RVJ240" s="397"/>
      <c r="RVK240" s="397"/>
      <c r="RVL240" s="397"/>
      <c r="RVM240" s="397"/>
      <c r="RVN240" s="397"/>
      <c r="RVO240" s="397"/>
      <c r="RVP240" s="397"/>
      <c r="RVQ240" s="397"/>
      <c r="RVR240" s="397"/>
      <c r="RVS240" s="397"/>
      <c r="RVT240" s="397"/>
      <c r="RVU240" s="397"/>
      <c r="RVV240" s="397"/>
      <c r="RVW240" s="397"/>
      <c r="RVX240" s="397"/>
      <c r="RVY240" s="397"/>
      <c r="RVZ240" s="397"/>
      <c r="RWA240" s="397"/>
      <c r="RWB240" s="397"/>
      <c r="RWC240" s="397"/>
      <c r="RWD240" s="397"/>
      <c r="RWE240" s="397"/>
      <c r="RWF240" s="397"/>
      <c r="RWG240" s="397"/>
      <c r="RWH240" s="397"/>
      <c r="RWI240" s="397"/>
      <c r="RWJ240" s="397"/>
      <c r="RWK240" s="397"/>
      <c r="RWL240" s="397"/>
      <c r="RWM240" s="397"/>
      <c r="RWN240" s="397"/>
      <c r="RWO240" s="397"/>
      <c r="RWP240" s="397"/>
      <c r="RWQ240" s="397"/>
      <c r="RWR240" s="397"/>
      <c r="RWS240" s="397"/>
      <c r="RWT240" s="397"/>
      <c r="RWU240" s="397"/>
      <c r="RWV240" s="397"/>
      <c r="RWW240" s="397"/>
      <c r="RWX240" s="397"/>
      <c r="RWY240" s="397"/>
      <c r="RWZ240" s="397"/>
      <c r="RXA240" s="397"/>
      <c r="RXB240" s="397"/>
      <c r="RXC240" s="397"/>
      <c r="RXD240" s="397"/>
      <c r="RXE240" s="397"/>
      <c r="RXF240" s="397"/>
      <c r="RXG240" s="397"/>
      <c r="RXH240" s="397"/>
      <c r="RXI240" s="397"/>
      <c r="RXJ240" s="397"/>
      <c r="RXK240" s="397"/>
      <c r="RXL240" s="397"/>
      <c r="RXM240" s="397"/>
      <c r="RXN240" s="397"/>
      <c r="RXO240" s="397"/>
      <c r="RXP240" s="397"/>
      <c r="RXQ240" s="397"/>
      <c r="RXR240" s="397"/>
      <c r="RXS240" s="397"/>
      <c r="RXT240" s="397"/>
      <c r="RXU240" s="397"/>
      <c r="RXV240" s="397"/>
      <c r="RXW240" s="397"/>
      <c r="RXX240" s="397"/>
      <c r="RXY240" s="397"/>
      <c r="RXZ240" s="397"/>
      <c r="RYA240" s="397"/>
      <c r="RYB240" s="397"/>
      <c r="RYC240" s="397"/>
      <c r="RYD240" s="397"/>
      <c r="RYE240" s="397"/>
      <c r="RYF240" s="397"/>
      <c r="RYG240" s="397"/>
      <c r="RYH240" s="397"/>
      <c r="RYI240" s="397"/>
      <c r="RYJ240" s="397"/>
      <c r="RYK240" s="397"/>
      <c r="RYL240" s="397"/>
      <c r="RYM240" s="397"/>
      <c r="RYN240" s="397"/>
      <c r="RYO240" s="397"/>
      <c r="RYP240" s="397"/>
      <c r="RYQ240" s="397"/>
      <c r="RYR240" s="397"/>
      <c r="RYS240" s="397"/>
      <c r="RYT240" s="397"/>
      <c r="RYU240" s="397"/>
      <c r="RYV240" s="397"/>
      <c r="RYW240" s="397"/>
      <c r="RYX240" s="397"/>
      <c r="RYY240" s="397"/>
      <c r="RYZ240" s="397"/>
      <c r="RZA240" s="397"/>
      <c r="RZB240" s="397"/>
      <c r="RZC240" s="397"/>
      <c r="RZD240" s="397"/>
      <c r="RZE240" s="397"/>
      <c r="RZF240" s="397"/>
      <c r="RZG240" s="397"/>
      <c r="RZH240" s="397"/>
      <c r="RZI240" s="397"/>
      <c r="RZJ240" s="397"/>
      <c r="RZK240" s="397"/>
      <c r="RZL240" s="397"/>
      <c r="RZM240" s="397"/>
      <c r="RZN240" s="397"/>
      <c r="RZO240" s="397"/>
      <c r="RZP240" s="397"/>
      <c r="RZQ240" s="397"/>
      <c r="RZR240" s="397"/>
      <c r="RZS240" s="397"/>
      <c r="RZT240" s="397"/>
      <c r="RZU240" s="397"/>
      <c r="RZV240" s="397"/>
      <c r="RZW240" s="397"/>
      <c r="RZX240" s="397"/>
      <c r="RZY240" s="397"/>
      <c r="RZZ240" s="397"/>
      <c r="SAA240" s="397"/>
      <c r="SAB240" s="397"/>
      <c r="SAC240" s="397"/>
      <c r="SAD240" s="397"/>
      <c r="SAE240" s="397"/>
      <c r="SAF240" s="397"/>
      <c r="SAG240" s="397"/>
      <c r="SAH240" s="397"/>
      <c r="SAI240" s="397"/>
      <c r="SAJ240" s="397"/>
      <c r="SAK240" s="397"/>
      <c r="SAL240" s="397"/>
      <c r="SAM240" s="397"/>
      <c r="SAN240" s="397"/>
      <c r="SAO240" s="397"/>
      <c r="SAP240" s="397"/>
      <c r="SAQ240" s="397"/>
      <c r="SAR240" s="397"/>
      <c r="SAS240" s="397"/>
      <c r="SAT240" s="397"/>
      <c r="SAU240" s="397"/>
      <c r="SAV240" s="397"/>
      <c r="SAW240" s="397"/>
      <c r="SAX240" s="397"/>
      <c r="SAY240" s="397"/>
      <c r="SAZ240" s="397"/>
      <c r="SBA240" s="397"/>
      <c r="SBB240" s="397"/>
      <c r="SBC240" s="397"/>
      <c r="SBD240" s="397"/>
      <c r="SBE240" s="397"/>
      <c r="SBF240" s="397"/>
      <c r="SBG240" s="397"/>
      <c r="SBH240" s="397"/>
      <c r="SBI240" s="397"/>
      <c r="SBJ240" s="397"/>
      <c r="SBK240" s="397"/>
      <c r="SBL240" s="397"/>
      <c r="SBM240" s="397"/>
      <c r="SBN240" s="397"/>
      <c r="SBO240" s="397"/>
      <c r="SBP240" s="397"/>
      <c r="SBQ240" s="397"/>
      <c r="SBR240" s="397"/>
      <c r="SBS240" s="397"/>
      <c r="SBT240" s="397"/>
      <c r="SBU240" s="397"/>
      <c r="SBV240" s="397"/>
      <c r="SBW240" s="397"/>
      <c r="SBX240" s="397"/>
      <c r="SBY240" s="397"/>
      <c r="SBZ240" s="397"/>
      <c r="SCA240" s="397"/>
      <c r="SCB240" s="397"/>
      <c r="SCC240" s="397"/>
      <c r="SCD240" s="397"/>
      <c r="SCE240" s="397"/>
      <c r="SCF240" s="397"/>
      <c r="SCG240" s="397"/>
      <c r="SCH240" s="397"/>
      <c r="SCI240" s="397"/>
      <c r="SCJ240" s="397"/>
      <c r="SCK240" s="397"/>
      <c r="SCL240" s="397"/>
      <c r="SCM240" s="397"/>
      <c r="SCN240" s="397"/>
      <c r="SCO240" s="397"/>
      <c r="SCP240" s="397"/>
      <c r="SCQ240" s="397"/>
      <c r="SCR240" s="397"/>
      <c r="SCS240" s="397"/>
      <c r="SCT240" s="397"/>
      <c r="SCU240" s="397"/>
      <c r="SCV240" s="397"/>
      <c r="SCW240" s="397"/>
      <c r="SCX240" s="397"/>
      <c r="SCY240" s="397"/>
      <c r="SCZ240" s="397"/>
      <c r="SDA240" s="397"/>
      <c r="SDB240" s="397"/>
      <c r="SDC240" s="397"/>
      <c r="SDD240" s="397"/>
      <c r="SDE240" s="397"/>
      <c r="SDF240" s="397"/>
      <c r="SDG240" s="397"/>
      <c r="SDH240" s="397"/>
      <c r="SDI240" s="397"/>
      <c r="SDJ240" s="397"/>
      <c r="SDK240" s="397"/>
      <c r="SDL240" s="397"/>
      <c r="SDM240" s="397"/>
      <c r="SDN240" s="397"/>
      <c r="SDO240" s="397"/>
      <c r="SDP240" s="397"/>
      <c r="SDQ240" s="397"/>
      <c r="SDR240" s="397"/>
      <c r="SDS240" s="397"/>
      <c r="SDT240" s="397"/>
      <c r="SDU240" s="397"/>
      <c r="SDV240" s="397"/>
      <c r="SDW240" s="397"/>
      <c r="SDX240" s="397"/>
      <c r="SDY240" s="397"/>
      <c r="SDZ240" s="397"/>
      <c r="SEA240" s="397"/>
      <c r="SEB240" s="397"/>
      <c r="SEC240" s="397"/>
      <c r="SED240" s="397"/>
      <c r="SEE240" s="397"/>
      <c r="SEF240" s="397"/>
      <c r="SEG240" s="397"/>
      <c r="SEH240" s="397"/>
      <c r="SEI240" s="397"/>
      <c r="SEJ240" s="397"/>
      <c r="SEK240" s="397"/>
      <c r="SEL240" s="397"/>
      <c r="SEM240" s="397"/>
      <c r="SEN240" s="397"/>
      <c r="SEO240" s="397"/>
      <c r="SEP240" s="397"/>
      <c r="SEQ240" s="397"/>
      <c r="SER240" s="397"/>
      <c r="SES240" s="397"/>
      <c r="SET240" s="397"/>
      <c r="SEU240" s="397"/>
      <c r="SEV240" s="397"/>
      <c r="SEW240" s="397"/>
      <c r="SEX240" s="397"/>
      <c r="SEY240" s="397"/>
      <c r="SEZ240" s="397"/>
      <c r="SFA240" s="397"/>
      <c r="SFB240" s="397"/>
      <c r="SFC240" s="397"/>
      <c r="SFD240" s="397"/>
      <c r="SFE240" s="397"/>
      <c r="SFF240" s="397"/>
      <c r="SFG240" s="397"/>
      <c r="SFH240" s="397"/>
      <c r="SFI240" s="397"/>
      <c r="SFJ240" s="397"/>
      <c r="SFK240" s="397"/>
      <c r="SFL240" s="397"/>
      <c r="SFM240" s="397"/>
      <c r="SFN240" s="397"/>
      <c r="SFO240" s="397"/>
      <c r="SFP240" s="397"/>
      <c r="SFQ240" s="397"/>
      <c r="SFR240" s="397"/>
      <c r="SFS240" s="397"/>
      <c r="SFT240" s="397"/>
      <c r="SFU240" s="397"/>
      <c r="SFV240" s="397"/>
      <c r="SFW240" s="397"/>
      <c r="SFX240" s="397"/>
      <c r="SFY240" s="397"/>
      <c r="SFZ240" s="397"/>
      <c r="SGA240" s="397"/>
      <c r="SGB240" s="397"/>
      <c r="SGC240" s="397"/>
      <c r="SGD240" s="397"/>
      <c r="SGE240" s="397"/>
      <c r="SGF240" s="397"/>
      <c r="SGG240" s="397"/>
      <c r="SGH240" s="397"/>
      <c r="SGI240" s="397"/>
      <c r="SGJ240" s="397"/>
      <c r="SGK240" s="397"/>
      <c r="SGL240" s="397"/>
      <c r="SGM240" s="397"/>
      <c r="SGN240" s="397"/>
      <c r="SGO240" s="397"/>
      <c r="SGP240" s="397"/>
      <c r="SGQ240" s="397"/>
      <c r="SGR240" s="397"/>
      <c r="SGS240" s="397"/>
      <c r="SGT240" s="397"/>
      <c r="SGU240" s="397"/>
      <c r="SGV240" s="397"/>
      <c r="SGW240" s="397"/>
      <c r="SGX240" s="397"/>
      <c r="SGY240" s="397"/>
      <c r="SGZ240" s="397"/>
      <c r="SHA240" s="397"/>
      <c r="SHB240" s="397"/>
      <c r="SHC240" s="397"/>
      <c r="SHD240" s="397"/>
      <c r="SHE240" s="397"/>
      <c r="SHF240" s="397"/>
      <c r="SHG240" s="397"/>
      <c r="SHH240" s="397"/>
      <c r="SHI240" s="397"/>
      <c r="SHJ240" s="397"/>
      <c r="SHK240" s="397"/>
      <c r="SHL240" s="397"/>
      <c r="SHM240" s="397"/>
      <c r="SHN240" s="397"/>
      <c r="SHO240" s="397"/>
      <c r="SHP240" s="397"/>
      <c r="SHQ240" s="397"/>
      <c r="SHR240" s="397"/>
      <c r="SHS240" s="397"/>
      <c r="SHT240" s="397"/>
      <c r="SHU240" s="397"/>
      <c r="SHV240" s="397"/>
      <c r="SHW240" s="397"/>
      <c r="SHX240" s="397"/>
      <c r="SHY240" s="397"/>
      <c r="SHZ240" s="397"/>
      <c r="SIA240" s="397"/>
      <c r="SIB240" s="397"/>
      <c r="SIC240" s="397"/>
      <c r="SID240" s="397"/>
      <c r="SIE240" s="397"/>
      <c r="SIF240" s="397"/>
      <c r="SIG240" s="397"/>
      <c r="SIH240" s="397"/>
      <c r="SII240" s="397"/>
      <c r="SIJ240" s="397"/>
      <c r="SIK240" s="397"/>
      <c r="SIL240" s="397"/>
      <c r="SIM240" s="397"/>
      <c r="SIN240" s="397"/>
      <c r="SIO240" s="397"/>
      <c r="SIP240" s="397"/>
      <c r="SIQ240" s="397"/>
      <c r="SIR240" s="397"/>
      <c r="SIS240" s="397"/>
      <c r="SIT240" s="397"/>
      <c r="SIU240" s="397"/>
      <c r="SIV240" s="397"/>
      <c r="SIW240" s="397"/>
      <c r="SIX240" s="397"/>
      <c r="SIY240" s="397"/>
      <c r="SIZ240" s="397"/>
      <c r="SJA240" s="397"/>
      <c r="SJB240" s="397"/>
      <c r="SJC240" s="397"/>
      <c r="SJD240" s="397"/>
      <c r="SJE240" s="397"/>
      <c r="SJF240" s="397"/>
      <c r="SJG240" s="397"/>
      <c r="SJH240" s="397"/>
      <c r="SJI240" s="397"/>
      <c r="SJJ240" s="397"/>
      <c r="SJK240" s="397"/>
      <c r="SJL240" s="397"/>
      <c r="SJM240" s="397"/>
      <c r="SJN240" s="397"/>
      <c r="SJO240" s="397"/>
      <c r="SJP240" s="397"/>
      <c r="SJQ240" s="397"/>
      <c r="SJR240" s="397"/>
      <c r="SJS240" s="397"/>
      <c r="SJT240" s="397"/>
      <c r="SJU240" s="397"/>
      <c r="SJV240" s="397"/>
      <c r="SJW240" s="397"/>
      <c r="SJX240" s="397"/>
      <c r="SJY240" s="397"/>
      <c r="SJZ240" s="397"/>
      <c r="SKA240" s="397"/>
      <c r="SKB240" s="397"/>
      <c r="SKC240" s="397"/>
      <c r="SKD240" s="397"/>
      <c r="SKE240" s="397"/>
      <c r="SKF240" s="397"/>
      <c r="SKG240" s="397"/>
      <c r="SKH240" s="397"/>
      <c r="SKI240" s="397"/>
      <c r="SKJ240" s="397"/>
      <c r="SKK240" s="397"/>
      <c r="SKL240" s="397"/>
      <c r="SKM240" s="397"/>
      <c r="SKN240" s="397"/>
      <c r="SKO240" s="397"/>
      <c r="SKP240" s="397"/>
      <c r="SKQ240" s="397"/>
      <c r="SKR240" s="397"/>
      <c r="SKS240" s="397"/>
      <c r="SKT240" s="397"/>
      <c r="SKU240" s="397"/>
      <c r="SKV240" s="397"/>
      <c r="SKW240" s="397"/>
      <c r="SKX240" s="397"/>
      <c r="SKY240" s="397"/>
      <c r="SKZ240" s="397"/>
      <c r="SLA240" s="397"/>
      <c r="SLB240" s="397"/>
      <c r="SLC240" s="397"/>
      <c r="SLD240" s="397"/>
      <c r="SLE240" s="397"/>
      <c r="SLF240" s="397"/>
      <c r="SLG240" s="397"/>
      <c r="SLH240" s="397"/>
      <c r="SLI240" s="397"/>
      <c r="SLJ240" s="397"/>
      <c r="SLK240" s="397"/>
      <c r="SLL240" s="397"/>
      <c r="SLM240" s="397"/>
      <c r="SLN240" s="397"/>
      <c r="SLO240" s="397"/>
      <c r="SLP240" s="397"/>
      <c r="SLQ240" s="397"/>
      <c r="SLR240" s="397"/>
      <c r="SLS240" s="397"/>
      <c r="SLT240" s="397"/>
      <c r="SLU240" s="397"/>
      <c r="SLV240" s="397"/>
      <c r="SLW240" s="397"/>
      <c r="SLX240" s="397"/>
      <c r="SLY240" s="397"/>
      <c r="SLZ240" s="397"/>
      <c r="SMA240" s="397"/>
      <c r="SMB240" s="397"/>
      <c r="SMC240" s="397"/>
      <c r="SMD240" s="397"/>
      <c r="SME240" s="397"/>
      <c r="SMF240" s="397"/>
      <c r="SMG240" s="397"/>
      <c r="SMH240" s="397"/>
      <c r="SMI240" s="397"/>
      <c r="SMJ240" s="397"/>
      <c r="SMK240" s="397"/>
      <c r="SML240" s="397"/>
      <c r="SMM240" s="397"/>
      <c r="SMN240" s="397"/>
      <c r="SMO240" s="397"/>
      <c r="SMP240" s="397"/>
      <c r="SMQ240" s="397"/>
      <c r="SMR240" s="397"/>
      <c r="SMS240" s="397"/>
      <c r="SMT240" s="397"/>
      <c r="SMU240" s="397"/>
      <c r="SMV240" s="397"/>
      <c r="SMW240" s="397"/>
      <c r="SMX240" s="397"/>
      <c r="SMY240" s="397"/>
      <c r="SMZ240" s="397"/>
      <c r="SNA240" s="397"/>
      <c r="SNB240" s="397"/>
      <c r="SNC240" s="397"/>
      <c r="SND240" s="397"/>
      <c r="SNE240" s="397"/>
      <c r="SNF240" s="397"/>
      <c r="SNG240" s="397"/>
      <c r="SNH240" s="397"/>
      <c r="SNI240" s="397"/>
      <c r="SNJ240" s="397"/>
      <c r="SNK240" s="397"/>
      <c r="SNL240" s="397"/>
      <c r="SNM240" s="397"/>
      <c r="SNN240" s="397"/>
      <c r="SNO240" s="397"/>
      <c r="SNP240" s="397"/>
      <c r="SNQ240" s="397"/>
      <c r="SNR240" s="397"/>
      <c r="SNS240" s="397"/>
      <c r="SNT240" s="397"/>
      <c r="SNU240" s="397"/>
      <c r="SNV240" s="397"/>
      <c r="SNW240" s="397"/>
      <c r="SNX240" s="397"/>
      <c r="SNY240" s="397"/>
      <c r="SNZ240" s="397"/>
      <c r="SOA240" s="397"/>
      <c r="SOB240" s="397"/>
      <c r="SOC240" s="397"/>
      <c r="SOD240" s="397"/>
      <c r="SOE240" s="397"/>
      <c r="SOF240" s="397"/>
      <c r="SOG240" s="397"/>
      <c r="SOH240" s="397"/>
      <c r="SOI240" s="397"/>
      <c r="SOJ240" s="397"/>
      <c r="SOK240" s="397"/>
      <c r="SOL240" s="397"/>
      <c r="SOM240" s="397"/>
      <c r="SON240" s="397"/>
      <c r="SOO240" s="397"/>
      <c r="SOP240" s="397"/>
      <c r="SOQ240" s="397"/>
      <c r="SOR240" s="397"/>
      <c r="SOS240" s="397"/>
      <c r="SOT240" s="397"/>
      <c r="SOU240" s="397"/>
      <c r="SOV240" s="397"/>
      <c r="SOW240" s="397"/>
      <c r="SOX240" s="397"/>
      <c r="SOY240" s="397"/>
      <c r="SOZ240" s="397"/>
      <c r="SPA240" s="397"/>
      <c r="SPB240" s="397"/>
      <c r="SPC240" s="397"/>
      <c r="SPD240" s="397"/>
      <c r="SPE240" s="397"/>
      <c r="SPF240" s="397"/>
      <c r="SPG240" s="397"/>
      <c r="SPH240" s="397"/>
      <c r="SPI240" s="397"/>
      <c r="SPJ240" s="397"/>
      <c r="SPK240" s="397"/>
      <c r="SPL240" s="397"/>
      <c r="SPM240" s="397"/>
      <c r="SPN240" s="397"/>
      <c r="SPO240" s="397"/>
      <c r="SPP240" s="397"/>
      <c r="SPQ240" s="397"/>
      <c r="SPR240" s="397"/>
      <c r="SPS240" s="397"/>
      <c r="SPT240" s="397"/>
      <c r="SPU240" s="397"/>
      <c r="SPV240" s="397"/>
      <c r="SPW240" s="397"/>
      <c r="SPX240" s="397"/>
      <c r="SPY240" s="397"/>
      <c r="SPZ240" s="397"/>
      <c r="SQA240" s="397"/>
      <c r="SQB240" s="397"/>
      <c r="SQC240" s="397"/>
      <c r="SQD240" s="397"/>
      <c r="SQE240" s="397"/>
      <c r="SQF240" s="397"/>
      <c r="SQG240" s="397"/>
      <c r="SQH240" s="397"/>
      <c r="SQI240" s="397"/>
      <c r="SQJ240" s="397"/>
      <c r="SQK240" s="397"/>
      <c r="SQL240" s="397"/>
      <c r="SQM240" s="397"/>
      <c r="SQN240" s="397"/>
      <c r="SQO240" s="397"/>
      <c r="SQP240" s="397"/>
      <c r="SQQ240" s="397"/>
      <c r="SQR240" s="397"/>
      <c r="SQS240" s="397"/>
      <c r="SQT240" s="397"/>
      <c r="SQU240" s="397"/>
      <c r="SQV240" s="397"/>
      <c r="SQW240" s="397"/>
      <c r="SQX240" s="397"/>
      <c r="SQY240" s="397"/>
      <c r="SQZ240" s="397"/>
      <c r="SRA240" s="397"/>
      <c r="SRB240" s="397"/>
      <c r="SRC240" s="397"/>
      <c r="SRD240" s="397"/>
      <c r="SRE240" s="397"/>
      <c r="SRF240" s="397"/>
      <c r="SRG240" s="397"/>
      <c r="SRH240" s="397"/>
      <c r="SRI240" s="397"/>
      <c r="SRJ240" s="397"/>
      <c r="SRK240" s="397"/>
      <c r="SRL240" s="397"/>
      <c r="SRM240" s="397"/>
      <c r="SRN240" s="397"/>
      <c r="SRO240" s="397"/>
      <c r="SRP240" s="397"/>
      <c r="SRQ240" s="397"/>
      <c r="SRR240" s="397"/>
      <c r="SRS240" s="397"/>
      <c r="SRT240" s="397"/>
      <c r="SRU240" s="397"/>
      <c r="SRV240" s="397"/>
      <c r="SRW240" s="397"/>
      <c r="SRX240" s="397"/>
      <c r="SRY240" s="397"/>
      <c r="SRZ240" s="397"/>
      <c r="SSA240" s="397"/>
      <c r="SSB240" s="397"/>
      <c r="SSC240" s="397"/>
      <c r="SSD240" s="397"/>
      <c r="SSE240" s="397"/>
      <c r="SSF240" s="397"/>
      <c r="SSG240" s="397"/>
      <c r="SSH240" s="397"/>
      <c r="SSI240" s="397"/>
      <c r="SSJ240" s="397"/>
      <c r="SSK240" s="397"/>
      <c r="SSL240" s="397"/>
      <c r="SSM240" s="397"/>
      <c r="SSN240" s="397"/>
      <c r="SSO240" s="397"/>
      <c r="SSP240" s="397"/>
      <c r="SSQ240" s="397"/>
      <c r="SSR240" s="397"/>
      <c r="SSS240" s="397"/>
      <c r="SST240" s="397"/>
      <c r="SSU240" s="397"/>
      <c r="SSV240" s="397"/>
      <c r="SSW240" s="397"/>
      <c r="SSX240" s="397"/>
      <c r="SSY240" s="397"/>
      <c r="SSZ240" s="397"/>
      <c r="STA240" s="397"/>
      <c r="STB240" s="397"/>
      <c r="STC240" s="397"/>
      <c r="STD240" s="397"/>
      <c r="STE240" s="397"/>
      <c r="STF240" s="397"/>
      <c r="STG240" s="397"/>
      <c r="STH240" s="397"/>
      <c r="STI240" s="397"/>
      <c r="STJ240" s="397"/>
      <c r="STK240" s="397"/>
      <c r="STL240" s="397"/>
      <c r="STM240" s="397"/>
      <c r="STN240" s="397"/>
      <c r="STO240" s="397"/>
      <c r="STP240" s="397"/>
      <c r="STQ240" s="397"/>
      <c r="STR240" s="397"/>
      <c r="STS240" s="397"/>
      <c r="STT240" s="397"/>
      <c r="STU240" s="397"/>
      <c r="STV240" s="397"/>
      <c r="STW240" s="397"/>
      <c r="STX240" s="397"/>
      <c r="STY240" s="397"/>
      <c r="STZ240" s="397"/>
      <c r="SUA240" s="397"/>
      <c r="SUB240" s="397"/>
      <c r="SUC240" s="397"/>
      <c r="SUD240" s="397"/>
      <c r="SUE240" s="397"/>
      <c r="SUF240" s="397"/>
      <c r="SUG240" s="397"/>
      <c r="SUH240" s="397"/>
      <c r="SUI240" s="397"/>
      <c r="SUJ240" s="397"/>
      <c r="SUK240" s="397"/>
      <c r="SUL240" s="397"/>
      <c r="SUM240" s="397"/>
      <c r="SUN240" s="397"/>
      <c r="SUO240" s="397"/>
      <c r="SUP240" s="397"/>
      <c r="SUQ240" s="397"/>
      <c r="SUR240" s="397"/>
      <c r="SUS240" s="397"/>
      <c r="SUT240" s="397"/>
      <c r="SUU240" s="397"/>
      <c r="SUV240" s="397"/>
      <c r="SUW240" s="397"/>
      <c r="SUX240" s="397"/>
      <c r="SUY240" s="397"/>
      <c r="SUZ240" s="397"/>
      <c r="SVA240" s="397"/>
      <c r="SVB240" s="397"/>
      <c r="SVC240" s="397"/>
      <c r="SVD240" s="397"/>
      <c r="SVE240" s="397"/>
      <c r="SVF240" s="397"/>
      <c r="SVG240" s="397"/>
      <c r="SVH240" s="397"/>
      <c r="SVI240" s="397"/>
      <c r="SVJ240" s="397"/>
      <c r="SVK240" s="397"/>
      <c r="SVL240" s="397"/>
      <c r="SVM240" s="397"/>
      <c r="SVN240" s="397"/>
      <c r="SVO240" s="397"/>
      <c r="SVP240" s="397"/>
      <c r="SVQ240" s="397"/>
      <c r="SVR240" s="397"/>
      <c r="SVS240" s="397"/>
      <c r="SVT240" s="397"/>
      <c r="SVU240" s="397"/>
      <c r="SVV240" s="397"/>
      <c r="SVW240" s="397"/>
      <c r="SVX240" s="397"/>
      <c r="SVY240" s="397"/>
      <c r="SVZ240" s="397"/>
      <c r="SWA240" s="397"/>
      <c r="SWB240" s="397"/>
      <c r="SWC240" s="397"/>
      <c r="SWD240" s="397"/>
      <c r="SWE240" s="397"/>
      <c r="SWF240" s="397"/>
      <c r="SWG240" s="397"/>
      <c r="SWH240" s="397"/>
      <c r="SWI240" s="397"/>
      <c r="SWJ240" s="397"/>
      <c r="SWK240" s="397"/>
      <c r="SWL240" s="397"/>
      <c r="SWM240" s="397"/>
      <c r="SWN240" s="397"/>
      <c r="SWO240" s="397"/>
      <c r="SWP240" s="397"/>
      <c r="SWQ240" s="397"/>
      <c r="SWR240" s="397"/>
      <c r="SWS240" s="397"/>
      <c r="SWT240" s="397"/>
      <c r="SWU240" s="397"/>
      <c r="SWV240" s="397"/>
      <c r="SWW240" s="397"/>
      <c r="SWX240" s="397"/>
      <c r="SWY240" s="397"/>
      <c r="SWZ240" s="397"/>
      <c r="SXA240" s="397"/>
      <c r="SXB240" s="397"/>
      <c r="SXC240" s="397"/>
      <c r="SXD240" s="397"/>
      <c r="SXE240" s="397"/>
      <c r="SXF240" s="397"/>
      <c r="SXG240" s="397"/>
      <c r="SXH240" s="397"/>
      <c r="SXI240" s="397"/>
      <c r="SXJ240" s="397"/>
      <c r="SXK240" s="397"/>
      <c r="SXL240" s="397"/>
      <c r="SXM240" s="397"/>
      <c r="SXN240" s="397"/>
      <c r="SXO240" s="397"/>
      <c r="SXP240" s="397"/>
      <c r="SXQ240" s="397"/>
      <c r="SXR240" s="397"/>
      <c r="SXS240" s="397"/>
      <c r="SXT240" s="397"/>
      <c r="SXU240" s="397"/>
      <c r="SXV240" s="397"/>
      <c r="SXW240" s="397"/>
      <c r="SXX240" s="397"/>
      <c r="SXY240" s="397"/>
      <c r="SXZ240" s="397"/>
      <c r="SYA240" s="397"/>
      <c r="SYB240" s="397"/>
      <c r="SYC240" s="397"/>
      <c r="SYD240" s="397"/>
      <c r="SYE240" s="397"/>
      <c r="SYF240" s="397"/>
      <c r="SYG240" s="397"/>
      <c r="SYH240" s="397"/>
      <c r="SYI240" s="397"/>
      <c r="SYJ240" s="397"/>
      <c r="SYK240" s="397"/>
      <c r="SYL240" s="397"/>
      <c r="SYM240" s="397"/>
      <c r="SYN240" s="397"/>
      <c r="SYO240" s="397"/>
      <c r="SYP240" s="397"/>
      <c r="SYQ240" s="397"/>
      <c r="SYR240" s="397"/>
      <c r="SYS240" s="397"/>
      <c r="SYT240" s="397"/>
      <c r="SYU240" s="397"/>
      <c r="SYV240" s="397"/>
      <c r="SYW240" s="397"/>
      <c r="SYX240" s="397"/>
      <c r="SYY240" s="397"/>
      <c r="SYZ240" s="397"/>
      <c r="SZA240" s="397"/>
      <c r="SZB240" s="397"/>
      <c r="SZC240" s="397"/>
      <c r="SZD240" s="397"/>
      <c r="SZE240" s="397"/>
      <c r="SZF240" s="397"/>
      <c r="SZG240" s="397"/>
      <c r="SZH240" s="397"/>
      <c r="SZI240" s="397"/>
      <c r="SZJ240" s="397"/>
      <c r="SZK240" s="397"/>
      <c r="SZL240" s="397"/>
      <c r="SZM240" s="397"/>
      <c r="SZN240" s="397"/>
      <c r="SZO240" s="397"/>
      <c r="SZP240" s="397"/>
      <c r="SZQ240" s="397"/>
      <c r="SZR240" s="397"/>
      <c r="SZS240" s="397"/>
      <c r="SZT240" s="397"/>
      <c r="SZU240" s="397"/>
      <c r="SZV240" s="397"/>
      <c r="SZW240" s="397"/>
      <c r="SZX240" s="397"/>
      <c r="SZY240" s="397"/>
      <c r="SZZ240" s="397"/>
      <c r="TAA240" s="397"/>
      <c r="TAB240" s="397"/>
      <c r="TAC240" s="397"/>
      <c r="TAD240" s="397"/>
      <c r="TAE240" s="397"/>
      <c r="TAF240" s="397"/>
      <c r="TAG240" s="397"/>
      <c r="TAH240" s="397"/>
      <c r="TAI240" s="397"/>
      <c r="TAJ240" s="397"/>
      <c r="TAK240" s="397"/>
      <c r="TAL240" s="397"/>
      <c r="TAM240" s="397"/>
      <c r="TAN240" s="397"/>
      <c r="TAO240" s="397"/>
      <c r="TAP240" s="397"/>
      <c r="TAQ240" s="397"/>
      <c r="TAR240" s="397"/>
      <c r="TAS240" s="397"/>
      <c r="TAT240" s="397"/>
      <c r="TAU240" s="397"/>
      <c r="TAV240" s="397"/>
      <c r="TAW240" s="397"/>
      <c r="TAX240" s="397"/>
      <c r="TAY240" s="397"/>
      <c r="TAZ240" s="397"/>
      <c r="TBA240" s="397"/>
      <c r="TBB240" s="397"/>
      <c r="TBC240" s="397"/>
      <c r="TBD240" s="397"/>
      <c r="TBE240" s="397"/>
      <c r="TBF240" s="397"/>
      <c r="TBG240" s="397"/>
      <c r="TBH240" s="397"/>
      <c r="TBI240" s="397"/>
      <c r="TBJ240" s="397"/>
      <c r="TBK240" s="397"/>
      <c r="TBL240" s="397"/>
      <c r="TBM240" s="397"/>
      <c r="TBN240" s="397"/>
      <c r="TBO240" s="397"/>
      <c r="TBP240" s="397"/>
      <c r="TBQ240" s="397"/>
      <c r="TBR240" s="397"/>
      <c r="TBS240" s="397"/>
      <c r="TBT240" s="397"/>
      <c r="TBU240" s="397"/>
      <c r="TBV240" s="397"/>
      <c r="TBW240" s="397"/>
      <c r="TBX240" s="397"/>
      <c r="TBY240" s="397"/>
      <c r="TBZ240" s="397"/>
      <c r="TCA240" s="397"/>
      <c r="TCB240" s="397"/>
      <c r="TCC240" s="397"/>
      <c r="TCD240" s="397"/>
      <c r="TCE240" s="397"/>
      <c r="TCF240" s="397"/>
      <c r="TCG240" s="397"/>
      <c r="TCH240" s="397"/>
      <c r="TCI240" s="397"/>
      <c r="TCJ240" s="397"/>
      <c r="TCK240" s="397"/>
      <c r="TCL240" s="397"/>
      <c r="TCM240" s="397"/>
      <c r="TCN240" s="397"/>
      <c r="TCO240" s="397"/>
      <c r="TCP240" s="397"/>
      <c r="TCQ240" s="397"/>
      <c r="TCR240" s="397"/>
      <c r="TCS240" s="397"/>
      <c r="TCT240" s="397"/>
      <c r="TCU240" s="397"/>
      <c r="TCV240" s="397"/>
      <c r="TCW240" s="397"/>
      <c r="TCX240" s="397"/>
      <c r="TCY240" s="397"/>
      <c r="TCZ240" s="397"/>
      <c r="TDA240" s="397"/>
      <c r="TDB240" s="397"/>
      <c r="TDC240" s="397"/>
      <c r="TDD240" s="397"/>
      <c r="TDE240" s="397"/>
      <c r="TDF240" s="397"/>
      <c r="TDG240" s="397"/>
      <c r="TDH240" s="397"/>
      <c r="TDI240" s="397"/>
      <c r="TDJ240" s="397"/>
      <c r="TDK240" s="397"/>
      <c r="TDL240" s="397"/>
      <c r="TDM240" s="397"/>
      <c r="TDN240" s="397"/>
      <c r="TDO240" s="397"/>
      <c r="TDP240" s="397"/>
      <c r="TDQ240" s="397"/>
      <c r="TDR240" s="397"/>
      <c r="TDS240" s="397"/>
      <c r="TDT240" s="397"/>
      <c r="TDU240" s="397"/>
      <c r="TDV240" s="397"/>
      <c r="TDW240" s="397"/>
      <c r="TDX240" s="397"/>
      <c r="TDY240" s="397"/>
      <c r="TDZ240" s="397"/>
      <c r="TEA240" s="397"/>
      <c r="TEB240" s="397"/>
      <c r="TEC240" s="397"/>
      <c r="TED240" s="397"/>
      <c r="TEE240" s="397"/>
      <c r="TEF240" s="397"/>
      <c r="TEG240" s="397"/>
      <c r="TEH240" s="397"/>
      <c r="TEI240" s="397"/>
      <c r="TEJ240" s="397"/>
      <c r="TEK240" s="397"/>
      <c r="TEL240" s="397"/>
      <c r="TEM240" s="397"/>
      <c r="TEN240" s="397"/>
      <c r="TEO240" s="397"/>
      <c r="TEP240" s="397"/>
      <c r="TEQ240" s="397"/>
      <c r="TER240" s="397"/>
      <c r="TES240" s="397"/>
      <c r="TET240" s="397"/>
      <c r="TEU240" s="397"/>
      <c r="TEV240" s="397"/>
      <c r="TEW240" s="397"/>
      <c r="TEX240" s="397"/>
      <c r="TEY240" s="397"/>
      <c r="TEZ240" s="397"/>
      <c r="TFA240" s="397"/>
      <c r="TFB240" s="397"/>
      <c r="TFC240" s="397"/>
      <c r="TFD240" s="397"/>
      <c r="TFE240" s="397"/>
      <c r="TFF240" s="397"/>
      <c r="TFG240" s="397"/>
      <c r="TFH240" s="397"/>
      <c r="TFI240" s="397"/>
      <c r="TFJ240" s="397"/>
      <c r="TFK240" s="397"/>
      <c r="TFL240" s="397"/>
      <c r="TFM240" s="397"/>
      <c r="TFN240" s="397"/>
      <c r="TFO240" s="397"/>
      <c r="TFP240" s="397"/>
      <c r="TFQ240" s="397"/>
      <c r="TFR240" s="397"/>
      <c r="TFS240" s="397"/>
      <c r="TFT240" s="397"/>
      <c r="TFU240" s="397"/>
      <c r="TFV240" s="397"/>
      <c r="TFW240" s="397"/>
      <c r="TFX240" s="397"/>
      <c r="TFY240" s="397"/>
      <c r="TFZ240" s="397"/>
      <c r="TGA240" s="397"/>
      <c r="TGB240" s="397"/>
      <c r="TGC240" s="397"/>
      <c r="TGD240" s="397"/>
      <c r="TGE240" s="397"/>
      <c r="TGF240" s="397"/>
      <c r="TGG240" s="397"/>
      <c r="TGH240" s="397"/>
      <c r="TGI240" s="397"/>
      <c r="TGJ240" s="397"/>
      <c r="TGK240" s="397"/>
      <c r="TGL240" s="397"/>
      <c r="TGM240" s="397"/>
      <c r="TGN240" s="397"/>
      <c r="TGO240" s="397"/>
      <c r="TGP240" s="397"/>
      <c r="TGQ240" s="397"/>
      <c r="TGR240" s="397"/>
      <c r="TGS240" s="397"/>
      <c r="TGT240" s="397"/>
      <c r="TGU240" s="397"/>
      <c r="TGV240" s="397"/>
      <c r="TGW240" s="397"/>
      <c r="TGX240" s="397"/>
      <c r="TGY240" s="397"/>
      <c r="TGZ240" s="397"/>
      <c r="THA240" s="397"/>
      <c r="THB240" s="397"/>
      <c r="THC240" s="397"/>
      <c r="THD240" s="397"/>
      <c r="THE240" s="397"/>
      <c r="THF240" s="397"/>
      <c r="THG240" s="397"/>
      <c r="THH240" s="397"/>
      <c r="THI240" s="397"/>
      <c r="THJ240" s="397"/>
      <c r="THK240" s="397"/>
      <c r="THL240" s="397"/>
      <c r="THM240" s="397"/>
      <c r="THN240" s="397"/>
      <c r="THO240" s="397"/>
      <c r="THP240" s="397"/>
      <c r="THQ240" s="397"/>
      <c r="THR240" s="397"/>
      <c r="THS240" s="397"/>
      <c r="THT240" s="397"/>
      <c r="THU240" s="397"/>
      <c r="THV240" s="397"/>
      <c r="THW240" s="397"/>
      <c r="THX240" s="397"/>
      <c r="THY240" s="397"/>
      <c r="THZ240" s="397"/>
      <c r="TIA240" s="397"/>
      <c r="TIB240" s="397"/>
      <c r="TIC240" s="397"/>
      <c r="TID240" s="397"/>
      <c r="TIE240" s="397"/>
      <c r="TIF240" s="397"/>
      <c r="TIG240" s="397"/>
      <c r="TIH240" s="397"/>
      <c r="TII240" s="397"/>
      <c r="TIJ240" s="397"/>
      <c r="TIK240" s="397"/>
      <c r="TIL240" s="397"/>
      <c r="TIM240" s="397"/>
      <c r="TIN240" s="397"/>
      <c r="TIO240" s="397"/>
      <c r="TIP240" s="397"/>
      <c r="TIQ240" s="397"/>
      <c r="TIR240" s="397"/>
      <c r="TIS240" s="397"/>
      <c r="TIT240" s="397"/>
      <c r="TIU240" s="397"/>
      <c r="TIV240" s="397"/>
      <c r="TIW240" s="397"/>
      <c r="TIX240" s="397"/>
      <c r="TIY240" s="397"/>
      <c r="TIZ240" s="397"/>
      <c r="TJA240" s="397"/>
      <c r="TJB240" s="397"/>
      <c r="TJC240" s="397"/>
      <c r="TJD240" s="397"/>
      <c r="TJE240" s="397"/>
      <c r="TJF240" s="397"/>
      <c r="TJG240" s="397"/>
      <c r="TJH240" s="397"/>
      <c r="TJI240" s="397"/>
      <c r="TJJ240" s="397"/>
      <c r="TJK240" s="397"/>
      <c r="TJL240" s="397"/>
      <c r="TJM240" s="397"/>
      <c r="TJN240" s="397"/>
      <c r="TJO240" s="397"/>
      <c r="TJP240" s="397"/>
      <c r="TJQ240" s="397"/>
      <c r="TJR240" s="397"/>
      <c r="TJS240" s="397"/>
      <c r="TJT240" s="397"/>
      <c r="TJU240" s="397"/>
      <c r="TJV240" s="397"/>
      <c r="TJW240" s="397"/>
      <c r="TJX240" s="397"/>
      <c r="TJY240" s="397"/>
      <c r="TJZ240" s="397"/>
      <c r="TKA240" s="397"/>
      <c r="TKB240" s="397"/>
      <c r="TKC240" s="397"/>
      <c r="TKD240" s="397"/>
      <c r="TKE240" s="397"/>
      <c r="TKF240" s="397"/>
      <c r="TKG240" s="397"/>
      <c r="TKH240" s="397"/>
      <c r="TKI240" s="397"/>
      <c r="TKJ240" s="397"/>
      <c r="TKK240" s="397"/>
      <c r="TKL240" s="397"/>
      <c r="TKM240" s="397"/>
      <c r="TKN240" s="397"/>
      <c r="TKO240" s="397"/>
      <c r="TKP240" s="397"/>
      <c r="TKQ240" s="397"/>
      <c r="TKR240" s="397"/>
      <c r="TKS240" s="397"/>
      <c r="TKT240" s="397"/>
      <c r="TKU240" s="397"/>
      <c r="TKV240" s="397"/>
      <c r="TKW240" s="397"/>
      <c r="TKX240" s="397"/>
      <c r="TKY240" s="397"/>
      <c r="TKZ240" s="397"/>
      <c r="TLA240" s="397"/>
      <c r="TLB240" s="397"/>
      <c r="TLC240" s="397"/>
      <c r="TLD240" s="397"/>
      <c r="TLE240" s="397"/>
      <c r="TLF240" s="397"/>
      <c r="TLG240" s="397"/>
      <c r="TLH240" s="397"/>
      <c r="TLI240" s="397"/>
      <c r="TLJ240" s="397"/>
      <c r="TLK240" s="397"/>
      <c r="TLL240" s="397"/>
      <c r="TLM240" s="397"/>
      <c r="TLN240" s="397"/>
      <c r="TLO240" s="397"/>
      <c r="TLP240" s="397"/>
      <c r="TLQ240" s="397"/>
      <c r="TLR240" s="397"/>
      <c r="TLS240" s="397"/>
      <c r="TLT240" s="397"/>
      <c r="TLU240" s="397"/>
      <c r="TLV240" s="397"/>
      <c r="TLW240" s="397"/>
      <c r="TLX240" s="397"/>
      <c r="TLY240" s="397"/>
      <c r="TLZ240" s="397"/>
      <c r="TMA240" s="397"/>
      <c r="TMB240" s="397"/>
      <c r="TMC240" s="397"/>
      <c r="TMD240" s="397"/>
      <c r="TME240" s="397"/>
      <c r="TMF240" s="397"/>
      <c r="TMG240" s="397"/>
      <c r="TMH240" s="397"/>
      <c r="TMI240" s="397"/>
      <c r="TMJ240" s="397"/>
      <c r="TMK240" s="397"/>
      <c r="TML240" s="397"/>
      <c r="TMM240" s="397"/>
      <c r="TMN240" s="397"/>
      <c r="TMO240" s="397"/>
      <c r="TMP240" s="397"/>
      <c r="TMQ240" s="397"/>
      <c r="TMR240" s="397"/>
      <c r="TMS240" s="397"/>
      <c r="TMT240" s="397"/>
      <c r="TMU240" s="397"/>
      <c r="TMV240" s="397"/>
      <c r="TMW240" s="397"/>
      <c r="TMX240" s="397"/>
      <c r="TMY240" s="397"/>
      <c r="TMZ240" s="397"/>
      <c r="TNA240" s="397"/>
      <c r="TNB240" s="397"/>
      <c r="TNC240" s="397"/>
      <c r="TND240" s="397"/>
      <c r="TNE240" s="397"/>
      <c r="TNF240" s="397"/>
      <c r="TNG240" s="397"/>
      <c r="TNH240" s="397"/>
      <c r="TNI240" s="397"/>
      <c r="TNJ240" s="397"/>
      <c r="TNK240" s="397"/>
      <c r="TNL240" s="397"/>
      <c r="TNM240" s="397"/>
      <c r="TNN240" s="397"/>
      <c r="TNO240" s="397"/>
      <c r="TNP240" s="397"/>
      <c r="TNQ240" s="397"/>
      <c r="TNR240" s="397"/>
      <c r="TNS240" s="397"/>
      <c r="TNT240" s="397"/>
      <c r="TNU240" s="397"/>
      <c r="TNV240" s="397"/>
      <c r="TNW240" s="397"/>
      <c r="TNX240" s="397"/>
      <c r="TNY240" s="397"/>
      <c r="TNZ240" s="397"/>
      <c r="TOA240" s="397"/>
      <c r="TOB240" s="397"/>
      <c r="TOC240" s="397"/>
      <c r="TOD240" s="397"/>
      <c r="TOE240" s="397"/>
      <c r="TOF240" s="397"/>
      <c r="TOG240" s="397"/>
      <c r="TOH240" s="397"/>
      <c r="TOI240" s="397"/>
      <c r="TOJ240" s="397"/>
      <c r="TOK240" s="397"/>
      <c r="TOL240" s="397"/>
      <c r="TOM240" s="397"/>
      <c r="TON240" s="397"/>
      <c r="TOO240" s="397"/>
      <c r="TOP240" s="397"/>
      <c r="TOQ240" s="397"/>
      <c r="TOR240" s="397"/>
      <c r="TOS240" s="397"/>
      <c r="TOT240" s="397"/>
      <c r="TOU240" s="397"/>
      <c r="TOV240" s="397"/>
      <c r="TOW240" s="397"/>
      <c r="TOX240" s="397"/>
      <c r="TOY240" s="397"/>
      <c r="TOZ240" s="397"/>
      <c r="TPA240" s="397"/>
      <c r="TPB240" s="397"/>
      <c r="TPC240" s="397"/>
      <c r="TPD240" s="397"/>
      <c r="TPE240" s="397"/>
      <c r="TPF240" s="397"/>
      <c r="TPG240" s="397"/>
      <c r="TPH240" s="397"/>
      <c r="TPI240" s="397"/>
      <c r="TPJ240" s="397"/>
      <c r="TPK240" s="397"/>
      <c r="TPL240" s="397"/>
      <c r="TPM240" s="397"/>
      <c r="TPN240" s="397"/>
      <c r="TPO240" s="397"/>
      <c r="TPP240" s="397"/>
      <c r="TPQ240" s="397"/>
      <c r="TPR240" s="397"/>
      <c r="TPS240" s="397"/>
      <c r="TPT240" s="397"/>
      <c r="TPU240" s="397"/>
      <c r="TPV240" s="397"/>
      <c r="TPW240" s="397"/>
      <c r="TPX240" s="397"/>
      <c r="TPY240" s="397"/>
      <c r="TPZ240" s="397"/>
      <c r="TQA240" s="397"/>
      <c r="TQB240" s="397"/>
      <c r="TQC240" s="397"/>
      <c r="TQD240" s="397"/>
      <c r="TQE240" s="397"/>
      <c r="TQF240" s="397"/>
      <c r="TQG240" s="397"/>
      <c r="TQH240" s="397"/>
      <c r="TQI240" s="397"/>
      <c r="TQJ240" s="397"/>
      <c r="TQK240" s="397"/>
      <c r="TQL240" s="397"/>
      <c r="TQM240" s="397"/>
      <c r="TQN240" s="397"/>
      <c r="TQO240" s="397"/>
      <c r="TQP240" s="397"/>
      <c r="TQQ240" s="397"/>
      <c r="TQR240" s="397"/>
      <c r="TQS240" s="397"/>
      <c r="TQT240" s="397"/>
      <c r="TQU240" s="397"/>
      <c r="TQV240" s="397"/>
      <c r="TQW240" s="397"/>
      <c r="TQX240" s="397"/>
      <c r="TQY240" s="397"/>
      <c r="TQZ240" s="397"/>
      <c r="TRA240" s="397"/>
      <c r="TRB240" s="397"/>
      <c r="TRC240" s="397"/>
      <c r="TRD240" s="397"/>
      <c r="TRE240" s="397"/>
      <c r="TRF240" s="397"/>
      <c r="TRG240" s="397"/>
      <c r="TRH240" s="397"/>
      <c r="TRI240" s="397"/>
      <c r="TRJ240" s="397"/>
      <c r="TRK240" s="397"/>
      <c r="TRL240" s="397"/>
      <c r="TRM240" s="397"/>
      <c r="TRN240" s="397"/>
      <c r="TRO240" s="397"/>
      <c r="TRP240" s="397"/>
      <c r="TRQ240" s="397"/>
      <c r="TRR240" s="397"/>
      <c r="TRS240" s="397"/>
      <c r="TRT240" s="397"/>
      <c r="TRU240" s="397"/>
      <c r="TRV240" s="397"/>
      <c r="TRW240" s="397"/>
      <c r="TRX240" s="397"/>
      <c r="TRY240" s="397"/>
      <c r="TRZ240" s="397"/>
      <c r="TSA240" s="397"/>
      <c r="TSB240" s="397"/>
      <c r="TSC240" s="397"/>
      <c r="TSD240" s="397"/>
      <c r="TSE240" s="397"/>
      <c r="TSF240" s="397"/>
      <c r="TSG240" s="397"/>
      <c r="TSH240" s="397"/>
      <c r="TSI240" s="397"/>
      <c r="TSJ240" s="397"/>
      <c r="TSK240" s="397"/>
      <c r="TSL240" s="397"/>
      <c r="TSM240" s="397"/>
      <c r="TSN240" s="397"/>
      <c r="TSO240" s="397"/>
      <c r="TSP240" s="397"/>
      <c r="TSQ240" s="397"/>
      <c r="TSR240" s="397"/>
      <c r="TSS240" s="397"/>
      <c r="TST240" s="397"/>
      <c r="TSU240" s="397"/>
      <c r="TSV240" s="397"/>
      <c r="TSW240" s="397"/>
      <c r="TSX240" s="397"/>
      <c r="TSY240" s="397"/>
      <c r="TSZ240" s="397"/>
      <c r="TTA240" s="397"/>
      <c r="TTB240" s="397"/>
      <c r="TTC240" s="397"/>
      <c r="TTD240" s="397"/>
      <c r="TTE240" s="397"/>
      <c r="TTF240" s="397"/>
      <c r="TTG240" s="397"/>
      <c r="TTH240" s="397"/>
      <c r="TTI240" s="397"/>
      <c r="TTJ240" s="397"/>
      <c r="TTK240" s="397"/>
      <c r="TTL240" s="397"/>
      <c r="TTM240" s="397"/>
      <c r="TTN240" s="397"/>
      <c r="TTO240" s="397"/>
      <c r="TTP240" s="397"/>
      <c r="TTQ240" s="397"/>
      <c r="TTR240" s="397"/>
      <c r="TTS240" s="397"/>
      <c r="TTT240" s="397"/>
      <c r="TTU240" s="397"/>
      <c r="TTV240" s="397"/>
      <c r="TTW240" s="397"/>
      <c r="TTX240" s="397"/>
      <c r="TTY240" s="397"/>
      <c r="TTZ240" s="397"/>
      <c r="TUA240" s="397"/>
      <c r="TUB240" s="397"/>
      <c r="TUC240" s="397"/>
      <c r="TUD240" s="397"/>
      <c r="TUE240" s="397"/>
      <c r="TUF240" s="397"/>
      <c r="TUG240" s="397"/>
      <c r="TUH240" s="397"/>
      <c r="TUI240" s="397"/>
      <c r="TUJ240" s="397"/>
      <c r="TUK240" s="397"/>
      <c r="TUL240" s="397"/>
      <c r="TUM240" s="397"/>
      <c r="TUN240" s="397"/>
      <c r="TUO240" s="397"/>
      <c r="TUP240" s="397"/>
      <c r="TUQ240" s="397"/>
      <c r="TUR240" s="397"/>
      <c r="TUS240" s="397"/>
      <c r="TUT240" s="397"/>
      <c r="TUU240" s="397"/>
      <c r="TUV240" s="397"/>
      <c r="TUW240" s="397"/>
      <c r="TUX240" s="397"/>
      <c r="TUY240" s="397"/>
      <c r="TUZ240" s="397"/>
      <c r="TVA240" s="397"/>
      <c r="TVB240" s="397"/>
      <c r="TVC240" s="397"/>
      <c r="TVD240" s="397"/>
      <c r="TVE240" s="397"/>
      <c r="TVF240" s="397"/>
      <c r="TVG240" s="397"/>
      <c r="TVH240" s="397"/>
      <c r="TVI240" s="397"/>
      <c r="TVJ240" s="397"/>
      <c r="TVK240" s="397"/>
      <c r="TVL240" s="397"/>
      <c r="TVM240" s="397"/>
      <c r="TVN240" s="397"/>
      <c r="TVO240" s="397"/>
      <c r="TVP240" s="397"/>
      <c r="TVQ240" s="397"/>
      <c r="TVR240" s="397"/>
      <c r="TVS240" s="397"/>
      <c r="TVT240" s="397"/>
      <c r="TVU240" s="397"/>
      <c r="TVV240" s="397"/>
      <c r="TVW240" s="397"/>
      <c r="TVX240" s="397"/>
      <c r="TVY240" s="397"/>
      <c r="TVZ240" s="397"/>
      <c r="TWA240" s="397"/>
      <c r="TWB240" s="397"/>
      <c r="TWC240" s="397"/>
      <c r="TWD240" s="397"/>
      <c r="TWE240" s="397"/>
      <c r="TWF240" s="397"/>
      <c r="TWG240" s="397"/>
      <c r="TWH240" s="397"/>
      <c r="TWI240" s="397"/>
      <c r="TWJ240" s="397"/>
      <c r="TWK240" s="397"/>
      <c r="TWL240" s="397"/>
      <c r="TWM240" s="397"/>
      <c r="TWN240" s="397"/>
      <c r="TWO240" s="397"/>
      <c r="TWP240" s="397"/>
      <c r="TWQ240" s="397"/>
      <c r="TWR240" s="397"/>
      <c r="TWS240" s="397"/>
      <c r="TWT240" s="397"/>
      <c r="TWU240" s="397"/>
      <c r="TWV240" s="397"/>
      <c r="TWW240" s="397"/>
      <c r="TWX240" s="397"/>
      <c r="TWY240" s="397"/>
      <c r="TWZ240" s="397"/>
      <c r="TXA240" s="397"/>
      <c r="TXB240" s="397"/>
      <c r="TXC240" s="397"/>
      <c r="TXD240" s="397"/>
      <c r="TXE240" s="397"/>
      <c r="TXF240" s="397"/>
      <c r="TXG240" s="397"/>
      <c r="TXH240" s="397"/>
      <c r="TXI240" s="397"/>
      <c r="TXJ240" s="397"/>
      <c r="TXK240" s="397"/>
      <c r="TXL240" s="397"/>
      <c r="TXM240" s="397"/>
      <c r="TXN240" s="397"/>
      <c r="TXO240" s="397"/>
      <c r="TXP240" s="397"/>
      <c r="TXQ240" s="397"/>
      <c r="TXR240" s="397"/>
      <c r="TXS240" s="397"/>
      <c r="TXT240" s="397"/>
      <c r="TXU240" s="397"/>
      <c r="TXV240" s="397"/>
      <c r="TXW240" s="397"/>
      <c r="TXX240" s="397"/>
      <c r="TXY240" s="397"/>
      <c r="TXZ240" s="397"/>
      <c r="TYA240" s="397"/>
      <c r="TYB240" s="397"/>
      <c r="TYC240" s="397"/>
      <c r="TYD240" s="397"/>
      <c r="TYE240" s="397"/>
      <c r="TYF240" s="397"/>
      <c r="TYG240" s="397"/>
      <c r="TYH240" s="397"/>
      <c r="TYI240" s="397"/>
      <c r="TYJ240" s="397"/>
      <c r="TYK240" s="397"/>
      <c r="TYL240" s="397"/>
      <c r="TYM240" s="397"/>
      <c r="TYN240" s="397"/>
      <c r="TYO240" s="397"/>
      <c r="TYP240" s="397"/>
      <c r="TYQ240" s="397"/>
      <c r="TYR240" s="397"/>
      <c r="TYS240" s="397"/>
      <c r="TYT240" s="397"/>
      <c r="TYU240" s="397"/>
      <c r="TYV240" s="397"/>
      <c r="TYW240" s="397"/>
      <c r="TYX240" s="397"/>
      <c r="TYY240" s="397"/>
      <c r="TYZ240" s="397"/>
      <c r="TZA240" s="397"/>
      <c r="TZB240" s="397"/>
      <c r="TZC240" s="397"/>
      <c r="TZD240" s="397"/>
      <c r="TZE240" s="397"/>
      <c r="TZF240" s="397"/>
      <c r="TZG240" s="397"/>
      <c r="TZH240" s="397"/>
      <c r="TZI240" s="397"/>
      <c r="TZJ240" s="397"/>
      <c r="TZK240" s="397"/>
      <c r="TZL240" s="397"/>
      <c r="TZM240" s="397"/>
      <c r="TZN240" s="397"/>
      <c r="TZO240" s="397"/>
      <c r="TZP240" s="397"/>
      <c r="TZQ240" s="397"/>
      <c r="TZR240" s="397"/>
      <c r="TZS240" s="397"/>
      <c r="TZT240" s="397"/>
      <c r="TZU240" s="397"/>
      <c r="TZV240" s="397"/>
      <c r="TZW240" s="397"/>
      <c r="TZX240" s="397"/>
      <c r="TZY240" s="397"/>
      <c r="TZZ240" s="397"/>
      <c r="UAA240" s="397"/>
      <c r="UAB240" s="397"/>
      <c r="UAC240" s="397"/>
      <c r="UAD240" s="397"/>
      <c r="UAE240" s="397"/>
      <c r="UAF240" s="397"/>
      <c r="UAG240" s="397"/>
      <c r="UAH240" s="397"/>
      <c r="UAI240" s="397"/>
      <c r="UAJ240" s="397"/>
      <c r="UAK240" s="397"/>
      <c r="UAL240" s="397"/>
      <c r="UAM240" s="397"/>
      <c r="UAN240" s="397"/>
      <c r="UAO240" s="397"/>
      <c r="UAP240" s="397"/>
      <c r="UAQ240" s="397"/>
      <c r="UAR240" s="397"/>
      <c r="UAS240" s="397"/>
      <c r="UAT240" s="397"/>
      <c r="UAU240" s="397"/>
      <c r="UAV240" s="397"/>
      <c r="UAW240" s="397"/>
      <c r="UAX240" s="397"/>
      <c r="UAY240" s="397"/>
      <c r="UAZ240" s="397"/>
      <c r="UBA240" s="397"/>
      <c r="UBB240" s="397"/>
      <c r="UBC240" s="397"/>
      <c r="UBD240" s="397"/>
      <c r="UBE240" s="397"/>
      <c r="UBF240" s="397"/>
      <c r="UBG240" s="397"/>
      <c r="UBH240" s="397"/>
      <c r="UBI240" s="397"/>
      <c r="UBJ240" s="397"/>
      <c r="UBK240" s="397"/>
      <c r="UBL240" s="397"/>
      <c r="UBM240" s="397"/>
      <c r="UBN240" s="397"/>
      <c r="UBO240" s="397"/>
      <c r="UBP240" s="397"/>
      <c r="UBQ240" s="397"/>
      <c r="UBR240" s="397"/>
      <c r="UBS240" s="397"/>
      <c r="UBT240" s="397"/>
      <c r="UBU240" s="397"/>
      <c r="UBV240" s="397"/>
      <c r="UBW240" s="397"/>
      <c r="UBX240" s="397"/>
      <c r="UBY240" s="397"/>
      <c r="UBZ240" s="397"/>
      <c r="UCA240" s="397"/>
      <c r="UCB240" s="397"/>
      <c r="UCC240" s="397"/>
      <c r="UCD240" s="397"/>
      <c r="UCE240" s="397"/>
      <c r="UCF240" s="397"/>
      <c r="UCG240" s="397"/>
      <c r="UCH240" s="397"/>
      <c r="UCI240" s="397"/>
      <c r="UCJ240" s="397"/>
      <c r="UCK240" s="397"/>
      <c r="UCL240" s="397"/>
      <c r="UCM240" s="397"/>
      <c r="UCN240" s="397"/>
      <c r="UCO240" s="397"/>
      <c r="UCP240" s="397"/>
      <c r="UCQ240" s="397"/>
      <c r="UCR240" s="397"/>
      <c r="UCS240" s="397"/>
      <c r="UCT240" s="397"/>
      <c r="UCU240" s="397"/>
      <c r="UCV240" s="397"/>
      <c r="UCW240" s="397"/>
      <c r="UCX240" s="397"/>
      <c r="UCY240" s="397"/>
      <c r="UCZ240" s="397"/>
      <c r="UDA240" s="397"/>
      <c r="UDB240" s="397"/>
      <c r="UDC240" s="397"/>
      <c r="UDD240" s="397"/>
      <c r="UDE240" s="397"/>
      <c r="UDF240" s="397"/>
      <c r="UDG240" s="397"/>
      <c r="UDH240" s="397"/>
      <c r="UDI240" s="397"/>
      <c r="UDJ240" s="397"/>
      <c r="UDK240" s="397"/>
      <c r="UDL240" s="397"/>
      <c r="UDM240" s="397"/>
      <c r="UDN240" s="397"/>
      <c r="UDO240" s="397"/>
      <c r="UDP240" s="397"/>
      <c r="UDQ240" s="397"/>
      <c r="UDR240" s="397"/>
      <c r="UDS240" s="397"/>
      <c r="UDT240" s="397"/>
      <c r="UDU240" s="397"/>
      <c r="UDV240" s="397"/>
      <c r="UDW240" s="397"/>
      <c r="UDX240" s="397"/>
      <c r="UDY240" s="397"/>
      <c r="UDZ240" s="397"/>
      <c r="UEA240" s="397"/>
      <c r="UEB240" s="397"/>
      <c r="UEC240" s="397"/>
      <c r="UED240" s="397"/>
      <c r="UEE240" s="397"/>
      <c r="UEF240" s="397"/>
      <c r="UEG240" s="397"/>
      <c r="UEH240" s="397"/>
      <c r="UEI240" s="397"/>
      <c r="UEJ240" s="397"/>
      <c r="UEK240" s="397"/>
      <c r="UEL240" s="397"/>
      <c r="UEM240" s="397"/>
      <c r="UEN240" s="397"/>
      <c r="UEO240" s="397"/>
      <c r="UEP240" s="397"/>
      <c r="UEQ240" s="397"/>
      <c r="UER240" s="397"/>
      <c r="UES240" s="397"/>
      <c r="UET240" s="397"/>
      <c r="UEU240" s="397"/>
      <c r="UEV240" s="397"/>
      <c r="UEW240" s="397"/>
      <c r="UEX240" s="397"/>
      <c r="UEY240" s="397"/>
      <c r="UEZ240" s="397"/>
      <c r="UFA240" s="397"/>
      <c r="UFB240" s="397"/>
      <c r="UFC240" s="397"/>
      <c r="UFD240" s="397"/>
      <c r="UFE240" s="397"/>
      <c r="UFF240" s="397"/>
      <c r="UFG240" s="397"/>
      <c r="UFH240" s="397"/>
      <c r="UFI240" s="397"/>
      <c r="UFJ240" s="397"/>
      <c r="UFK240" s="397"/>
      <c r="UFL240" s="397"/>
      <c r="UFM240" s="397"/>
      <c r="UFN240" s="397"/>
      <c r="UFO240" s="397"/>
      <c r="UFP240" s="397"/>
      <c r="UFQ240" s="397"/>
      <c r="UFR240" s="397"/>
      <c r="UFS240" s="397"/>
      <c r="UFT240" s="397"/>
      <c r="UFU240" s="397"/>
      <c r="UFV240" s="397"/>
      <c r="UFW240" s="397"/>
      <c r="UFX240" s="397"/>
      <c r="UFY240" s="397"/>
      <c r="UFZ240" s="397"/>
      <c r="UGA240" s="397"/>
      <c r="UGB240" s="397"/>
      <c r="UGC240" s="397"/>
      <c r="UGD240" s="397"/>
      <c r="UGE240" s="397"/>
      <c r="UGF240" s="397"/>
      <c r="UGG240" s="397"/>
      <c r="UGH240" s="397"/>
      <c r="UGI240" s="397"/>
      <c r="UGJ240" s="397"/>
      <c r="UGK240" s="397"/>
      <c r="UGL240" s="397"/>
      <c r="UGM240" s="397"/>
      <c r="UGN240" s="397"/>
      <c r="UGO240" s="397"/>
      <c r="UGP240" s="397"/>
      <c r="UGQ240" s="397"/>
      <c r="UGR240" s="397"/>
      <c r="UGS240" s="397"/>
      <c r="UGT240" s="397"/>
      <c r="UGU240" s="397"/>
      <c r="UGV240" s="397"/>
      <c r="UGW240" s="397"/>
      <c r="UGX240" s="397"/>
      <c r="UGY240" s="397"/>
      <c r="UGZ240" s="397"/>
      <c r="UHA240" s="397"/>
      <c r="UHB240" s="397"/>
      <c r="UHC240" s="397"/>
      <c r="UHD240" s="397"/>
      <c r="UHE240" s="397"/>
      <c r="UHF240" s="397"/>
      <c r="UHG240" s="397"/>
      <c r="UHH240" s="397"/>
      <c r="UHI240" s="397"/>
      <c r="UHJ240" s="397"/>
      <c r="UHK240" s="397"/>
      <c r="UHL240" s="397"/>
      <c r="UHM240" s="397"/>
      <c r="UHN240" s="397"/>
      <c r="UHO240" s="397"/>
      <c r="UHP240" s="397"/>
      <c r="UHQ240" s="397"/>
      <c r="UHR240" s="397"/>
      <c r="UHS240" s="397"/>
      <c r="UHT240" s="397"/>
      <c r="UHU240" s="397"/>
      <c r="UHV240" s="397"/>
      <c r="UHW240" s="397"/>
      <c r="UHX240" s="397"/>
      <c r="UHY240" s="397"/>
      <c r="UHZ240" s="397"/>
      <c r="UIA240" s="397"/>
      <c r="UIB240" s="397"/>
      <c r="UIC240" s="397"/>
      <c r="UID240" s="397"/>
      <c r="UIE240" s="397"/>
      <c r="UIF240" s="397"/>
      <c r="UIG240" s="397"/>
      <c r="UIH240" s="397"/>
      <c r="UII240" s="397"/>
      <c r="UIJ240" s="397"/>
      <c r="UIK240" s="397"/>
      <c r="UIL240" s="397"/>
      <c r="UIM240" s="397"/>
      <c r="UIN240" s="397"/>
      <c r="UIO240" s="397"/>
      <c r="UIP240" s="397"/>
      <c r="UIQ240" s="397"/>
      <c r="UIR240" s="397"/>
      <c r="UIS240" s="397"/>
      <c r="UIT240" s="397"/>
      <c r="UIU240" s="397"/>
      <c r="UIV240" s="397"/>
      <c r="UIW240" s="397"/>
      <c r="UIX240" s="397"/>
      <c r="UIY240" s="397"/>
      <c r="UIZ240" s="397"/>
      <c r="UJA240" s="397"/>
      <c r="UJB240" s="397"/>
      <c r="UJC240" s="397"/>
      <c r="UJD240" s="397"/>
      <c r="UJE240" s="397"/>
      <c r="UJF240" s="397"/>
      <c r="UJG240" s="397"/>
      <c r="UJH240" s="397"/>
      <c r="UJI240" s="397"/>
      <c r="UJJ240" s="397"/>
      <c r="UJK240" s="397"/>
      <c r="UJL240" s="397"/>
      <c r="UJM240" s="397"/>
      <c r="UJN240" s="397"/>
      <c r="UJO240" s="397"/>
      <c r="UJP240" s="397"/>
      <c r="UJQ240" s="397"/>
      <c r="UJR240" s="397"/>
      <c r="UJS240" s="397"/>
      <c r="UJT240" s="397"/>
      <c r="UJU240" s="397"/>
      <c r="UJV240" s="397"/>
      <c r="UJW240" s="397"/>
      <c r="UJX240" s="397"/>
      <c r="UJY240" s="397"/>
      <c r="UJZ240" s="397"/>
      <c r="UKA240" s="397"/>
      <c r="UKB240" s="397"/>
      <c r="UKC240" s="397"/>
      <c r="UKD240" s="397"/>
      <c r="UKE240" s="397"/>
      <c r="UKF240" s="397"/>
      <c r="UKG240" s="397"/>
      <c r="UKH240" s="397"/>
      <c r="UKI240" s="397"/>
      <c r="UKJ240" s="397"/>
      <c r="UKK240" s="397"/>
      <c r="UKL240" s="397"/>
      <c r="UKM240" s="397"/>
      <c r="UKN240" s="397"/>
      <c r="UKO240" s="397"/>
      <c r="UKP240" s="397"/>
      <c r="UKQ240" s="397"/>
      <c r="UKR240" s="397"/>
      <c r="UKS240" s="397"/>
      <c r="UKT240" s="397"/>
      <c r="UKU240" s="397"/>
      <c r="UKV240" s="397"/>
      <c r="UKW240" s="397"/>
      <c r="UKX240" s="397"/>
      <c r="UKY240" s="397"/>
      <c r="UKZ240" s="397"/>
      <c r="ULA240" s="397"/>
      <c r="ULB240" s="397"/>
      <c r="ULC240" s="397"/>
      <c r="ULD240" s="397"/>
      <c r="ULE240" s="397"/>
      <c r="ULF240" s="397"/>
      <c r="ULG240" s="397"/>
      <c r="ULH240" s="397"/>
      <c r="ULI240" s="397"/>
      <c r="ULJ240" s="397"/>
      <c r="ULK240" s="397"/>
      <c r="ULL240" s="397"/>
      <c r="ULM240" s="397"/>
      <c r="ULN240" s="397"/>
      <c r="ULO240" s="397"/>
      <c r="ULP240" s="397"/>
      <c r="ULQ240" s="397"/>
      <c r="ULR240" s="397"/>
      <c r="ULS240" s="397"/>
      <c r="ULT240" s="397"/>
      <c r="ULU240" s="397"/>
      <c r="ULV240" s="397"/>
      <c r="ULW240" s="397"/>
      <c r="ULX240" s="397"/>
      <c r="ULY240" s="397"/>
      <c r="ULZ240" s="397"/>
      <c r="UMA240" s="397"/>
      <c r="UMB240" s="397"/>
      <c r="UMC240" s="397"/>
      <c r="UMD240" s="397"/>
      <c r="UME240" s="397"/>
      <c r="UMF240" s="397"/>
      <c r="UMG240" s="397"/>
      <c r="UMH240" s="397"/>
      <c r="UMI240" s="397"/>
      <c r="UMJ240" s="397"/>
      <c r="UMK240" s="397"/>
      <c r="UML240" s="397"/>
      <c r="UMM240" s="397"/>
      <c r="UMN240" s="397"/>
      <c r="UMO240" s="397"/>
      <c r="UMP240" s="397"/>
      <c r="UMQ240" s="397"/>
      <c r="UMR240" s="397"/>
      <c r="UMS240" s="397"/>
      <c r="UMT240" s="397"/>
      <c r="UMU240" s="397"/>
      <c r="UMV240" s="397"/>
      <c r="UMW240" s="397"/>
      <c r="UMX240" s="397"/>
      <c r="UMY240" s="397"/>
      <c r="UMZ240" s="397"/>
      <c r="UNA240" s="397"/>
      <c r="UNB240" s="397"/>
      <c r="UNC240" s="397"/>
      <c r="UND240" s="397"/>
      <c r="UNE240" s="397"/>
      <c r="UNF240" s="397"/>
      <c r="UNG240" s="397"/>
      <c r="UNH240" s="397"/>
      <c r="UNI240" s="397"/>
      <c r="UNJ240" s="397"/>
      <c r="UNK240" s="397"/>
      <c r="UNL240" s="397"/>
      <c r="UNM240" s="397"/>
      <c r="UNN240" s="397"/>
      <c r="UNO240" s="397"/>
      <c r="UNP240" s="397"/>
      <c r="UNQ240" s="397"/>
      <c r="UNR240" s="397"/>
      <c r="UNS240" s="397"/>
      <c r="UNT240" s="397"/>
      <c r="UNU240" s="397"/>
      <c r="UNV240" s="397"/>
      <c r="UNW240" s="397"/>
      <c r="UNX240" s="397"/>
      <c r="UNY240" s="397"/>
      <c r="UNZ240" s="397"/>
      <c r="UOA240" s="397"/>
      <c r="UOB240" s="397"/>
      <c r="UOC240" s="397"/>
      <c r="UOD240" s="397"/>
      <c r="UOE240" s="397"/>
      <c r="UOF240" s="397"/>
      <c r="UOG240" s="397"/>
      <c r="UOH240" s="397"/>
      <c r="UOI240" s="397"/>
      <c r="UOJ240" s="397"/>
      <c r="UOK240" s="397"/>
      <c r="UOL240" s="397"/>
      <c r="UOM240" s="397"/>
      <c r="UON240" s="397"/>
      <c r="UOO240" s="397"/>
      <c r="UOP240" s="397"/>
      <c r="UOQ240" s="397"/>
      <c r="UOR240" s="397"/>
      <c r="UOS240" s="397"/>
      <c r="UOT240" s="397"/>
      <c r="UOU240" s="397"/>
      <c r="UOV240" s="397"/>
      <c r="UOW240" s="397"/>
      <c r="UOX240" s="397"/>
      <c r="UOY240" s="397"/>
      <c r="UOZ240" s="397"/>
      <c r="UPA240" s="397"/>
      <c r="UPB240" s="397"/>
      <c r="UPC240" s="397"/>
      <c r="UPD240" s="397"/>
      <c r="UPE240" s="397"/>
      <c r="UPF240" s="397"/>
      <c r="UPG240" s="397"/>
      <c r="UPH240" s="397"/>
      <c r="UPI240" s="397"/>
      <c r="UPJ240" s="397"/>
      <c r="UPK240" s="397"/>
      <c r="UPL240" s="397"/>
      <c r="UPM240" s="397"/>
      <c r="UPN240" s="397"/>
      <c r="UPO240" s="397"/>
      <c r="UPP240" s="397"/>
      <c r="UPQ240" s="397"/>
      <c r="UPR240" s="397"/>
      <c r="UPS240" s="397"/>
      <c r="UPT240" s="397"/>
      <c r="UPU240" s="397"/>
      <c r="UPV240" s="397"/>
      <c r="UPW240" s="397"/>
      <c r="UPX240" s="397"/>
      <c r="UPY240" s="397"/>
      <c r="UPZ240" s="397"/>
      <c r="UQA240" s="397"/>
      <c r="UQB240" s="397"/>
      <c r="UQC240" s="397"/>
      <c r="UQD240" s="397"/>
      <c r="UQE240" s="397"/>
      <c r="UQF240" s="397"/>
      <c r="UQG240" s="397"/>
      <c r="UQH240" s="397"/>
      <c r="UQI240" s="397"/>
      <c r="UQJ240" s="397"/>
      <c r="UQK240" s="397"/>
      <c r="UQL240" s="397"/>
      <c r="UQM240" s="397"/>
      <c r="UQN240" s="397"/>
      <c r="UQO240" s="397"/>
      <c r="UQP240" s="397"/>
      <c r="UQQ240" s="397"/>
      <c r="UQR240" s="397"/>
      <c r="UQS240" s="397"/>
      <c r="UQT240" s="397"/>
      <c r="UQU240" s="397"/>
      <c r="UQV240" s="397"/>
      <c r="UQW240" s="397"/>
      <c r="UQX240" s="397"/>
      <c r="UQY240" s="397"/>
      <c r="UQZ240" s="397"/>
      <c r="URA240" s="397"/>
      <c r="URB240" s="397"/>
      <c r="URC240" s="397"/>
      <c r="URD240" s="397"/>
      <c r="URE240" s="397"/>
      <c r="URF240" s="397"/>
      <c r="URG240" s="397"/>
      <c r="URH240" s="397"/>
      <c r="URI240" s="397"/>
      <c r="URJ240" s="397"/>
      <c r="URK240" s="397"/>
      <c r="URL240" s="397"/>
      <c r="URM240" s="397"/>
      <c r="URN240" s="397"/>
      <c r="URO240" s="397"/>
      <c r="URP240" s="397"/>
      <c r="URQ240" s="397"/>
      <c r="URR240" s="397"/>
      <c r="URS240" s="397"/>
      <c r="URT240" s="397"/>
      <c r="URU240" s="397"/>
      <c r="URV240" s="397"/>
      <c r="URW240" s="397"/>
      <c r="URX240" s="397"/>
      <c r="URY240" s="397"/>
      <c r="URZ240" s="397"/>
      <c r="USA240" s="397"/>
      <c r="USB240" s="397"/>
      <c r="USC240" s="397"/>
      <c r="USD240" s="397"/>
      <c r="USE240" s="397"/>
      <c r="USF240" s="397"/>
      <c r="USG240" s="397"/>
      <c r="USH240" s="397"/>
      <c r="USI240" s="397"/>
      <c r="USJ240" s="397"/>
      <c r="USK240" s="397"/>
      <c r="USL240" s="397"/>
      <c r="USM240" s="397"/>
      <c r="USN240" s="397"/>
      <c r="USO240" s="397"/>
      <c r="USP240" s="397"/>
      <c r="USQ240" s="397"/>
      <c r="USR240" s="397"/>
      <c r="USS240" s="397"/>
      <c r="UST240" s="397"/>
      <c r="USU240" s="397"/>
      <c r="USV240" s="397"/>
      <c r="USW240" s="397"/>
      <c r="USX240" s="397"/>
      <c r="USY240" s="397"/>
      <c r="USZ240" s="397"/>
      <c r="UTA240" s="397"/>
      <c r="UTB240" s="397"/>
      <c r="UTC240" s="397"/>
      <c r="UTD240" s="397"/>
      <c r="UTE240" s="397"/>
      <c r="UTF240" s="397"/>
      <c r="UTG240" s="397"/>
      <c r="UTH240" s="397"/>
      <c r="UTI240" s="397"/>
      <c r="UTJ240" s="397"/>
      <c r="UTK240" s="397"/>
      <c r="UTL240" s="397"/>
      <c r="UTM240" s="397"/>
      <c r="UTN240" s="397"/>
      <c r="UTO240" s="397"/>
      <c r="UTP240" s="397"/>
      <c r="UTQ240" s="397"/>
      <c r="UTR240" s="397"/>
      <c r="UTS240" s="397"/>
      <c r="UTT240" s="397"/>
      <c r="UTU240" s="397"/>
      <c r="UTV240" s="397"/>
      <c r="UTW240" s="397"/>
      <c r="UTX240" s="397"/>
      <c r="UTY240" s="397"/>
      <c r="UTZ240" s="397"/>
      <c r="UUA240" s="397"/>
      <c r="UUB240" s="397"/>
      <c r="UUC240" s="397"/>
      <c r="UUD240" s="397"/>
      <c r="UUE240" s="397"/>
      <c r="UUF240" s="397"/>
      <c r="UUG240" s="397"/>
      <c r="UUH240" s="397"/>
      <c r="UUI240" s="397"/>
      <c r="UUJ240" s="397"/>
      <c r="UUK240" s="397"/>
      <c r="UUL240" s="397"/>
      <c r="UUM240" s="397"/>
      <c r="UUN240" s="397"/>
      <c r="UUO240" s="397"/>
      <c r="UUP240" s="397"/>
      <c r="UUQ240" s="397"/>
      <c r="UUR240" s="397"/>
      <c r="UUS240" s="397"/>
      <c r="UUT240" s="397"/>
      <c r="UUU240" s="397"/>
      <c r="UUV240" s="397"/>
      <c r="UUW240" s="397"/>
      <c r="UUX240" s="397"/>
      <c r="UUY240" s="397"/>
      <c r="UUZ240" s="397"/>
      <c r="UVA240" s="397"/>
      <c r="UVB240" s="397"/>
      <c r="UVC240" s="397"/>
      <c r="UVD240" s="397"/>
      <c r="UVE240" s="397"/>
      <c r="UVF240" s="397"/>
      <c r="UVG240" s="397"/>
      <c r="UVH240" s="397"/>
      <c r="UVI240" s="397"/>
      <c r="UVJ240" s="397"/>
      <c r="UVK240" s="397"/>
      <c r="UVL240" s="397"/>
      <c r="UVM240" s="397"/>
      <c r="UVN240" s="397"/>
      <c r="UVO240" s="397"/>
      <c r="UVP240" s="397"/>
      <c r="UVQ240" s="397"/>
      <c r="UVR240" s="397"/>
      <c r="UVS240" s="397"/>
      <c r="UVT240" s="397"/>
      <c r="UVU240" s="397"/>
      <c r="UVV240" s="397"/>
      <c r="UVW240" s="397"/>
      <c r="UVX240" s="397"/>
      <c r="UVY240" s="397"/>
      <c r="UVZ240" s="397"/>
      <c r="UWA240" s="397"/>
      <c r="UWB240" s="397"/>
      <c r="UWC240" s="397"/>
      <c r="UWD240" s="397"/>
      <c r="UWE240" s="397"/>
      <c r="UWF240" s="397"/>
      <c r="UWG240" s="397"/>
      <c r="UWH240" s="397"/>
      <c r="UWI240" s="397"/>
      <c r="UWJ240" s="397"/>
      <c r="UWK240" s="397"/>
      <c r="UWL240" s="397"/>
      <c r="UWM240" s="397"/>
      <c r="UWN240" s="397"/>
      <c r="UWO240" s="397"/>
      <c r="UWP240" s="397"/>
      <c r="UWQ240" s="397"/>
      <c r="UWR240" s="397"/>
      <c r="UWS240" s="397"/>
      <c r="UWT240" s="397"/>
      <c r="UWU240" s="397"/>
      <c r="UWV240" s="397"/>
      <c r="UWW240" s="397"/>
      <c r="UWX240" s="397"/>
      <c r="UWY240" s="397"/>
      <c r="UWZ240" s="397"/>
      <c r="UXA240" s="397"/>
      <c r="UXB240" s="397"/>
      <c r="UXC240" s="397"/>
      <c r="UXD240" s="397"/>
      <c r="UXE240" s="397"/>
      <c r="UXF240" s="397"/>
      <c r="UXG240" s="397"/>
      <c r="UXH240" s="397"/>
      <c r="UXI240" s="397"/>
      <c r="UXJ240" s="397"/>
      <c r="UXK240" s="397"/>
      <c r="UXL240" s="397"/>
      <c r="UXM240" s="397"/>
      <c r="UXN240" s="397"/>
      <c r="UXO240" s="397"/>
      <c r="UXP240" s="397"/>
      <c r="UXQ240" s="397"/>
      <c r="UXR240" s="397"/>
      <c r="UXS240" s="397"/>
      <c r="UXT240" s="397"/>
      <c r="UXU240" s="397"/>
      <c r="UXV240" s="397"/>
      <c r="UXW240" s="397"/>
      <c r="UXX240" s="397"/>
      <c r="UXY240" s="397"/>
      <c r="UXZ240" s="397"/>
      <c r="UYA240" s="397"/>
      <c r="UYB240" s="397"/>
      <c r="UYC240" s="397"/>
      <c r="UYD240" s="397"/>
      <c r="UYE240" s="397"/>
      <c r="UYF240" s="397"/>
      <c r="UYG240" s="397"/>
      <c r="UYH240" s="397"/>
      <c r="UYI240" s="397"/>
      <c r="UYJ240" s="397"/>
      <c r="UYK240" s="397"/>
      <c r="UYL240" s="397"/>
      <c r="UYM240" s="397"/>
      <c r="UYN240" s="397"/>
      <c r="UYO240" s="397"/>
      <c r="UYP240" s="397"/>
      <c r="UYQ240" s="397"/>
      <c r="UYR240" s="397"/>
      <c r="UYS240" s="397"/>
      <c r="UYT240" s="397"/>
      <c r="UYU240" s="397"/>
      <c r="UYV240" s="397"/>
      <c r="UYW240" s="397"/>
      <c r="UYX240" s="397"/>
      <c r="UYY240" s="397"/>
      <c r="UYZ240" s="397"/>
      <c r="UZA240" s="397"/>
      <c r="UZB240" s="397"/>
      <c r="UZC240" s="397"/>
      <c r="UZD240" s="397"/>
      <c r="UZE240" s="397"/>
      <c r="UZF240" s="397"/>
      <c r="UZG240" s="397"/>
      <c r="UZH240" s="397"/>
      <c r="UZI240" s="397"/>
      <c r="UZJ240" s="397"/>
      <c r="UZK240" s="397"/>
      <c r="UZL240" s="397"/>
      <c r="UZM240" s="397"/>
      <c r="UZN240" s="397"/>
      <c r="UZO240" s="397"/>
      <c r="UZP240" s="397"/>
      <c r="UZQ240" s="397"/>
      <c r="UZR240" s="397"/>
      <c r="UZS240" s="397"/>
      <c r="UZT240" s="397"/>
      <c r="UZU240" s="397"/>
      <c r="UZV240" s="397"/>
      <c r="UZW240" s="397"/>
      <c r="UZX240" s="397"/>
      <c r="UZY240" s="397"/>
      <c r="UZZ240" s="397"/>
      <c r="VAA240" s="397"/>
      <c r="VAB240" s="397"/>
      <c r="VAC240" s="397"/>
      <c r="VAD240" s="397"/>
      <c r="VAE240" s="397"/>
      <c r="VAF240" s="397"/>
      <c r="VAG240" s="397"/>
      <c r="VAH240" s="397"/>
      <c r="VAI240" s="397"/>
      <c r="VAJ240" s="397"/>
      <c r="VAK240" s="397"/>
      <c r="VAL240" s="397"/>
      <c r="VAM240" s="397"/>
      <c r="VAN240" s="397"/>
      <c r="VAO240" s="397"/>
      <c r="VAP240" s="397"/>
      <c r="VAQ240" s="397"/>
      <c r="VAR240" s="397"/>
      <c r="VAS240" s="397"/>
      <c r="VAT240" s="397"/>
      <c r="VAU240" s="397"/>
      <c r="VAV240" s="397"/>
      <c r="VAW240" s="397"/>
      <c r="VAX240" s="397"/>
      <c r="VAY240" s="397"/>
      <c r="VAZ240" s="397"/>
      <c r="VBA240" s="397"/>
      <c r="VBB240" s="397"/>
      <c r="VBC240" s="397"/>
      <c r="VBD240" s="397"/>
      <c r="VBE240" s="397"/>
      <c r="VBF240" s="397"/>
      <c r="VBG240" s="397"/>
      <c r="VBH240" s="397"/>
      <c r="VBI240" s="397"/>
      <c r="VBJ240" s="397"/>
      <c r="VBK240" s="397"/>
      <c r="VBL240" s="397"/>
      <c r="VBM240" s="397"/>
      <c r="VBN240" s="397"/>
      <c r="VBO240" s="397"/>
      <c r="VBP240" s="397"/>
      <c r="VBQ240" s="397"/>
      <c r="VBR240" s="397"/>
      <c r="VBS240" s="397"/>
      <c r="VBT240" s="397"/>
      <c r="VBU240" s="397"/>
      <c r="VBV240" s="397"/>
      <c r="VBW240" s="397"/>
      <c r="VBX240" s="397"/>
      <c r="VBY240" s="397"/>
      <c r="VBZ240" s="397"/>
      <c r="VCA240" s="397"/>
      <c r="VCB240" s="397"/>
      <c r="VCC240" s="397"/>
      <c r="VCD240" s="397"/>
      <c r="VCE240" s="397"/>
      <c r="VCF240" s="397"/>
      <c r="VCG240" s="397"/>
      <c r="VCH240" s="397"/>
      <c r="VCI240" s="397"/>
      <c r="VCJ240" s="397"/>
      <c r="VCK240" s="397"/>
      <c r="VCL240" s="397"/>
      <c r="VCM240" s="397"/>
      <c r="VCN240" s="397"/>
      <c r="VCO240" s="397"/>
      <c r="VCP240" s="397"/>
      <c r="VCQ240" s="397"/>
      <c r="VCR240" s="397"/>
      <c r="VCS240" s="397"/>
      <c r="VCT240" s="397"/>
      <c r="VCU240" s="397"/>
      <c r="VCV240" s="397"/>
      <c r="VCW240" s="397"/>
      <c r="VCX240" s="397"/>
      <c r="VCY240" s="397"/>
      <c r="VCZ240" s="397"/>
      <c r="VDA240" s="397"/>
      <c r="VDB240" s="397"/>
      <c r="VDC240" s="397"/>
      <c r="VDD240" s="397"/>
      <c r="VDE240" s="397"/>
      <c r="VDF240" s="397"/>
      <c r="VDG240" s="397"/>
      <c r="VDH240" s="397"/>
      <c r="VDI240" s="397"/>
      <c r="VDJ240" s="397"/>
      <c r="VDK240" s="397"/>
      <c r="VDL240" s="397"/>
      <c r="VDM240" s="397"/>
      <c r="VDN240" s="397"/>
      <c r="VDO240" s="397"/>
      <c r="VDP240" s="397"/>
      <c r="VDQ240" s="397"/>
      <c r="VDR240" s="397"/>
      <c r="VDS240" s="397"/>
      <c r="VDT240" s="397"/>
      <c r="VDU240" s="397"/>
      <c r="VDV240" s="397"/>
      <c r="VDW240" s="397"/>
      <c r="VDX240" s="397"/>
      <c r="VDY240" s="397"/>
      <c r="VDZ240" s="397"/>
      <c r="VEA240" s="397"/>
      <c r="VEB240" s="397"/>
      <c r="VEC240" s="397"/>
      <c r="VED240" s="397"/>
      <c r="VEE240" s="397"/>
      <c r="VEF240" s="397"/>
      <c r="VEG240" s="397"/>
      <c r="VEH240" s="397"/>
      <c r="VEI240" s="397"/>
      <c r="VEJ240" s="397"/>
      <c r="VEK240" s="397"/>
      <c r="VEL240" s="397"/>
      <c r="VEM240" s="397"/>
      <c r="VEN240" s="397"/>
      <c r="VEO240" s="397"/>
      <c r="VEP240" s="397"/>
      <c r="VEQ240" s="397"/>
      <c r="VER240" s="397"/>
      <c r="VES240" s="397"/>
      <c r="VET240" s="397"/>
      <c r="VEU240" s="397"/>
      <c r="VEV240" s="397"/>
      <c r="VEW240" s="397"/>
      <c r="VEX240" s="397"/>
      <c r="VEY240" s="397"/>
      <c r="VEZ240" s="397"/>
      <c r="VFA240" s="397"/>
      <c r="VFB240" s="397"/>
      <c r="VFC240" s="397"/>
      <c r="VFD240" s="397"/>
      <c r="VFE240" s="397"/>
      <c r="VFF240" s="397"/>
      <c r="VFG240" s="397"/>
      <c r="VFH240" s="397"/>
      <c r="VFI240" s="397"/>
      <c r="VFJ240" s="397"/>
      <c r="VFK240" s="397"/>
      <c r="VFL240" s="397"/>
      <c r="VFM240" s="397"/>
      <c r="VFN240" s="397"/>
      <c r="VFO240" s="397"/>
      <c r="VFP240" s="397"/>
      <c r="VFQ240" s="397"/>
      <c r="VFR240" s="397"/>
      <c r="VFS240" s="397"/>
      <c r="VFT240" s="397"/>
      <c r="VFU240" s="397"/>
      <c r="VFV240" s="397"/>
      <c r="VFW240" s="397"/>
      <c r="VFX240" s="397"/>
      <c r="VFY240" s="397"/>
      <c r="VFZ240" s="397"/>
      <c r="VGA240" s="397"/>
      <c r="VGB240" s="397"/>
      <c r="VGC240" s="397"/>
      <c r="VGD240" s="397"/>
      <c r="VGE240" s="397"/>
      <c r="VGF240" s="397"/>
      <c r="VGG240" s="397"/>
      <c r="VGH240" s="397"/>
      <c r="VGI240" s="397"/>
      <c r="VGJ240" s="397"/>
      <c r="VGK240" s="397"/>
      <c r="VGL240" s="397"/>
      <c r="VGM240" s="397"/>
      <c r="VGN240" s="397"/>
      <c r="VGO240" s="397"/>
      <c r="VGP240" s="397"/>
      <c r="VGQ240" s="397"/>
      <c r="VGR240" s="397"/>
      <c r="VGS240" s="397"/>
      <c r="VGT240" s="397"/>
      <c r="VGU240" s="397"/>
      <c r="VGV240" s="397"/>
      <c r="VGW240" s="397"/>
      <c r="VGX240" s="397"/>
      <c r="VGY240" s="397"/>
      <c r="VGZ240" s="397"/>
      <c r="VHA240" s="397"/>
      <c r="VHB240" s="397"/>
      <c r="VHC240" s="397"/>
      <c r="VHD240" s="397"/>
      <c r="VHE240" s="397"/>
      <c r="VHF240" s="397"/>
      <c r="VHG240" s="397"/>
      <c r="VHH240" s="397"/>
      <c r="VHI240" s="397"/>
      <c r="VHJ240" s="397"/>
      <c r="VHK240" s="397"/>
      <c r="VHL240" s="397"/>
      <c r="VHM240" s="397"/>
      <c r="VHN240" s="397"/>
      <c r="VHO240" s="397"/>
      <c r="VHP240" s="397"/>
      <c r="VHQ240" s="397"/>
      <c r="VHR240" s="397"/>
      <c r="VHS240" s="397"/>
      <c r="VHT240" s="397"/>
      <c r="VHU240" s="397"/>
      <c r="VHV240" s="397"/>
      <c r="VHW240" s="397"/>
      <c r="VHX240" s="397"/>
      <c r="VHY240" s="397"/>
      <c r="VHZ240" s="397"/>
      <c r="VIA240" s="397"/>
      <c r="VIB240" s="397"/>
      <c r="VIC240" s="397"/>
      <c r="VID240" s="397"/>
      <c r="VIE240" s="397"/>
      <c r="VIF240" s="397"/>
      <c r="VIG240" s="397"/>
      <c r="VIH240" s="397"/>
      <c r="VII240" s="397"/>
      <c r="VIJ240" s="397"/>
      <c r="VIK240" s="397"/>
      <c r="VIL240" s="397"/>
      <c r="VIM240" s="397"/>
      <c r="VIN240" s="397"/>
      <c r="VIO240" s="397"/>
      <c r="VIP240" s="397"/>
      <c r="VIQ240" s="397"/>
      <c r="VIR240" s="397"/>
      <c r="VIS240" s="397"/>
      <c r="VIT240" s="397"/>
      <c r="VIU240" s="397"/>
      <c r="VIV240" s="397"/>
      <c r="VIW240" s="397"/>
      <c r="VIX240" s="397"/>
      <c r="VIY240" s="397"/>
      <c r="VIZ240" s="397"/>
      <c r="VJA240" s="397"/>
      <c r="VJB240" s="397"/>
      <c r="VJC240" s="397"/>
      <c r="VJD240" s="397"/>
      <c r="VJE240" s="397"/>
      <c r="VJF240" s="397"/>
      <c r="VJG240" s="397"/>
      <c r="VJH240" s="397"/>
      <c r="VJI240" s="397"/>
      <c r="VJJ240" s="397"/>
      <c r="VJK240" s="397"/>
      <c r="VJL240" s="397"/>
      <c r="VJM240" s="397"/>
      <c r="VJN240" s="397"/>
      <c r="VJO240" s="397"/>
      <c r="VJP240" s="397"/>
      <c r="VJQ240" s="397"/>
      <c r="VJR240" s="397"/>
      <c r="VJS240" s="397"/>
      <c r="VJT240" s="397"/>
      <c r="VJU240" s="397"/>
      <c r="VJV240" s="397"/>
      <c r="VJW240" s="397"/>
      <c r="VJX240" s="397"/>
      <c r="VJY240" s="397"/>
      <c r="VJZ240" s="397"/>
      <c r="VKA240" s="397"/>
      <c r="VKB240" s="397"/>
      <c r="VKC240" s="397"/>
      <c r="VKD240" s="397"/>
      <c r="VKE240" s="397"/>
      <c r="VKF240" s="397"/>
      <c r="VKG240" s="397"/>
      <c r="VKH240" s="397"/>
      <c r="VKI240" s="397"/>
      <c r="VKJ240" s="397"/>
      <c r="VKK240" s="397"/>
      <c r="VKL240" s="397"/>
      <c r="VKM240" s="397"/>
      <c r="VKN240" s="397"/>
      <c r="VKO240" s="397"/>
      <c r="VKP240" s="397"/>
      <c r="VKQ240" s="397"/>
      <c r="VKR240" s="397"/>
      <c r="VKS240" s="397"/>
      <c r="VKT240" s="397"/>
      <c r="VKU240" s="397"/>
      <c r="VKV240" s="397"/>
      <c r="VKW240" s="397"/>
      <c r="VKX240" s="397"/>
      <c r="VKY240" s="397"/>
      <c r="VKZ240" s="397"/>
      <c r="VLA240" s="397"/>
      <c r="VLB240" s="397"/>
      <c r="VLC240" s="397"/>
      <c r="VLD240" s="397"/>
      <c r="VLE240" s="397"/>
      <c r="VLF240" s="397"/>
      <c r="VLG240" s="397"/>
      <c r="VLH240" s="397"/>
      <c r="VLI240" s="397"/>
      <c r="VLJ240" s="397"/>
      <c r="VLK240" s="397"/>
      <c r="VLL240" s="397"/>
      <c r="VLM240" s="397"/>
      <c r="VLN240" s="397"/>
      <c r="VLO240" s="397"/>
      <c r="VLP240" s="397"/>
      <c r="VLQ240" s="397"/>
      <c r="VLR240" s="397"/>
      <c r="VLS240" s="397"/>
      <c r="VLT240" s="397"/>
      <c r="VLU240" s="397"/>
      <c r="VLV240" s="397"/>
      <c r="VLW240" s="397"/>
      <c r="VLX240" s="397"/>
      <c r="VLY240" s="397"/>
      <c r="VLZ240" s="397"/>
      <c r="VMA240" s="397"/>
      <c r="VMB240" s="397"/>
      <c r="VMC240" s="397"/>
      <c r="VMD240" s="397"/>
      <c r="VME240" s="397"/>
      <c r="VMF240" s="397"/>
      <c r="VMG240" s="397"/>
      <c r="VMH240" s="397"/>
      <c r="VMI240" s="397"/>
      <c r="VMJ240" s="397"/>
      <c r="VMK240" s="397"/>
      <c r="VML240" s="397"/>
      <c r="VMM240" s="397"/>
      <c r="VMN240" s="397"/>
      <c r="VMO240" s="397"/>
      <c r="VMP240" s="397"/>
      <c r="VMQ240" s="397"/>
      <c r="VMR240" s="397"/>
      <c r="VMS240" s="397"/>
      <c r="VMT240" s="397"/>
      <c r="VMU240" s="397"/>
      <c r="VMV240" s="397"/>
      <c r="VMW240" s="397"/>
      <c r="VMX240" s="397"/>
      <c r="VMY240" s="397"/>
      <c r="VMZ240" s="397"/>
      <c r="VNA240" s="397"/>
      <c r="VNB240" s="397"/>
      <c r="VNC240" s="397"/>
      <c r="VND240" s="397"/>
      <c r="VNE240" s="397"/>
      <c r="VNF240" s="397"/>
      <c r="VNG240" s="397"/>
      <c r="VNH240" s="397"/>
      <c r="VNI240" s="397"/>
      <c r="VNJ240" s="397"/>
      <c r="VNK240" s="397"/>
      <c r="VNL240" s="397"/>
      <c r="VNM240" s="397"/>
      <c r="VNN240" s="397"/>
      <c r="VNO240" s="397"/>
      <c r="VNP240" s="397"/>
      <c r="VNQ240" s="397"/>
      <c r="VNR240" s="397"/>
      <c r="VNS240" s="397"/>
      <c r="VNT240" s="397"/>
      <c r="VNU240" s="397"/>
      <c r="VNV240" s="397"/>
      <c r="VNW240" s="397"/>
      <c r="VNX240" s="397"/>
      <c r="VNY240" s="397"/>
      <c r="VNZ240" s="397"/>
      <c r="VOA240" s="397"/>
      <c r="VOB240" s="397"/>
      <c r="VOC240" s="397"/>
      <c r="VOD240" s="397"/>
      <c r="VOE240" s="397"/>
      <c r="VOF240" s="397"/>
      <c r="VOG240" s="397"/>
      <c r="VOH240" s="397"/>
      <c r="VOI240" s="397"/>
      <c r="VOJ240" s="397"/>
      <c r="VOK240" s="397"/>
      <c r="VOL240" s="397"/>
      <c r="VOM240" s="397"/>
      <c r="VON240" s="397"/>
      <c r="VOO240" s="397"/>
      <c r="VOP240" s="397"/>
      <c r="VOQ240" s="397"/>
      <c r="VOR240" s="397"/>
      <c r="VOS240" s="397"/>
      <c r="VOT240" s="397"/>
      <c r="VOU240" s="397"/>
      <c r="VOV240" s="397"/>
      <c r="VOW240" s="397"/>
      <c r="VOX240" s="397"/>
      <c r="VOY240" s="397"/>
      <c r="VOZ240" s="397"/>
      <c r="VPA240" s="397"/>
      <c r="VPB240" s="397"/>
      <c r="VPC240" s="397"/>
      <c r="VPD240" s="397"/>
      <c r="VPE240" s="397"/>
      <c r="VPF240" s="397"/>
      <c r="VPG240" s="397"/>
      <c r="VPH240" s="397"/>
      <c r="VPI240" s="397"/>
      <c r="VPJ240" s="397"/>
      <c r="VPK240" s="397"/>
      <c r="VPL240" s="397"/>
      <c r="VPM240" s="397"/>
      <c r="VPN240" s="397"/>
      <c r="VPO240" s="397"/>
      <c r="VPP240" s="397"/>
      <c r="VPQ240" s="397"/>
      <c r="VPR240" s="397"/>
      <c r="VPS240" s="397"/>
      <c r="VPT240" s="397"/>
      <c r="VPU240" s="397"/>
      <c r="VPV240" s="397"/>
      <c r="VPW240" s="397"/>
      <c r="VPX240" s="397"/>
      <c r="VPY240" s="397"/>
      <c r="VPZ240" s="397"/>
      <c r="VQA240" s="397"/>
      <c r="VQB240" s="397"/>
      <c r="VQC240" s="397"/>
      <c r="VQD240" s="397"/>
      <c r="VQE240" s="397"/>
      <c r="VQF240" s="397"/>
      <c r="VQG240" s="397"/>
      <c r="VQH240" s="397"/>
      <c r="VQI240" s="397"/>
      <c r="VQJ240" s="397"/>
      <c r="VQK240" s="397"/>
      <c r="VQL240" s="397"/>
      <c r="VQM240" s="397"/>
      <c r="VQN240" s="397"/>
      <c r="VQO240" s="397"/>
      <c r="VQP240" s="397"/>
      <c r="VQQ240" s="397"/>
      <c r="VQR240" s="397"/>
      <c r="VQS240" s="397"/>
      <c r="VQT240" s="397"/>
      <c r="VQU240" s="397"/>
      <c r="VQV240" s="397"/>
      <c r="VQW240" s="397"/>
      <c r="VQX240" s="397"/>
      <c r="VQY240" s="397"/>
      <c r="VQZ240" s="397"/>
      <c r="VRA240" s="397"/>
      <c r="VRB240" s="397"/>
      <c r="VRC240" s="397"/>
      <c r="VRD240" s="397"/>
      <c r="VRE240" s="397"/>
      <c r="VRF240" s="397"/>
      <c r="VRG240" s="397"/>
      <c r="VRH240" s="397"/>
      <c r="VRI240" s="397"/>
      <c r="VRJ240" s="397"/>
      <c r="VRK240" s="397"/>
      <c r="VRL240" s="397"/>
      <c r="VRM240" s="397"/>
      <c r="VRN240" s="397"/>
      <c r="VRO240" s="397"/>
      <c r="VRP240" s="397"/>
      <c r="VRQ240" s="397"/>
      <c r="VRR240" s="397"/>
      <c r="VRS240" s="397"/>
      <c r="VRT240" s="397"/>
      <c r="VRU240" s="397"/>
      <c r="VRV240" s="397"/>
      <c r="VRW240" s="397"/>
      <c r="VRX240" s="397"/>
      <c r="VRY240" s="397"/>
      <c r="VRZ240" s="397"/>
      <c r="VSA240" s="397"/>
      <c r="VSB240" s="397"/>
      <c r="VSC240" s="397"/>
      <c r="VSD240" s="397"/>
      <c r="VSE240" s="397"/>
      <c r="VSF240" s="397"/>
      <c r="VSG240" s="397"/>
      <c r="VSH240" s="397"/>
      <c r="VSI240" s="397"/>
      <c r="VSJ240" s="397"/>
      <c r="VSK240" s="397"/>
      <c r="VSL240" s="397"/>
      <c r="VSM240" s="397"/>
      <c r="VSN240" s="397"/>
      <c r="VSO240" s="397"/>
      <c r="VSP240" s="397"/>
      <c r="VSQ240" s="397"/>
      <c r="VSR240" s="397"/>
      <c r="VSS240" s="397"/>
      <c r="VST240" s="397"/>
      <c r="VSU240" s="397"/>
      <c r="VSV240" s="397"/>
      <c r="VSW240" s="397"/>
      <c r="VSX240" s="397"/>
      <c r="VSY240" s="397"/>
      <c r="VSZ240" s="397"/>
      <c r="VTA240" s="397"/>
      <c r="VTB240" s="397"/>
      <c r="VTC240" s="397"/>
      <c r="VTD240" s="397"/>
      <c r="VTE240" s="397"/>
      <c r="VTF240" s="397"/>
      <c r="VTG240" s="397"/>
      <c r="VTH240" s="397"/>
      <c r="VTI240" s="397"/>
      <c r="VTJ240" s="397"/>
      <c r="VTK240" s="397"/>
      <c r="VTL240" s="397"/>
      <c r="VTM240" s="397"/>
      <c r="VTN240" s="397"/>
      <c r="VTO240" s="397"/>
      <c r="VTP240" s="397"/>
      <c r="VTQ240" s="397"/>
      <c r="VTR240" s="397"/>
      <c r="VTS240" s="397"/>
      <c r="VTT240" s="397"/>
      <c r="VTU240" s="397"/>
      <c r="VTV240" s="397"/>
      <c r="VTW240" s="397"/>
      <c r="VTX240" s="397"/>
      <c r="VTY240" s="397"/>
      <c r="VTZ240" s="397"/>
      <c r="VUA240" s="397"/>
      <c r="VUB240" s="397"/>
      <c r="VUC240" s="397"/>
      <c r="VUD240" s="397"/>
      <c r="VUE240" s="397"/>
      <c r="VUF240" s="397"/>
      <c r="VUG240" s="397"/>
      <c r="VUH240" s="397"/>
      <c r="VUI240" s="397"/>
      <c r="VUJ240" s="397"/>
      <c r="VUK240" s="397"/>
      <c r="VUL240" s="397"/>
      <c r="VUM240" s="397"/>
      <c r="VUN240" s="397"/>
      <c r="VUO240" s="397"/>
      <c r="VUP240" s="397"/>
      <c r="VUQ240" s="397"/>
      <c r="VUR240" s="397"/>
      <c r="VUS240" s="397"/>
      <c r="VUT240" s="397"/>
      <c r="VUU240" s="397"/>
      <c r="VUV240" s="397"/>
      <c r="VUW240" s="397"/>
      <c r="VUX240" s="397"/>
      <c r="VUY240" s="397"/>
      <c r="VUZ240" s="397"/>
      <c r="VVA240" s="397"/>
      <c r="VVB240" s="397"/>
      <c r="VVC240" s="397"/>
      <c r="VVD240" s="397"/>
      <c r="VVE240" s="397"/>
      <c r="VVF240" s="397"/>
      <c r="VVG240" s="397"/>
      <c r="VVH240" s="397"/>
      <c r="VVI240" s="397"/>
      <c r="VVJ240" s="397"/>
      <c r="VVK240" s="397"/>
      <c r="VVL240" s="397"/>
      <c r="VVM240" s="397"/>
      <c r="VVN240" s="397"/>
      <c r="VVO240" s="397"/>
      <c r="VVP240" s="397"/>
      <c r="VVQ240" s="397"/>
      <c r="VVR240" s="397"/>
      <c r="VVS240" s="397"/>
      <c r="VVT240" s="397"/>
      <c r="VVU240" s="397"/>
      <c r="VVV240" s="397"/>
      <c r="VVW240" s="397"/>
      <c r="VVX240" s="397"/>
      <c r="VVY240" s="397"/>
      <c r="VVZ240" s="397"/>
      <c r="VWA240" s="397"/>
      <c r="VWB240" s="397"/>
      <c r="VWC240" s="397"/>
      <c r="VWD240" s="397"/>
      <c r="VWE240" s="397"/>
      <c r="VWF240" s="397"/>
      <c r="VWG240" s="397"/>
      <c r="VWH240" s="397"/>
      <c r="VWI240" s="397"/>
      <c r="VWJ240" s="397"/>
      <c r="VWK240" s="397"/>
      <c r="VWL240" s="397"/>
      <c r="VWM240" s="397"/>
      <c r="VWN240" s="397"/>
      <c r="VWO240" s="397"/>
      <c r="VWP240" s="397"/>
      <c r="VWQ240" s="397"/>
      <c r="VWR240" s="397"/>
      <c r="VWS240" s="397"/>
      <c r="VWT240" s="397"/>
      <c r="VWU240" s="397"/>
      <c r="VWV240" s="397"/>
      <c r="VWW240" s="397"/>
      <c r="VWX240" s="397"/>
      <c r="VWY240" s="397"/>
      <c r="VWZ240" s="397"/>
      <c r="VXA240" s="397"/>
      <c r="VXB240" s="397"/>
      <c r="VXC240" s="397"/>
      <c r="VXD240" s="397"/>
      <c r="VXE240" s="397"/>
      <c r="VXF240" s="397"/>
      <c r="VXG240" s="397"/>
      <c r="VXH240" s="397"/>
      <c r="VXI240" s="397"/>
      <c r="VXJ240" s="397"/>
      <c r="VXK240" s="397"/>
      <c r="VXL240" s="397"/>
      <c r="VXM240" s="397"/>
      <c r="VXN240" s="397"/>
      <c r="VXO240" s="397"/>
      <c r="VXP240" s="397"/>
      <c r="VXQ240" s="397"/>
      <c r="VXR240" s="397"/>
      <c r="VXS240" s="397"/>
      <c r="VXT240" s="397"/>
      <c r="VXU240" s="397"/>
      <c r="VXV240" s="397"/>
      <c r="VXW240" s="397"/>
      <c r="VXX240" s="397"/>
      <c r="VXY240" s="397"/>
      <c r="VXZ240" s="397"/>
      <c r="VYA240" s="397"/>
      <c r="VYB240" s="397"/>
      <c r="VYC240" s="397"/>
      <c r="VYD240" s="397"/>
      <c r="VYE240" s="397"/>
      <c r="VYF240" s="397"/>
      <c r="VYG240" s="397"/>
      <c r="VYH240" s="397"/>
      <c r="VYI240" s="397"/>
      <c r="VYJ240" s="397"/>
      <c r="VYK240" s="397"/>
      <c r="VYL240" s="397"/>
      <c r="VYM240" s="397"/>
      <c r="VYN240" s="397"/>
      <c r="VYO240" s="397"/>
      <c r="VYP240" s="397"/>
      <c r="VYQ240" s="397"/>
      <c r="VYR240" s="397"/>
      <c r="VYS240" s="397"/>
      <c r="VYT240" s="397"/>
      <c r="VYU240" s="397"/>
      <c r="VYV240" s="397"/>
      <c r="VYW240" s="397"/>
      <c r="VYX240" s="397"/>
      <c r="VYY240" s="397"/>
      <c r="VYZ240" s="397"/>
      <c r="VZA240" s="397"/>
      <c r="VZB240" s="397"/>
      <c r="VZC240" s="397"/>
      <c r="VZD240" s="397"/>
      <c r="VZE240" s="397"/>
      <c r="VZF240" s="397"/>
      <c r="VZG240" s="397"/>
      <c r="VZH240" s="397"/>
      <c r="VZI240" s="397"/>
      <c r="VZJ240" s="397"/>
      <c r="VZK240" s="397"/>
      <c r="VZL240" s="397"/>
      <c r="VZM240" s="397"/>
      <c r="VZN240" s="397"/>
      <c r="VZO240" s="397"/>
      <c r="VZP240" s="397"/>
      <c r="VZQ240" s="397"/>
      <c r="VZR240" s="397"/>
      <c r="VZS240" s="397"/>
      <c r="VZT240" s="397"/>
      <c r="VZU240" s="397"/>
      <c r="VZV240" s="397"/>
      <c r="VZW240" s="397"/>
      <c r="VZX240" s="397"/>
      <c r="VZY240" s="397"/>
      <c r="VZZ240" s="397"/>
      <c r="WAA240" s="397"/>
      <c r="WAB240" s="397"/>
      <c r="WAC240" s="397"/>
      <c r="WAD240" s="397"/>
      <c r="WAE240" s="397"/>
      <c r="WAF240" s="397"/>
      <c r="WAG240" s="397"/>
      <c r="WAH240" s="397"/>
      <c r="WAI240" s="397"/>
      <c r="WAJ240" s="397"/>
      <c r="WAK240" s="397"/>
      <c r="WAL240" s="397"/>
      <c r="WAM240" s="397"/>
      <c r="WAN240" s="397"/>
      <c r="WAO240" s="397"/>
      <c r="WAP240" s="397"/>
      <c r="WAQ240" s="397"/>
      <c r="WAR240" s="397"/>
      <c r="WAS240" s="397"/>
      <c r="WAT240" s="397"/>
      <c r="WAU240" s="397"/>
      <c r="WAV240" s="397"/>
      <c r="WAW240" s="397"/>
      <c r="WAX240" s="397"/>
      <c r="WAY240" s="397"/>
      <c r="WAZ240" s="397"/>
      <c r="WBA240" s="397"/>
      <c r="WBB240" s="397"/>
      <c r="WBC240" s="397"/>
      <c r="WBD240" s="397"/>
      <c r="WBE240" s="397"/>
      <c r="WBF240" s="397"/>
      <c r="WBG240" s="397"/>
      <c r="WBH240" s="397"/>
      <c r="WBI240" s="397"/>
      <c r="WBJ240" s="397"/>
      <c r="WBK240" s="397"/>
      <c r="WBL240" s="397"/>
      <c r="WBM240" s="397"/>
      <c r="WBN240" s="397"/>
      <c r="WBO240" s="397"/>
      <c r="WBP240" s="397"/>
      <c r="WBQ240" s="397"/>
      <c r="WBR240" s="397"/>
      <c r="WBS240" s="397"/>
      <c r="WBT240" s="397"/>
      <c r="WBU240" s="397"/>
      <c r="WBV240" s="397"/>
      <c r="WBW240" s="397"/>
      <c r="WBX240" s="397"/>
      <c r="WBY240" s="397"/>
      <c r="WBZ240" s="397"/>
      <c r="WCA240" s="397"/>
      <c r="WCB240" s="397"/>
      <c r="WCC240" s="397"/>
      <c r="WCD240" s="397"/>
      <c r="WCE240" s="397"/>
      <c r="WCF240" s="397"/>
      <c r="WCG240" s="397"/>
      <c r="WCH240" s="397"/>
      <c r="WCI240" s="397"/>
      <c r="WCJ240" s="397"/>
      <c r="WCK240" s="397"/>
      <c r="WCL240" s="397"/>
      <c r="WCM240" s="397"/>
      <c r="WCN240" s="397"/>
      <c r="WCO240" s="397"/>
      <c r="WCP240" s="397"/>
      <c r="WCQ240" s="397"/>
      <c r="WCR240" s="397"/>
      <c r="WCS240" s="397"/>
      <c r="WCT240" s="397"/>
      <c r="WCU240" s="397"/>
      <c r="WCV240" s="397"/>
      <c r="WCW240" s="397"/>
      <c r="WCX240" s="397"/>
      <c r="WCY240" s="397"/>
      <c r="WCZ240" s="397"/>
      <c r="WDA240" s="397"/>
      <c r="WDB240" s="397"/>
      <c r="WDC240" s="397"/>
      <c r="WDD240" s="397"/>
      <c r="WDE240" s="397"/>
      <c r="WDF240" s="397"/>
      <c r="WDG240" s="397"/>
      <c r="WDH240" s="397"/>
      <c r="WDI240" s="397"/>
      <c r="WDJ240" s="397"/>
      <c r="WDK240" s="397"/>
      <c r="WDL240" s="397"/>
      <c r="WDM240" s="397"/>
      <c r="WDN240" s="397"/>
      <c r="WDO240" s="397"/>
      <c r="WDP240" s="397"/>
      <c r="WDQ240" s="397"/>
      <c r="WDR240" s="397"/>
      <c r="WDS240" s="397"/>
      <c r="WDT240" s="397"/>
      <c r="WDU240" s="397"/>
      <c r="WDV240" s="397"/>
      <c r="WDW240" s="397"/>
      <c r="WDX240" s="397"/>
      <c r="WDY240" s="397"/>
      <c r="WDZ240" s="397"/>
      <c r="WEA240" s="397"/>
      <c r="WEB240" s="397"/>
      <c r="WEC240" s="397"/>
      <c r="WED240" s="397"/>
      <c r="WEE240" s="397"/>
      <c r="WEF240" s="397"/>
      <c r="WEG240" s="397"/>
      <c r="WEH240" s="397"/>
      <c r="WEI240" s="397"/>
      <c r="WEJ240" s="397"/>
      <c r="WEK240" s="397"/>
      <c r="WEL240" s="397"/>
      <c r="WEM240" s="397"/>
      <c r="WEN240" s="397"/>
      <c r="WEO240" s="397"/>
      <c r="WEP240" s="397"/>
      <c r="WEQ240" s="397"/>
      <c r="WER240" s="397"/>
      <c r="WES240" s="397"/>
      <c r="WET240" s="397"/>
      <c r="WEU240" s="397"/>
      <c r="WEV240" s="397"/>
      <c r="WEW240" s="397"/>
      <c r="WEX240" s="397"/>
      <c r="WEY240" s="397"/>
      <c r="WEZ240" s="397"/>
      <c r="WFA240" s="397"/>
      <c r="WFB240" s="397"/>
      <c r="WFC240" s="397"/>
      <c r="WFD240" s="397"/>
      <c r="WFE240" s="397"/>
      <c r="WFF240" s="397"/>
      <c r="WFG240" s="397"/>
      <c r="WFH240" s="397"/>
      <c r="WFI240" s="397"/>
      <c r="WFJ240" s="397"/>
      <c r="WFK240" s="397"/>
      <c r="WFL240" s="397"/>
      <c r="WFM240" s="397"/>
      <c r="WFN240" s="397"/>
      <c r="WFO240" s="397"/>
      <c r="WFP240" s="397"/>
      <c r="WFQ240" s="397"/>
      <c r="WFR240" s="397"/>
      <c r="WFS240" s="397"/>
      <c r="WFT240" s="397"/>
      <c r="WFU240" s="397"/>
      <c r="WFV240" s="397"/>
      <c r="WFW240" s="397"/>
      <c r="WFX240" s="397"/>
      <c r="WFY240" s="397"/>
      <c r="WFZ240" s="397"/>
      <c r="WGA240" s="397"/>
      <c r="WGB240" s="397"/>
      <c r="WGC240" s="397"/>
      <c r="WGD240" s="397"/>
      <c r="WGE240" s="397"/>
      <c r="WGF240" s="397"/>
      <c r="WGG240" s="397"/>
      <c r="WGH240" s="397"/>
      <c r="WGI240" s="397"/>
      <c r="WGJ240" s="397"/>
      <c r="WGK240" s="397"/>
      <c r="WGL240" s="397"/>
      <c r="WGM240" s="397"/>
      <c r="WGN240" s="397"/>
      <c r="WGO240" s="397"/>
      <c r="WGP240" s="397"/>
      <c r="WGQ240" s="397"/>
      <c r="WGR240" s="397"/>
      <c r="WGS240" s="397"/>
      <c r="WGT240" s="397"/>
      <c r="WGU240" s="397"/>
      <c r="WGV240" s="397"/>
      <c r="WGW240" s="397"/>
      <c r="WGX240" s="397"/>
      <c r="WGY240" s="397"/>
      <c r="WGZ240" s="397"/>
      <c r="WHA240" s="397"/>
      <c r="WHB240" s="397"/>
      <c r="WHC240" s="397"/>
      <c r="WHD240" s="397"/>
      <c r="WHE240" s="397"/>
      <c r="WHF240" s="397"/>
      <c r="WHG240" s="397"/>
      <c r="WHH240" s="397"/>
      <c r="WHI240" s="397"/>
      <c r="WHJ240" s="397"/>
      <c r="WHK240" s="397"/>
      <c r="WHL240" s="397"/>
      <c r="WHM240" s="397"/>
      <c r="WHN240" s="397"/>
      <c r="WHO240" s="397"/>
      <c r="WHP240" s="397"/>
      <c r="WHQ240" s="397"/>
      <c r="WHR240" s="397"/>
      <c r="WHS240" s="397"/>
      <c r="WHT240" s="397"/>
      <c r="WHU240" s="397"/>
      <c r="WHV240" s="397"/>
      <c r="WHW240" s="397"/>
      <c r="WHX240" s="397"/>
      <c r="WHY240" s="397"/>
      <c r="WHZ240" s="397"/>
      <c r="WIA240" s="397"/>
      <c r="WIB240" s="397"/>
      <c r="WIC240" s="397"/>
      <c r="WID240" s="397"/>
      <c r="WIE240" s="397"/>
      <c r="WIF240" s="397"/>
      <c r="WIG240" s="397"/>
      <c r="WIH240" s="397"/>
      <c r="WII240" s="397"/>
      <c r="WIJ240" s="397"/>
      <c r="WIK240" s="397"/>
      <c r="WIL240" s="397"/>
      <c r="WIM240" s="397"/>
      <c r="WIN240" s="397"/>
      <c r="WIO240" s="397"/>
      <c r="WIP240" s="397"/>
      <c r="WIQ240" s="397"/>
      <c r="WIR240" s="397"/>
      <c r="WIS240" s="397"/>
      <c r="WIT240" s="397"/>
      <c r="WIU240" s="397"/>
      <c r="WIV240" s="397"/>
      <c r="WIW240" s="397"/>
      <c r="WIX240" s="397"/>
      <c r="WIY240" s="397"/>
      <c r="WIZ240" s="397"/>
      <c r="WJA240" s="397"/>
      <c r="WJB240" s="397"/>
      <c r="WJC240" s="397"/>
      <c r="WJD240" s="397"/>
      <c r="WJE240" s="397"/>
      <c r="WJF240" s="397"/>
      <c r="WJG240" s="397"/>
      <c r="WJH240" s="397"/>
      <c r="WJI240" s="397"/>
      <c r="WJJ240" s="397"/>
      <c r="WJK240" s="397"/>
      <c r="WJL240" s="397"/>
      <c r="WJM240" s="397"/>
      <c r="WJN240" s="397"/>
      <c r="WJO240" s="397"/>
      <c r="WJP240" s="397"/>
      <c r="WJQ240" s="397"/>
      <c r="WJR240" s="397"/>
      <c r="WJS240" s="397"/>
      <c r="WJT240" s="397"/>
      <c r="WJU240" s="397"/>
      <c r="WJV240" s="397"/>
      <c r="WJW240" s="397"/>
      <c r="WJX240" s="397"/>
      <c r="WJY240" s="397"/>
      <c r="WJZ240" s="397"/>
      <c r="WKA240" s="397"/>
      <c r="WKB240" s="397"/>
      <c r="WKC240" s="397"/>
      <c r="WKD240" s="397"/>
      <c r="WKE240" s="397"/>
      <c r="WKF240" s="397"/>
      <c r="WKG240" s="397"/>
      <c r="WKH240" s="397"/>
      <c r="WKI240" s="397"/>
      <c r="WKJ240" s="397"/>
      <c r="WKK240" s="397"/>
      <c r="WKL240" s="397"/>
      <c r="WKM240" s="397"/>
      <c r="WKN240" s="397"/>
      <c r="WKO240" s="397"/>
      <c r="WKP240" s="397"/>
      <c r="WKQ240" s="397"/>
      <c r="WKR240" s="397"/>
      <c r="WKS240" s="397"/>
      <c r="WKT240" s="397"/>
      <c r="WKU240" s="397"/>
      <c r="WKV240" s="397"/>
      <c r="WKW240" s="397"/>
      <c r="WKX240" s="397"/>
      <c r="WKY240" s="397"/>
      <c r="WKZ240" s="397"/>
      <c r="WLA240" s="397"/>
      <c r="WLB240" s="397"/>
      <c r="WLC240" s="397"/>
      <c r="WLD240" s="397"/>
      <c r="WLE240" s="397"/>
      <c r="WLF240" s="397"/>
      <c r="WLG240" s="397"/>
      <c r="WLH240" s="397"/>
      <c r="WLI240" s="397"/>
      <c r="WLJ240" s="397"/>
      <c r="WLK240" s="397"/>
      <c r="WLL240" s="397"/>
      <c r="WLM240" s="397"/>
      <c r="WLN240" s="397"/>
      <c r="WLO240" s="397"/>
      <c r="WLP240" s="397"/>
      <c r="WLQ240" s="397"/>
      <c r="WLR240" s="397"/>
      <c r="WLS240" s="397"/>
      <c r="WLT240" s="397"/>
      <c r="WLU240" s="397"/>
      <c r="WLV240" s="397"/>
      <c r="WLW240" s="397"/>
      <c r="WLX240" s="397"/>
      <c r="WLY240" s="397"/>
      <c r="WLZ240" s="397"/>
      <c r="WMA240" s="397"/>
      <c r="WMB240" s="397"/>
      <c r="WMC240" s="397"/>
      <c r="WMD240" s="397"/>
      <c r="WME240" s="397"/>
      <c r="WMF240" s="397"/>
      <c r="WMG240" s="397"/>
      <c r="WMH240" s="397"/>
      <c r="WMI240" s="397"/>
      <c r="WMJ240" s="397"/>
      <c r="WMK240" s="397"/>
      <c r="WML240" s="397"/>
      <c r="WMM240" s="397"/>
      <c r="WMN240" s="397"/>
      <c r="WMO240" s="397"/>
      <c r="WMP240" s="397"/>
      <c r="WMQ240" s="397"/>
      <c r="WMR240" s="397"/>
      <c r="WMS240" s="397"/>
      <c r="WMT240" s="397"/>
      <c r="WMU240" s="397"/>
      <c r="WMV240" s="397"/>
      <c r="WMW240" s="397"/>
      <c r="WMX240" s="397"/>
      <c r="WMY240" s="397"/>
      <c r="WMZ240" s="397"/>
      <c r="WNA240" s="397"/>
      <c r="WNB240" s="397"/>
      <c r="WNC240" s="397"/>
      <c r="WND240" s="397"/>
      <c r="WNE240" s="397"/>
      <c r="WNF240" s="397"/>
      <c r="WNG240" s="397"/>
      <c r="WNH240" s="397"/>
      <c r="WNI240" s="397"/>
      <c r="WNJ240" s="397"/>
      <c r="WNK240" s="397"/>
      <c r="WNL240" s="397"/>
      <c r="WNM240" s="397"/>
      <c r="WNN240" s="397"/>
      <c r="WNO240" s="397"/>
      <c r="WNP240" s="397"/>
      <c r="WNQ240" s="397"/>
      <c r="WNR240" s="397"/>
      <c r="WNS240" s="397"/>
      <c r="WNT240" s="397"/>
      <c r="WNU240" s="397"/>
      <c r="WNV240" s="397"/>
      <c r="WNW240" s="397"/>
      <c r="WNX240" s="397"/>
      <c r="WNY240" s="397"/>
      <c r="WNZ240" s="397"/>
      <c r="WOA240" s="397"/>
      <c r="WOB240" s="397"/>
      <c r="WOC240" s="397"/>
      <c r="WOD240" s="397"/>
      <c r="WOE240" s="397"/>
      <c r="WOF240" s="397"/>
      <c r="WOG240" s="397"/>
      <c r="WOH240" s="397"/>
      <c r="WOI240" s="397"/>
      <c r="WOJ240" s="397"/>
      <c r="WOK240" s="397"/>
      <c r="WOL240" s="397"/>
      <c r="WOM240" s="397"/>
      <c r="WON240" s="397"/>
      <c r="WOO240" s="397"/>
      <c r="WOP240" s="397"/>
      <c r="WOQ240" s="397"/>
      <c r="WOR240" s="397"/>
      <c r="WOS240" s="397"/>
      <c r="WOT240" s="397"/>
      <c r="WOU240" s="397"/>
      <c r="WOV240" s="397"/>
      <c r="WOW240" s="397"/>
      <c r="WOX240" s="397"/>
      <c r="WOY240" s="397"/>
      <c r="WOZ240" s="397"/>
      <c r="WPA240" s="397"/>
      <c r="WPB240" s="397"/>
      <c r="WPC240" s="397"/>
      <c r="WPD240" s="397"/>
      <c r="WPE240" s="397"/>
      <c r="WPF240" s="397"/>
      <c r="WPG240" s="397"/>
      <c r="WPH240" s="397"/>
      <c r="WPI240" s="397"/>
      <c r="WPJ240" s="397"/>
      <c r="WPK240" s="397"/>
      <c r="WPL240" s="397"/>
      <c r="WPM240" s="397"/>
      <c r="WPN240" s="397"/>
      <c r="WPO240" s="397"/>
      <c r="WPP240" s="397"/>
      <c r="WPQ240" s="397"/>
      <c r="WPR240" s="397"/>
      <c r="WPS240" s="397"/>
      <c r="WPT240" s="397"/>
      <c r="WPU240" s="397"/>
      <c r="WPV240" s="397"/>
      <c r="WPW240" s="397"/>
      <c r="WPX240" s="397"/>
      <c r="WPY240" s="397"/>
      <c r="WPZ240" s="397"/>
      <c r="WQA240" s="397"/>
      <c r="WQB240" s="397"/>
      <c r="WQC240" s="397"/>
      <c r="WQD240" s="397"/>
      <c r="WQE240" s="397"/>
      <c r="WQF240" s="397"/>
      <c r="WQG240" s="397"/>
      <c r="WQH240" s="397"/>
      <c r="WQI240" s="397"/>
      <c r="WQJ240" s="397"/>
      <c r="WQK240" s="397"/>
      <c r="WQL240" s="397"/>
      <c r="WQM240" s="397"/>
      <c r="WQN240" s="397"/>
      <c r="WQO240" s="397"/>
      <c r="WQP240" s="397"/>
      <c r="WQQ240" s="397"/>
      <c r="WQR240" s="397"/>
      <c r="WQS240" s="397"/>
      <c r="WQT240" s="397"/>
      <c r="WQU240" s="397"/>
      <c r="WQV240" s="397"/>
      <c r="WQW240" s="397"/>
      <c r="WQX240" s="397"/>
      <c r="WQY240" s="397"/>
      <c r="WQZ240" s="397"/>
      <c r="WRA240" s="397"/>
      <c r="WRB240" s="397"/>
      <c r="WRC240" s="397"/>
      <c r="WRD240" s="397"/>
      <c r="WRE240" s="397"/>
      <c r="WRF240" s="397"/>
      <c r="WRG240" s="397"/>
      <c r="WRH240" s="397"/>
      <c r="WRI240" s="397"/>
      <c r="WRJ240" s="397"/>
      <c r="WRK240" s="397"/>
      <c r="WRL240" s="397"/>
      <c r="WRM240" s="397"/>
      <c r="WRN240" s="397"/>
      <c r="WRO240" s="397"/>
      <c r="WRP240" s="397"/>
      <c r="WRQ240" s="397"/>
      <c r="WRR240" s="397"/>
      <c r="WRS240" s="397"/>
      <c r="WRT240" s="397"/>
      <c r="WRU240" s="397"/>
      <c r="WRV240" s="397"/>
      <c r="WRW240" s="397"/>
      <c r="WRX240" s="397"/>
      <c r="WRY240" s="397"/>
      <c r="WRZ240" s="397"/>
      <c r="WSA240" s="397"/>
      <c r="WSB240" s="397"/>
      <c r="WSC240" s="397"/>
      <c r="WSD240" s="397"/>
      <c r="WSE240" s="397"/>
      <c r="WSF240" s="397"/>
      <c r="WSG240" s="397"/>
      <c r="WSH240" s="397"/>
      <c r="WSI240" s="397"/>
      <c r="WSJ240" s="397"/>
      <c r="WSK240" s="397"/>
      <c r="WSL240" s="397"/>
      <c r="WSM240" s="397"/>
      <c r="WSN240" s="397"/>
      <c r="WSO240" s="397"/>
      <c r="WSP240" s="397"/>
      <c r="WSQ240" s="397"/>
      <c r="WSR240" s="397"/>
      <c r="WSS240" s="397"/>
      <c r="WST240" s="397"/>
      <c r="WSU240" s="397"/>
      <c r="WSV240" s="397"/>
      <c r="WSW240" s="397"/>
      <c r="WSX240" s="397"/>
      <c r="WSY240" s="397"/>
      <c r="WSZ240" s="397"/>
      <c r="WTA240" s="397"/>
      <c r="WTB240" s="397"/>
      <c r="WTC240" s="397"/>
      <c r="WTD240" s="397"/>
      <c r="WTE240" s="397"/>
      <c r="WTF240" s="397"/>
      <c r="WTG240" s="397"/>
      <c r="WTH240" s="397"/>
      <c r="WTI240" s="397"/>
      <c r="WTJ240" s="397"/>
      <c r="WTK240" s="397"/>
      <c r="WTL240" s="397"/>
      <c r="WTM240" s="397"/>
      <c r="WTN240" s="397"/>
      <c r="WTO240" s="397"/>
      <c r="WTP240" s="397"/>
      <c r="WTQ240" s="397"/>
      <c r="WTR240" s="397"/>
      <c r="WTS240" s="397"/>
      <c r="WTT240" s="397"/>
      <c r="WTU240" s="397"/>
      <c r="WTV240" s="397"/>
      <c r="WTW240" s="397"/>
      <c r="WTX240" s="397"/>
      <c r="WTY240" s="397"/>
      <c r="WTZ240" s="397"/>
      <c r="WUA240" s="397"/>
      <c r="WUB240" s="397"/>
      <c r="WUC240" s="397"/>
      <c r="WUD240" s="397"/>
      <c r="WUE240" s="397"/>
      <c r="WUF240" s="397"/>
      <c r="WUG240" s="397"/>
      <c r="WUH240" s="397"/>
      <c r="WUI240" s="397"/>
      <c r="WUJ240" s="397"/>
      <c r="WUK240" s="397"/>
      <c r="WUL240" s="397"/>
      <c r="WUM240" s="397"/>
      <c r="WUN240" s="397"/>
      <c r="WUO240" s="397"/>
      <c r="WUP240" s="397"/>
      <c r="WUQ240" s="397"/>
      <c r="WUR240" s="397"/>
      <c r="WUS240" s="397"/>
      <c r="WUT240" s="397"/>
      <c r="WUU240" s="397"/>
      <c r="WUV240" s="397"/>
      <c r="WUW240" s="397"/>
      <c r="WUX240" s="397"/>
      <c r="WUY240" s="397"/>
      <c r="WUZ240" s="397"/>
      <c r="WVA240" s="397"/>
      <c r="WVB240" s="397"/>
      <c r="WVC240" s="397"/>
      <c r="WVD240" s="397"/>
      <c r="WVE240" s="397"/>
      <c r="WVF240" s="397"/>
      <c r="WVG240" s="397"/>
      <c r="WVH240" s="397"/>
      <c r="WVI240" s="397"/>
      <c r="WVJ240" s="397"/>
      <c r="WVK240" s="397"/>
      <c r="WVL240" s="397"/>
      <c r="WVM240" s="397"/>
      <c r="WVN240" s="397"/>
      <c r="WVO240" s="397"/>
      <c r="WVP240" s="397"/>
      <c r="WVQ240" s="397"/>
      <c r="WVR240" s="397"/>
      <c r="WVS240" s="397"/>
      <c r="WVT240" s="397"/>
      <c r="WVU240" s="397"/>
      <c r="WVV240" s="397"/>
      <c r="WVW240" s="397"/>
      <c r="WVX240" s="397"/>
      <c r="WVY240" s="397"/>
      <c r="WVZ240" s="397"/>
      <c r="WWA240" s="397"/>
      <c r="WWB240" s="397"/>
      <c r="WWC240" s="397"/>
      <c r="WWD240" s="397"/>
      <c r="WWE240" s="397"/>
      <c r="WWF240" s="397"/>
      <c r="WWG240" s="397"/>
      <c r="WWH240" s="397"/>
      <c r="WWI240" s="397"/>
      <c r="WWJ240" s="397"/>
      <c r="WWK240" s="397"/>
      <c r="WWL240" s="397"/>
      <c r="WWM240" s="397"/>
      <c r="WWN240" s="397"/>
      <c r="WWO240" s="397"/>
      <c r="WWP240" s="397"/>
      <c r="WWQ240" s="397"/>
      <c r="WWR240" s="397"/>
      <c r="WWS240" s="397"/>
      <c r="WWT240" s="397"/>
      <c r="WWU240" s="397"/>
      <c r="WWV240" s="397"/>
      <c r="WWW240" s="397"/>
      <c r="WWX240" s="397"/>
      <c r="WWY240" s="397"/>
      <c r="WWZ240" s="397"/>
      <c r="WXA240" s="397"/>
      <c r="WXB240" s="397"/>
      <c r="WXC240" s="397"/>
      <c r="WXD240" s="397"/>
      <c r="WXE240" s="397"/>
      <c r="WXF240" s="397"/>
      <c r="WXG240" s="397"/>
      <c r="WXH240" s="397"/>
      <c r="WXI240" s="397"/>
      <c r="WXJ240" s="397"/>
      <c r="WXK240" s="397"/>
      <c r="WXL240" s="397"/>
      <c r="WXM240" s="397"/>
      <c r="WXN240" s="397"/>
      <c r="WXO240" s="397"/>
      <c r="WXP240" s="397"/>
      <c r="WXQ240" s="397"/>
      <c r="WXR240" s="397"/>
      <c r="WXS240" s="397"/>
      <c r="WXT240" s="397"/>
      <c r="WXU240" s="397"/>
      <c r="WXV240" s="397"/>
      <c r="WXW240" s="397"/>
      <c r="WXX240" s="397"/>
      <c r="WXY240" s="397"/>
      <c r="WXZ240" s="397"/>
      <c r="WYA240" s="397"/>
      <c r="WYB240" s="397"/>
      <c r="WYC240" s="397"/>
      <c r="WYD240" s="397"/>
      <c r="WYE240" s="397"/>
      <c r="WYF240" s="397"/>
      <c r="WYG240" s="397"/>
      <c r="WYH240" s="397"/>
      <c r="WYI240" s="397"/>
      <c r="WYJ240" s="397"/>
      <c r="WYK240" s="397"/>
      <c r="WYL240" s="397"/>
      <c r="WYM240" s="397"/>
      <c r="WYN240" s="397"/>
      <c r="WYO240" s="397"/>
      <c r="WYP240" s="397"/>
      <c r="WYQ240" s="397"/>
      <c r="WYR240" s="397"/>
      <c r="WYS240" s="397"/>
      <c r="WYT240" s="397"/>
      <c r="WYU240" s="397"/>
      <c r="WYV240" s="397"/>
      <c r="WYW240" s="397"/>
      <c r="WYX240" s="397"/>
      <c r="WYY240" s="397"/>
      <c r="WYZ240" s="397"/>
      <c r="WZA240" s="397"/>
      <c r="WZB240" s="397"/>
      <c r="WZC240" s="397"/>
      <c r="WZD240" s="397"/>
      <c r="WZE240" s="397"/>
      <c r="WZF240" s="397"/>
      <c r="WZG240" s="397"/>
      <c r="WZH240" s="397"/>
      <c r="WZI240" s="397"/>
      <c r="WZJ240" s="397"/>
      <c r="WZK240" s="397"/>
      <c r="WZL240" s="397"/>
      <c r="WZM240" s="397"/>
      <c r="WZN240" s="397"/>
      <c r="WZO240" s="397"/>
      <c r="WZP240" s="397"/>
      <c r="WZQ240" s="397"/>
      <c r="WZR240" s="397"/>
      <c r="WZS240" s="397"/>
      <c r="WZT240" s="397"/>
      <c r="WZU240" s="397"/>
      <c r="WZV240" s="397"/>
      <c r="WZW240" s="397"/>
      <c r="WZX240" s="397"/>
      <c r="WZY240" s="397"/>
      <c r="WZZ240" s="397"/>
      <c r="XAA240" s="397"/>
      <c r="XAB240" s="397"/>
      <c r="XAC240" s="397"/>
      <c r="XAD240" s="397"/>
      <c r="XAE240" s="397"/>
      <c r="XAF240" s="397"/>
      <c r="XAG240" s="397"/>
      <c r="XAH240" s="397"/>
      <c r="XAI240" s="397"/>
      <c r="XAJ240" s="397"/>
      <c r="XAK240" s="397"/>
      <c r="XAL240" s="397"/>
      <c r="XAM240" s="397"/>
      <c r="XAN240" s="397"/>
      <c r="XAO240" s="397"/>
      <c r="XAP240" s="397"/>
      <c r="XAQ240" s="397"/>
      <c r="XAR240" s="397"/>
      <c r="XAS240" s="397"/>
      <c r="XAT240" s="397"/>
      <c r="XAU240" s="397"/>
      <c r="XAV240" s="397"/>
      <c r="XAW240" s="397"/>
      <c r="XAX240" s="397"/>
      <c r="XAY240" s="397"/>
      <c r="XAZ240" s="397"/>
      <c r="XBA240" s="397"/>
      <c r="XBB240" s="397"/>
      <c r="XBC240" s="397"/>
      <c r="XBD240" s="397"/>
      <c r="XBE240" s="397"/>
      <c r="XBF240" s="397"/>
      <c r="XBG240" s="397"/>
      <c r="XBH240" s="397"/>
      <c r="XBI240" s="397"/>
      <c r="XBJ240" s="397"/>
      <c r="XBK240" s="397"/>
      <c r="XBL240" s="397"/>
      <c r="XBM240" s="397"/>
      <c r="XBN240" s="397"/>
      <c r="XBO240" s="397"/>
      <c r="XBP240" s="397"/>
      <c r="XBQ240" s="397"/>
      <c r="XBR240" s="397"/>
      <c r="XBS240" s="397"/>
      <c r="XBT240" s="397"/>
      <c r="XBU240" s="397"/>
      <c r="XBV240" s="397"/>
      <c r="XBW240" s="397"/>
      <c r="XBX240" s="397"/>
      <c r="XBY240" s="397"/>
      <c r="XBZ240" s="397"/>
      <c r="XCA240" s="397"/>
      <c r="XCB240" s="397"/>
      <c r="XCC240" s="397"/>
      <c r="XCD240" s="397"/>
      <c r="XCE240" s="397"/>
      <c r="XCF240" s="397"/>
      <c r="XCG240" s="397"/>
      <c r="XCH240" s="397"/>
      <c r="XCI240" s="397"/>
      <c r="XCJ240" s="397"/>
      <c r="XCK240" s="397"/>
      <c r="XCL240" s="397"/>
      <c r="XCM240" s="397"/>
      <c r="XCN240" s="397"/>
      <c r="XCO240" s="397"/>
      <c r="XCP240" s="397"/>
      <c r="XCQ240" s="397"/>
      <c r="XCR240" s="397"/>
      <c r="XCS240" s="397"/>
      <c r="XCT240" s="397"/>
      <c r="XCU240" s="397"/>
      <c r="XCV240" s="397"/>
      <c r="XCW240" s="397"/>
      <c r="XCX240" s="397"/>
      <c r="XCY240" s="397"/>
      <c r="XCZ240" s="397"/>
      <c r="XDA240" s="397"/>
      <c r="XDB240" s="397"/>
      <c r="XDC240" s="397"/>
      <c r="XDD240" s="397"/>
      <c r="XDE240" s="397"/>
      <c r="XDF240" s="397"/>
      <c r="XDG240" s="397"/>
      <c r="XDH240" s="397"/>
      <c r="XDI240" s="397"/>
      <c r="XDJ240" s="397"/>
      <c r="XDK240" s="397"/>
      <c r="XDL240" s="397"/>
      <c r="XDM240" s="397"/>
      <c r="XDN240" s="397"/>
      <c r="XDO240" s="397"/>
      <c r="XDP240" s="397"/>
      <c r="XDQ240" s="397"/>
      <c r="XDR240" s="397"/>
      <c r="XDS240" s="397"/>
      <c r="XDT240" s="397"/>
      <c r="XDU240" s="397"/>
      <c r="XDV240" s="397"/>
      <c r="XDW240" s="397"/>
      <c r="XDX240" s="397"/>
      <c r="XDY240" s="397"/>
      <c r="XDZ240" s="397"/>
      <c r="XEA240" s="397"/>
      <c r="XEB240" s="397"/>
      <c r="XEC240" s="397"/>
      <c r="XED240" s="397"/>
      <c r="XEE240" s="397"/>
      <c r="XEF240" s="397"/>
      <c r="XEG240" s="397"/>
      <c r="XEH240" s="397"/>
      <c r="XEI240" s="397"/>
      <c r="XEJ240" s="397"/>
      <c r="XEK240" s="397"/>
      <c r="XEL240" s="397"/>
      <c r="XEM240" s="397"/>
      <c r="XEN240" s="397"/>
      <c r="XEO240" s="397"/>
      <c r="XEP240" s="397"/>
      <c r="XEQ240" s="397"/>
      <c r="XER240" s="397"/>
      <c r="XES240" s="397"/>
      <c r="XET240" s="397"/>
      <c r="XEU240" s="397"/>
      <c r="XEV240" s="397"/>
      <c r="XEW240" s="397"/>
      <c r="XEX240" s="397"/>
      <c r="XEY240" s="397"/>
      <c r="XEZ240" s="397"/>
      <c r="XFA240" s="397"/>
      <c r="XFB240" s="397"/>
    </row>
    <row r="241" spans="1:32" s="458" customFormat="1" ht="43.9" hidden="1" customHeight="1">
      <c r="A241" s="404">
        <f>A239+1</f>
        <v>184</v>
      </c>
      <c r="B241" s="403" t="s">
        <v>624</v>
      </c>
      <c r="C241" s="531" t="s">
        <v>272</v>
      </c>
      <c r="D241" s="532">
        <v>3422</v>
      </c>
      <c r="E241" s="391">
        <v>677.95</v>
      </c>
      <c r="F241" s="391" t="s">
        <v>223</v>
      </c>
      <c r="G241" s="535">
        <v>663.9</v>
      </c>
      <c r="H241" s="536">
        <v>2</v>
      </c>
      <c r="I241" s="536">
        <v>2</v>
      </c>
      <c r="J241" s="536">
        <v>12</v>
      </c>
      <c r="K241" s="458" t="s">
        <v>225</v>
      </c>
      <c r="L241" s="529">
        <f>M241+N241+O241+P241+Q241</f>
        <v>226773</v>
      </c>
      <c r="M241" s="519">
        <v>191808</v>
      </c>
      <c r="N241" s="388">
        <v>34965</v>
      </c>
      <c r="O241" s="473"/>
      <c r="P241" s="388"/>
      <c r="Q241" s="388"/>
      <c r="R241" s="446">
        <f>M241/J241</f>
        <v>15984</v>
      </c>
      <c r="S241" s="388">
        <f t="shared" si="22"/>
        <v>0</v>
      </c>
      <c r="T241" s="393"/>
      <c r="U241" s="391"/>
      <c r="V241" s="388"/>
      <c r="W241" s="387"/>
      <c r="Z241" s="419"/>
    </row>
    <row r="242" spans="1:32" s="458" customFormat="1" ht="43.9" hidden="1" customHeight="1">
      <c r="A242" s="404">
        <f t="shared" si="20"/>
        <v>185</v>
      </c>
      <c r="B242" s="403" t="s">
        <v>625</v>
      </c>
      <c r="C242" s="531" t="s">
        <v>272</v>
      </c>
      <c r="D242" s="532">
        <v>4036</v>
      </c>
      <c r="E242" s="391">
        <v>677.95</v>
      </c>
      <c r="F242" s="542" t="s">
        <v>369</v>
      </c>
      <c r="G242" s="535">
        <v>650</v>
      </c>
      <c r="H242" s="536">
        <v>2</v>
      </c>
      <c r="I242" s="536">
        <v>2</v>
      </c>
      <c r="J242" s="536">
        <v>14</v>
      </c>
      <c r="K242" s="458" t="s">
        <v>225</v>
      </c>
      <c r="L242" s="529">
        <f>M242+N242+O242+P242+Q242</f>
        <v>258740.97</v>
      </c>
      <c r="M242" s="519">
        <v>223775.97</v>
      </c>
      <c r="N242" s="388">
        <v>34965</v>
      </c>
      <c r="O242" s="473"/>
      <c r="P242" s="388"/>
      <c r="Q242" s="388"/>
      <c r="R242" s="446">
        <f>M242/J242</f>
        <v>15983.997857142856</v>
      </c>
      <c r="S242" s="388">
        <f t="shared" si="22"/>
        <v>0</v>
      </c>
      <c r="T242" s="393"/>
      <c r="U242" s="391"/>
      <c r="V242" s="388"/>
      <c r="W242" s="387"/>
      <c r="Z242" s="419"/>
    </row>
    <row r="243" spans="1:32" s="458" customFormat="1" ht="43.9" hidden="1" customHeight="1">
      <c r="A243" s="404">
        <f t="shared" si="20"/>
        <v>186</v>
      </c>
      <c r="B243" s="403" t="s">
        <v>626</v>
      </c>
      <c r="C243" s="531" t="s">
        <v>272</v>
      </c>
      <c r="D243" s="532">
        <v>3493</v>
      </c>
      <c r="E243" s="391">
        <v>677.95</v>
      </c>
      <c r="F243" s="391" t="s">
        <v>223</v>
      </c>
      <c r="G243" s="535">
        <v>668.7</v>
      </c>
      <c r="H243" s="536">
        <v>2</v>
      </c>
      <c r="I243" s="536">
        <v>2</v>
      </c>
      <c r="J243" s="536">
        <v>12</v>
      </c>
      <c r="K243" s="458" t="s">
        <v>225</v>
      </c>
      <c r="L243" s="529">
        <f>M243+N243+O243+P243+Q243</f>
        <v>224558.38</v>
      </c>
      <c r="M243" s="519">
        <v>189593.38</v>
      </c>
      <c r="N243" s="388">
        <v>34965</v>
      </c>
      <c r="O243" s="473"/>
      <c r="P243" s="388"/>
      <c r="Q243" s="388"/>
      <c r="R243" s="446">
        <f>M243/J243</f>
        <v>15799.448333333334</v>
      </c>
      <c r="S243" s="388">
        <f t="shared" si="22"/>
        <v>0</v>
      </c>
      <c r="T243" s="393"/>
      <c r="U243" s="391"/>
      <c r="V243" s="388"/>
      <c r="W243" s="387"/>
      <c r="Z243" s="419"/>
    </row>
    <row r="244" spans="1:32" s="979" customFormat="1" ht="44.25" hidden="1" customHeight="1">
      <c r="A244" s="1112">
        <v>187</v>
      </c>
      <c r="B244" s="403" t="s">
        <v>627</v>
      </c>
      <c r="C244" s="531" t="s">
        <v>272</v>
      </c>
      <c r="D244" s="532">
        <v>3396</v>
      </c>
      <c r="E244" s="391">
        <v>677.95</v>
      </c>
      <c r="F244" s="391" t="s">
        <v>223</v>
      </c>
      <c r="G244" s="535">
        <v>668</v>
      </c>
      <c r="H244" s="536">
        <v>2</v>
      </c>
      <c r="I244" s="536">
        <v>2</v>
      </c>
      <c r="J244" s="536">
        <v>12</v>
      </c>
      <c r="K244" s="458" t="s">
        <v>33</v>
      </c>
      <c r="L244" s="1128">
        <f>M244+N244+O244+P244+Q244+M245+N245+O245+P245+Q245</f>
        <v>1839125.8900000001</v>
      </c>
      <c r="M244" s="547">
        <v>1536894.37</v>
      </c>
      <c r="N244" s="394"/>
      <c r="O244" s="473">
        <v>5583.14</v>
      </c>
      <c r="P244" s="388"/>
      <c r="Q244" s="388"/>
      <c r="R244" s="446">
        <f>M244/G244</f>
        <v>2300.7400748502996</v>
      </c>
      <c r="S244" s="388">
        <f t="shared" si="22"/>
        <v>296648.38</v>
      </c>
      <c r="T244" s="392"/>
      <c r="U244" s="391"/>
      <c r="V244" s="388"/>
      <c r="W244" s="387"/>
      <c r="Z244" s="419"/>
    </row>
    <row r="245" spans="1:32" s="979" customFormat="1" ht="49.5" hidden="1" customHeight="1">
      <c r="A245" s="1112"/>
      <c r="B245" s="403"/>
      <c r="C245" s="455"/>
      <c r="D245" s="532"/>
      <c r="E245" s="391"/>
      <c r="F245" s="391"/>
      <c r="G245" s="535"/>
      <c r="H245" s="536"/>
      <c r="I245" s="536"/>
      <c r="J245" s="536"/>
      <c r="K245" s="458" t="s">
        <v>225</v>
      </c>
      <c r="L245" s="1128"/>
      <c r="M245" s="547">
        <v>261683.38</v>
      </c>
      <c r="N245" s="388">
        <v>34965</v>
      </c>
      <c r="O245" s="473"/>
      <c r="P245" s="388"/>
      <c r="Q245" s="388"/>
      <c r="R245" s="528">
        <f>M245/J244</f>
        <v>21806.948333333334</v>
      </c>
      <c r="S245" s="388">
        <f t="shared" si="22"/>
        <v>-296648.38</v>
      </c>
      <c r="T245" s="392"/>
      <c r="U245" s="391"/>
      <c r="V245" s="388"/>
      <c r="W245" s="387"/>
      <c r="Z245" s="419"/>
    </row>
    <row r="246" spans="1:32" s="458" customFormat="1" ht="43.9" hidden="1" customHeight="1">
      <c r="A246" s="404">
        <v>188</v>
      </c>
      <c r="B246" s="403" t="s">
        <v>628</v>
      </c>
      <c r="C246" s="544" t="s">
        <v>272</v>
      </c>
      <c r="D246" s="532">
        <v>15806</v>
      </c>
      <c r="E246" s="391">
        <v>2970</v>
      </c>
      <c r="F246" s="535" t="s">
        <v>234</v>
      </c>
      <c r="G246" s="535">
        <v>689.9</v>
      </c>
      <c r="H246" s="446">
        <v>9</v>
      </c>
      <c r="I246" s="446">
        <v>2</v>
      </c>
      <c r="J246" s="599">
        <v>72</v>
      </c>
      <c r="K246" s="397" t="s">
        <v>364</v>
      </c>
      <c r="L246" s="529">
        <f t="shared" ref="L246:L259" si="23">M246+N246+O246+P246+Q246</f>
        <v>4045319.5</v>
      </c>
      <c r="M246" s="519">
        <v>3939600.75</v>
      </c>
      <c r="N246" s="388">
        <v>105718.75</v>
      </c>
      <c r="O246" s="385"/>
      <c r="P246" s="383"/>
      <c r="Q246" s="388"/>
      <c r="R246" s="446">
        <v>2000000</v>
      </c>
      <c r="S246" s="388">
        <f t="shared" si="22"/>
        <v>0</v>
      </c>
      <c r="T246" s="393"/>
      <c r="U246" s="391"/>
      <c r="V246" s="388"/>
      <c r="W246" s="387"/>
      <c r="Z246" s="419"/>
    </row>
    <row r="247" spans="1:32" s="458" customFormat="1" ht="43.9" hidden="1" customHeight="1">
      <c r="A247" s="404">
        <f t="shared" si="20"/>
        <v>189</v>
      </c>
      <c r="B247" s="403" t="s">
        <v>629</v>
      </c>
      <c r="C247" s="455" t="s">
        <v>272</v>
      </c>
      <c r="D247" s="532">
        <v>2513</v>
      </c>
      <c r="E247" s="535">
        <v>217</v>
      </c>
      <c r="F247" s="391" t="s">
        <v>223</v>
      </c>
      <c r="G247" s="535">
        <v>519</v>
      </c>
      <c r="H247" s="536">
        <v>2</v>
      </c>
      <c r="I247" s="536">
        <v>2</v>
      </c>
      <c r="J247" s="536">
        <v>9</v>
      </c>
      <c r="K247" s="504" t="s">
        <v>33</v>
      </c>
      <c r="L247" s="529">
        <f t="shared" si="23"/>
        <v>1351338</v>
      </c>
      <c r="M247" s="519">
        <v>1347000.2</v>
      </c>
      <c r="N247" s="388"/>
      <c r="O247" s="473">
        <v>4337.8</v>
      </c>
      <c r="P247" s="388"/>
      <c r="Q247" s="388"/>
      <c r="R247" s="446">
        <f>M247/G247</f>
        <v>2595.3761078998073</v>
      </c>
      <c r="S247" s="388">
        <f t="shared" si="22"/>
        <v>4.638422979041934E-11</v>
      </c>
      <c r="T247" s="393"/>
      <c r="U247" s="391"/>
      <c r="V247" s="388"/>
      <c r="W247" s="387"/>
      <c r="Z247" s="419"/>
    </row>
    <row r="248" spans="1:32" s="458" customFormat="1" ht="43.9" hidden="1" customHeight="1">
      <c r="A248" s="404">
        <f t="shared" si="20"/>
        <v>190</v>
      </c>
      <c r="B248" s="403" t="s">
        <v>630</v>
      </c>
      <c r="C248" s="531" t="s">
        <v>272</v>
      </c>
      <c r="D248" s="532">
        <v>2942</v>
      </c>
      <c r="E248" s="535">
        <v>218</v>
      </c>
      <c r="F248" s="542" t="s">
        <v>369</v>
      </c>
      <c r="G248" s="535">
        <v>497</v>
      </c>
      <c r="H248" s="536">
        <v>2</v>
      </c>
      <c r="I248" s="536">
        <v>8</v>
      </c>
      <c r="J248" s="536">
        <v>16</v>
      </c>
      <c r="K248" s="458" t="s">
        <v>33</v>
      </c>
      <c r="L248" s="529">
        <f t="shared" si="23"/>
        <v>1252370.43</v>
      </c>
      <c r="M248" s="519">
        <v>1248216.5</v>
      </c>
      <c r="N248" s="394"/>
      <c r="O248" s="473">
        <v>4153.93</v>
      </c>
      <c r="P248" s="388"/>
      <c r="Q248" s="388"/>
      <c r="R248" s="446">
        <f>M248/G248</f>
        <v>2511.5020120724348</v>
      </c>
      <c r="S248" s="388">
        <f t="shared" si="22"/>
        <v>-6.5483618527650833E-11</v>
      </c>
      <c r="T248" s="393"/>
      <c r="U248" s="391"/>
      <c r="V248" s="388"/>
      <c r="W248" s="387"/>
      <c r="Z248" s="419"/>
    </row>
    <row r="249" spans="1:32" s="458" customFormat="1" ht="43.9" hidden="1" customHeight="1">
      <c r="A249" s="404">
        <f t="shared" si="20"/>
        <v>191</v>
      </c>
      <c r="B249" s="403" t="s">
        <v>631</v>
      </c>
      <c r="C249" s="531" t="s">
        <v>272</v>
      </c>
      <c r="D249" s="532">
        <v>2624</v>
      </c>
      <c r="E249" s="535">
        <v>207</v>
      </c>
      <c r="F249" s="391" t="s">
        <v>223</v>
      </c>
      <c r="G249" s="535">
        <v>569</v>
      </c>
      <c r="H249" s="536">
        <v>2</v>
      </c>
      <c r="I249" s="536">
        <v>2</v>
      </c>
      <c r="J249" s="536">
        <v>16</v>
      </c>
      <c r="K249" s="537" t="s">
        <v>33</v>
      </c>
      <c r="L249" s="529">
        <f t="shared" si="23"/>
        <v>1652035.26</v>
      </c>
      <c r="M249" s="547">
        <f>1577268+70011.56</f>
        <v>1647279.56</v>
      </c>
      <c r="N249" s="394"/>
      <c r="O249" s="473">
        <v>4755.7</v>
      </c>
      <c r="P249" s="388"/>
      <c r="Q249" s="388"/>
      <c r="R249" s="446">
        <f>M249/G249</f>
        <v>2895.04316344464</v>
      </c>
      <c r="S249" s="388">
        <f t="shared" si="22"/>
        <v>-4.638422979041934E-11</v>
      </c>
      <c r="T249" s="393"/>
      <c r="U249" s="391"/>
      <c r="V249" s="388"/>
      <c r="W249" s="387"/>
      <c r="Z249" s="419"/>
    </row>
    <row r="250" spans="1:32" s="404" customFormat="1" ht="64.5" hidden="1" customHeight="1">
      <c r="A250" s="404">
        <f t="shared" si="20"/>
        <v>192</v>
      </c>
      <c r="B250" s="403" t="s">
        <v>632</v>
      </c>
      <c r="C250" s="531" t="s">
        <v>218</v>
      </c>
      <c r="D250" s="446">
        <v>43910</v>
      </c>
      <c r="E250" s="388">
        <v>7148</v>
      </c>
      <c r="F250" s="388" t="s">
        <v>234</v>
      </c>
      <c r="G250" s="388">
        <v>1879</v>
      </c>
      <c r="H250" s="446">
        <v>9</v>
      </c>
      <c r="I250" s="446">
        <v>4</v>
      </c>
      <c r="J250" s="446">
        <v>216</v>
      </c>
      <c r="K250" s="537" t="s">
        <v>225</v>
      </c>
      <c r="L250" s="529">
        <f t="shared" si="23"/>
        <v>2931625.24</v>
      </c>
      <c r="M250" s="519">
        <v>2886670.24</v>
      </c>
      <c r="N250" s="388">
        <v>44955</v>
      </c>
      <c r="O250" s="473"/>
      <c r="P250" s="388"/>
      <c r="Q250" s="388"/>
      <c r="R250" s="446">
        <f>M250/J250</f>
        <v>13364.214074074074</v>
      </c>
      <c r="S250" s="388">
        <f t="shared" ref="S250:S281" si="24">L250-M250-N250-O250-P250-Q250</f>
        <v>0</v>
      </c>
      <c r="T250" s="393"/>
      <c r="U250" s="391"/>
      <c r="V250" s="388"/>
      <c r="W250" s="387"/>
      <c r="X250" s="390"/>
      <c r="Z250" s="419"/>
      <c r="AA250" s="455"/>
      <c r="AB250" s="388"/>
      <c r="AD250" s="390"/>
    </row>
    <row r="251" spans="1:32" s="458" customFormat="1" ht="43.9" hidden="1" customHeight="1">
      <c r="A251" s="404">
        <f t="shared" si="20"/>
        <v>193</v>
      </c>
      <c r="B251" s="403" t="s">
        <v>633</v>
      </c>
      <c r="C251" s="544" t="s">
        <v>272</v>
      </c>
      <c r="D251" s="382">
        <v>60188</v>
      </c>
      <c r="E251" s="383">
        <v>6911</v>
      </c>
      <c r="F251" s="383" t="s">
        <v>234</v>
      </c>
      <c r="G251" s="383">
        <v>2250</v>
      </c>
      <c r="H251" s="549">
        <v>9</v>
      </c>
      <c r="I251" s="549">
        <v>6</v>
      </c>
      <c r="J251" s="382">
        <v>192</v>
      </c>
      <c r="K251" s="397" t="s">
        <v>364</v>
      </c>
      <c r="L251" s="529">
        <f t="shared" si="23"/>
        <v>10428950.42</v>
      </c>
      <c r="M251" s="519">
        <v>10259800.42</v>
      </c>
      <c r="N251" s="388">
        <v>169150</v>
      </c>
      <c r="O251" s="385"/>
      <c r="P251" s="383"/>
      <c r="Q251" s="388"/>
      <c r="R251" s="446">
        <v>2000000</v>
      </c>
      <c r="S251" s="388">
        <f t="shared" si="24"/>
        <v>0</v>
      </c>
      <c r="T251" s="393"/>
      <c r="U251" s="391"/>
      <c r="V251" s="388"/>
      <c r="W251" s="387"/>
      <c r="Z251" s="419"/>
    </row>
    <row r="252" spans="1:32" s="458" customFormat="1" ht="43.9" hidden="1" customHeight="1">
      <c r="A252" s="404">
        <f t="shared" si="20"/>
        <v>194</v>
      </c>
      <c r="B252" s="403" t="s">
        <v>634</v>
      </c>
      <c r="C252" s="455" t="s">
        <v>218</v>
      </c>
      <c r="D252" s="532">
        <v>43154</v>
      </c>
      <c r="E252" s="391">
        <v>7025</v>
      </c>
      <c r="F252" s="539" t="s">
        <v>234</v>
      </c>
      <c r="G252" s="535">
        <v>1785</v>
      </c>
      <c r="H252" s="536">
        <v>9</v>
      </c>
      <c r="I252" s="536">
        <v>4</v>
      </c>
      <c r="J252" s="536">
        <v>216</v>
      </c>
      <c r="K252" s="458" t="s">
        <v>364</v>
      </c>
      <c r="L252" s="529">
        <f t="shared" si="23"/>
        <v>4061450.46</v>
      </c>
      <c r="M252" s="538">
        <v>3955731.71</v>
      </c>
      <c r="N252" s="539">
        <v>105718.75</v>
      </c>
      <c r="O252" s="540"/>
      <c r="P252" s="388"/>
      <c r="Q252" s="541"/>
      <c r="R252" s="446">
        <v>2000000</v>
      </c>
      <c r="S252" s="388">
        <f t="shared" si="24"/>
        <v>0</v>
      </c>
      <c r="T252" s="393"/>
      <c r="U252" s="391"/>
      <c r="V252" s="539"/>
      <c r="W252" s="387"/>
      <c r="Z252" s="419"/>
    </row>
    <row r="253" spans="1:32" s="458" customFormat="1" ht="43.9" hidden="1" customHeight="1">
      <c r="A253" s="404">
        <f t="shared" si="20"/>
        <v>195</v>
      </c>
      <c r="B253" s="403" t="s">
        <v>635</v>
      </c>
      <c r="C253" s="455" t="s">
        <v>272</v>
      </c>
      <c r="D253" s="545">
        <v>12528</v>
      </c>
      <c r="E253" s="391">
        <v>1940</v>
      </c>
      <c r="F253" s="388" t="s">
        <v>223</v>
      </c>
      <c r="G253" s="391">
        <v>1131</v>
      </c>
      <c r="H253" s="528">
        <v>5</v>
      </c>
      <c r="I253" s="528">
        <v>4</v>
      </c>
      <c r="J253" s="528">
        <v>72</v>
      </c>
      <c r="K253" s="458" t="s">
        <v>225</v>
      </c>
      <c r="L253" s="529">
        <f t="shared" si="23"/>
        <v>766440.51</v>
      </c>
      <c r="M253" s="519">
        <v>731475.51</v>
      </c>
      <c r="N253" s="388">
        <v>34965</v>
      </c>
      <c r="O253" s="473"/>
      <c r="P253" s="388"/>
      <c r="Q253" s="388"/>
      <c r="R253" s="446">
        <f t="shared" ref="R253:R259" si="25">M253/J253</f>
        <v>10159.382083333334</v>
      </c>
      <c r="S253" s="388">
        <f t="shared" si="24"/>
        <v>0</v>
      </c>
      <c r="T253" s="393"/>
      <c r="U253" s="391"/>
      <c r="V253" s="388"/>
      <c r="W253" s="387"/>
      <c r="Z253" s="419"/>
    </row>
    <row r="254" spans="1:32" s="458" customFormat="1" ht="54.75" hidden="1" customHeight="1">
      <c r="A254" s="404">
        <f t="shared" si="20"/>
        <v>196</v>
      </c>
      <c r="B254" s="403" t="s">
        <v>636</v>
      </c>
      <c r="C254" s="531" t="s">
        <v>272</v>
      </c>
      <c r="D254" s="532">
        <v>13439</v>
      </c>
      <c r="E254" s="391">
        <v>865</v>
      </c>
      <c r="F254" s="391" t="s">
        <v>223</v>
      </c>
      <c r="G254" s="535">
        <v>1125</v>
      </c>
      <c r="H254" s="536">
        <v>5</v>
      </c>
      <c r="I254" s="536">
        <v>4</v>
      </c>
      <c r="J254" s="536">
        <v>73</v>
      </c>
      <c r="K254" s="397" t="s">
        <v>30</v>
      </c>
      <c r="L254" s="529">
        <f t="shared" si="23"/>
        <v>1251867.8599999999</v>
      </c>
      <c r="M254" s="519">
        <v>1245984.42</v>
      </c>
      <c r="N254" s="388"/>
      <c r="O254" s="473">
        <v>5883.44</v>
      </c>
      <c r="P254" s="388"/>
      <c r="Q254" s="388"/>
      <c r="R254" s="446">
        <f t="shared" si="25"/>
        <v>17068.279726027395</v>
      </c>
      <c r="S254" s="388">
        <f t="shared" si="24"/>
        <v>-5.5479176808148623E-11</v>
      </c>
      <c r="T254" s="393"/>
      <c r="U254" s="391"/>
      <c r="V254" s="388"/>
      <c r="W254" s="387"/>
      <c r="Z254" s="419"/>
    </row>
    <row r="255" spans="1:32" s="404" customFormat="1" ht="54.75" hidden="1" customHeight="1">
      <c r="A255" s="404">
        <f t="shared" si="20"/>
        <v>197</v>
      </c>
      <c r="B255" s="403" t="s">
        <v>637</v>
      </c>
      <c r="C255" s="455" t="s">
        <v>272</v>
      </c>
      <c r="D255" s="545">
        <v>23567</v>
      </c>
      <c r="E255" s="391">
        <v>4002.1</v>
      </c>
      <c r="F255" s="388" t="s">
        <v>234</v>
      </c>
      <c r="G255" s="391">
        <v>859</v>
      </c>
      <c r="H255" s="528">
        <v>10</v>
      </c>
      <c r="I255" s="528">
        <v>2</v>
      </c>
      <c r="J255" s="528">
        <v>74</v>
      </c>
      <c r="K255" s="397" t="s">
        <v>30</v>
      </c>
      <c r="L255" s="529">
        <f t="shared" si="23"/>
        <v>1722192.98</v>
      </c>
      <c r="M255" s="519">
        <v>1712521.58</v>
      </c>
      <c r="N255" s="388"/>
      <c r="O255" s="473">
        <v>9671.4</v>
      </c>
      <c r="P255" s="388"/>
      <c r="Q255" s="388"/>
      <c r="R255" s="446">
        <f t="shared" si="25"/>
        <v>23142.183513513515</v>
      </c>
      <c r="S255" s="388">
        <f t="shared" si="24"/>
        <v>-9.276845958083868E-11</v>
      </c>
      <c r="T255" s="393"/>
      <c r="U255" s="391"/>
      <c r="V255" s="388"/>
      <c r="W255" s="387"/>
      <c r="X255" s="390"/>
      <c r="Z255" s="419"/>
      <c r="AA255" s="455"/>
      <c r="AB255" s="390"/>
      <c r="AD255" s="390"/>
    </row>
    <row r="256" spans="1:32" s="404" customFormat="1" ht="43.9" hidden="1" customHeight="1">
      <c r="A256" s="404">
        <f t="shared" si="20"/>
        <v>198</v>
      </c>
      <c r="B256" s="403" t="s">
        <v>638</v>
      </c>
      <c r="C256" s="544" t="s">
        <v>272</v>
      </c>
      <c r="D256" s="545">
        <v>13341</v>
      </c>
      <c r="E256" s="391">
        <v>2150</v>
      </c>
      <c r="F256" s="391" t="s">
        <v>223</v>
      </c>
      <c r="G256" s="391">
        <v>1111</v>
      </c>
      <c r="H256" s="446">
        <v>4</v>
      </c>
      <c r="I256" s="528">
        <v>3</v>
      </c>
      <c r="J256" s="528">
        <v>106</v>
      </c>
      <c r="K256" s="458" t="s">
        <v>225</v>
      </c>
      <c r="L256" s="529">
        <f t="shared" si="23"/>
        <v>1666322.78</v>
      </c>
      <c r="M256" s="529">
        <v>1631357.78</v>
      </c>
      <c r="N256" s="391">
        <v>34965</v>
      </c>
      <c r="O256" s="530"/>
      <c r="P256" s="391">
        <v>0</v>
      </c>
      <c r="Q256" s="391"/>
      <c r="R256" s="446">
        <f t="shared" si="25"/>
        <v>15390.167735849056</v>
      </c>
      <c r="S256" s="388">
        <f t="shared" si="24"/>
        <v>0</v>
      </c>
      <c r="T256" s="390"/>
      <c r="U256" s="391"/>
      <c r="V256" s="391"/>
      <c r="W256" s="387"/>
      <c r="X256" s="390"/>
      <c r="Z256" s="419"/>
      <c r="AA256" s="390"/>
      <c r="AD256" s="390"/>
      <c r="AF256" s="390"/>
    </row>
    <row r="257" spans="1:31" s="458" customFormat="1" ht="43.9" hidden="1" customHeight="1">
      <c r="A257" s="404">
        <f t="shared" si="20"/>
        <v>199</v>
      </c>
      <c r="B257" s="403" t="s">
        <v>639</v>
      </c>
      <c r="C257" s="455" t="s">
        <v>272</v>
      </c>
      <c r="D257" s="487">
        <v>11280</v>
      </c>
      <c r="E257" s="391">
        <v>2200</v>
      </c>
      <c r="F257" s="391" t="s">
        <v>223</v>
      </c>
      <c r="G257" s="391">
        <v>1152</v>
      </c>
      <c r="H257" s="528">
        <v>4</v>
      </c>
      <c r="I257" s="528">
        <v>4</v>
      </c>
      <c r="J257" s="528">
        <v>40</v>
      </c>
      <c r="K257" s="458" t="s">
        <v>225</v>
      </c>
      <c r="L257" s="529">
        <f t="shared" si="23"/>
        <v>920177.29</v>
      </c>
      <c r="M257" s="547">
        <v>885212.29</v>
      </c>
      <c r="N257" s="391">
        <v>34965</v>
      </c>
      <c r="O257" s="530"/>
      <c r="P257" s="391"/>
      <c r="Q257" s="388"/>
      <c r="R257" s="528">
        <f t="shared" si="25"/>
        <v>22130.307250000002</v>
      </c>
      <c r="S257" s="388">
        <f t="shared" si="24"/>
        <v>0</v>
      </c>
      <c r="T257" s="393"/>
      <c r="U257" s="391"/>
      <c r="V257" s="388"/>
      <c r="W257" s="387"/>
      <c r="Z257" s="419"/>
    </row>
    <row r="258" spans="1:31" s="458" customFormat="1" ht="54.75" hidden="1" customHeight="1">
      <c r="A258" s="404">
        <f t="shared" si="20"/>
        <v>200</v>
      </c>
      <c r="B258" s="403" t="s">
        <v>640</v>
      </c>
      <c r="C258" s="544" t="s">
        <v>272</v>
      </c>
      <c r="D258" s="545">
        <v>48080</v>
      </c>
      <c r="E258" s="391">
        <v>7521</v>
      </c>
      <c r="F258" s="533" t="s">
        <v>234</v>
      </c>
      <c r="G258" s="558">
        <v>932</v>
      </c>
      <c r="H258" s="561">
        <v>10</v>
      </c>
      <c r="I258" s="555">
        <v>4</v>
      </c>
      <c r="J258" s="555">
        <v>153</v>
      </c>
      <c r="K258" s="397" t="s">
        <v>30</v>
      </c>
      <c r="L258" s="529">
        <f t="shared" si="23"/>
        <v>6059081.3899999997</v>
      </c>
      <c r="M258" s="557">
        <v>6044466.8300000001</v>
      </c>
      <c r="N258" s="558"/>
      <c r="O258" s="562">
        <v>14614.56</v>
      </c>
      <c r="P258" s="558"/>
      <c r="Q258" s="560"/>
      <c r="R258" s="446">
        <f t="shared" si="25"/>
        <v>39506.319150326795</v>
      </c>
      <c r="S258" s="388">
        <f t="shared" si="24"/>
        <v>-4.0927261579781771E-10</v>
      </c>
      <c r="T258" s="393"/>
      <c r="U258" s="391"/>
      <c r="V258" s="568"/>
      <c r="W258" s="387"/>
      <c r="Z258" s="419"/>
    </row>
    <row r="259" spans="1:31" s="404" customFormat="1" ht="54.75" hidden="1" customHeight="1">
      <c r="A259" s="404">
        <f t="shared" si="20"/>
        <v>201</v>
      </c>
      <c r="B259" s="543" t="s">
        <v>641</v>
      </c>
      <c r="C259" s="544" t="s">
        <v>222</v>
      </c>
      <c r="D259" s="545">
        <v>16139</v>
      </c>
      <c r="E259" s="391">
        <v>650</v>
      </c>
      <c r="F259" s="568" t="s">
        <v>223</v>
      </c>
      <c r="G259" s="558">
        <v>1160.3</v>
      </c>
      <c r="H259" s="561">
        <v>5</v>
      </c>
      <c r="I259" s="555">
        <v>2</v>
      </c>
      <c r="J259" s="555">
        <v>75</v>
      </c>
      <c r="K259" s="397" t="s">
        <v>30</v>
      </c>
      <c r="L259" s="529">
        <f t="shared" si="23"/>
        <v>3010872.1799999997</v>
      </c>
      <c r="M259" s="569">
        <v>3004827.55</v>
      </c>
      <c r="N259" s="558"/>
      <c r="O259" s="562">
        <v>6044.63</v>
      </c>
      <c r="P259" s="558"/>
      <c r="Q259" s="560"/>
      <c r="R259" s="446">
        <f t="shared" si="25"/>
        <v>40064.367333333328</v>
      </c>
      <c r="S259" s="388">
        <f t="shared" si="24"/>
        <v>-1.1186784831807017E-10</v>
      </c>
      <c r="T259" s="393" t="s">
        <v>3589</v>
      </c>
      <c r="U259" s="391"/>
      <c r="V259" s="568"/>
      <c r="W259" s="387"/>
      <c r="Z259" s="419"/>
      <c r="AB259" s="455"/>
      <c r="AC259" s="390"/>
      <c r="AE259" s="390"/>
    </row>
    <row r="260" spans="1:31" s="458" customFormat="1" ht="43.9" hidden="1" customHeight="1">
      <c r="A260" s="404">
        <f t="shared" si="20"/>
        <v>202</v>
      </c>
      <c r="B260" s="403" t="s">
        <v>642</v>
      </c>
      <c r="C260" s="455" t="s">
        <v>218</v>
      </c>
      <c r="D260" s="545">
        <v>16328</v>
      </c>
      <c r="E260" s="391">
        <v>3079</v>
      </c>
      <c r="F260" s="391" t="s">
        <v>234</v>
      </c>
      <c r="G260" s="391">
        <v>697</v>
      </c>
      <c r="H260" s="446">
        <v>9</v>
      </c>
      <c r="I260" s="528">
        <v>2</v>
      </c>
      <c r="J260" s="528">
        <v>72</v>
      </c>
      <c r="K260" s="504" t="s">
        <v>33</v>
      </c>
      <c r="L260" s="529">
        <f>SUM(M260:Q260)</f>
        <v>1408246.3299999998</v>
      </c>
      <c r="M260" s="529">
        <v>1403877.19</v>
      </c>
      <c r="N260" s="388"/>
      <c r="O260" s="530">
        <v>4369.1400000000003</v>
      </c>
      <c r="P260" s="391"/>
      <c r="Q260" s="391"/>
      <c r="R260" s="446">
        <f>M260/G260</f>
        <v>2014.1710043041605</v>
      </c>
      <c r="S260" s="388">
        <f t="shared" si="24"/>
        <v>-1.0277290130034089E-10</v>
      </c>
      <c r="T260" s="393"/>
      <c r="U260" s="391"/>
      <c r="V260" s="391"/>
      <c r="W260" s="387"/>
      <c r="Z260" s="419"/>
    </row>
    <row r="261" spans="1:31" s="500" customFormat="1" ht="46.5" hidden="1" customHeight="1">
      <c r="A261" s="404">
        <f t="shared" si="20"/>
        <v>203</v>
      </c>
      <c r="B261" s="403" t="s">
        <v>643</v>
      </c>
      <c r="C261" s="544" t="s">
        <v>218</v>
      </c>
      <c r="D261" s="446">
        <v>11657</v>
      </c>
      <c r="E261" s="388">
        <v>2668</v>
      </c>
      <c r="F261" s="533" t="s">
        <v>234</v>
      </c>
      <c r="G261" s="388">
        <v>470</v>
      </c>
      <c r="H261" s="446">
        <v>12</v>
      </c>
      <c r="I261" s="446">
        <v>1</v>
      </c>
      <c r="J261" s="446">
        <v>48</v>
      </c>
      <c r="K261" s="556" t="s">
        <v>33</v>
      </c>
      <c r="L261" s="519">
        <f>SUBTOTAL(9,M261:Q261)</f>
        <v>793548.54999999993</v>
      </c>
      <c r="M261" s="605">
        <v>790602.35</v>
      </c>
      <c r="N261" s="388"/>
      <c r="O261" s="473">
        <v>2946.2</v>
      </c>
      <c r="P261" s="388"/>
      <c r="Q261" s="388"/>
      <c r="R261" s="446">
        <f>M261/G261</f>
        <v>1682.1326595744681</v>
      </c>
      <c r="S261" s="388">
        <f t="shared" si="24"/>
        <v>-4.638422979041934E-11</v>
      </c>
      <c r="T261" s="392"/>
      <c r="U261" s="391"/>
      <c r="V261" s="539"/>
      <c r="W261" s="387"/>
      <c r="Z261" s="419"/>
    </row>
    <row r="262" spans="1:31" s="977" customFormat="1" ht="58.5" hidden="1" customHeight="1">
      <c r="A262" s="404">
        <f t="shared" si="20"/>
        <v>204</v>
      </c>
      <c r="B262" s="403" t="s">
        <v>644</v>
      </c>
      <c r="C262" s="531" t="s">
        <v>218</v>
      </c>
      <c r="D262" s="531">
        <v>9722</v>
      </c>
      <c r="E262" s="388">
        <v>2151</v>
      </c>
      <c r="F262" s="388" t="s">
        <v>234</v>
      </c>
      <c r="G262" s="388">
        <v>748</v>
      </c>
      <c r="H262" s="446">
        <v>5</v>
      </c>
      <c r="I262" s="446">
        <v>4</v>
      </c>
      <c r="J262" s="446">
        <v>60</v>
      </c>
      <c r="K262" s="397" t="s">
        <v>33</v>
      </c>
      <c r="L262" s="519">
        <f>SUBTOTAL(9,M262:Q262)</f>
        <v>1560369.83</v>
      </c>
      <c r="M262" s="519">
        <v>1550698.4300000002</v>
      </c>
      <c r="N262" s="388"/>
      <c r="O262" s="473">
        <v>9671.4</v>
      </c>
      <c r="P262" s="388"/>
      <c r="Q262" s="388"/>
      <c r="R262" s="446">
        <f>M262/G262</f>
        <v>2073.1262433155084</v>
      </c>
      <c r="S262" s="388">
        <f t="shared" si="24"/>
        <v>-9.276845958083868E-11</v>
      </c>
      <c r="T262" s="393"/>
      <c r="U262" s="391"/>
      <c r="V262" s="388"/>
      <c r="W262" s="387"/>
      <c r="X262" s="390"/>
      <c r="Z262" s="419"/>
      <c r="AA262" s="455"/>
      <c r="AB262" s="388"/>
      <c r="AC262" s="404"/>
      <c r="AD262" s="390"/>
    </row>
    <row r="263" spans="1:31" s="977" customFormat="1" ht="58.5" hidden="1" customHeight="1">
      <c r="A263" s="404">
        <f t="shared" si="20"/>
        <v>205</v>
      </c>
      <c r="B263" s="403" t="s">
        <v>645</v>
      </c>
      <c r="C263" s="455" t="s">
        <v>272</v>
      </c>
      <c r="D263" s="545">
        <v>11613</v>
      </c>
      <c r="E263" s="391">
        <v>2120</v>
      </c>
      <c r="F263" s="575" t="s">
        <v>234</v>
      </c>
      <c r="G263" s="391">
        <v>582.6</v>
      </c>
      <c r="H263" s="528">
        <v>5</v>
      </c>
      <c r="I263" s="528">
        <v>3</v>
      </c>
      <c r="J263" s="446">
        <v>54</v>
      </c>
      <c r="K263" s="458" t="s">
        <v>33</v>
      </c>
      <c r="L263" s="519">
        <f>SUM(M263:Q263)</f>
        <v>1027809.31</v>
      </c>
      <c r="M263" s="519">
        <v>1024157.28</v>
      </c>
      <c r="N263" s="388"/>
      <c r="O263" s="473">
        <v>3652.03</v>
      </c>
      <c r="P263" s="388"/>
      <c r="Q263" s="388"/>
      <c r="R263" s="446">
        <f>M263/G263</f>
        <v>1757.9081359423276</v>
      </c>
      <c r="S263" s="388">
        <f t="shared" si="24"/>
        <v>2.7739588404074311E-11</v>
      </c>
      <c r="T263" s="393"/>
      <c r="U263" s="391"/>
      <c r="V263" s="388"/>
      <c r="W263" s="387"/>
      <c r="X263" s="390"/>
      <c r="Z263" s="419"/>
      <c r="AA263" s="455"/>
      <c r="AB263" s="388"/>
      <c r="AC263" s="404"/>
      <c r="AD263" s="390"/>
    </row>
    <row r="264" spans="1:31" s="977" customFormat="1" ht="54.75" hidden="1" customHeight="1">
      <c r="A264" s="404">
        <f t="shared" si="20"/>
        <v>206</v>
      </c>
      <c r="B264" s="403" t="s">
        <v>646</v>
      </c>
      <c r="C264" s="455" t="s">
        <v>218</v>
      </c>
      <c r="D264" s="455">
        <v>17172</v>
      </c>
      <c r="E264" s="388">
        <v>2099.7600000000002</v>
      </c>
      <c r="F264" s="539" t="s">
        <v>234</v>
      </c>
      <c r="G264" s="388">
        <v>725.7</v>
      </c>
      <c r="H264" s="446">
        <v>9</v>
      </c>
      <c r="I264" s="446">
        <v>2</v>
      </c>
      <c r="J264" s="446">
        <v>70</v>
      </c>
      <c r="K264" s="397" t="s">
        <v>30</v>
      </c>
      <c r="L264" s="519">
        <f>SUM(M264:Q264)</f>
        <v>1365907.8199999998</v>
      </c>
      <c r="M264" s="519">
        <v>1359221.42</v>
      </c>
      <c r="N264" s="388"/>
      <c r="O264" s="473">
        <v>6686.4</v>
      </c>
      <c r="P264" s="388"/>
      <c r="Q264" s="388"/>
      <c r="R264" s="446">
        <f>M264/J264</f>
        <v>19417.448857142856</v>
      </c>
      <c r="S264" s="388">
        <f t="shared" si="24"/>
        <v>-9.276845958083868E-11</v>
      </c>
      <c r="T264" s="393"/>
      <c r="U264" s="391"/>
      <c r="V264" s="388"/>
      <c r="W264" s="387"/>
      <c r="X264" s="390"/>
      <c r="Z264" s="419"/>
      <c r="AA264" s="455"/>
      <c r="AB264" s="388"/>
      <c r="AC264" s="404"/>
      <c r="AD264" s="390"/>
    </row>
    <row r="265" spans="1:31" s="977" customFormat="1" ht="46.5" hidden="1" customHeight="1">
      <c r="A265" s="404">
        <f t="shared" si="20"/>
        <v>207</v>
      </c>
      <c r="B265" s="403" t="s">
        <v>647</v>
      </c>
      <c r="C265" s="531" t="s">
        <v>218</v>
      </c>
      <c r="D265" s="606">
        <v>23068</v>
      </c>
      <c r="E265" s="391">
        <v>4621.32</v>
      </c>
      <c r="F265" s="563" t="s">
        <v>234</v>
      </c>
      <c r="G265" s="391">
        <v>1103.9000000000001</v>
      </c>
      <c r="H265" s="446">
        <v>9</v>
      </c>
      <c r="I265" s="446">
        <v>3</v>
      </c>
      <c r="J265" s="528">
        <v>108</v>
      </c>
      <c r="K265" s="397" t="s">
        <v>30</v>
      </c>
      <c r="L265" s="1129">
        <f>M265+N265+O265+Q265+M266+N266+O266+Q266</f>
        <v>11842669.979999999</v>
      </c>
      <c r="M265" s="529">
        <v>2601762.09</v>
      </c>
      <c r="N265" s="391"/>
      <c r="O265" s="600">
        <v>10316.16</v>
      </c>
      <c r="P265" s="391"/>
      <c r="Q265" s="602"/>
      <c r="R265" s="446">
        <f>M265/J265</f>
        <v>24090.389722222222</v>
      </c>
      <c r="S265" s="388">
        <f t="shared" si="24"/>
        <v>9230591.7299999986</v>
      </c>
      <c r="T265" s="393"/>
      <c r="U265" s="391"/>
      <c r="V265" s="391"/>
      <c r="W265" s="387"/>
      <c r="X265" s="390"/>
      <c r="Z265" s="419"/>
      <c r="AA265" s="455"/>
      <c r="AB265" s="388"/>
      <c r="AC265" s="404"/>
      <c r="AD265" s="390"/>
    </row>
    <row r="266" spans="1:31" s="977" customFormat="1" ht="54.75" hidden="1" customHeight="1">
      <c r="A266" s="404"/>
      <c r="B266" s="403"/>
      <c r="C266" s="531"/>
      <c r="D266" s="606"/>
      <c r="E266" s="391"/>
      <c r="F266" s="563"/>
      <c r="G266" s="391"/>
      <c r="H266" s="446"/>
      <c r="I266" s="446"/>
      <c r="J266" s="528"/>
      <c r="K266" s="397" t="s">
        <v>227</v>
      </c>
      <c r="L266" s="1129"/>
      <c r="M266" s="529">
        <v>9206032.1399999987</v>
      </c>
      <c r="N266" s="391">
        <v>24559.59</v>
      </c>
      <c r="O266" s="600"/>
      <c r="P266" s="391"/>
      <c r="Q266" s="602"/>
      <c r="R266" s="543">
        <f>M266/E265</f>
        <v>1992.0784840694864</v>
      </c>
      <c r="S266" s="388">
        <f t="shared" si="24"/>
        <v>-9230591.7299999986</v>
      </c>
      <c r="T266" s="393"/>
      <c r="U266" s="391"/>
      <c r="V266" s="391"/>
      <c r="W266" s="387"/>
      <c r="X266" s="390"/>
      <c r="Z266" s="419"/>
      <c r="AA266" s="455"/>
      <c r="AB266" s="388"/>
      <c r="AC266" s="404"/>
      <c r="AD266" s="390"/>
    </row>
    <row r="267" spans="1:31" s="977" customFormat="1" ht="58.5" hidden="1" customHeight="1">
      <c r="A267" s="404">
        <f>A265+1</f>
        <v>208</v>
      </c>
      <c r="B267" s="403" t="s">
        <v>648</v>
      </c>
      <c r="C267" s="531" t="s">
        <v>218</v>
      </c>
      <c r="D267" s="606">
        <v>24116</v>
      </c>
      <c r="E267" s="391">
        <v>4460.3999999999996</v>
      </c>
      <c r="F267" s="563" t="s">
        <v>234</v>
      </c>
      <c r="G267" s="391">
        <v>1030</v>
      </c>
      <c r="H267" s="446">
        <v>9</v>
      </c>
      <c r="I267" s="446">
        <v>3</v>
      </c>
      <c r="J267" s="528">
        <v>108</v>
      </c>
      <c r="K267" s="458" t="s">
        <v>33</v>
      </c>
      <c r="L267" s="529">
        <f>SUBTOTAL(9,M267:Q267)</f>
        <v>1988384.35</v>
      </c>
      <c r="M267" s="529">
        <v>1981927.79</v>
      </c>
      <c r="N267" s="391"/>
      <c r="O267" s="600">
        <v>6456.56</v>
      </c>
      <c r="P267" s="601"/>
      <c r="Q267" s="602"/>
      <c r="R267" s="446">
        <f>M267/G267</f>
        <v>1924.2017378640778</v>
      </c>
      <c r="S267" s="388">
        <f t="shared" si="24"/>
        <v>5.5479176808148623E-11</v>
      </c>
      <c r="T267" s="393"/>
      <c r="U267" s="391"/>
      <c r="V267" s="391"/>
      <c r="W267" s="387"/>
      <c r="X267" s="390"/>
      <c r="Z267" s="419"/>
      <c r="AA267" s="455"/>
      <c r="AB267" s="388"/>
      <c r="AC267" s="404"/>
      <c r="AD267" s="390"/>
    </row>
    <row r="268" spans="1:31" s="977" customFormat="1" ht="36" hidden="1" customHeight="1">
      <c r="A268" s="404">
        <f t="shared" ref="A268:A275" si="26">A267+1</f>
        <v>209</v>
      </c>
      <c r="B268" s="403" t="s">
        <v>649</v>
      </c>
      <c r="C268" s="455" t="s">
        <v>218</v>
      </c>
      <c r="D268" s="487">
        <v>22320</v>
      </c>
      <c r="E268" s="388">
        <v>2820</v>
      </c>
      <c r="F268" s="388" t="s">
        <v>234</v>
      </c>
      <c r="G268" s="388">
        <v>1018</v>
      </c>
      <c r="H268" s="528">
        <v>9</v>
      </c>
      <c r="I268" s="528">
        <v>2</v>
      </c>
      <c r="J268" s="528">
        <v>143</v>
      </c>
      <c r="K268" s="397" t="s">
        <v>30</v>
      </c>
      <c r="L268" s="1129">
        <f>M268+N268+O268+Q268+M269+N269+O269+Q269</f>
        <v>12692883.069999998</v>
      </c>
      <c r="M268" s="519">
        <v>3880341.73</v>
      </c>
      <c r="N268" s="388"/>
      <c r="O268" s="473">
        <v>9671.4</v>
      </c>
      <c r="P268" s="388"/>
      <c r="Q268" s="388"/>
      <c r="R268" s="446">
        <f>M268/J268</f>
        <v>27135.256853146853</v>
      </c>
      <c r="S268" s="388">
        <f t="shared" si="24"/>
        <v>8802869.9399999976</v>
      </c>
      <c r="T268" s="393"/>
      <c r="U268" s="391"/>
      <c r="V268" s="388"/>
      <c r="W268" s="387"/>
      <c r="X268" s="390"/>
      <c r="Z268" s="419"/>
      <c r="AA268" s="455"/>
      <c r="AB268" s="388"/>
      <c r="AC268" s="404"/>
      <c r="AD268" s="390"/>
    </row>
    <row r="269" spans="1:31" s="977" customFormat="1" ht="54.75" hidden="1" customHeight="1">
      <c r="A269" s="404"/>
      <c r="B269" s="403"/>
      <c r="C269" s="455"/>
      <c r="D269" s="487"/>
      <c r="E269" s="388"/>
      <c r="F269" s="388"/>
      <c r="G269" s="388"/>
      <c r="H269" s="528"/>
      <c r="I269" s="528"/>
      <c r="J269" s="528"/>
      <c r="K269" s="397" t="s">
        <v>227</v>
      </c>
      <c r="L269" s="1129"/>
      <c r="M269" s="529">
        <v>8778497.4100000001</v>
      </c>
      <c r="N269" s="391">
        <v>24372.53</v>
      </c>
      <c r="O269" s="600"/>
      <c r="P269" s="391"/>
      <c r="Q269" s="602"/>
      <c r="R269" s="543">
        <f>M269/E268</f>
        <v>3112.9423439716311</v>
      </c>
      <c r="S269" s="388">
        <f t="shared" si="24"/>
        <v>-8802869.9399999995</v>
      </c>
      <c r="T269" s="393"/>
      <c r="U269" s="391"/>
      <c r="V269" s="391"/>
      <c r="W269" s="387"/>
      <c r="X269" s="390"/>
      <c r="Z269" s="419"/>
      <c r="AA269" s="455"/>
      <c r="AB269" s="388"/>
      <c r="AC269" s="404"/>
      <c r="AD269" s="390"/>
    </row>
    <row r="270" spans="1:31" s="977" customFormat="1" ht="54.75" hidden="1" customHeight="1">
      <c r="A270" s="404">
        <f>A268+1</f>
        <v>210</v>
      </c>
      <c r="B270" s="403" t="s">
        <v>650</v>
      </c>
      <c r="C270" s="455" t="s">
        <v>218</v>
      </c>
      <c r="D270" s="532">
        <v>7306</v>
      </c>
      <c r="E270" s="535">
        <v>2200</v>
      </c>
      <c r="F270" s="533" t="s">
        <v>234</v>
      </c>
      <c r="G270" s="535">
        <v>288</v>
      </c>
      <c r="H270" s="536">
        <v>9</v>
      </c>
      <c r="I270" s="536">
        <v>1</v>
      </c>
      <c r="J270" s="536">
        <v>63</v>
      </c>
      <c r="K270" s="397" t="s">
        <v>30</v>
      </c>
      <c r="L270" s="551">
        <f>SUBTOTAL(9,M270:Q270)</f>
        <v>1764210.03</v>
      </c>
      <c r="M270" s="519">
        <v>1758192.27</v>
      </c>
      <c r="N270" s="388"/>
      <c r="O270" s="540">
        <v>6017.76</v>
      </c>
      <c r="P270" s="388"/>
      <c r="Q270" s="541"/>
      <c r="R270" s="446">
        <f>M270/J270</f>
        <v>27907.81380952381</v>
      </c>
      <c r="S270" s="388">
        <f t="shared" si="24"/>
        <v>9.0949470177292824E-12</v>
      </c>
      <c r="T270" s="393"/>
      <c r="U270" s="391"/>
      <c r="V270" s="388"/>
      <c r="W270" s="387"/>
      <c r="X270" s="390"/>
      <c r="Z270" s="419"/>
      <c r="AA270" s="455"/>
      <c r="AB270" s="388"/>
      <c r="AC270" s="404"/>
      <c r="AD270" s="390"/>
    </row>
    <row r="271" spans="1:31" s="977" customFormat="1" ht="58.5" hidden="1" customHeight="1">
      <c r="A271" s="404">
        <f t="shared" si="26"/>
        <v>211</v>
      </c>
      <c r="B271" s="590" t="s">
        <v>651</v>
      </c>
      <c r="C271" s="455" t="s">
        <v>240</v>
      </c>
      <c r="D271" s="531">
        <v>1797</v>
      </c>
      <c r="E271" s="388">
        <v>430</v>
      </c>
      <c r="F271" s="533" t="s">
        <v>223</v>
      </c>
      <c r="G271" s="388">
        <v>354</v>
      </c>
      <c r="H271" s="446">
        <v>2</v>
      </c>
      <c r="I271" s="446">
        <v>1</v>
      </c>
      <c r="J271" s="446">
        <v>8</v>
      </c>
      <c r="K271" s="397" t="s">
        <v>33</v>
      </c>
      <c r="L271" s="529">
        <f>M271+N271+O271+P271+Q271</f>
        <v>953585.92999999993</v>
      </c>
      <c r="M271" s="519">
        <v>950627.2</v>
      </c>
      <c r="N271" s="388"/>
      <c r="O271" s="473">
        <v>2958.73</v>
      </c>
      <c r="P271" s="388"/>
      <c r="Q271" s="388"/>
      <c r="R271" s="446">
        <f>M271/G271</f>
        <v>2685.387570621469</v>
      </c>
      <c r="S271" s="388">
        <f t="shared" si="24"/>
        <v>-1.8644641386345029E-11</v>
      </c>
      <c r="T271" s="393"/>
      <c r="U271" s="391"/>
      <c r="V271" s="388"/>
      <c r="W271" s="387"/>
      <c r="X271" s="390"/>
      <c r="Z271" s="419"/>
      <c r="AA271" s="455"/>
      <c r="AB271" s="388"/>
      <c r="AC271" s="404"/>
      <c r="AD271" s="390"/>
    </row>
    <row r="272" spans="1:31" s="977" customFormat="1" ht="58.5" hidden="1" customHeight="1">
      <c r="A272" s="404">
        <f t="shared" si="26"/>
        <v>212</v>
      </c>
      <c r="B272" s="590" t="s">
        <v>652</v>
      </c>
      <c r="C272" s="455" t="s">
        <v>240</v>
      </c>
      <c r="D272" s="531">
        <v>1989</v>
      </c>
      <c r="E272" s="388">
        <v>479</v>
      </c>
      <c r="F272" s="533" t="s">
        <v>223</v>
      </c>
      <c r="G272" s="388">
        <v>354</v>
      </c>
      <c r="H272" s="446">
        <v>2</v>
      </c>
      <c r="I272" s="446">
        <v>1</v>
      </c>
      <c r="J272" s="446">
        <v>8</v>
      </c>
      <c r="K272" s="397" t="s">
        <v>33</v>
      </c>
      <c r="L272" s="529">
        <f>M272+N272+O272+P272+Q272</f>
        <v>964410.59</v>
      </c>
      <c r="M272" s="547">
        <v>961451.86</v>
      </c>
      <c r="N272" s="388"/>
      <c r="O272" s="473">
        <v>2958.73</v>
      </c>
      <c r="P272" s="388"/>
      <c r="Q272" s="388"/>
      <c r="R272" s="446">
        <f>M272/G272</f>
        <v>2715.9657062146894</v>
      </c>
      <c r="S272" s="388">
        <f t="shared" si="24"/>
        <v>-1.8644641386345029E-11</v>
      </c>
      <c r="T272" s="393"/>
      <c r="U272" s="391"/>
      <c r="V272" s="388"/>
      <c r="W272" s="387"/>
      <c r="X272" s="390"/>
      <c r="Z272" s="419"/>
      <c r="AA272" s="455"/>
      <c r="AB272" s="388"/>
      <c r="AC272" s="404"/>
      <c r="AD272" s="390"/>
    </row>
    <row r="273" spans="1:32" s="416" customFormat="1" ht="37.5" hidden="1">
      <c r="A273" s="404">
        <f>A272+1</f>
        <v>213</v>
      </c>
      <c r="B273" s="607" t="s">
        <v>654</v>
      </c>
      <c r="C273" s="531" t="s">
        <v>218</v>
      </c>
      <c r="D273" s="566">
        <v>31254</v>
      </c>
      <c r="E273" s="608">
        <v>3714.7</v>
      </c>
      <c r="F273" s="383" t="s">
        <v>234</v>
      </c>
      <c r="G273" s="609">
        <v>1200</v>
      </c>
      <c r="H273" s="610">
        <v>9</v>
      </c>
      <c r="I273" s="610">
        <v>4</v>
      </c>
      <c r="J273" s="610">
        <v>144</v>
      </c>
      <c r="K273" s="397" t="s">
        <v>364</v>
      </c>
      <c r="L273" s="529">
        <f>M273+N273+O273+P273+Q273</f>
        <v>8074051.9900000002</v>
      </c>
      <c r="M273" s="519">
        <v>7926045.7400000002</v>
      </c>
      <c r="N273" s="388">
        <v>148006.25</v>
      </c>
      <c r="O273" s="385"/>
      <c r="P273" s="383"/>
      <c r="Q273" s="388"/>
      <c r="R273" s="446">
        <v>2000000</v>
      </c>
      <c r="S273" s="388">
        <f t="shared" si="24"/>
        <v>0</v>
      </c>
      <c r="T273" s="393"/>
      <c r="U273" s="391"/>
      <c r="V273" s="388"/>
      <c r="W273" s="387"/>
      <c r="Z273" s="419"/>
    </row>
    <row r="274" spans="1:32" ht="54.75" hidden="1" customHeight="1">
      <c r="A274" s="404">
        <f t="shared" si="26"/>
        <v>214</v>
      </c>
      <c r="B274" s="403" t="s">
        <v>655</v>
      </c>
      <c r="C274" s="455" t="s">
        <v>272</v>
      </c>
      <c r="D274" s="545">
        <v>20229</v>
      </c>
      <c r="E274" s="391">
        <v>3618</v>
      </c>
      <c r="F274" s="388" t="s">
        <v>234</v>
      </c>
      <c r="G274" s="391">
        <v>782.8</v>
      </c>
      <c r="H274" s="528">
        <v>10</v>
      </c>
      <c r="I274" s="528">
        <v>2</v>
      </c>
      <c r="J274" s="528">
        <v>80</v>
      </c>
      <c r="K274" s="537" t="s">
        <v>30</v>
      </c>
      <c r="L274" s="519">
        <f>SUBTOTAL(9,M274:Q274)</f>
        <v>1937515.33</v>
      </c>
      <c r="M274" s="519">
        <v>1929873.73</v>
      </c>
      <c r="N274" s="388"/>
      <c r="O274" s="473">
        <v>7641.6</v>
      </c>
      <c r="P274" s="388"/>
      <c r="Q274" s="388"/>
      <c r="R274" s="446">
        <f>M274/J274</f>
        <v>24123.421624999999</v>
      </c>
      <c r="S274" s="388">
        <f t="shared" si="24"/>
        <v>9.276845958083868E-11</v>
      </c>
      <c r="T274" s="392"/>
      <c r="U274" s="391"/>
      <c r="V274" s="388"/>
      <c r="W274" s="387"/>
      <c r="Z274" s="419"/>
    </row>
    <row r="275" spans="1:32" s="416" customFormat="1" ht="54.75" hidden="1" customHeight="1">
      <c r="A275" s="404">
        <f t="shared" si="26"/>
        <v>215</v>
      </c>
      <c r="B275" s="403" t="s">
        <v>656</v>
      </c>
      <c r="C275" s="531" t="s">
        <v>272</v>
      </c>
      <c r="D275" s="532">
        <v>15091</v>
      </c>
      <c r="E275" s="391">
        <v>2113</v>
      </c>
      <c r="F275" s="533" t="s">
        <v>234</v>
      </c>
      <c r="G275" s="535">
        <v>1399</v>
      </c>
      <c r="H275" s="536">
        <v>5</v>
      </c>
      <c r="I275" s="536">
        <v>4</v>
      </c>
      <c r="J275" s="536">
        <v>53</v>
      </c>
      <c r="K275" s="397" t="s">
        <v>30</v>
      </c>
      <c r="L275" s="529">
        <f>M275+N275+O275+P275+Q275</f>
        <v>890677.5</v>
      </c>
      <c r="M275" s="519">
        <v>886405.96</v>
      </c>
      <c r="N275" s="388"/>
      <c r="O275" s="473">
        <v>4271.54</v>
      </c>
      <c r="P275" s="388"/>
      <c r="Q275" s="388"/>
      <c r="R275" s="446">
        <f>M275/J275</f>
        <v>16724.64075471698</v>
      </c>
      <c r="S275" s="388">
        <f t="shared" si="24"/>
        <v>3.7289282772690058E-11</v>
      </c>
      <c r="T275" s="389"/>
      <c r="U275" s="391"/>
      <c r="V275" s="388"/>
      <c r="W275" s="387"/>
      <c r="Z275" s="419"/>
    </row>
    <row r="276" spans="1:32" s="458" customFormat="1" ht="46.9" hidden="1" customHeight="1">
      <c r="A276" s="1152">
        <f>A275+1</f>
        <v>216</v>
      </c>
      <c r="B276" s="403" t="s">
        <v>657</v>
      </c>
      <c r="C276" s="531" t="s">
        <v>272</v>
      </c>
      <c r="D276" s="566">
        <v>1894</v>
      </c>
      <c r="E276" s="388">
        <v>487</v>
      </c>
      <c r="F276" s="388" t="s">
        <v>223</v>
      </c>
      <c r="G276" s="388">
        <v>358</v>
      </c>
      <c r="H276" s="572">
        <v>2</v>
      </c>
      <c r="I276" s="572">
        <v>1</v>
      </c>
      <c r="J276" s="572">
        <v>6</v>
      </c>
      <c r="K276" s="458" t="s">
        <v>38</v>
      </c>
      <c r="L276" s="1128">
        <f>M276+N276+O276+P276+Q276+M277+N277+O277+P277+Q277</f>
        <v>1752451.0999999999</v>
      </c>
      <c r="M276" s="551">
        <v>872007.63</v>
      </c>
      <c r="N276" s="388"/>
      <c r="O276" s="473">
        <v>2671.58</v>
      </c>
      <c r="P276" s="388"/>
      <c r="Q276" s="388"/>
      <c r="R276" s="528">
        <f>M276/E276</f>
        <v>1790.5700821355235</v>
      </c>
      <c r="S276" s="388">
        <f t="shared" si="24"/>
        <v>877771.8899999999</v>
      </c>
      <c r="T276" s="389"/>
      <c r="U276" s="391"/>
      <c r="V276" s="550"/>
      <c r="W276" s="387"/>
      <c r="Z276" s="419"/>
    </row>
    <row r="277" spans="1:32" s="458" customFormat="1" ht="46.9" hidden="1" customHeight="1">
      <c r="A277" s="1152"/>
      <c r="B277" s="403"/>
      <c r="C277" s="531"/>
      <c r="D277" s="566"/>
      <c r="E277" s="388"/>
      <c r="F277" s="388"/>
      <c r="G277" s="388"/>
      <c r="H277" s="572"/>
      <c r="I277" s="572"/>
      <c r="J277" s="572"/>
      <c r="K277" s="458" t="s">
        <v>33</v>
      </c>
      <c r="L277" s="1128"/>
      <c r="M277" s="519">
        <v>874779.73</v>
      </c>
      <c r="N277" s="388"/>
      <c r="O277" s="473">
        <v>2992.16</v>
      </c>
      <c r="P277" s="388"/>
      <c r="Q277" s="388"/>
      <c r="R277" s="446">
        <f>M277/G276</f>
        <v>2443.5187988826815</v>
      </c>
      <c r="S277" s="388">
        <f t="shared" si="24"/>
        <v>-877771.89</v>
      </c>
      <c r="T277" s="392" t="s">
        <v>3589</v>
      </c>
      <c r="U277" s="391"/>
      <c r="V277" s="388"/>
      <c r="W277" s="387"/>
      <c r="Z277" s="419"/>
    </row>
    <row r="278" spans="1:32" s="416" customFormat="1" ht="37.9" hidden="1" customHeight="1">
      <c r="A278" s="570">
        <f>A276+1</f>
        <v>217</v>
      </c>
      <c r="B278" s="403" t="s">
        <v>658</v>
      </c>
      <c r="C278" s="531" t="s">
        <v>272</v>
      </c>
      <c r="D278" s="566">
        <v>26347</v>
      </c>
      <c r="E278" s="388">
        <v>4088</v>
      </c>
      <c r="F278" s="391" t="s">
        <v>223</v>
      </c>
      <c r="G278" s="388">
        <v>1483.2</v>
      </c>
      <c r="H278" s="572">
        <v>5</v>
      </c>
      <c r="I278" s="572">
        <v>4</v>
      </c>
      <c r="J278" s="572">
        <v>68</v>
      </c>
      <c r="K278" s="458" t="s">
        <v>33</v>
      </c>
      <c r="L278" s="1128">
        <f>M278+N278+O278+P278+Q278+M279+N279+O279+P279+Q279</f>
        <v>8169369.1899999995</v>
      </c>
      <c r="M278" s="519">
        <v>5752300.3300000001</v>
      </c>
      <c r="N278" s="388"/>
      <c r="O278" s="473">
        <v>14167.53</v>
      </c>
      <c r="P278" s="388"/>
      <c r="Q278" s="388"/>
      <c r="R278" s="446">
        <f>M278/G278</f>
        <v>3878.3038902373246</v>
      </c>
      <c r="S278" s="388">
        <f t="shared" si="24"/>
        <v>2402901.3299999996</v>
      </c>
      <c r="T278" s="392"/>
      <c r="U278" s="391"/>
      <c r="V278" s="388"/>
      <c r="W278" s="387"/>
      <c r="Z278" s="419"/>
    </row>
    <row r="279" spans="1:32" s="416" customFormat="1" ht="54.75" hidden="1" customHeight="1">
      <c r="A279" s="404"/>
      <c r="B279" s="403"/>
      <c r="C279" s="531"/>
      <c r="D279" s="566"/>
      <c r="E279" s="388"/>
      <c r="F279" s="391"/>
      <c r="G279" s="388"/>
      <c r="H279" s="572"/>
      <c r="I279" s="572"/>
      <c r="J279" s="572"/>
      <c r="K279" s="458" t="s">
        <v>30</v>
      </c>
      <c r="L279" s="1128"/>
      <c r="M279" s="519">
        <v>2395438.8299999996</v>
      </c>
      <c r="N279" s="388"/>
      <c r="O279" s="473">
        <v>7462.5</v>
      </c>
      <c r="P279" s="388"/>
      <c r="Q279" s="388"/>
      <c r="R279" s="446">
        <f>M279/J278</f>
        <v>35227.041617647053</v>
      </c>
      <c r="S279" s="388">
        <f t="shared" si="24"/>
        <v>-2402901.3299999996</v>
      </c>
      <c r="T279" s="389" t="s">
        <v>3594</v>
      </c>
      <c r="U279" s="391"/>
      <c r="V279" s="388"/>
      <c r="W279" s="387"/>
      <c r="Z279" s="419"/>
    </row>
    <row r="280" spans="1:32" s="416" customFormat="1" ht="54.75" hidden="1" customHeight="1">
      <c r="A280" s="404">
        <f>A278+1</f>
        <v>218</v>
      </c>
      <c r="B280" s="403" t="s">
        <v>659</v>
      </c>
      <c r="C280" s="544" t="s">
        <v>272</v>
      </c>
      <c r="D280" s="545">
        <v>13248</v>
      </c>
      <c r="E280" s="391">
        <v>2705</v>
      </c>
      <c r="F280" s="391" t="s">
        <v>223</v>
      </c>
      <c r="G280" s="391">
        <v>1139</v>
      </c>
      <c r="H280" s="528">
        <v>5</v>
      </c>
      <c r="I280" s="528">
        <v>4</v>
      </c>
      <c r="J280" s="528">
        <v>80</v>
      </c>
      <c r="K280" s="537" t="s">
        <v>30</v>
      </c>
      <c r="L280" s="529">
        <f t="shared" ref="L280:L285" si="27">M280+N280+O280+P280+Q280</f>
        <v>1826043.3</v>
      </c>
      <c r="M280" s="529">
        <v>1819595.7</v>
      </c>
      <c r="N280" s="388"/>
      <c r="O280" s="530">
        <v>6447.6</v>
      </c>
      <c r="P280" s="391">
        <v>0</v>
      </c>
      <c r="Q280" s="388"/>
      <c r="R280" s="446">
        <f>M280/J280</f>
        <v>22744.946250000001</v>
      </c>
      <c r="S280" s="388">
        <f t="shared" si="24"/>
        <v>9.276845958083868E-11</v>
      </c>
      <c r="T280" s="389"/>
      <c r="U280" s="391"/>
      <c r="V280" s="391"/>
      <c r="W280" s="387"/>
      <c r="Z280" s="419"/>
    </row>
    <row r="281" spans="1:32" s="977" customFormat="1" ht="58.5" hidden="1" customHeight="1">
      <c r="A281" s="404">
        <f>A280+1</f>
        <v>219</v>
      </c>
      <c r="B281" s="403" t="s">
        <v>660</v>
      </c>
      <c r="C281" s="544" t="s">
        <v>272</v>
      </c>
      <c r="D281" s="487">
        <v>16248</v>
      </c>
      <c r="E281" s="388">
        <v>2604</v>
      </c>
      <c r="F281" s="388" t="s">
        <v>223</v>
      </c>
      <c r="G281" s="388">
        <v>1151</v>
      </c>
      <c r="H281" s="528">
        <v>5</v>
      </c>
      <c r="I281" s="528">
        <v>4</v>
      </c>
      <c r="J281" s="528">
        <v>78</v>
      </c>
      <c r="K281" s="458" t="s">
        <v>225</v>
      </c>
      <c r="L281" s="529">
        <f t="shared" si="27"/>
        <v>1146380.4099999999</v>
      </c>
      <c r="M281" s="519">
        <v>1111415.4099999999</v>
      </c>
      <c r="N281" s="388">
        <v>34965</v>
      </c>
      <c r="O281" s="473"/>
      <c r="P281" s="388"/>
      <c r="Q281" s="388"/>
      <c r="R281" s="446">
        <f>M281/J281</f>
        <v>14248.915512820511</v>
      </c>
      <c r="S281" s="388">
        <f t="shared" si="24"/>
        <v>0</v>
      </c>
      <c r="T281" s="393"/>
      <c r="U281" s="391"/>
      <c r="V281" s="388"/>
      <c r="W281" s="387"/>
      <c r="X281" s="390"/>
      <c r="Z281" s="419"/>
      <c r="AA281" s="455"/>
      <c r="AB281" s="388"/>
      <c r="AC281" s="404"/>
      <c r="AD281" s="390"/>
    </row>
    <row r="282" spans="1:32" s="977" customFormat="1" ht="58.5" hidden="1" customHeight="1">
      <c r="A282" s="404">
        <f t="shared" ref="A282:A309" si="28">A281+1</f>
        <v>220</v>
      </c>
      <c r="B282" s="403" t="s">
        <v>661</v>
      </c>
      <c r="C282" s="455" t="s">
        <v>218</v>
      </c>
      <c r="D282" s="487">
        <v>13350</v>
      </c>
      <c r="E282" s="388">
        <v>3240</v>
      </c>
      <c r="F282" s="388" t="s">
        <v>234</v>
      </c>
      <c r="G282" s="391">
        <v>515.20000000000005</v>
      </c>
      <c r="H282" s="446">
        <v>9</v>
      </c>
      <c r="I282" s="446">
        <v>1</v>
      </c>
      <c r="J282" s="446">
        <v>48</v>
      </c>
      <c r="K282" s="458" t="s">
        <v>225</v>
      </c>
      <c r="L282" s="529">
        <f t="shared" si="27"/>
        <v>1030427.49</v>
      </c>
      <c r="M282" s="519">
        <v>995462.49</v>
      </c>
      <c r="N282" s="388">
        <v>34965</v>
      </c>
      <c r="O282" s="473"/>
      <c r="P282" s="388"/>
      <c r="Q282" s="388"/>
      <c r="R282" s="446">
        <f>M282/J282</f>
        <v>20738.801875000001</v>
      </c>
      <c r="S282" s="388">
        <f t="shared" ref="S282:S318" si="29">L282-M282-N282-O282-P282-Q282</f>
        <v>0</v>
      </c>
      <c r="T282" s="393"/>
      <c r="U282" s="391"/>
      <c r="V282" s="388"/>
      <c r="W282" s="387"/>
      <c r="X282" s="390"/>
      <c r="Z282" s="419"/>
      <c r="AA282" s="455"/>
      <c r="AB282" s="388"/>
      <c r="AC282" s="404"/>
      <c r="AD282" s="390"/>
    </row>
    <row r="283" spans="1:32" s="404" customFormat="1" ht="54.75" hidden="1" customHeight="1">
      <c r="A283" s="404">
        <f t="shared" si="28"/>
        <v>221</v>
      </c>
      <c r="B283" s="593" t="s">
        <v>662</v>
      </c>
      <c r="C283" s="531" t="s">
        <v>272</v>
      </c>
      <c r="D283" s="566">
        <v>13203</v>
      </c>
      <c r="E283" s="388">
        <v>2430</v>
      </c>
      <c r="F283" s="388" t="s">
        <v>223</v>
      </c>
      <c r="G283" s="564">
        <v>1144</v>
      </c>
      <c r="H283" s="446">
        <v>5</v>
      </c>
      <c r="I283" s="446">
        <v>4</v>
      </c>
      <c r="J283" s="446">
        <v>80</v>
      </c>
      <c r="K283" s="397" t="s">
        <v>30</v>
      </c>
      <c r="L283" s="529">
        <f t="shared" si="27"/>
        <v>1581048.4000000001</v>
      </c>
      <c r="M283" s="519">
        <v>1578472.34</v>
      </c>
      <c r="N283" s="388"/>
      <c r="O283" s="473">
        <v>2576.06</v>
      </c>
      <c r="P283" s="388"/>
      <c r="Q283" s="388"/>
      <c r="R283" s="446">
        <f>M283/J283</f>
        <v>19730.90425</v>
      </c>
      <c r="S283" s="388">
        <f t="shared" si="29"/>
        <v>5.5933924159035087E-11</v>
      </c>
      <c r="T283" s="393"/>
      <c r="U283" s="391"/>
      <c r="V283" s="388"/>
      <c r="W283" s="387"/>
      <c r="X283" s="390"/>
      <c r="Z283" s="419"/>
      <c r="AA283" s="390"/>
      <c r="AC283" s="455"/>
      <c r="AD283" s="388"/>
      <c r="AF283" s="390"/>
    </row>
    <row r="284" spans="1:32" s="977" customFormat="1" ht="39" hidden="1" customHeight="1">
      <c r="A284" s="404">
        <f t="shared" si="28"/>
        <v>222</v>
      </c>
      <c r="B284" s="593" t="s">
        <v>663</v>
      </c>
      <c r="C284" s="531" t="s">
        <v>272</v>
      </c>
      <c r="D284" s="566">
        <v>11783</v>
      </c>
      <c r="E284" s="388">
        <v>2350</v>
      </c>
      <c r="F284" s="391" t="s">
        <v>223</v>
      </c>
      <c r="G284" s="564">
        <v>902</v>
      </c>
      <c r="H284" s="446">
        <v>5</v>
      </c>
      <c r="I284" s="446">
        <v>3</v>
      </c>
      <c r="J284" s="446">
        <v>78</v>
      </c>
      <c r="K284" s="458" t="s">
        <v>33</v>
      </c>
      <c r="L284" s="529">
        <f t="shared" si="27"/>
        <v>3189707.31</v>
      </c>
      <c r="M284" s="550">
        <v>3180283.66</v>
      </c>
      <c r="N284" s="388"/>
      <c r="O284" s="473">
        <v>9423.65</v>
      </c>
      <c r="P284" s="388"/>
      <c r="Q284" s="388"/>
      <c r="R284" s="446">
        <f>M284/G284</f>
        <v>3525.8133702882483</v>
      </c>
      <c r="S284" s="388">
        <f t="shared" si="29"/>
        <v>-9.276845958083868E-11</v>
      </c>
      <c r="T284" s="393"/>
      <c r="U284" s="391"/>
      <c r="V284" s="550"/>
      <c r="W284" s="387"/>
      <c r="X284" s="390"/>
      <c r="Z284" s="419"/>
      <c r="AA284" s="981"/>
      <c r="AC284" s="455"/>
      <c r="AD284" s="388"/>
      <c r="AE284" s="404"/>
      <c r="AF284" s="390"/>
    </row>
    <row r="285" spans="1:32" s="977" customFormat="1" ht="54.75" hidden="1" customHeight="1">
      <c r="A285" s="404">
        <f t="shared" si="28"/>
        <v>223</v>
      </c>
      <c r="B285" s="403" t="s">
        <v>664</v>
      </c>
      <c r="C285" s="531" t="s">
        <v>272</v>
      </c>
      <c r="D285" s="566">
        <v>12603</v>
      </c>
      <c r="E285" s="388">
        <v>2200</v>
      </c>
      <c r="F285" s="391" t="s">
        <v>223</v>
      </c>
      <c r="G285" s="388">
        <v>1154</v>
      </c>
      <c r="H285" s="446">
        <v>5</v>
      </c>
      <c r="I285" s="446">
        <v>4</v>
      </c>
      <c r="J285" s="446">
        <v>76</v>
      </c>
      <c r="K285" s="397" t="s">
        <v>30</v>
      </c>
      <c r="L285" s="529">
        <f t="shared" si="27"/>
        <v>2053552.48</v>
      </c>
      <c r="M285" s="519">
        <v>2048454.1</v>
      </c>
      <c r="N285" s="388"/>
      <c r="O285" s="473">
        <v>5098.38</v>
      </c>
      <c r="P285" s="388"/>
      <c r="Q285" s="388"/>
      <c r="R285" s="446">
        <f>M285/J285</f>
        <v>26953.343421052632</v>
      </c>
      <c r="S285" s="388">
        <f t="shared" si="29"/>
        <v>-1.1186784831807017E-10</v>
      </c>
      <c r="T285" s="393"/>
      <c r="U285" s="391"/>
      <c r="V285" s="388"/>
      <c r="W285" s="387"/>
      <c r="X285" s="390"/>
      <c r="Z285" s="419"/>
      <c r="AA285" s="455"/>
      <c r="AB285" s="388"/>
      <c r="AC285" s="404"/>
      <c r="AD285" s="390"/>
    </row>
    <row r="286" spans="1:32" s="416" customFormat="1" ht="54.75" hidden="1" customHeight="1">
      <c r="A286" s="404">
        <f t="shared" si="28"/>
        <v>224</v>
      </c>
      <c r="B286" s="593" t="s">
        <v>665</v>
      </c>
      <c r="C286" s="531" t="s">
        <v>272</v>
      </c>
      <c r="D286" s="566">
        <v>12138</v>
      </c>
      <c r="E286" s="388">
        <v>2320</v>
      </c>
      <c r="F286" s="388" t="s">
        <v>223</v>
      </c>
      <c r="G286" s="388">
        <v>1144</v>
      </c>
      <c r="H286" s="446">
        <v>5</v>
      </c>
      <c r="I286" s="446">
        <v>4</v>
      </c>
      <c r="J286" s="446">
        <v>80</v>
      </c>
      <c r="K286" s="397" t="s">
        <v>30</v>
      </c>
      <c r="L286" s="1128">
        <f>M286+N286+O286+P286+Q286+M287+N287+O287+P287+Q287</f>
        <v>5496465.1300000008</v>
      </c>
      <c r="M286" s="547">
        <v>1520355.08</v>
      </c>
      <c r="N286" s="388"/>
      <c r="O286" s="473">
        <v>6447.6</v>
      </c>
      <c r="P286" s="388"/>
      <c r="Q286" s="388"/>
      <c r="R286" s="446">
        <f>M286/J286</f>
        <v>19004.4385</v>
      </c>
      <c r="S286" s="388">
        <f t="shared" si="29"/>
        <v>3969662.4500000007</v>
      </c>
      <c r="T286" s="392"/>
      <c r="U286" s="391"/>
      <c r="V286" s="388"/>
      <c r="W286" s="387"/>
      <c r="Z286" s="419"/>
    </row>
    <row r="287" spans="1:32" s="416" customFormat="1" ht="45" hidden="1" customHeight="1">
      <c r="A287" s="404"/>
      <c r="B287" s="593"/>
      <c r="C287" s="531"/>
      <c r="D287" s="566"/>
      <c r="E287" s="388"/>
      <c r="F287" s="388"/>
      <c r="G287" s="388"/>
      <c r="H287" s="446"/>
      <c r="I287" s="446"/>
      <c r="J287" s="446"/>
      <c r="K287" s="397" t="s">
        <v>33</v>
      </c>
      <c r="L287" s="1128"/>
      <c r="M287" s="519">
        <f>3624188.29+334546.67</f>
        <v>3958734.96</v>
      </c>
      <c r="N287" s="388"/>
      <c r="O287" s="473">
        <v>10927.49</v>
      </c>
      <c r="P287" s="388"/>
      <c r="Q287" s="388"/>
      <c r="R287" s="446">
        <f>M287/G286</f>
        <v>3460.4326573426574</v>
      </c>
      <c r="S287" s="388">
        <f t="shared" si="29"/>
        <v>-3969662.45</v>
      </c>
      <c r="T287" s="389" t="s">
        <v>3595</v>
      </c>
      <c r="U287" s="391"/>
      <c r="V287" s="388"/>
      <c r="W287" s="387"/>
      <c r="Z287" s="419"/>
    </row>
    <row r="288" spans="1:32" s="416" customFormat="1" ht="43.9" hidden="1" customHeight="1">
      <c r="A288" s="404">
        <f>A286+1</f>
        <v>225</v>
      </c>
      <c r="B288" s="403" t="s">
        <v>666</v>
      </c>
      <c r="C288" s="455" t="s">
        <v>272</v>
      </c>
      <c r="D288" s="487">
        <v>6497</v>
      </c>
      <c r="E288" s="388">
        <v>1250</v>
      </c>
      <c r="F288" s="388" t="s">
        <v>223</v>
      </c>
      <c r="G288" s="388">
        <v>600</v>
      </c>
      <c r="H288" s="446">
        <v>5</v>
      </c>
      <c r="I288" s="446">
        <v>2</v>
      </c>
      <c r="J288" s="446">
        <v>40</v>
      </c>
      <c r="K288" s="458" t="s">
        <v>225</v>
      </c>
      <c r="L288" s="529">
        <f t="shared" ref="L288:L297" si="30">M288+N288+O288+P288+Q288</f>
        <v>594104.48</v>
      </c>
      <c r="M288" s="519">
        <v>559139.48</v>
      </c>
      <c r="N288" s="388">
        <v>34965</v>
      </c>
      <c r="O288" s="473"/>
      <c r="P288" s="388"/>
      <c r="Q288" s="388"/>
      <c r="R288" s="446">
        <f>M288/J288</f>
        <v>13978.486999999999</v>
      </c>
      <c r="S288" s="388">
        <f t="shared" si="29"/>
        <v>0</v>
      </c>
      <c r="T288" s="389"/>
      <c r="U288" s="391"/>
      <c r="V288" s="388"/>
      <c r="W288" s="387"/>
      <c r="Z288" s="419"/>
    </row>
    <row r="289" spans="1:31" ht="63" hidden="1" customHeight="1">
      <c r="A289" s="404">
        <f t="shared" si="28"/>
        <v>226</v>
      </c>
      <c r="B289" s="403" t="s">
        <v>667</v>
      </c>
      <c r="C289" s="531" t="s">
        <v>272</v>
      </c>
      <c r="D289" s="566">
        <v>15140</v>
      </c>
      <c r="E289" s="388">
        <v>952</v>
      </c>
      <c r="F289" s="391" t="s">
        <v>223</v>
      </c>
      <c r="G289" s="564">
        <v>1128</v>
      </c>
      <c r="H289" s="446">
        <v>5</v>
      </c>
      <c r="I289" s="446">
        <v>4</v>
      </c>
      <c r="J289" s="446">
        <v>80</v>
      </c>
      <c r="K289" s="458" t="s">
        <v>33</v>
      </c>
      <c r="L289" s="529">
        <f t="shared" si="30"/>
        <v>4020681.2199999997</v>
      </c>
      <c r="M289" s="550">
        <v>4008896.44</v>
      </c>
      <c r="N289" s="388"/>
      <c r="O289" s="473">
        <v>11784.78</v>
      </c>
      <c r="P289" s="388"/>
      <c r="Q289" s="388"/>
      <c r="R289" s="446">
        <f>M289/G289</f>
        <v>3553.9862056737588</v>
      </c>
      <c r="S289" s="388">
        <f t="shared" si="29"/>
        <v>-2.0554580260068178E-10</v>
      </c>
      <c r="T289" s="389"/>
      <c r="U289" s="391"/>
      <c r="V289" s="550"/>
      <c r="W289" s="387"/>
      <c r="Z289" s="419"/>
    </row>
    <row r="290" spans="1:31" ht="43.9" hidden="1" customHeight="1">
      <c r="A290" s="404">
        <f t="shared" si="28"/>
        <v>227</v>
      </c>
      <c r="B290" s="403" t="s">
        <v>668</v>
      </c>
      <c r="C290" s="544" t="s">
        <v>272</v>
      </c>
      <c r="D290" s="487">
        <v>9151</v>
      </c>
      <c r="E290" s="388">
        <v>2500</v>
      </c>
      <c r="F290" s="388" t="s">
        <v>234</v>
      </c>
      <c r="G290" s="391">
        <v>509</v>
      </c>
      <c r="H290" s="446">
        <v>9</v>
      </c>
      <c r="I290" s="446">
        <v>1</v>
      </c>
      <c r="J290" s="446">
        <v>50</v>
      </c>
      <c r="K290" s="458" t="s">
        <v>225</v>
      </c>
      <c r="L290" s="529">
        <f t="shared" si="30"/>
        <v>948723.46</v>
      </c>
      <c r="M290" s="519">
        <v>913758.46</v>
      </c>
      <c r="N290" s="388">
        <v>34965</v>
      </c>
      <c r="O290" s="473"/>
      <c r="P290" s="388"/>
      <c r="Q290" s="388"/>
      <c r="R290" s="446">
        <f>M290/J290</f>
        <v>18275.1692</v>
      </c>
      <c r="S290" s="388">
        <f t="shared" si="29"/>
        <v>0</v>
      </c>
      <c r="T290" s="389"/>
      <c r="U290" s="391"/>
      <c r="V290" s="388"/>
      <c r="W290" s="387"/>
      <c r="Z290" s="419"/>
    </row>
    <row r="291" spans="1:31" ht="54.75" hidden="1" customHeight="1">
      <c r="A291" s="404">
        <f t="shared" si="28"/>
        <v>228</v>
      </c>
      <c r="B291" s="403" t="s">
        <v>669</v>
      </c>
      <c r="C291" s="455" t="s">
        <v>272</v>
      </c>
      <c r="D291" s="487">
        <v>9521</v>
      </c>
      <c r="E291" s="388">
        <v>2124</v>
      </c>
      <c r="F291" s="388" t="s">
        <v>234</v>
      </c>
      <c r="G291" s="391">
        <v>510</v>
      </c>
      <c r="H291" s="528">
        <v>9</v>
      </c>
      <c r="I291" s="446">
        <v>1</v>
      </c>
      <c r="J291" s="446">
        <v>52</v>
      </c>
      <c r="K291" s="397" t="s">
        <v>30</v>
      </c>
      <c r="L291" s="529">
        <f t="shared" si="30"/>
        <v>1176689.53</v>
      </c>
      <c r="M291" s="519">
        <v>1171722.49</v>
      </c>
      <c r="O291" s="473">
        <v>4967.04</v>
      </c>
      <c r="P291" s="388"/>
      <c r="Q291" s="388"/>
      <c r="R291" s="446">
        <f>M291/J291</f>
        <v>22533.124807692308</v>
      </c>
      <c r="S291" s="388">
        <f t="shared" si="29"/>
        <v>3.7289282772690058E-11</v>
      </c>
      <c r="T291" s="388"/>
      <c r="U291" s="391"/>
      <c r="V291" s="388"/>
      <c r="W291" s="387"/>
      <c r="Z291" s="419"/>
    </row>
    <row r="292" spans="1:31" ht="54.75" hidden="1" customHeight="1">
      <c r="A292" s="404">
        <f t="shared" si="28"/>
        <v>229</v>
      </c>
      <c r="B292" s="611" t="s">
        <v>670</v>
      </c>
      <c r="C292" s="455" t="s">
        <v>367</v>
      </c>
      <c r="D292" s="566">
        <v>2444</v>
      </c>
      <c r="E292" s="388">
        <v>344</v>
      </c>
      <c r="F292" s="388" t="s">
        <v>223</v>
      </c>
      <c r="G292" s="564">
        <v>467</v>
      </c>
      <c r="H292" s="572">
        <v>2</v>
      </c>
      <c r="I292" s="572">
        <v>1</v>
      </c>
      <c r="J292" s="572">
        <v>12</v>
      </c>
      <c r="K292" s="397" t="s">
        <v>30</v>
      </c>
      <c r="L292" s="529">
        <f t="shared" si="30"/>
        <v>193883.30000000002</v>
      </c>
      <c r="M292" s="547">
        <v>192916.16</v>
      </c>
      <c r="N292" s="388"/>
      <c r="O292" s="473">
        <v>967.14</v>
      </c>
      <c r="P292" s="388"/>
      <c r="Q292" s="388"/>
      <c r="R292" s="446">
        <f>M292/J292</f>
        <v>16076.346666666666</v>
      </c>
      <c r="S292" s="388">
        <f t="shared" si="29"/>
        <v>1.3983481039758772E-11</v>
      </c>
      <c r="T292" s="389"/>
      <c r="U292" s="391"/>
      <c r="V292" s="388"/>
      <c r="W292" s="387"/>
      <c r="Z292" s="419"/>
    </row>
    <row r="293" spans="1:31" ht="43.9" hidden="1" customHeight="1">
      <c r="A293" s="404">
        <f>A292+1</f>
        <v>230</v>
      </c>
      <c r="B293" s="611" t="s">
        <v>671</v>
      </c>
      <c r="C293" s="455" t="s">
        <v>240</v>
      </c>
      <c r="D293" s="566">
        <v>4356</v>
      </c>
      <c r="E293" s="388">
        <v>497</v>
      </c>
      <c r="F293" s="391" t="s">
        <v>223</v>
      </c>
      <c r="G293" s="564">
        <v>530</v>
      </c>
      <c r="H293" s="572">
        <v>2</v>
      </c>
      <c r="I293" s="572">
        <v>2</v>
      </c>
      <c r="J293" s="572">
        <v>17</v>
      </c>
      <c r="K293" s="612" t="s">
        <v>33</v>
      </c>
      <c r="L293" s="529">
        <f t="shared" si="30"/>
        <v>2501691.16</v>
      </c>
      <c r="M293" s="613">
        <v>2497261.42</v>
      </c>
      <c r="N293" s="388"/>
      <c r="O293" s="473">
        <v>4429.74</v>
      </c>
      <c r="P293" s="388"/>
      <c r="Q293" s="388"/>
      <c r="R293" s="446">
        <f>M293/G293</f>
        <v>4711.8140000000003</v>
      </c>
      <c r="S293" s="388">
        <f t="shared" si="29"/>
        <v>2.2373569663614035E-10</v>
      </c>
      <c r="T293" s="389"/>
      <c r="U293" s="391"/>
      <c r="V293" s="550"/>
      <c r="W293" s="387"/>
      <c r="Z293" s="419"/>
    </row>
    <row r="294" spans="1:31" ht="43.9" hidden="1" customHeight="1">
      <c r="A294" s="404">
        <f t="shared" si="28"/>
        <v>231</v>
      </c>
      <c r="B294" s="611" t="s">
        <v>672</v>
      </c>
      <c r="C294" s="455" t="s">
        <v>240</v>
      </c>
      <c r="D294" s="566">
        <v>3842</v>
      </c>
      <c r="E294" s="388">
        <v>934</v>
      </c>
      <c r="F294" s="391" t="s">
        <v>223</v>
      </c>
      <c r="G294" s="564">
        <v>740.5</v>
      </c>
      <c r="H294" s="572">
        <v>2</v>
      </c>
      <c r="I294" s="572">
        <v>4</v>
      </c>
      <c r="J294" s="572">
        <v>16</v>
      </c>
      <c r="K294" s="612" t="s">
        <v>33</v>
      </c>
      <c r="L294" s="529">
        <f t="shared" si="30"/>
        <v>2063921.1500000001</v>
      </c>
      <c r="M294" s="613">
        <v>2057732.05</v>
      </c>
      <c r="N294" s="388"/>
      <c r="O294" s="473">
        <v>6189.1</v>
      </c>
      <c r="P294" s="388"/>
      <c r="Q294" s="388"/>
      <c r="R294" s="446">
        <f>M294/G294</f>
        <v>2778.8413909520596</v>
      </c>
      <c r="S294" s="388">
        <f t="shared" si="29"/>
        <v>9.276845958083868E-11</v>
      </c>
      <c r="T294" s="389"/>
      <c r="U294" s="391"/>
      <c r="V294" s="550"/>
      <c r="W294" s="387"/>
      <c r="Z294" s="419"/>
    </row>
    <row r="295" spans="1:31" ht="54.75" hidden="1" customHeight="1">
      <c r="A295" s="404">
        <f t="shared" si="28"/>
        <v>232</v>
      </c>
      <c r="B295" s="403" t="s">
        <v>673</v>
      </c>
      <c r="C295" s="531" t="s">
        <v>272</v>
      </c>
      <c r="D295" s="532">
        <v>10698</v>
      </c>
      <c r="E295" s="391">
        <v>1988</v>
      </c>
      <c r="F295" s="391" t="s">
        <v>223</v>
      </c>
      <c r="G295" s="535">
        <v>979</v>
      </c>
      <c r="H295" s="536">
        <v>5</v>
      </c>
      <c r="I295" s="536">
        <v>3</v>
      </c>
      <c r="J295" s="536">
        <v>53</v>
      </c>
      <c r="K295" s="397" t="s">
        <v>30</v>
      </c>
      <c r="L295" s="529">
        <f t="shared" si="30"/>
        <v>1297868.97</v>
      </c>
      <c r="M295" s="519">
        <v>1293597.43</v>
      </c>
      <c r="N295" s="388"/>
      <c r="O295" s="473">
        <v>4271.54</v>
      </c>
      <c r="P295" s="388"/>
      <c r="Q295" s="388"/>
      <c r="R295" s="446">
        <f>M295/J295</f>
        <v>24407.49867924528</v>
      </c>
      <c r="S295" s="388">
        <f t="shared" si="29"/>
        <v>3.7289282772690058E-11</v>
      </c>
      <c r="T295" s="389"/>
      <c r="U295" s="391"/>
      <c r="V295" s="388"/>
      <c r="W295" s="387"/>
      <c r="Z295" s="419"/>
    </row>
    <row r="296" spans="1:31" ht="43.9" hidden="1" customHeight="1">
      <c r="A296" s="404">
        <f t="shared" si="28"/>
        <v>233</v>
      </c>
      <c r="B296" s="403" t="s">
        <v>674</v>
      </c>
      <c r="C296" s="531" t="s">
        <v>272</v>
      </c>
      <c r="D296" s="545">
        <v>3663</v>
      </c>
      <c r="E296" s="391">
        <v>794</v>
      </c>
      <c r="F296" s="391" t="s">
        <v>223</v>
      </c>
      <c r="G296" s="558">
        <v>804</v>
      </c>
      <c r="H296" s="561">
        <v>2</v>
      </c>
      <c r="I296" s="555">
        <v>3</v>
      </c>
      <c r="J296" s="555">
        <v>18</v>
      </c>
      <c r="K296" s="589" t="s">
        <v>33</v>
      </c>
      <c r="L296" s="529">
        <f t="shared" si="30"/>
        <v>2031745.33</v>
      </c>
      <c r="M296" s="569">
        <v>2025025.5</v>
      </c>
      <c r="N296" s="558"/>
      <c r="O296" s="562">
        <v>6719.83</v>
      </c>
      <c r="P296" s="558"/>
      <c r="Q296" s="560"/>
      <c r="R296" s="446">
        <f>M296/G296</f>
        <v>2518.688432835821</v>
      </c>
      <c r="S296" s="388">
        <f t="shared" si="29"/>
        <v>7.4578565545380116E-11</v>
      </c>
      <c r="T296" s="388"/>
      <c r="U296" s="391"/>
      <c r="V296" s="568"/>
      <c r="W296" s="387"/>
      <c r="Z296" s="419"/>
    </row>
    <row r="297" spans="1:31" ht="43.9" hidden="1" customHeight="1">
      <c r="A297" s="404">
        <f t="shared" si="28"/>
        <v>234</v>
      </c>
      <c r="B297" s="403" t="s">
        <v>675</v>
      </c>
      <c r="C297" s="531" t="s">
        <v>272</v>
      </c>
      <c r="D297" s="545">
        <v>5379</v>
      </c>
      <c r="E297" s="391">
        <v>818.4</v>
      </c>
      <c r="F297" s="391" t="s">
        <v>223</v>
      </c>
      <c r="G297" s="558">
        <v>850</v>
      </c>
      <c r="H297" s="561">
        <v>2</v>
      </c>
      <c r="I297" s="555">
        <v>3</v>
      </c>
      <c r="J297" s="555">
        <v>18</v>
      </c>
      <c r="K297" s="589" t="s">
        <v>33</v>
      </c>
      <c r="L297" s="529">
        <f t="shared" si="30"/>
        <v>2333941.29</v>
      </c>
      <c r="M297" s="557">
        <v>2326836.9900000002</v>
      </c>
      <c r="N297" s="558"/>
      <c r="O297" s="473">
        <v>7104.3</v>
      </c>
      <c r="P297" s="558"/>
      <c r="Q297" s="560"/>
      <c r="R297" s="446">
        <f>M297/G297</f>
        <v>2737.4552823529416</v>
      </c>
      <c r="S297" s="388">
        <f t="shared" si="29"/>
        <v>-1.8644641386345029E-10</v>
      </c>
      <c r="T297" s="393"/>
      <c r="U297" s="391"/>
      <c r="V297" s="568"/>
      <c r="W297" s="387"/>
      <c r="Z297" s="419"/>
    </row>
    <row r="298" spans="1:31" s="416" customFormat="1" ht="34.9" hidden="1" customHeight="1">
      <c r="A298" s="404">
        <f>A297+1</f>
        <v>235</v>
      </c>
      <c r="B298" s="403" t="s">
        <v>676</v>
      </c>
      <c r="C298" s="455" t="s">
        <v>272</v>
      </c>
      <c r="D298" s="545">
        <v>10263</v>
      </c>
      <c r="E298" s="391">
        <v>2112</v>
      </c>
      <c r="F298" s="391" t="s">
        <v>223</v>
      </c>
      <c r="G298" s="558">
        <v>1310</v>
      </c>
      <c r="H298" s="561">
        <v>4</v>
      </c>
      <c r="I298" s="555">
        <v>3</v>
      </c>
      <c r="J298" s="555">
        <v>31</v>
      </c>
      <c r="K298" s="458" t="s">
        <v>33</v>
      </c>
      <c r="L298" s="1128">
        <f>M298+N298+O298+P298+Q298+M299+O299+N299+Q299</f>
        <v>8364546.3000000007</v>
      </c>
      <c r="M298" s="557">
        <v>4089000</v>
      </c>
      <c r="N298" s="558"/>
      <c r="O298" s="562">
        <v>13686.23</v>
      </c>
      <c r="P298" s="558"/>
      <c r="Q298" s="560"/>
      <c r="R298" s="446">
        <f>M298/G298</f>
        <v>3121.3740458015268</v>
      </c>
      <c r="S298" s="388">
        <f t="shared" si="29"/>
        <v>4261860.07</v>
      </c>
      <c r="T298" s="392"/>
      <c r="U298" s="391"/>
      <c r="V298" s="568"/>
      <c r="W298" s="387"/>
      <c r="Z298" s="419"/>
    </row>
    <row r="299" spans="1:31" s="416" customFormat="1" ht="34.9" hidden="1" customHeight="1">
      <c r="A299" s="404"/>
      <c r="B299" s="403"/>
      <c r="C299" s="455"/>
      <c r="D299" s="545"/>
      <c r="E299" s="391"/>
      <c r="F299" s="391"/>
      <c r="G299" s="558"/>
      <c r="H299" s="561"/>
      <c r="I299" s="555"/>
      <c r="J299" s="555"/>
      <c r="K299" s="554" t="s">
        <v>38</v>
      </c>
      <c r="L299" s="1128"/>
      <c r="M299" s="569">
        <v>4247979.82</v>
      </c>
      <c r="N299" s="391"/>
      <c r="O299" s="614">
        <v>13880.25</v>
      </c>
      <c r="P299" s="558"/>
      <c r="Q299" s="560"/>
      <c r="R299" s="446">
        <f>M299/E298</f>
        <v>2011.3540814393941</v>
      </c>
      <c r="S299" s="388">
        <f t="shared" si="29"/>
        <v>-4261860.07</v>
      </c>
      <c r="T299" s="392"/>
      <c r="U299" s="391"/>
      <c r="V299" s="568"/>
      <c r="W299" s="387"/>
      <c r="Z299" s="419"/>
    </row>
    <row r="300" spans="1:31" ht="43.9" hidden="1" customHeight="1">
      <c r="A300" s="404">
        <f>A298+1</f>
        <v>236</v>
      </c>
      <c r="B300" s="403" t="s">
        <v>677</v>
      </c>
      <c r="C300" s="455" t="s">
        <v>218</v>
      </c>
      <c r="D300" s="487">
        <v>9139</v>
      </c>
      <c r="E300" s="388">
        <v>1710</v>
      </c>
      <c r="F300" s="388" t="s">
        <v>223</v>
      </c>
      <c r="G300" s="388">
        <v>768</v>
      </c>
      <c r="H300" s="528">
        <v>5</v>
      </c>
      <c r="I300" s="528">
        <v>3</v>
      </c>
      <c r="J300" s="528">
        <v>60</v>
      </c>
      <c r="K300" s="458" t="s">
        <v>225</v>
      </c>
      <c r="L300" s="529">
        <f t="shared" ref="L300:L311" si="31">M300+N300+O300+P300+Q300</f>
        <v>775276.85</v>
      </c>
      <c r="M300" s="519">
        <v>740311.85</v>
      </c>
      <c r="N300" s="388">
        <v>34965</v>
      </c>
      <c r="O300" s="473"/>
      <c r="P300" s="388"/>
      <c r="Q300" s="388"/>
      <c r="R300" s="446">
        <f>M300/J300</f>
        <v>12338.530833333332</v>
      </c>
      <c r="S300" s="388">
        <f t="shared" si="29"/>
        <v>0</v>
      </c>
      <c r="T300" s="393"/>
      <c r="U300" s="391"/>
      <c r="V300" s="388"/>
      <c r="W300" s="387"/>
      <c r="Z300" s="419"/>
    </row>
    <row r="301" spans="1:31" ht="43.9" hidden="1" customHeight="1">
      <c r="A301" s="404">
        <f t="shared" si="28"/>
        <v>237</v>
      </c>
      <c r="B301" s="403" t="s">
        <v>678</v>
      </c>
      <c r="C301" s="455" t="s">
        <v>218</v>
      </c>
      <c r="D301" s="531">
        <v>9591</v>
      </c>
      <c r="E301" s="388">
        <v>2122</v>
      </c>
      <c r="F301" s="388" t="s">
        <v>234</v>
      </c>
      <c r="G301" s="388">
        <v>744</v>
      </c>
      <c r="H301" s="446">
        <v>5</v>
      </c>
      <c r="I301" s="446">
        <v>4</v>
      </c>
      <c r="J301" s="446">
        <v>60</v>
      </c>
      <c r="K301" s="537" t="s">
        <v>225</v>
      </c>
      <c r="L301" s="529">
        <f t="shared" si="31"/>
        <v>916633.13</v>
      </c>
      <c r="M301" s="519">
        <v>887861.93</v>
      </c>
      <c r="N301" s="388">
        <v>28771.200000000001</v>
      </c>
      <c r="O301" s="473"/>
      <c r="P301" s="388"/>
      <c r="Q301" s="388"/>
      <c r="R301" s="446">
        <f>M301/J301</f>
        <v>14797.698833333334</v>
      </c>
      <c r="S301" s="388">
        <f t="shared" si="29"/>
        <v>-4.7293724492192268E-11</v>
      </c>
      <c r="T301" s="389"/>
      <c r="U301" s="391"/>
      <c r="V301" s="388"/>
      <c r="W301" s="387"/>
      <c r="Z301" s="419"/>
    </row>
    <row r="302" spans="1:31" ht="43.9" hidden="1" customHeight="1">
      <c r="A302" s="404">
        <f t="shared" si="28"/>
        <v>238</v>
      </c>
      <c r="B302" s="403" t="s">
        <v>679</v>
      </c>
      <c r="C302" s="455" t="s">
        <v>272</v>
      </c>
      <c r="D302" s="532">
        <v>34642</v>
      </c>
      <c r="E302" s="391">
        <v>4536</v>
      </c>
      <c r="F302" s="535" t="s">
        <v>234</v>
      </c>
      <c r="G302" s="535">
        <v>1231</v>
      </c>
      <c r="H302" s="536">
        <v>9</v>
      </c>
      <c r="I302" s="536">
        <v>3</v>
      </c>
      <c r="J302" s="536">
        <v>144</v>
      </c>
      <c r="K302" s="458" t="s">
        <v>364</v>
      </c>
      <c r="L302" s="529">
        <f t="shared" si="31"/>
        <v>5940708.1799999997</v>
      </c>
      <c r="M302" s="538">
        <v>5813845.6799999997</v>
      </c>
      <c r="N302" s="539">
        <v>126862.5</v>
      </c>
      <c r="O302" s="540"/>
      <c r="P302" s="388"/>
      <c r="Q302" s="541"/>
      <c r="R302" s="446">
        <v>2000000</v>
      </c>
      <c r="S302" s="388">
        <f t="shared" si="29"/>
        <v>0</v>
      </c>
      <c r="T302" s="388"/>
      <c r="U302" s="391"/>
      <c r="V302" s="539"/>
      <c r="W302" s="387"/>
      <c r="Z302" s="419"/>
    </row>
    <row r="303" spans="1:31" ht="43.9" hidden="1" customHeight="1">
      <c r="A303" s="404">
        <f t="shared" si="28"/>
        <v>239</v>
      </c>
      <c r="B303" s="403" t="s">
        <v>680</v>
      </c>
      <c r="C303" s="455" t="s">
        <v>218</v>
      </c>
      <c r="D303" s="532">
        <v>30845</v>
      </c>
      <c r="E303" s="391">
        <v>5832</v>
      </c>
      <c r="F303" s="539" t="s">
        <v>234</v>
      </c>
      <c r="G303" s="535">
        <v>1346</v>
      </c>
      <c r="H303" s="536">
        <v>9</v>
      </c>
      <c r="I303" s="536">
        <v>4</v>
      </c>
      <c r="J303" s="536">
        <v>144</v>
      </c>
      <c r="K303" s="458" t="s">
        <v>364</v>
      </c>
      <c r="L303" s="529">
        <f t="shared" si="31"/>
        <v>7122854.3399999999</v>
      </c>
      <c r="M303" s="538">
        <v>6974848.0899999999</v>
      </c>
      <c r="N303" s="539">
        <v>148006.25</v>
      </c>
      <c r="O303" s="540"/>
      <c r="P303" s="388"/>
      <c r="Q303" s="541"/>
      <c r="R303" s="446">
        <v>2000000</v>
      </c>
      <c r="S303" s="388">
        <f t="shared" si="29"/>
        <v>0</v>
      </c>
      <c r="T303" s="389"/>
      <c r="U303" s="391"/>
      <c r="V303" s="539"/>
      <c r="W303" s="387"/>
      <c r="Z303" s="419"/>
    </row>
    <row r="304" spans="1:31" s="404" customFormat="1" ht="39" hidden="1" customHeight="1">
      <c r="A304" s="404">
        <f t="shared" si="28"/>
        <v>240</v>
      </c>
      <c r="B304" s="403" t="s">
        <v>681</v>
      </c>
      <c r="C304" s="531" t="s">
        <v>218</v>
      </c>
      <c r="D304" s="446">
        <v>25735</v>
      </c>
      <c r="E304" s="388">
        <v>4266</v>
      </c>
      <c r="F304" s="388" t="s">
        <v>234</v>
      </c>
      <c r="G304" s="388">
        <v>1011</v>
      </c>
      <c r="H304" s="446">
        <v>9</v>
      </c>
      <c r="I304" s="446">
        <v>3</v>
      </c>
      <c r="J304" s="446">
        <v>107</v>
      </c>
      <c r="K304" s="537" t="s">
        <v>225</v>
      </c>
      <c r="L304" s="529">
        <f t="shared" si="31"/>
        <v>2139842.79</v>
      </c>
      <c r="M304" s="538">
        <v>2104877.79</v>
      </c>
      <c r="N304" s="388">
        <v>34965</v>
      </c>
      <c r="O304" s="473"/>
      <c r="P304" s="388"/>
      <c r="Q304" s="388"/>
      <c r="R304" s="528">
        <f>M304/J304</f>
        <v>19671.755046728973</v>
      </c>
      <c r="S304" s="388">
        <f t="shared" si="29"/>
        <v>0</v>
      </c>
      <c r="T304" s="392" t="s">
        <v>3596</v>
      </c>
      <c r="U304" s="391"/>
      <c r="V304" s="539"/>
      <c r="W304" s="387"/>
      <c r="Z304" s="419"/>
      <c r="AB304" s="455"/>
      <c r="AC304" s="388"/>
      <c r="AE304" s="390"/>
    </row>
    <row r="305" spans="1:30" ht="43.9" hidden="1" customHeight="1">
      <c r="A305" s="404">
        <f t="shared" si="28"/>
        <v>241</v>
      </c>
      <c r="B305" s="403" t="s">
        <v>682</v>
      </c>
      <c r="C305" s="531" t="s">
        <v>272</v>
      </c>
      <c r="D305" s="532">
        <v>17083</v>
      </c>
      <c r="E305" s="391">
        <v>2435</v>
      </c>
      <c r="F305" s="533" t="s">
        <v>234</v>
      </c>
      <c r="G305" s="535">
        <v>1218</v>
      </c>
      <c r="H305" s="536">
        <v>5</v>
      </c>
      <c r="I305" s="536">
        <v>4</v>
      </c>
      <c r="J305" s="536">
        <v>48</v>
      </c>
      <c r="K305" s="458" t="s">
        <v>253</v>
      </c>
      <c r="L305" s="529">
        <f t="shared" si="31"/>
        <v>4014802.04</v>
      </c>
      <c r="M305" s="538">
        <f>3613499.96+361342.08</f>
        <v>3974842.04</v>
      </c>
      <c r="N305" s="539">
        <v>39960</v>
      </c>
      <c r="O305" s="540"/>
      <c r="P305" s="388"/>
      <c r="Q305" s="541"/>
      <c r="R305" s="446">
        <f>M305/G305</f>
        <v>3263.4171100164203</v>
      </c>
      <c r="S305" s="388">
        <f t="shared" si="29"/>
        <v>0</v>
      </c>
      <c r="T305" s="388"/>
      <c r="U305" s="391"/>
      <c r="V305" s="539"/>
      <c r="W305" s="387"/>
      <c r="Z305" s="419"/>
    </row>
    <row r="306" spans="1:30" ht="43.9" hidden="1" customHeight="1">
      <c r="A306" s="404">
        <f t="shared" si="28"/>
        <v>242</v>
      </c>
      <c r="B306" s="403" t="s">
        <v>683</v>
      </c>
      <c r="C306" s="455" t="s">
        <v>218</v>
      </c>
      <c r="D306" s="532">
        <v>15806</v>
      </c>
      <c r="E306" s="391">
        <v>3014.98</v>
      </c>
      <c r="F306" s="533" t="s">
        <v>234</v>
      </c>
      <c r="G306" s="535">
        <v>621</v>
      </c>
      <c r="H306" s="536">
        <v>9</v>
      </c>
      <c r="I306" s="536">
        <v>2</v>
      </c>
      <c r="J306" s="536">
        <v>70</v>
      </c>
      <c r="K306" s="458" t="s">
        <v>33</v>
      </c>
      <c r="L306" s="529">
        <f t="shared" si="31"/>
        <v>1145193.07</v>
      </c>
      <c r="M306" s="538">
        <v>1141300.33</v>
      </c>
      <c r="N306" s="539"/>
      <c r="O306" s="540">
        <v>3892.74</v>
      </c>
      <c r="P306" s="388"/>
      <c r="Q306" s="541"/>
      <c r="R306" s="446">
        <f>M306/G306</f>
        <v>1837.8427214170695</v>
      </c>
      <c r="S306" s="388">
        <f t="shared" si="29"/>
        <v>-9.0949470177292824E-12</v>
      </c>
      <c r="T306" s="389"/>
      <c r="U306" s="391"/>
      <c r="V306" s="539"/>
      <c r="W306" s="387"/>
      <c r="Z306" s="419"/>
    </row>
    <row r="307" spans="1:30" ht="43.9" hidden="1" customHeight="1">
      <c r="A307" s="404">
        <f t="shared" si="28"/>
        <v>243</v>
      </c>
      <c r="B307" s="403" t="s">
        <v>684</v>
      </c>
      <c r="C307" s="455" t="s">
        <v>272</v>
      </c>
      <c r="D307" s="545">
        <v>12781</v>
      </c>
      <c r="E307" s="391">
        <v>2113</v>
      </c>
      <c r="F307" s="388" t="s">
        <v>223</v>
      </c>
      <c r="G307" s="391">
        <v>983</v>
      </c>
      <c r="H307" s="528">
        <v>5</v>
      </c>
      <c r="I307" s="528">
        <v>4</v>
      </c>
      <c r="J307" s="528">
        <v>66</v>
      </c>
      <c r="K307" s="458" t="s">
        <v>225</v>
      </c>
      <c r="L307" s="529">
        <f t="shared" si="31"/>
        <v>756161.21</v>
      </c>
      <c r="M307" s="519">
        <v>721196.21</v>
      </c>
      <c r="N307" s="388">
        <v>34965</v>
      </c>
      <c r="O307" s="473"/>
      <c r="P307" s="388"/>
      <c r="Q307" s="388"/>
      <c r="R307" s="446">
        <f>M307/J307</f>
        <v>10927.215303030302</v>
      </c>
      <c r="S307" s="388">
        <f t="shared" si="29"/>
        <v>0</v>
      </c>
      <c r="T307" s="389"/>
      <c r="U307" s="391"/>
      <c r="V307" s="388"/>
      <c r="W307" s="387"/>
      <c r="Z307" s="419"/>
    </row>
    <row r="308" spans="1:30" s="416" customFormat="1" ht="43.9" hidden="1" customHeight="1">
      <c r="A308" s="404">
        <f t="shared" si="28"/>
        <v>244</v>
      </c>
      <c r="B308" s="403" t="s">
        <v>685</v>
      </c>
      <c r="C308" s="455" t="s">
        <v>218</v>
      </c>
      <c r="D308" s="532">
        <v>7512</v>
      </c>
      <c r="E308" s="391">
        <v>917</v>
      </c>
      <c r="F308" s="533" t="s">
        <v>234</v>
      </c>
      <c r="G308" s="535">
        <v>575</v>
      </c>
      <c r="H308" s="536"/>
      <c r="I308" s="536"/>
      <c r="J308" s="536"/>
      <c r="K308" s="537" t="s">
        <v>225</v>
      </c>
      <c r="L308" s="529">
        <f t="shared" si="31"/>
        <v>224774.6</v>
      </c>
      <c r="M308" s="547">
        <v>212786.6</v>
      </c>
      <c r="N308" s="388">
        <v>11988</v>
      </c>
      <c r="O308" s="540"/>
      <c r="P308" s="388"/>
      <c r="Q308" s="541"/>
      <c r="R308" s="446" t="e">
        <f>M308/#REF!</f>
        <v>#REF!</v>
      </c>
      <c r="S308" s="388">
        <f t="shared" si="29"/>
        <v>0</v>
      </c>
      <c r="T308" s="389"/>
      <c r="U308" s="391"/>
      <c r="V308" s="388"/>
      <c r="W308" s="387"/>
      <c r="Z308" s="419"/>
    </row>
    <row r="309" spans="1:30" s="977" customFormat="1" ht="58.5" hidden="1" customHeight="1">
      <c r="A309" s="404">
        <f t="shared" si="28"/>
        <v>245</v>
      </c>
      <c r="B309" s="403" t="s">
        <v>686</v>
      </c>
      <c r="C309" s="544" t="s">
        <v>272</v>
      </c>
      <c r="D309" s="446">
        <v>27781</v>
      </c>
      <c r="E309" s="388">
        <v>7104</v>
      </c>
      <c r="F309" s="388" t="s">
        <v>234</v>
      </c>
      <c r="G309" s="388">
        <v>2079.1</v>
      </c>
      <c r="H309" s="446">
        <v>9</v>
      </c>
      <c r="I309" s="446">
        <v>2</v>
      </c>
      <c r="J309" s="446">
        <v>226</v>
      </c>
      <c r="K309" s="397" t="s">
        <v>33</v>
      </c>
      <c r="L309" s="529">
        <f t="shared" si="31"/>
        <v>3621748.0500000003</v>
      </c>
      <c r="M309" s="519">
        <v>3608715.2100000004</v>
      </c>
      <c r="N309" s="388"/>
      <c r="O309" s="553">
        <f>4382.31+8650.53</f>
        <v>13032.84</v>
      </c>
      <c r="P309" s="388"/>
      <c r="Q309" s="388"/>
      <c r="R309" s="446">
        <f>M309/G309</f>
        <v>1735.7102640565631</v>
      </c>
      <c r="S309" s="388">
        <f t="shared" si="29"/>
        <v>-1.4915713109076023E-10</v>
      </c>
      <c r="T309" s="393" t="s">
        <v>3597</v>
      </c>
      <c r="U309" s="391"/>
      <c r="V309" s="388"/>
      <c r="W309" s="387"/>
      <c r="X309" s="390"/>
      <c r="Z309" s="419"/>
      <c r="AA309" s="455"/>
      <c r="AB309" s="388"/>
      <c r="AC309" s="404"/>
      <c r="AD309" s="390"/>
    </row>
    <row r="310" spans="1:30" ht="54.75" hidden="1" customHeight="1">
      <c r="A310" s="404">
        <f>A309+1</f>
        <v>246</v>
      </c>
      <c r="B310" s="403" t="s">
        <v>687</v>
      </c>
      <c r="C310" s="531" t="s">
        <v>272</v>
      </c>
      <c r="D310" s="532">
        <v>13745</v>
      </c>
      <c r="E310" s="391">
        <v>2752</v>
      </c>
      <c r="F310" s="391" t="s">
        <v>223</v>
      </c>
      <c r="G310" s="535">
        <v>1254.0999999999999</v>
      </c>
      <c r="H310" s="536">
        <v>5</v>
      </c>
      <c r="I310" s="536">
        <v>4</v>
      </c>
      <c r="J310" s="536">
        <v>64</v>
      </c>
      <c r="K310" s="397" t="s">
        <v>30</v>
      </c>
      <c r="L310" s="529">
        <f t="shared" si="31"/>
        <v>1568672.8</v>
      </c>
      <c r="M310" s="519">
        <v>1563514.72</v>
      </c>
      <c r="N310" s="388"/>
      <c r="O310" s="473">
        <v>5158.08</v>
      </c>
      <c r="P310" s="388"/>
      <c r="Q310" s="388"/>
      <c r="R310" s="446">
        <f>M310/J310</f>
        <v>24429.9175</v>
      </c>
      <c r="S310" s="388">
        <f t="shared" si="29"/>
        <v>7.4578565545380116E-11</v>
      </c>
      <c r="T310" s="388"/>
      <c r="U310" s="391"/>
      <c r="V310" s="388"/>
      <c r="W310" s="387"/>
      <c r="Z310" s="419"/>
    </row>
    <row r="311" spans="1:30" ht="76.5" hidden="1" customHeight="1">
      <c r="A311" s="404">
        <f>A310+1</f>
        <v>247</v>
      </c>
      <c r="B311" s="403" t="s">
        <v>688</v>
      </c>
      <c r="C311" s="531" t="s">
        <v>272</v>
      </c>
      <c r="D311" s="532">
        <v>16252</v>
      </c>
      <c r="E311" s="391">
        <v>3381</v>
      </c>
      <c r="F311" s="533" t="s">
        <v>234</v>
      </c>
      <c r="G311" s="535">
        <v>1478</v>
      </c>
      <c r="H311" s="536">
        <v>5</v>
      </c>
      <c r="I311" s="536">
        <v>5</v>
      </c>
      <c r="J311" s="536">
        <v>90</v>
      </c>
      <c r="K311" s="458" t="s">
        <v>3768</v>
      </c>
      <c r="L311" s="529">
        <f t="shared" si="31"/>
        <v>4226740.84</v>
      </c>
      <c r="M311" s="519">
        <v>4213606.84</v>
      </c>
      <c r="N311" s="388"/>
      <c r="O311" s="473">
        <v>13134</v>
      </c>
      <c r="P311" s="394"/>
      <c r="Q311" s="388"/>
      <c r="R311" s="528">
        <f>M311/E311</f>
        <v>1246.2605264714582</v>
      </c>
      <c r="S311" s="388">
        <f t="shared" si="29"/>
        <v>0</v>
      </c>
      <c r="T311" s="389"/>
      <c r="U311" s="391"/>
      <c r="V311" s="388"/>
      <c r="W311" s="387"/>
      <c r="Z311" s="419"/>
    </row>
    <row r="312" spans="1:30" s="416" customFormat="1" ht="49.15" hidden="1" customHeight="1">
      <c r="A312" s="404">
        <f t="shared" ref="A312:A400" si="32">A311+1</f>
        <v>248</v>
      </c>
      <c r="B312" s="427" t="s">
        <v>689</v>
      </c>
      <c r="C312" s="455" t="s">
        <v>218</v>
      </c>
      <c r="D312" s="532">
        <v>12137</v>
      </c>
      <c r="E312" s="391">
        <v>2703</v>
      </c>
      <c r="F312" s="391" t="s">
        <v>223</v>
      </c>
      <c r="G312" s="391">
        <v>1487</v>
      </c>
      <c r="H312" s="528">
        <v>5</v>
      </c>
      <c r="I312" s="528">
        <v>4</v>
      </c>
      <c r="J312" s="528">
        <v>79</v>
      </c>
      <c r="K312" s="458" t="s">
        <v>285</v>
      </c>
      <c r="L312" s="1128">
        <f>M312+N312+O312+P312+Q312+M313+N313+O313+P313+Q313+M314+N314+O314+Q314</f>
        <v>7414468.4900000002</v>
      </c>
      <c r="M312" s="519">
        <v>4526592.95</v>
      </c>
      <c r="N312" s="388">
        <v>44955</v>
      </c>
      <c r="O312" s="473"/>
      <c r="P312" s="388"/>
      <c r="Q312" s="388"/>
      <c r="R312" s="528">
        <f>M312/E312</f>
        <v>1674.6551794302627</v>
      </c>
      <c r="S312" s="388">
        <f t="shared" si="29"/>
        <v>2842920.54</v>
      </c>
      <c r="T312" s="389"/>
      <c r="U312" s="391"/>
      <c r="V312" s="388"/>
      <c r="W312" s="387"/>
      <c r="Z312" s="419"/>
    </row>
    <row r="313" spans="1:30" s="416" customFormat="1" ht="54.75" hidden="1" customHeight="1">
      <c r="A313" s="404"/>
      <c r="B313" s="427"/>
      <c r="C313" s="455"/>
      <c r="D313" s="532"/>
      <c r="E313" s="391"/>
      <c r="F313" s="391"/>
      <c r="G313" s="391"/>
      <c r="H313" s="528"/>
      <c r="I313" s="528"/>
      <c r="J313" s="528"/>
      <c r="K313" s="458" t="s">
        <v>30</v>
      </c>
      <c r="L313" s="1128"/>
      <c r="M313" s="519">
        <v>1789739.77</v>
      </c>
      <c r="N313" s="394"/>
      <c r="O313" s="553">
        <v>4864</v>
      </c>
      <c r="P313" s="394"/>
      <c r="Q313" s="394">
        <v>34491</v>
      </c>
      <c r="R313" s="446">
        <f>M313/J312</f>
        <v>22654.933797468355</v>
      </c>
      <c r="S313" s="388">
        <f t="shared" si="29"/>
        <v>-1829094.77</v>
      </c>
      <c r="T313" s="389" t="s">
        <v>3594</v>
      </c>
      <c r="U313" s="391"/>
      <c r="V313" s="388"/>
      <c r="W313" s="387"/>
      <c r="Z313" s="419"/>
    </row>
    <row r="314" spans="1:30" s="416" customFormat="1" ht="54.75" hidden="1" customHeight="1">
      <c r="A314" s="404"/>
      <c r="B314" s="427"/>
      <c r="C314" s="455"/>
      <c r="D314" s="532"/>
      <c r="E314" s="391"/>
      <c r="F314" s="391"/>
      <c r="G314" s="391"/>
      <c r="H314" s="528"/>
      <c r="I314" s="528"/>
      <c r="J314" s="528"/>
      <c r="K314" s="458" t="s">
        <v>225</v>
      </c>
      <c r="L314" s="1128"/>
      <c r="M314" s="519">
        <v>987458.27</v>
      </c>
      <c r="N314" s="394">
        <v>26367.5</v>
      </c>
      <c r="O314" s="553"/>
      <c r="P314" s="394"/>
      <c r="Q314" s="394"/>
      <c r="R314" s="446">
        <f>M314/J312</f>
        <v>12499.471772151899</v>
      </c>
      <c r="S314" s="388">
        <f t="shared" si="29"/>
        <v>-1013825.77</v>
      </c>
      <c r="T314" s="389"/>
      <c r="U314" s="391"/>
      <c r="V314" s="388"/>
      <c r="W314" s="387"/>
      <c r="Z314" s="419"/>
    </row>
    <row r="315" spans="1:30" ht="43.9" hidden="1" customHeight="1">
      <c r="A315" s="404">
        <f>A312+1</f>
        <v>249</v>
      </c>
      <c r="B315" s="403" t="s">
        <v>690</v>
      </c>
      <c r="C315" s="455" t="s">
        <v>218</v>
      </c>
      <c r="D315" s="532">
        <v>12458</v>
      </c>
      <c r="E315" s="391">
        <v>2703</v>
      </c>
      <c r="F315" s="391" t="s">
        <v>223</v>
      </c>
      <c r="G315" s="535">
        <v>1148</v>
      </c>
      <c r="H315" s="536">
        <v>5</v>
      </c>
      <c r="I315" s="536">
        <v>4</v>
      </c>
      <c r="J315" s="536">
        <v>71</v>
      </c>
      <c r="K315" s="458" t="s">
        <v>33</v>
      </c>
      <c r="L315" s="529">
        <f>M315+N315+O315+P315+Q315</f>
        <v>3617643.9099999997</v>
      </c>
      <c r="M315" s="519">
        <v>3605650.1799999997</v>
      </c>
      <c r="N315" s="388"/>
      <c r="O315" s="473">
        <v>11993.73</v>
      </c>
      <c r="P315" s="388"/>
      <c r="Q315" s="388"/>
      <c r="R315" s="446">
        <f>M315/G315</f>
        <v>3140.8102613240417</v>
      </c>
      <c r="S315" s="388">
        <f t="shared" si="29"/>
        <v>-1.8189894035458565E-11</v>
      </c>
      <c r="T315" s="388"/>
      <c r="U315" s="391"/>
      <c r="V315" s="388"/>
      <c r="W315" s="387"/>
      <c r="Z315" s="419"/>
    </row>
    <row r="316" spans="1:30" ht="43.9" hidden="1" customHeight="1">
      <c r="A316" s="404">
        <f t="shared" si="32"/>
        <v>250</v>
      </c>
      <c r="B316" s="403" t="s">
        <v>691</v>
      </c>
      <c r="C316" s="544" t="s">
        <v>272</v>
      </c>
      <c r="D316" s="382">
        <v>46027</v>
      </c>
      <c r="E316" s="383">
        <v>7230</v>
      </c>
      <c r="F316" s="383" t="s">
        <v>234</v>
      </c>
      <c r="G316" s="383">
        <v>1343.7</v>
      </c>
      <c r="H316" s="549">
        <v>9</v>
      </c>
      <c r="I316" s="446">
        <v>4</v>
      </c>
      <c r="J316" s="382">
        <v>128</v>
      </c>
      <c r="K316" s="397" t="s">
        <v>364</v>
      </c>
      <c r="L316" s="529">
        <f>M316+N316+O316+P316+Q316</f>
        <v>8359735.1100000003</v>
      </c>
      <c r="M316" s="519">
        <v>8211728.8600000003</v>
      </c>
      <c r="N316" s="388">
        <v>148006.25</v>
      </c>
      <c r="Q316" s="388"/>
      <c r="R316" s="446">
        <v>2000000</v>
      </c>
      <c r="S316" s="388">
        <f t="shared" si="29"/>
        <v>0</v>
      </c>
      <c r="T316" s="388"/>
      <c r="U316" s="391"/>
      <c r="V316" s="388"/>
      <c r="W316" s="387"/>
      <c r="Z316" s="419"/>
    </row>
    <row r="317" spans="1:30" ht="43.9" hidden="1" customHeight="1">
      <c r="A317" s="404">
        <f t="shared" si="32"/>
        <v>251</v>
      </c>
      <c r="B317" s="403" t="s">
        <v>692</v>
      </c>
      <c r="C317" s="544" t="s">
        <v>272</v>
      </c>
      <c r="D317" s="382">
        <v>14763</v>
      </c>
      <c r="E317" s="383">
        <v>2754</v>
      </c>
      <c r="F317" s="383" t="s">
        <v>234</v>
      </c>
      <c r="G317" s="383">
        <v>437</v>
      </c>
      <c r="H317" s="549">
        <v>12</v>
      </c>
      <c r="I317" s="446">
        <v>1</v>
      </c>
      <c r="J317" s="382">
        <v>47</v>
      </c>
      <c r="K317" s="397" t="s">
        <v>364</v>
      </c>
      <c r="L317" s="529">
        <f>M317+N317+O317+P317+Q317</f>
        <v>5032627.1399999997</v>
      </c>
      <c r="M317" s="519">
        <v>4926908.3899999997</v>
      </c>
      <c r="N317" s="388">
        <v>105718.75</v>
      </c>
      <c r="Q317" s="388"/>
      <c r="R317" s="446">
        <v>2200000</v>
      </c>
      <c r="S317" s="388">
        <f t="shared" si="29"/>
        <v>0</v>
      </c>
      <c r="T317" s="389" t="s">
        <v>3593</v>
      </c>
      <c r="U317" s="391"/>
      <c r="V317" s="388"/>
      <c r="W317" s="387"/>
      <c r="Z317" s="419"/>
    </row>
    <row r="318" spans="1:30" ht="43.9" hidden="1" customHeight="1">
      <c r="A318" s="404">
        <f t="shared" si="32"/>
        <v>252</v>
      </c>
      <c r="B318" s="403" t="s">
        <v>693</v>
      </c>
      <c r="C318" s="455" t="s">
        <v>218</v>
      </c>
      <c r="D318" s="446">
        <v>16860</v>
      </c>
      <c r="E318" s="388">
        <v>2125</v>
      </c>
      <c r="F318" s="539" t="s">
        <v>223</v>
      </c>
      <c r="G318" s="388">
        <v>1124</v>
      </c>
      <c r="H318" s="446">
        <v>5</v>
      </c>
      <c r="I318" s="446">
        <v>4</v>
      </c>
      <c r="J318" s="446">
        <v>79</v>
      </c>
      <c r="K318" s="397" t="s">
        <v>33</v>
      </c>
      <c r="L318" s="529">
        <f>M318+N318+O318+P318+Q318+M319+N319+O319+Q319</f>
        <v>3588283.98</v>
      </c>
      <c r="M318" s="519">
        <v>2787772.65</v>
      </c>
      <c r="N318" s="388"/>
      <c r="O318" s="473">
        <v>10746</v>
      </c>
      <c r="P318" s="388"/>
      <c r="Q318" s="388"/>
      <c r="R318" s="446">
        <f>M318/G318</f>
        <v>2480.2247775800711</v>
      </c>
      <c r="S318" s="388">
        <f t="shared" si="29"/>
        <v>789765.33000000007</v>
      </c>
      <c r="T318" s="389"/>
      <c r="U318" s="391"/>
      <c r="V318" s="388"/>
      <c r="W318" s="387"/>
      <c r="Z318" s="419"/>
    </row>
    <row r="319" spans="1:30" s="400" customFormat="1" ht="43.9" hidden="1" customHeight="1">
      <c r="A319" s="579"/>
      <c r="B319" s="410"/>
      <c r="C319" s="615"/>
      <c r="D319" s="616"/>
      <c r="E319" s="394"/>
      <c r="F319" s="573"/>
      <c r="G319" s="394"/>
      <c r="H319" s="616"/>
      <c r="I319" s="616"/>
      <c r="J319" s="616"/>
      <c r="K319" s="552" t="s">
        <v>38</v>
      </c>
      <c r="L319" s="534"/>
      <c r="M319" s="547">
        <v>774840.33</v>
      </c>
      <c r="N319" s="394"/>
      <c r="O319" s="553">
        <v>14925</v>
      </c>
      <c r="P319" s="394"/>
      <c r="Q319" s="394"/>
      <c r="R319" s="616"/>
      <c r="S319" s="394"/>
      <c r="T319" s="395"/>
      <c r="U319" s="396"/>
      <c r="V319" s="388"/>
      <c r="W319" s="387"/>
      <c r="Z319" s="419"/>
    </row>
    <row r="320" spans="1:30" ht="54.75" hidden="1" customHeight="1">
      <c r="A320" s="404">
        <f>A318+1</f>
        <v>253</v>
      </c>
      <c r="B320" s="403" t="s">
        <v>694</v>
      </c>
      <c r="C320" s="455" t="s">
        <v>218</v>
      </c>
      <c r="D320" s="532">
        <v>12067</v>
      </c>
      <c r="E320" s="391">
        <v>2125</v>
      </c>
      <c r="F320" s="391" t="s">
        <v>223</v>
      </c>
      <c r="G320" s="535">
        <v>1139</v>
      </c>
      <c r="H320" s="536">
        <v>5</v>
      </c>
      <c r="I320" s="536">
        <v>4</v>
      </c>
      <c r="J320" s="536">
        <v>80</v>
      </c>
      <c r="K320" s="397" t="s">
        <v>30</v>
      </c>
      <c r="L320" s="1128">
        <f>M320+N320+O320+P320+Q320+M321+N321+O321+Q321</f>
        <v>2406325.83</v>
      </c>
      <c r="M320" s="519">
        <v>1483604.52</v>
      </c>
      <c r="N320" s="388"/>
      <c r="O320" s="473">
        <v>6447.6</v>
      </c>
      <c r="P320" s="388"/>
      <c r="Q320" s="388"/>
      <c r="R320" s="446">
        <f>M320/J320</f>
        <v>18545.056499999999</v>
      </c>
      <c r="S320" s="388">
        <f t="shared" ref="S320:S351" si="33">L320-M320-N320-O320-P320-Q320</f>
        <v>916273.71000000008</v>
      </c>
      <c r="T320" s="389"/>
      <c r="U320" s="391"/>
      <c r="V320" s="388"/>
      <c r="W320" s="387"/>
      <c r="Z320" s="419"/>
    </row>
    <row r="321" spans="1:36" ht="54.75" hidden="1" customHeight="1">
      <c r="A321" s="404"/>
      <c r="B321" s="403"/>
      <c r="C321" s="455"/>
      <c r="D321" s="532"/>
      <c r="E321" s="391"/>
      <c r="F321" s="391"/>
      <c r="G321" s="535"/>
      <c r="H321" s="536"/>
      <c r="I321" s="536"/>
      <c r="J321" s="536"/>
      <c r="K321" s="397" t="s">
        <v>225</v>
      </c>
      <c r="L321" s="1128"/>
      <c r="M321" s="547">
        <v>886423.71</v>
      </c>
      <c r="N321" s="394">
        <v>29850</v>
      </c>
      <c r="O321" s="473"/>
      <c r="P321" s="388"/>
      <c r="Q321" s="388"/>
      <c r="R321" s="446">
        <f>M321/J320</f>
        <v>11080.296375</v>
      </c>
      <c r="S321" s="388">
        <f t="shared" si="33"/>
        <v>-916273.71</v>
      </c>
      <c r="T321" s="389" t="s">
        <v>4193</v>
      </c>
      <c r="U321" s="391"/>
      <c r="V321" s="388"/>
      <c r="W321" s="387"/>
      <c r="Z321" s="419"/>
    </row>
    <row r="322" spans="1:36" ht="43.9" hidden="1" customHeight="1">
      <c r="A322" s="404">
        <f>A320+1</f>
        <v>254</v>
      </c>
      <c r="B322" s="403" t="s">
        <v>695</v>
      </c>
      <c r="C322" s="544" t="s">
        <v>272</v>
      </c>
      <c r="D322" s="382">
        <v>69340</v>
      </c>
      <c r="E322" s="383">
        <v>9800</v>
      </c>
      <c r="F322" s="383" t="s">
        <v>234</v>
      </c>
      <c r="G322" s="383">
        <v>3767.2</v>
      </c>
      <c r="H322" s="549">
        <v>9</v>
      </c>
      <c r="I322" s="446">
        <v>8</v>
      </c>
      <c r="J322" s="382">
        <v>272</v>
      </c>
      <c r="K322" s="397" t="s">
        <v>364</v>
      </c>
      <c r="L322" s="529">
        <f t="shared" ref="L322:L327" si="34">M322+N322+O322+P322+Q322</f>
        <v>14546228.41</v>
      </c>
      <c r="M322" s="519">
        <v>14334790.91</v>
      </c>
      <c r="N322" s="383">
        <v>211437.5</v>
      </c>
      <c r="Q322" s="388"/>
      <c r="R322" s="446">
        <v>2000000</v>
      </c>
      <c r="S322" s="388">
        <f t="shared" si="33"/>
        <v>0</v>
      </c>
      <c r="T322" s="389"/>
      <c r="U322" s="391"/>
      <c r="V322" s="388"/>
      <c r="W322" s="387"/>
      <c r="Z322" s="419"/>
    </row>
    <row r="323" spans="1:36" s="416" customFormat="1" ht="43.9" hidden="1" customHeight="1">
      <c r="A323" s="404">
        <f t="shared" si="32"/>
        <v>255</v>
      </c>
      <c r="B323" s="403" t="s">
        <v>696</v>
      </c>
      <c r="C323" s="544" t="s">
        <v>272</v>
      </c>
      <c r="D323" s="382">
        <v>33239</v>
      </c>
      <c r="E323" s="383">
        <v>4500</v>
      </c>
      <c r="F323" s="383" t="s">
        <v>234</v>
      </c>
      <c r="G323" s="383">
        <v>1090</v>
      </c>
      <c r="H323" s="549">
        <v>9</v>
      </c>
      <c r="I323" s="446">
        <v>3</v>
      </c>
      <c r="J323" s="382">
        <v>88</v>
      </c>
      <c r="K323" s="397" t="s">
        <v>364</v>
      </c>
      <c r="L323" s="529">
        <f t="shared" si="34"/>
        <v>6244801.7599999998</v>
      </c>
      <c r="M323" s="519">
        <v>6117939.2599999998</v>
      </c>
      <c r="N323" s="388">
        <v>126862.5</v>
      </c>
      <c r="O323" s="385"/>
      <c r="P323" s="383"/>
      <c r="Q323" s="388"/>
      <c r="R323" s="446">
        <v>2000000</v>
      </c>
      <c r="S323" s="388">
        <f t="shared" si="33"/>
        <v>0</v>
      </c>
      <c r="T323" s="389"/>
      <c r="U323" s="391"/>
      <c r="V323" s="388"/>
      <c r="W323" s="387"/>
      <c r="Z323" s="419"/>
    </row>
    <row r="324" spans="1:36" s="977" customFormat="1" ht="43.15" hidden="1" customHeight="1">
      <c r="A324" s="404">
        <f t="shared" si="32"/>
        <v>256</v>
      </c>
      <c r="B324" s="403" t="s">
        <v>697</v>
      </c>
      <c r="C324" s="531" t="s">
        <v>218</v>
      </c>
      <c r="D324" s="382">
        <v>16502</v>
      </c>
      <c r="E324" s="383">
        <v>2950</v>
      </c>
      <c r="F324" s="383" t="s">
        <v>234</v>
      </c>
      <c r="G324" s="383">
        <v>709.1</v>
      </c>
      <c r="H324" s="549">
        <v>9</v>
      </c>
      <c r="I324" s="446">
        <v>2</v>
      </c>
      <c r="J324" s="382">
        <v>71</v>
      </c>
      <c r="K324" s="397" t="s">
        <v>364</v>
      </c>
      <c r="L324" s="529">
        <f t="shared" si="34"/>
        <v>4056411.21</v>
      </c>
      <c r="M324" s="519">
        <v>3950692.46</v>
      </c>
      <c r="N324" s="388">
        <v>105718.75</v>
      </c>
      <c r="O324" s="385"/>
      <c r="P324" s="383"/>
      <c r="Q324" s="388"/>
      <c r="R324" s="446">
        <v>2000000</v>
      </c>
      <c r="S324" s="388">
        <f t="shared" si="33"/>
        <v>0</v>
      </c>
      <c r="T324" s="390"/>
      <c r="U324" s="391"/>
      <c r="V324" s="388"/>
      <c r="W324" s="387"/>
      <c r="X324" s="416"/>
      <c r="Z324" s="419"/>
      <c r="AA324" s="390"/>
      <c r="AB324" s="404"/>
      <c r="AC324" s="390"/>
      <c r="AD324" s="390"/>
      <c r="AE324" s="981"/>
      <c r="AG324" s="455"/>
      <c r="AH324" s="390"/>
      <c r="AI324" s="404"/>
      <c r="AJ324" s="390"/>
    </row>
    <row r="325" spans="1:36" ht="43.9" hidden="1" customHeight="1">
      <c r="A325" s="404">
        <f t="shared" si="32"/>
        <v>257</v>
      </c>
      <c r="B325" s="403" t="s">
        <v>698</v>
      </c>
      <c r="C325" s="531" t="s">
        <v>218</v>
      </c>
      <c r="D325" s="382">
        <v>16083</v>
      </c>
      <c r="E325" s="383">
        <v>2994</v>
      </c>
      <c r="F325" s="383" t="s">
        <v>234</v>
      </c>
      <c r="G325" s="383">
        <v>702</v>
      </c>
      <c r="H325" s="549">
        <v>9</v>
      </c>
      <c r="I325" s="446">
        <v>2</v>
      </c>
      <c r="J325" s="382">
        <v>72</v>
      </c>
      <c r="K325" s="397" t="s">
        <v>364</v>
      </c>
      <c r="L325" s="529">
        <f t="shared" si="34"/>
        <v>4056411.21</v>
      </c>
      <c r="M325" s="519">
        <v>3950692.46</v>
      </c>
      <c r="N325" s="388">
        <v>105718.75</v>
      </c>
      <c r="Q325" s="388"/>
      <c r="R325" s="446">
        <v>2000000</v>
      </c>
      <c r="S325" s="388">
        <f t="shared" si="33"/>
        <v>0</v>
      </c>
      <c r="T325" s="389"/>
      <c r="U325" s="391"/>
      <c r="V325" s="388"/>
      <c r="W325" s="387"/>
      <c r="Z325" s="419"/>
    </row>
    <row r="326" spans="1:36" ht="43.9" hidden="1" customHeight="1">
      <c r="A326" s="404">
        <f t="shared" si="32"/>
        <v>258</v>
      </c>
      <c r="B326" s="403" t="s">
        <v>699</v>
      </c>
      <c r="C326" s="617" t="s">
        <v>218</v>
      </c>
      <c r="D326" s="446">
        <v>65044</v>
      </c>
      <c r="E326" s="550">
        <v>6500</v>
      </c>
      <c r="F326" s="539" t="s">
        <v>234</v>
      </c>
      <c r="G326" s="550">
        <v>3225</v>
      </c>
      <c r="H326" s="549">
        <v>9</v>
      </c>
      <c r="I326" s="446">
        <v>6</v>
      </c>
      <c r="J326" s="446">
        <v>322</v>
      </c>
      <c r="K326" s="397" t="s">
        <v>220</v>
      </c>
      <c r="L326" s="529">
        <f t="shared" si="34"/>
        <v>8058765.2100000009</v>
      </c>
      <c r="M326" s="519">
        <v>7910758.9600000009</v>
      </c>
      <c r="N326" s="388">
        <v>148006.25</v>
      </c>
      <c r="Q326" s="388"/>
      <c r="R326" s="446">
        <v>2000000</v>
      </c>
      <c r="S326" s="388">
        <f t="shared" si="33"/>
        <v>0</v>
      </c>
      <c r="T326" s="389"/>
      <c r="U326" s="391"/>
      <c r="V326" s="388"/>
      <c r="W326" s="387"/>
      <c r="Z326" s="419"/>
    </row>
    <row r="327" spans="1:36" ht="43.9" hidden="1" customHeight="1">
      <c r="A327" s="404">
        <f t="shared" si="32"/>
        <v>259</v>
      </c>
      <c r="B327" s="403" t="s">
        <v>700</v>
      </c>
      <c r="C327" s="531" t="s">
        <v>218</v>
      </c>
      <c r="D327" s="382">
        <v>30446</v>
      </c>
      <c r="E327" s="383">
        <v>2577</v>
      </c>
      <c r="F327" s="383" t="s">
        <v>234</v>
      </c>
      <c r="G327" s="383">
        <v>1330</v>
      </c>
      <c r="H327" s="446">
        <v>9</v>
      </c>
      <c r="I327" s="446">
        <v>4</v>
      </c>
      <c r="J327" s="382">
        <v>143</v>
      </c>
      <c r="K327" s="397" t="s">
        <v>364</v>
      </c>
      <c r="L327" s="529">
        <f t="shared" si="34"/>
        <v>8052415.6699999999</v>
      </c>
      <c r="M327" s="519">
        <v>7904409.4199999999</v>
      </c>
      <c r="N327" s="388">
        <v>148006.25</v>
      </c>
      <c r="Q327" s="388"/>
      <c r="R327" s="446">
        <v>2000000</v>
      </c>
      <c r="S327" s="388">
        <f t="shared" si="33"/>
        <v>0</v>
      </c>
      <c r="T327" s="389"/>
      <c r="U327" s="391"/>
      <c r="V327" s="388"/>
      <c r="W327" s="387"/>
      <c r="Z327" s="419"/>
    </row>
    <row r="328" spans="1:36" s="469" customFormat="1" ht="43.15" hidden="1" customHeight="1">
      <c r="A328" s="1112">
        <f>A327+1</f>
        <v>260</v>
      </c>
      <c r="B328" s="403" t="s">
        <v>701</v>
      </c>
      <c r="C328" s="1151" t="s">
        <v>272</v>
      </c>
      <c r="D328" s="1148">
        <v>22941</v>
      </c>
      <c r="E328" s="1121">
        <v>3812</v>
      </c>
      <c r="F328" s="1121" t="s">
        <v>234</v>
      </c>
      <c r="G328" s="1121">
        <v>943</v>
      </c>
      <c r="H328" s="1148">
        <v>9</v>
      </c>
      <c r="I328" s="1148">
        <v>2</v>
      </c>
      <c r="J328" s="1148">
        <v>112</v>
      </c>
      <c r="K328" s="397" t="s">
        <v>33</v>
      </c>
      <c r="L328" s="1128">
        <f>M328+N328+O328+P328+Q328+M329+N329+O329+P329+Q329</f>
        <v>5483881.8399999999</v>
      </c>
      <c r="M328" s="519">
        <v>1741674.81</v>
      </c>
      <c r="N328" s="388"/>
      <c r="O328" s="473">
        <v>5911.2</v>
      </c>
      <c r="P328" s="388"/>
      <c r="Q328" s="388"/>
      <c r="R328" s="446">
        <f>M328/G328</f>
        <v>1846.9510180275715</v>
      </c>
      <c r="S328" s="388">
        <f t="shared" si="33"/>
        <v>3736295.8299999996</v>
      </c>
      <c r="T328" s="392"/>
      <c r="U328" s="391"/>
      <c r="V328" s="388"/>
      <c r="W328" s="387"/>
      <c r="X328" s="390"/>
      <c r="Z328" s="419"/>
      <c r="AA328" s="390"/>
      <c r="AB328" s="404"/>
      <c r="AC328" s="390"/>
    </row>
    <row r="329" spans="1:36" s="469" customFormat="1" ht="54.75" hidden="1" customHeight="1">
      <c r="A329" s="1112"/>
      <c r="B329" s="403"/>
      <c r="C329" s="1151"/>
      <c r="D329" s="1148"/>
      <c r="E329" s="1121"/>
      <c r="F329" s="1121"/>
      <c r="G329" s="1121"/>
      <c r="H329" s="1148"/>
      <c r="I329" s="1148"/>
      <c r="J329" s="1148"/>
      <c r="K329" s="397" t="s">
        <v>30</v>
      </c>
      <c r="L329" s="1128"/>
      <c r="M329" s="519">
        <v>3725597.59</v>
      </c>
      <c r="N329" s="388"/>
      <c r="O329" s="473">
        <v>10698.24</v>
      </c>
      <c r="P329" s="388"/>
      <c r="Q329" s="388"/>
      <c r="R329" s="446">
        <f>M329/J328</f>
        <v>33264.264196428572</v>
      </c>
      <c r="S329" s="388">
        <f t="shared" si="33"/>
        <v>-3736295.83</v>
      </c>
      <c r="T329" s="389"/>
      <c r="U329" s="391"/>
      <c r="V329" s="388"/>
      <c r="W329" s="387"/>
      <c r="X329" s="390"/>
      <c r="Z329" s="419"/>
      <c r="AA329" s="390"/>
      <c r="AB329" s="404"/>
      <c r="AC329" s="390"/>
    </row>
    <row r="330" spans="1:36" ht="43.9" hidden="1" customHeight="1">
      <c r="A330" s="404">
        <f>A328+1</f>
        <v>261</v>
      </c>
      <c r="B330" s="403" t="s">
        <v>702</v>
      </c>
      <c r="C330" s="455" t="s">
        <v>272</v>
      </c>
      <c r="D330" s="455">
        <v>23599</v>
      </c>
      <c r="E330" s="388">
        <v>3450</v>
      </c>
      <c r="F330" s="388" t="s">
        <v>234</v>
      </c>
      <c r="G330" s="388">
        <v>996</v>
      </c>
      <c r="H330" s="446">
        <v>10</v>
      </c>
      <c r="I330" s="446">
        <v>1</v>
      </c>
      <c r="J330" s="446">
        <v>160</v>
      </c>
      <c r="K330" s="537" t="s">
        <v>225</v>
      </c>
      <c r="L330" s="1128">
        <f>M330+N330+O330+P330+Q330+M331+N331+O331+P331+Q331</f>
        <v>5437316.5599999996</v>
      </c>
      <c r="M330" s="519">
        <v>2173621.65</v>
      </c>
      <c r="N330" s="388">
        <v>44955</v>
      </c>
      <c r="O330" s="473"/>
      <c r="P330" s="388"/>
      <c r="Q330" s="388"/>
      <c r="R330" s="446">
        <f>M330/J330</f>
        <v>13585.135312499999</v>
      </c>
      <c r="S330" s="388">
        <f t="shared" si="33"/>
        <v>3218739.9099999997</v>
      </c>
      <c r="T330" s="389"/>
      <c r="U330" s="391"/>
      <c r="V330" s="388"/>
      <c r="W330" s="387"/>
      <c r="Z330" s="419"/>
    </row>
    <row r="331" spans="1:36" ht="67.5" hidden="1" customHeight="1">
      <c r="A331" s="404"/>
      <c r="B331" s="403"/>
      <c r="C331" s="455"/>
      <c r="D331" s="455"/>
      <c r="E331" s="388"/>
      <c r="F331" s="388"/>
      <c r="G331" s="388"/>
      <c r="H331" s="446"/>
      <c r="I331" s="446"/>
      <c r="J331" s="446"/>
      <c r="K331" s="537" t="s">
        <v>30</v>
      </c>
      <c r="L331" s="1128"/>
      <c r="M331" s="519">
        <v>3208451.6100000003</v>
      </c>
      <c r="N331" s="388"/>
      <c r="O331" s="473">
        <v>10288.299999999999</v>
      </c>
      <c r="P331" s="388"/>
      <c r="Q331" s="388"/>
      <c r="R331" s="543">
        <f>M331/J330</f>
        <v>20052.822562500001</v>
      </c>
      <c r="S331" s="388">
        <f t="shared" si="33"/>
        <v>-3218739.91</v>
      </c>
      <c r="T331" s="389"/>
      <c r="U331" s="391"/>
      <c r="V331" s="388"/>
      <c r="W331" s="387"/>
      <c r="Z331" s="419"/>
    </row>
    <row r="332" spans="1:36" ht="54.75" hidden="1" customHeight="1">
      <c r="A332" s="404">
        <f>A330+1</f>
        <v>262</v>
      </c>
      <c r="B332" s="403" t="s">
        <v>703</v>
      </c>
      <c r="C332" s="618" t="s">
        <v>272</v>
      </c>
      <c r="D332" s="545">
        <v>21274</v>
      </c>
      <c r="E332" s="391">
        <v>3171.6</v>
      </c>
      <c r="F332" s="568" t="s">
        <v>234</v>
      </c>
      <c r="G332" s="558">
        <v>815.9</v>
      </c>
      <c r="H332" s="561">
        <v>9</v>
      </c>
      <c r="I332" s="555">
        <v>1</v>
      </c>
      <c r="J332" s="555">
        <v>114</v>
      </c>
      <c r="K332" s="397" t="s">
        <v>30</v>
      </c>
      <c r="L332" s="529">
        <f>M332+N332+O332+P332+Q332</f>
        <v>3270425.8699999996</v>
      </c>
      <c r="M332" s="557">
        <v>3259536.59</v>
      </c>
      <c r="N332" s="558"/>
      <c r="O332" s="562">
        <v>10889.28</v>
      </c>
      <c r="P332" s="558"/>
      <c r="Q332" s="560"/>
      <c r="R332" s="446">
        <f>M332/J332</f>
        <v>28592.426228070173</v>
      </c>
      <c r="S332" s="388">
        <f t="shared" si="33"/>
        <v>-2.0554580260068178E-10</v>
      </c>
      <c r="T332" s="389"/>
      <c r="U332" s="391"/>
      <c r="V332" s="568"/>
      <c r="W332" s="387"/>
      <c r="Z332" s="419"/>
    </row>
    <row r="333" spans="1:36" ht="43.9" hidden="1" customHeight="1">
      <c r="A333" s="404">
        <f t="shared" si="32"/>
        <v>263</v>
      </c>
      <c r="B333" s="403" t="s">
        <v>704</v>
      </c>
      <c r="C333" s="531" t="s">
        <v>218</v>
      </c>
      <c r="D333" s="382">
        <v>31946</v>
      </c>
      <c r="E333" s="383">
        <v>5421.3</v>
      </c>
      <c r="F333" s="383" t="s">
        <v>234</v>
      </c>
      <c r="G333" s="383">
        <v>1378</v>
      </c>
      <c r="H333" s="549">
        <v>9</v>
      </c>
      <c r="I333" s="446">
        <v>4</v>
      </c>
      <c r="J333" s="382">
        <v>144</v>
      </c>
      <c r="K333" s="397" t="s">
        <v>364</v>
      </c>
      <c r="L333" s="529">
        <f>M333+N333+O333+P333+Q333</f>
        <v>8050247.1100000003</v>
      </c>
      <c r="M333" s="519">
        <v>7902240.8600000003</v>
      </c>
      <c r="N333" s="388">
        <v>148006.25</v>
      </c>
      <c r="Q333" s="388"/>
      <c r="R333" s="446">
        <v>2000000</v>
      </c>
      <c r="S333" s="388">
        <f t="shared" si="33"/>
        <v>0</v>
      </c>
      <c r="T333" s="389"/>
      <c r="U333" s="391"/>
      <c r="V333" s="388"/>
      <c r="W333" s="387"/>
      <c r="Z333" s="419"/>
    </row>
    <row r="334" spans="1:36" ht="43.9" hidden="1" customHeight="1">
      <c r="A334" s="404">
        <f t="shared" si="32"/>
        <v>264</v>
      </c>
      <c r="B334" s="403" t="s">
        <v>705</v>
      </c>
      <c r="C334" s="531" t="s">
        <v>218</v>
      </c>
      <c r="D334" s="382">
        <v>15558</v>
      </c>
      <c r="E334" s="383">
        <v>2985.2</v>
      </c>
      <c r="F334" s="383" t="s">
        <v>234</v>
      </c>
      <c r="G334" s="383">
        <v>679</v>
      </c>
      <c r="H334" s="549">
        <v>9</v>
      </c>
      <c r="I334" s="446">
        <v>2</v>
      </c>
      <c r="J334" s="382">
        <v>72</v>
      </c>
      <c r="K334" s="397" t="s">
        <v>364</v>
      </c>
      <c r="L334" s="529">
        <f>M334+N334+O334+P334+Q334</f>
        <v>4044329.74</v>
      </c>
      <c r="M334" s="519">
        <v>3938610.99</v>
      </c>
      <c r="N334" s="388">
        <v>105718.75</v>
      </c>
      <c r="Q334" s="388"/>
      <c r="R334" s="446">
        <v>2000000</v>
      </c>
      <c r="S334" s="388">
        <f t="shared" si="33"/>
        <v>0</v>
      </c>
      <c r="T334" s="389"/>
      <c r="U334" s="391"/>
      <c r="V334" s="388"/>
      <c r="W334" s="387"/>
      <c r="Z334" s="419"/>
    </row>
    <row r="335" spans="1:36" s="404" customFormat="1" ht="36.75" hidden="1" customHeight="1">
      <c r="A335" s="1152">
        <f>A334+1</f>
        <v>265</v>
      </c>
      <c r="B335" s="403" t="s">
        <v>706</v>
      </c>
      <c r="C335" s="531"/>
      <c r="D335" s="446">
        <v>14810</v>
      </c>
      <c r="E335" s="550">
        <v>2560.3000000000002</v>
      </c>
      <c r="F335" s="388" t="s">
        <v>234</v>
      </c>
      <c r="G335" s="550">
        <v>578</v>
      </c>
      <c r="H335" s="549">
        <v>9</v>
      </c>
      <c r="I335" s="446">
        <v>1</v>
      </c>
      <c r="J335" s="446">
        <v>54</v>
      </c>
      <c r="K335" s="589" t="s">
        <v>33</v>
      </c>
      <c r="L335" s="1128">
        <f>M335+N335+O335+P335+Q335+M336+N336+O336+P336+Q336</f>
        <v>2256610.5699999998</v>
      </c>
      <c r="M335" s="605">
        <v>861352.62</v>
      </c>
      <c r="N335" s="565"/>
      <c r="O335" s="473">
        <v>3623.19</v>
      </c>
      <c r="P335" s="388"/>
      <c r="Q335" s="388"/>
      <c r="R335" s="446">
        <f>M335/G335</f>
        <v>1490.229446366782</v>
      </c>
      <c r="S335" s="388">
        <f t="shared" si="33"/>
        <v>1391634.7599999998</v>
      </c>
      <c r="T335" s="392"/>
      <c r="U335" s="391"/>
      <c r="V335" s="539"/>
      <c r="W335" s="387"/>
      <c r="X335" s="390"/>
      <c r="Z335" s="419"/>
      <c r="AA335" s="390"/>
      <c r="AC335" s="390"/>
    </row>
    <row r="336" spans="1:36" s="404" customFormat="1" ht="54.75" hidden="1" customHeight="1">
      <c r="A336" s="1152"/>
      <c r="B336" s="403"/>
      <c r="C336" s="531"/>
      <c r="D336" s="446"/>
      <c r="E336" s="550"/>
      <c r="F336" s="388"/>
      <c r="G336" s="550"/>
      <c r="H336" s="549"/>
      <c r="I336" s="446"/>
      <c r="J336" s="446"/>
      <c r="K336" s="397" t="s">
        <v>30</v>
      </c>
      <c r="L336" s="1128"/>
      <c r="M336" s="613">
        <v>1386476.68</v>
      </c>
      <c r="N336" s="388"/>
      <c r="O336" s="473">
        <v>5158.08</v>
      </c>
      <c r="P336" s="539"/>
      <c r="Q336" s="388"/>
      <c r="R336" s="446">
        <f>M336/J335</f>
        <v>25675.494074074071</v>
      </c>
      <c r="S336" s="388">
        <f t="shared" si="33"/>
        <v>-1391634.76</v>
      </c>
      <c r="T336" s="389"/>
      <c r="U336" s="391"/>
      <c r="V336" s="550"/>
      <c r="W336" s="387"/>
      <c r="X336" s="390"/>
      <c r="Z336" s="419"/>
      <c r="AA336" s="390"/>
      <c r="AC336" s="390"/>
    </row>
    <row r="337" spans="1:29" ht="43.9" hidden="1" customHeight="1">
      <c r="A337" s="570">
        <f>A335+1</f>
        <v>266</v>
      </c>
      <c r="B337" s="403" t="s">
        <v>707</v>
      </c>
      <c r="C337" s="531" t="s">
        <v>218</v>
      </c>
      <c r="D337" s="531">
        <v>23915</v>
      </c>
      <c r="E337" s="388">
        <v>4232.3</v>
      </c>
      <c r="F337" s="539" t="s">
        <v>234</v>
      </c>
      <c r="G337" s="388">
        <v>979</v>
      </c>
      <c r="H337" s="446">
        <v>9</v>
      </c>
      <c r="I337" s="446">
        <v>3</v>
      </c>
      <c r="J337" s="446">
        <v>108</v>
      </c>
      <c r="K337" s="397" t="s">
        <v>364</v>
      </c>
      <c r="L337" s="529">
        <f>M337+N337+O337+P337+Q337</f>
        <v>6048939.8100000005</v>
      </c>
      <c r="M337" s="519">
        <v>5922077.3100000005</v>
      </c>
      <c r="N337" s="388">
        <v>126862.5</v>
      </c>
      <c r="Q337" s="388"/>
      <c r="R337" s="446">
        <v>2000000</v>
      </c>
      <c r="S337" s="388">
        <f t="shared" si="33"/>
        <v>0</v>
      </c>
      <c r="T337" s="389"/>
      <c r="U337" s="391"/>
      <c r="V337" s="388"/>
      <c r="W337" s="387"/>
      <c r="Z337" s="419"/>
    </row>
    <row r="338" spans="1:29" ht="43.9" hidden="1" customHeight="1">
      <c r="A338" s="404">
        <f t="shared" si="32"/>
        <v>267</v>
      </c>
      <c r="B338" s="403" t="s">
        <v>708</v>
      </c>
      <c r="C338" s="455" t="s">
        <v>272</v>
      </c>
      <c r="D338" s="545">
        <v>9953</v>
      </c>
      <c r="E338" s="391">
        <v>1054</v>
      </c>
      <c r="F338" s="391" t="s">
        <v>234</v>
      </c>
      <c r="G338" s="391">
        <v>420</v>
      </c>
      <c r="H338" s="446">
        <v>9</v>
      </c>
      <c r="I338" s="528">
        <v>1</v>
      </c>
      <c r="J338" s="528">
        <v>48</v>
      </c>
      <c r="K338" s="458" t="s">
        <v>33</v>
      </c>
      <c r="L338" s="529">
        <f>M338+N338+O338+P338+Q338</f>
        <v>876117.84</v>
      </c>
      <c r="M338" s="529">
        <v>873485.07</v>
      </c>
      <c r="N338" s="388"/>
      <c r="O338" s="530">
        <v>2632.77</v>
      </c>
      <c r="P338" s="391"/>
      <c r="Q338" s="391"/>
      <c r="R338" s="446">
        <f>M338/G338</f>
        <v>2079.7263571428571</v>
      </c>
      <c r="S338" s="388">
        <f t="shared" si="33"/>
        <v>1.8644641386345029E-11</v>
      </c>
      <c r="T338" s="389"/>
      <c r="U338" s="391"/>
      <c r="V338" s="391"/>
      <c r="W338" s="387"/>
      <c r="Z338" s="419"/>
    </row>
    <row r="339" spans="1:29" ht="43.9" hidden="1" customHeight="1">
      <c r="A339" s="404">
        <f t="shared" si="32"/>
        <v>268</v>
      </c>
      <c r="B339" s="403" t="s">
        <v>709</v>
      </c>
      <c r="C339" s="455" t="s">
        <v>272</v>
      </c>
      <c r="D339" s="446">
        <v>9872</v>
      </c>
      <c r="E339" s="388">
        <v>1859.2</v>
      </c>
      <c r="F339" s="388" t="s">
        <v>223</v>
      </c>
      <c r="G339" s="388">
        <v>904</v>
      </c>
      <c r="H339" s="446">
        <v>5</v>
      </c>
      <c r="I339" s="446">
        <v>3</v>
      </c>
      <c r="J339" s="446">
        <v>60</v>
      </c>
      <c r="K339" s="537" t="s">
        <v>225</v>
      </c>
      <c r="L339" s="529">
        <f>M339+N339+O339+P339+Q339</f>
        <v>593457.36</v>
      </c>
      <c r="M339" s="519">
        <v>558492.36</v>
      </c>
      <c r="N339" s="388">
        <v>34965</v>
      </c>
      <c r="O339" s="473"/>
      <c r="P339" s="388"/>
      <c r="Q339" s="388"/>
      <c r="R339" s="446">
        <f>M339/J339</f>
        <v>9308.2060000000001</v>
      </c>
      <c r="S339" s="388">
        <f t="shared" si="33"/>
        <v>0</v>
      </c>
      <c r="T339" s="389"/>
      <c r="U339" s="391"/>
      <c r="V339" s="388"/>
      <c r="W339" s="387"/>
      <c r="Z339" s="419"/>
    </row>
    <row r="340" spans="1:29" ht="43.9" hidden="1" customHeight="1">
      <c r="A340" s="404">
        <f t="shared" si="32"/>
        <v>269</v>
      </c>
      <c r="B340" s="403" t="s">
        <v>710</v>
      </c>
      <c r="C340" s="455" t="s">
        <v>272</v>
      </c>
      <c r="D340" s="446">
        <v>11477</v>
      </c>
      <c r="E340" s="388">
        <v>2445</v>
      </c>
      <c r="F340" s="388" t="s">
        <v>223</v>
      </c>
      <c r="G340" s="388">
        <v>1058</v>
      </c>
      <c r="H340" s="446">
        <v>5</v>
      </c>
      <c r="I340" s="446">
        <v>4</v>
      </c>
      <c r="J340" s="446">
        <v>79</v>
      </c>
      <c r="K340" s="537" t="s">
        <v>225</v>
      </c>
      <c r="L340" s="529">
        <f>M340+N340+O340+P340+Q340</f>
        <v>1444516.89</v>
      </c>
      <c r="M340" s="519">
        <v>1409551.89</v>
      </c>
      <c r="N340" s="388">
        <v>34965</v>
      </c>
      <c r="O340" s="473"/>
      <c r="P340" s="388"/>
      <c r="Q340" s="388"/>
      <c r="R340" s="446">
        <f>M340/J340</f>
        <v>17842.428987341769</v>
      </c>
      <c r="S340" s="388">
        <f t="shared" si="33"/>
        <v>0</v>
      </c>
      <c r="T340" s="389"/>
      <c r="U340" s="391"/>
      <c r="V340" s="388"/>
      <c r="W340" s="387"/>
      <c r="Z340" s="419"/>
    </row>
    <row r="341" spans="1:29" s="977" customFormat="1" ht="39.75" hidden="1" customHeight="1">
      <c r="A341" s="1112">
        <f>A340+1</f>
        <v>270</v>
      </c>
      <c r="B341" s="403" t="s">
        <v>711</v>
      </c>
      <c r="C341" s="1154" t="s">
        <v>272</v>
      </c>
      <c r="D341" s="1148">
        <v>35399</v>
      </c>
      <c r="E341" s="1121">
        <v>4470</v>
      </c>
      <c r="F341" s="1121" t="s">
        <v>234</v>
      </c>
      <c r="G341" s="1121">
        <v>1228</v>
      </c>
      <c r="H341" s="1148">
        <v>5</v>
      </c>
      <c r="I341" s="1148">
        <v>10</v>
      </c>
      <c r="J341" s="1148">
        <v>144</v>
      </c>
      <c r="K341" s="589" t="s">
        <v>33</v>
      </c>
      <c r="L341" s="1128">
        <f>M341+N341+O341+P341+Q341+M342+N342+O342+P342+Q342</f>
        <v>10061286.74</v>
      </c>
      <c r="M341" s="551">
        <v>6436618.1200000001</v>
      </c>
      <c r="N341" s="388"/>
      <c r="O341" s="473">
        <v>7697.72</v>
      </c>
      <c r="P341" s="388"/>
      <c r="Q341" s="388"/>
      <c r="R341" s="446">
        <f>M341/G341</f>
        <v>5241.5457003257334</v>
      </c>
      <c r="S341" s="388">
        <f t="shared" si="33"/>
        <v>3616970.9</v>
      </c>
      <c r="T341" s="1143" t="s">
        <v>3593</v>
      </c>
      <c r="U341" s="391"/>
      <c r="V341" s="550"/>
      <c r="W341" s="387"/>
      <c r="X341" s="390"/>
      <c r="Z341" s="419"/>
      <c r="AA341" s="388"/>
      <c r="AB341" s="404"/>
      <c r="AC341" s="390"/>
    </row>
    <row r="342" spans="1:29" s="977" customFormat="1" ht="54.75" hidden="1" customHeight="1">
      <c r="A342" s="1112"/>
      <c r="B342" s="403"/>
      <c r="C342" s="1154"/>
      <c r="D342" s="1148"/>
      <c r="E342" s="1121"/>
      <c r="F342" s="1121"/>
      <c r="G342" s="1121"/>
      <c r="H342" s="1148"/>
      <c r="I342" s="1148"/>
      <c r="J342" s="1148"/>
      <c r="K342" s="397" t="s">
        <v>30</v>
      </c>
      <c r="L342" s="1128"/>
      <c r="M342" s="551">
        <v>3600851.9</v>
      </c>
      <c r="N342" s="388"/>
      <c r="O342" s="473">
        <v>16119</v>
      </c>
      <c r="P342" s="388"/>
      <c r="Q342" s="388"/>
      <c r="R342" s="446">
        <f>M342/J341</f>
        <v>25005.915972222221</v>
      </c>
      <c r="S342" s="388">
        <f t="shared" si="33"/>
        <v>-3616970.9</v>
      </c>
      <c r="T342" s="1143"/>
      <c r="U342" s="391"/>
      <c r="V342" s="550"/>
      <c r="W342" s="387"/>
      <c r="X342" s="390"/>
      <c r="Z342" s="419"/>
      <c r="AA342" s="388"/>
      <c r="AB342" s="404"/>
      <c r="AC342" s="390"/>
    </row>
    <row r="343" spans="1:29" ht="51.75" hidden="1" customHeight="1">
      <c r="A343" s="404">
        <f>A341+1</f>
        <v>271</v>
      </c>
      <c r="B343" s="403" t="s">
        <v>712</v>
      </c>
      <c r="C343" s="455" t="s">
        <v>218</v>
      </c>
      <c r="D343" s="487">
        <v>16646</v>
      </c>
      <c r="E343" s="391">
        <v>3340</v>
      </c>
      <c r="F343" s="391" t="s">
        <v>234</v>
      </c>
      <c r="G343" s="391">
        <v>710</v>
      </c>
      <c r="H343" s="528">
        <v>9</v>
      </c>
      <c r="I343" s="528">
        <v>2</v>
      </c>
      <c r="J343" s="528">
        <v>72</v>
      </c>
      <c r="K343" s="458" t="s">
        <v>30</v>
      </c>
      <c r="L343" s="1128">
        <f>M343+N343+O343+P343+Q343+M344+N344+O344+Q344</f>
        <v>9213981.4000000004</v>
      </c>
      <c r="M343" s="529">
        <v>1886146.9300000002</v>
      </c>
      <c r="N343" s="391"/>
      <c r="O343" s="473">
        <v>6877.44</v>
      </c>
      <c r="P343" s="487"/>
      <c r="Q343" s="391"/>
      <c r="R343" s="528">
        <f>M343/J343</f>
        <v>26196.485138888893</v>
      </c>
      <c r="S343" s="388">
        <f t="shared" si="33"/>
        <v>7320957.0300000003</v>
      </c>
      <c r="T343" s="389"/>
      <c r="U343" s="391"/>
      <c r="V343" s="391"/>
      <c r="W343" s="387"/>
      <c r="Z343" s="419"/>
    </row>
    <row r="344" spans="1:29" ht="54.75" hidden="1" customHeight="1">
      <c r="A344" s="404"/>
      <c r="B344" s="403"/>
      <c r="C344" s="455"/>
      <c r="D344" s="487"/>
      <c r="E344" s="391"/>
      <c r="F344" s="391"/>
      <c r="G344" s="391"/>
      <c r="H344" s="528"/>
      <c r="I344" s="528"/>
      <c r="J344" s="528"/>
      <c r="K344" s="458" t="s">
        <v>227</v>
      </c>
      <c r="L344" s="1128"/>
      <c r="M344" s="529">
        <v>7298005.3600000003</v>
      </c>
      <c r="N344" s="391">
        <v>22951.67</v>
      </c>
      <c r="O344" s="473"/>
      <c r="P344" s="487"/>
      <c r="Q344" s="391"/>
      <c r="R344" s="495">
        <f>M344/E343</f>
        <v>2185.0315449101799</v>
      </c>
      <c r="S344" s="388">
        <f t="shared" si="33"/>
        <v>-7320957.0300000003</v>
      </c>
      <c r="T344" s="389"/>
      <c r="U344" s="391"/>
      <c r="V344" s="391"/>
      <c r="W344" s="387"/>
      <c r="Z344" s="419"/>
    </row>
    <row r="345" spans="1:29" ht="43.9" hidden="1" customHeight="1">
      <c r="A345" s="404">
        <f>A343+1</f>
        <v>272</v>
      </c>
      <c r="B345" s="590" t="s">
        <v>713</v>
      </c>
      <c r="C345" s="455" t="s">
        <v>222</v>
      </c>
      <c r="D345" s="531">
        <v>2535</v>
      </c>
      <c r="E345" s="388">
        <v>602.78</v>
      </c>
      <c r="F345" s="533" t="s">
        <v>223</v>
      </c>
      <c r="G345" s="388">
        <v>413</v>
      </c>
      <c r="H345" s="446">
        <v>2</v>
      </c>
      <c r="I345" s="446">
        <v>2</v>
      </c>
      <c r="J345" s="446">
        <v>8</v>
      </c>
      <c r="K345" s="397" t="s">
        <v>33</v>
      </c>
      <c r="L345" s="529">
        <f t="shared" ref="L345:L351" si="35">M345+N345+O345+P345+Q345</f>
        <v>1489838.48</v>
      </c>
      <c r="M345" s="547">
        <v>1486386.63</v>
      </c>
      <c r="N345" s="388"/>
      <c r="O345" s="473">
        <v>3451.85</v>
      </c>
      <c r="P345" s="388"/>
      <c r="Q345" s="388"/>
      <c r="R345" s="446">
        <f>M345/G345</f>
        <v>3598.9991041162225</v>
      </c>
      <c r="S345" s="388">
        <f t="shared" si="33"/>
        <v>9.3223206931725144E-11</v>
      </c>
      <c r="T345" s="389"/>
      <c r="U345" s="391"/>
      <c r="V345" s="388"/>
      <c r="W345" s="387"/>
      <c r="Z345" s="419"/>
    </row>
    <row r="346" spans="1:29" ht="54.75" hidden="1" customHeight="1">
      <c r="A346" s="404">
        <f t="shared" si="32"/>
        <v>273</v>
      </c>
      <c r="B346" s="590" t="s">
        <v>714</v>
      </c>
      <c r="C346" s="531" t="s">
        <v>272</v>
      </c>
      <c r="D346" s="531">
        <v>2524</v>
      </c>
      <c r="E346" s="388">
        <v>615</v>
      </c>
      <c r="F346" s="533" t="s">
        <v>231</v>
      </c>
      <c r="G346" s="388">
        <v>398</v>
      </c>
      <c r="H346" s="446">
        <v>2</v>
      </c>
      <c r="I346" s="446">
        <v>2</v>
      </c>
      <c r="J346" s="446">
        <v>8</v>
      </c>
      <c r="K346" s="397" t="s">
        <v>30</v>
      </c>
      <c r="L346" s="529">
        <f t="shared" si="35"/>
        <v>143999.32999999999</v>
      </c>
      <c r="M346" s="547">
        <v>143402.32999999999</v>
      </c>
      <c r="N346" s="388"/>
      <c r="O346" s="473">
        <v>597</v>
      </c>
      <c r="P346" s="388"/>
      <c r="Q346" s="388"/>
      <c r="R346" s="446">
        <f t="shared" ref="R346:R351" si="36">M346/J346</f>
        <v>17925.291249999998</v>
      </c>
      <c r="S346" s="388">
        <f t="shared" si="33"/>
        <v>0</v>
      </c>
      <c r="T346" s="389"/>
      <c r="U346" s="391"/>
      <c r="V346" s="388"/>
      <c r="W346" s="387"/>
      <c r="Z346" s="419"/>
    </row>
    <row r="347" spans="1:29" ht="54.75" hidden="1" customHeight="1">
      <c r="A347" s="404">
        <f t="shared" si="32"/>
        <v>274</v>
      </c>
      <c r="B347" s="590" t="s">
        <v>715</v>
      </c>
      <c r="C347" s="531" t="s">
        <v>272</v>
      </c>
      <c r="D347" s="531">
        <v>2466</v>
      </c>
      <c r="E347" s="388">
        <v>596</v>
      </c>
      <c r="F347" s="533" t="s">
        <v>231</v>
      </c>
      <c r="G347" s="388">
        <v>402</v>
      </c>
      <c r="H347" s="446">
        <v>2</v>
      </c>
      <c r="I347" s="446">
        <v>2</v>
      </c>
      <c r="J347" s="446">
        <v>8</v>
      </c>
      <c r="K347" s="397" t="s">
        <v>30</v>
      </c>
      <c r="L347" s="529">
        <f t="shared" si="35"/>
        <v>128662.39999999999</v>
      </c>
      <c r="M347" s="547">
        <v>128065.4</v>
      </c>
      <c r="N347" s="388"/>
      <c r="O347" s="473">
        <v>597</v>
      </c>
      <c r="P347" s="388"/>
      <c r="Q347" s="388"/>
      <c r="R347" s="446">
        <f t="shared" si="36"/>
        <v>16008.174999999999</v>
      </c>
      <c r="S347" s="388">
        <f t="shared" si="33"/>
        <v>0</v>
      </c>
      <c r="T347" s="389"/>
      <c r="U347" s="391"/>
      <c r="V347" s="388"/>
      <c r="W347" s="387"/>
      <c r="Z347" s="419"/>
    </row>
    <row r="348" spans="1:29" ht="54.75" hidden="1" customHeight="1">
      <c r="A348" s="404">
        <f t="shared" si="32"/>
        <v>275</v>
      </c>
      <c r="B348" s="590" t="s">
        <v>716</v>
      </c>
      <c r="C348" s="455" t="s">
        <v>222</v>
      </c>
      <c r="D348" s="531">
        <v>2544</v>
      </c>
      <c r="E348" s="388">
        <v>604</v>
      </c>
      <c r="F348" s="533" t="s">
        <v>223</v>
      </c>
      <c r="G348" s="388">
        <v>413.9</v>
      </c>
      <c r="H348" s="446">
        <v>2</v>
      </c>
      <c r="I348" s="446">
        <v>2</v>
      </c>
      <c r="J348" s="446">
        <v>8</v>
      </c>
      <c r="K348" s="397" t="s">
        <v>30</v>
      </c>
      <c r="L348" s="529">
        <f t="shared" si="35"/>
        <v>158511.18</v>
      </c>
      <c r="M348" s="519">
        <v>157914.18</v>
      </c>
      <c r="N348" s="388"/>
      <c r="O348" s="473">
        <v>597</v>
      </c>
      <c r="P348" s="388"/>
      <c r="Q348" s="388"/>
      <c r="R348" s="446">
        <f t="shared" si="36"/>
        <v>19739.272499999999</v>
      </c>
      <c r="S348" s="388">
        <f t="shared" si="33"/>
        <v>0</v>
      </c>
      <c r="T348" s="389"/>
      <c r="U348" s="391"/>
      <c r="V348" s="388"/>
      <c r="W348" s="387"/>
      <c r="Z348" s="419"/>
    </row>
    <row r="349" spans="1:29" ht="54.75" hidden="1" customHeight="1">
      <c r="A349" s="404">
        <f t="shared" si="32"/>
        <v>276</v>
      </c>
      <c r="B349" s="590" t="s">
        <v>717</v>
      </c>
      <c r="C349" s="531" t="s">
        <v>240</v>
      </c>
      <c r="D349" s="531">
        <v>3414</v>
      </c>
      <c r="E349" s="388">
        <v>681</v>
      </c>
      <c r="F349" s="533" t="s">
        <v>234</v>
      </c>
      <c r="G349" s="388">
        <v>632</v>
      </c>
      <c r="H349" s="446">
        <v>2</v>
      </c>
      <c r="I349" s="446">
        <v>1</v>
      </c>
      <c r="J349" s="446">
        <v>28</v>
      </c>
      <c r="K349" s="397" t="s">
        <v>30</v>
      </c>
      <c r="L349" s="529">
        <f t="shared" si="35"/>
        <v>336673.06999999995</v>
      </c>
      <c r="M349" s="547">
        <v>334416.40999999997</v>
      </c>
      <c r="N349" s="388"/>
      <c r="O349" s="473">
        <v>2256.66</v>
      </c>
      <c r="P349" s="388"/>
      <c r="Q349" s="388"/>
      <c r="R349" s="446">
        <f t="shared" si="36"/>
        <v>11943.443214285713</v>
      </c>
      <c r="S349" s="388">
        <f t="shared" si="33"/>
        <v>-2.5465851649641991E-11</v>
      </c>
      <c r="T349" s="389"/>
      <c r="U349" s="391"/>
      <c r="V349" s="388"/>
      <c r="W349" s="387"/>
      <c r="Z349" s="419"/>
    </row>
    <row r="350" spans="1:29" ht="54.75" hidden="1" customHeight="1">
      <c r="A350" s="404">
        <f t="shared" si="32"/>
        <v>277</v>
      </c>
      <c r="B350" s="590" t="s">
        <v>718</v>
      </c>
      <c r="C350" s="531" t="s">
        <v>272</v>
      </c>
      <c r="D350" s="531">
        <v>2450</v>
      </c>
      <c r="E350" s="388">
        <v>597</v>
      </c>
      <c r="F350" s="533" t="s">
        <v>231</v>
      </c>
      <c r="G350" s="388">
        <v>399.9</v>
      </c>
      <c r="H350" s="446">
        <v>2</v>
      </c>
      <c r="I350" s="446">
        <v>2</v>
      </c>
      <c r="J350" s="446">
        <v>8</v>
      </c>
      <c r="K350" s="397" t="s">
        <v>30</v>
      </c>
      <c r="L350" s="529">
        <f t="shared" si="35"/>
        <v>143596.92000000001</v>
      </c>
      <c r="M350" s="519">
        <v>142999.92000000001</v>
      </c>
      <c r="N350" s="388"/>
      <c r="O350" s="473">
        <v>597</v>
      </c>
      <c r="P350" s="388"/>
      <c r="Q350" s="388"/>
      <c r="R350" s="446">
        <f t="shared" si="36"/>
        <v>17874.990000000002</v>
      </c>
      <c r="S350" s="388">
        <f t="shared" si="33"/>
        <v>0</v>
      </c>
      <c r="T350" s="389"/>
      <c r="U350" s="391"/>
      <c r="V350" s="388"/>
      <c r="W350" s="387"/>
      <c r="Z350" s="419"/>
    </row>
    <row r="351" spans="1:29" ht="54.75" hidden="1" customHeight="1">
      <c r="A351" s="404">
        <f t="shared" si="32"/>
        <v>278</v>
      </c>
      <c r="B351" s="403" t="s">
        <v>719</v>
      </c>
      <c r="C351" s="531" t="s">
        <v>272</v>
      </c>
      <c r="D351" s="446">
        <v>2995</v>
      </c>
      <c r="E351" s="550">
        <v>595</v>
      </c>
      <c r="F351" s="391" t="s">
        <v>223</v>
      </c>
      <c r="G351" s="550">
        <v>295.89999999999998</v>
      </c>
      <c r="H351" s="549">
        <v>3</v>
      </c>
      <c r="I351" s="446">
        <v>1</v>
      </c>
      <c r="J351" s="446">
        <v>33</v>
      </c>
      <c r="K351" s="397" t="s">
        <v>30</v>
      </c>
      <c r="L351" s="529">
        <f t="shared" si="35"/>
        <v>1439808.73</v>
      </c>
      <c r="M351" s="547">
        <v>1436656.57</v>
      </c>
      <c r="N351" s="388"/>
      <c r="O351" s="473">
        <v>3152.16</v>
      </c>
      <c r="P351" s="388"/>
      <c r="Q351" s="388"/>
      <c r="R351" s="446">
        <f t="shared" si="36"/>
        <v>43535.047575757577</v>
      </c>
      <c r="S351" s="388">
        <f t="shared" si="33"/>
        <v>-8.3673512563109398E-11</v>
      </c>
      <c r="T351" s="389"/>
      <c r="U351" s="391"/>
      <c r="V351" s="388"/>
      <c r="W351" s="387"/>
      <c r="Z351" s="419"/>
    </row>
    <row r="352" spans="1:29" s="404" customFormat="1" ht="39.75" hidden="1" customHeight="1">
      <c r="A352" s="1152">
        <f>A351+1</f>
        <v>279</v>
      </c>
      <c r="B352" s="403" t="s">
        <v>720</v>
      </c>
      <c r="C352" s="531" t="s">
        <v>218</v>
      </c>
      <c r="D352" s="446">
        <v>13214</v>
      </c>
      <c r="E352" s="550">
        <v>2768.4</v>
      </c>
      <c r="F352" s="539" t="s">
        <v>234</v>
      </c>
      <c r="G352" s="550">
        <v>426</v>
      </c>
      <c r="H352" s="549">
        <v>12</v>
      </c>
      <c r="I352" s="446">
        <v>1</v>
      </c>
      <c r="J352" s="446">
        <v>48</v>
      </c>
      <c r="K352" s="397" t="s">
        <v>33</v>
      </c>
      <c r="L352" s="1128">
        <f>M352+N352+O352+P352+Q352+M353+N353+O353+P353+Q353</f>
        <v>1985869.08</v>
      </c>
      <c r="M352" s="519">
        <v>846677.39</v>
      </c>
      <c r="N352" s="388"/>
      <c r="O352" s="473">
        <v>2670.38</v>
      </c>
      <c r="P352" s="388"/>
      <c r="Q352" s="388"/>
      <c r="R352" s="446">
        <f>M352/G352</f>
        <v>1987.5056103286386</v>
      </c>
      <c r="S352" s="388">
        <f t="shared" ref="S352:S383" si="37">L352-M352-N352-O352-P352-Q352</f>
        <v>1136521.31</v>
      </c>
      <c r="T352" s="392"/>
      <c r="U352" s="391"/>
      <c r="V352" s="388"/>
      <c r="W352" s="387"/>
      <c r="X352" s="390"/>
      <c r="Z352" s="419"/>
      <c r="AA352" s="388"/>
      <c r="AC352" s="390"/>
    </row>
    <row r="353" spans="1:29" s="404" customFormat="1" ht="42" hidden="1" customHeight="1">
      <c r="A353" s="1152"/>
      <c r="B353" s="403"/>
      <c r="C353" s="531"/>
      <c r="D353" s="446"/>
      <c r="E353" s="550"/>
      <c r="F353" s="539"/>
      <c r="G353" s="550"/>
      <c r="H353" s="549"/>
      <c r="I353" s="446"/>
      <c r="J353" s="446"/>
      <c r="K353" s="537" t="s">
        <v>225</v>
      </c>
      <c r="L353" s="1128"/>
      <c r="M353" s="519">
        <v>1101556.31</v>
      </c>
      <c r="N353" s="388">
        <v>34965</v>
      </c>
      <c r="O353" s="473"/>
      <c r="P353" s="388"/>
      <c r="Q353" s="388"/>
      <c r="R353" s="446">
        <f>M353/J352</f>
        <v>22949.089791666669</v>
      </c>
      <c r="S353" s="388">
        <f t="shared" si="37"/>
        <v>-1136521.31</v>
      </c>
      <c r="T353" s="389"/>
      <c r="U353" s="391"/>
      <c r="V353" s="388"/>
      <c r="W353" s="387"/>
      <c r="X353" s="390"/>
      <c r="Z353" s="419"/>
      <c r="AA353" s="388"/>
      <c r="AC353" s="390"/>
    </row>
    <row r="354" spans="1:29" ht="43.9" hidden="1" customHeight="1">
      <c r="A354" s="570">
        <f>A352+1</f>
        <v>280</v>
      </c>
      <c r="B354" s="403" t="s">
        <v>721</v>
      </c>
      <c r="C354" s="455" t="s">
        <v>218</v>
      </c>
      <c r="D354" s="455">
        <v>43766</v>
      </c>
      <c r="E354" s="388">
        <v>7046</v>
      </c>
      <c r="F354" s="388" t="s">
        <v>234</v>
      </c>
      <c r="G354" s="388">
        <v>1716</v>
      </c>
      <c r="H354" s="446">
        <v>9</v>
      </c>
      <c r="I354" s="446">
        <v>4</v>
      </c>
      <c r="J354" s="446">
        <v>216</v>
      </c>
      <c r="K354" s="458" t="s">
        <v>227</v>
      </c>
      <c r="L354" s="529">
        <f>M354+N354+O354+P354+Q354</f>
        <v>15090546.529999999</v>
      </c>
      <c r="M354" s="519">
        <v>15048574.439999999</v>
      </c>
      <c r="O354" s="473">
        <v>41972.09</v>
      </c>
      <c r="P354" s="388"/>
      <c r="Q354" s="388"/>
      <c r="R354" s="528">
        <f>M354/E354</f>
        <v>2135.7613454442235</v>
      </c>
      <c r="S354" s="388">
        <f t="shared" si="37"/>
        <v>-1.4551915228366852E-10</v>
      </c>
      <c r="T354" s="389"/>
      <c r="U354" s="391"/>
      <c r="V354" s="388"/>
      <c r="W354" s="387"/>
      <c r="Z354" s="419"/>
    </row>
    <row r="355" spans="1:29" ht="54.75" hidden="1" customHeight="1">
      <c r="A355" s="404">
        <f t="shared" si="32"/>
        <v>281</v>
      </c>
      <c r="B355" s="403" t="s">
        <v>722</v>
      </c>
      <c r="C355" s="544" t="s">
        <v>218</v>
      </c>
      <c r="D355" s="446">
        <v>12352</v>
      </c>
      <c r="E355" s="388">
        <v>2397</v>
      </c>
      <c r="F355" s="388" t="s">
        <v>231</v>
      </c>
      <c r="G355" s="388">
        <v>953.6</v>
      </c>
      <c r="H355" s="446">
        <v>5</v>
      </c>
      <c r="I355" s="446">
        <v>4</v>
      </c>
      <c r="J355" s="446">
        <v>80</v>
      </c>
      <c r="K355" s="397" t="s">
        <v>30</v>
      </c>
      <c r="L355" s="529">
        <f>M355+N355+O355+P355+Q355</f>
        <v>1975398.05</v>
      </c>
      <c r="M355" s="519">
        <v>1968950.45</v>
      </c>
      <c r="N355" s="388"/>
      <c r="O355" s="473">
        <v>6447.6</v>
      </c>
      <c r="P355" s="388"/>
      <c r="Q355" s="388"/>
      <c r="R355" s="446">
        <f>M355/J355</f>
        <v>24611.880624999998</v>
      </c>
      <c r="S355" s="388">
        <f t="shared" si="37"/>
        <v>9.276845958083868E-11</v>
      </c>
      <c r="T355" s="389"/>
      <c r="U355" s="391"/>
      <c r="V355" s="388"/>
      <c r="W355" s="387"/>
      <c r="Z355" s="419"/>
    </row>
    <row r="356" spans="1:29" ht="43.9" hidden="1" customHeight="1">
      <c r="A356" s="404">
        <f t="shared" si="32"/>
        <v>282</v>
      </c>
      <c r="B356" s="403" t="s">
        <v>723</v>
      </c>
      <c r="C356" s="531" t="s">
        <v>272</v>
      </c>
      <c r="D356" s="566">
        <v>29391</v>
      </c>
      <c r="E356" s="388">
        <v>3750</v>
      </c>
      <c r="F356" s="388" t="s">
        <v>234</v>
      </c>
      <c r="G356" s="388">
        <v>1679</v>
      </c>
      <c r="H356" s="446">
        <v>5</v>
      </c>
      <c r="I356" s="446">
        <v>8</v>
      </c>
      <c r="J356" s="446">
        <v>130</v>
      </c>
      <c r="K356" s="458" t="s">
        <v>225</v>
      </c>
      <c r="L356" s="529">
        <f>M356+N356+O356+P356+Q356</f>
        <v>2235840.92</v>
      </c>
      <c r="M356" s="547">
        <f>2077920+122955.92</f>
        <v>2200875.92</v>
      </c>
      <c r="N356" s="388">
        <v>34965</v>
      </c>
      <c r="O356" s="473"/>
      <c r="P356" s="388"/>
      <c r="Q356" s="388"/>
      <c r="R356" s="446">
        <f>M356/J356</f>
        <v>16929.814769230768</v>
      </c>
      <c r="S356" s="388">
        <f t="shared" si="37"/>
        <v>0</v>
      </c>
      <c r="T356" s="389"/>
      <c r="U356" s="391"/>
      <c r="V356" s="388"/>
      <c r="W356" s="387"/>
      <c r="Z356" s="419"/>
    </row>
    <row r="357" spans="1:29" ht="43.9" hidden="1" customHeight="1">
      <c r="A357" s="404">
        <f t="shared" si="32"/>
        <v>283</v>
      </c>
      <c r="B357" s="403" t="s">
        <v>724</v>
      </c>
      <c r="C357" s="578" t="s">
        <v>272</v>
      </c>
      <c r="D357" s="545">
        <v>8307</v>
      </c>
      <c r="E357" s="391">
        <v>1598</v>
      </c>
      <c r="F357" s="568" t="s">
        <v>223</v>
      </c>
      <c r="G357" s="558">
        <v>972</v>
      </c>
      <c r="H357" s="561">
        <v>3</v>
      </c>
      <c r="I357" s="555">
        <v>3</v>
      </c>
      <c r="J357" s="555">
        <v>24</v>
      </c>
      <c r="K357" s="458" t="s">
        <v>33</v>
      </c>
      <c r="L357" s="529">
        <f>M357+N357+O357+P357+Q357</f>
        <v>2951813.63</v>
      </c>
      <c r="M357" s="557">
        <v>2943689.65</v>
      </c>
      <c r="N357" s="558"/>
      <c r="O357" s="562">
        <v>8123.98</v>
      </c>
      <c r="P357" s="558"/>
      <c r="Q357" s="560"/>
      <c r="R357" s="446">
        <f>M357/G357</f>
        <v>3028.4872942386828</v>
      </c>
      <c r="S357" s="388">
        <f t="shared" si="37"/>
        <v>-1.8189894035458565E-11</v>
      </c>
      <c r="T357" s="389"/>
      <c r="U357" s="391"/>
      <c r="V357" s="568"/>
      <c r="W357" s="387"/>
      <c r="Z357" s="419"/>
    </row>
    <row r="358" spans="1:29" s="458" customFormat="1" ht="46.9" hidden="1" customHeight="1">
      <c r="A358" s="570">
        <f>A357+1</f>
        <v>284</v>
      </c>
      <c r="B358" s="611" t="s">
        <v>725</v>
      </c>
      <c r="C358" s="455" t="s">
        <v>240</v>
      </c>
      <c r="D358" s="566">
        <v>8826</v>
      </c>
      <c r="E358" s="388">
        <v>1350</v>
      </c>
      <c r="F358" s="388" t="s">
        <v>223</v>
      </c>
      <c r="G358" s="564">
        <v>982.8</v>
      </c>
      <c r="H358" s="572">
        <v>3</v>
      </c>
      <c r="I358" s="572">
        <v>4</v>
      </c>
      <c r="J358" s="572">
        <v>24</v>
      </c>
      <c r="K358" s="612" t="s">
        <v>33</v>
      </c>
      <c r="L358" s="1128">
        <f>M358+N358+O358+P358+Q358+M359+N359+O359+Q359</f>
        <v>7691781.5600000005</v>
      </c>
      <c r="M358" s="551">
        <v>3277895.7099999995</v>
      </c>
      <c r="N358" s="388"/>
      <c r="O358" s="473">
        <v>8214.24</v>
      </c>
      <c r="P358" s="388"/>
      <c r="Q358" s="388"/>
      <c r="R358" s="446">
        <f>M358/G358</f>
        <v>3335.26222018722</v>
      </c>
      <c r="S358" s="388">
        <f t="shared" si="37"/>
        <v>4405671.6100000013</v>
      </c>
      <c r="T358" s="392"/>
      <c r="U358" s="391"/>
      <c r="V358" s="550"/>
      <c r="W358" s="387"/>
      <c r="Z358" s="419"/>
    </row>
    <row r="359" spans="1:29" s="458" customFormat="1" ht="46.9" hidden="1" customHeight="1">
      <c r="A359" s="570"/>
      <c r="B359" s="611"/>
      <c r="C359" s="455"/>
      <c r="D359" s="566"/>
      <c r="E359" s="388"/>
      <c r="F359" s="388"/>
      <c r="G359" s="564"/>
      <c r="H359" s="572"/>
      <c r="I359" s="572"/>
      <c r="J359" s="572"/>
      <c r="K359" s="619" t="s">
        <v>38</v>
      </c>
      <c r="L359" s="1128"/>
      <c r="M359" s="613">
        <v>4391343.6100000003</v>
      </c>
      <c r="N359" s="388"/>
      <c r="O359" s="473">
        <v>14328</v>
      </c>
      <c r="P359" s="388"/>
      <c r="Q359" s="388"/>
      <c r="R359" s="446">
        <f>M359/E358</f>
        <v>3252.847118518519</v>
      </c>
      <c r="S359" s="388">
        <f t="shared" si="37"/>
        <v>-4405671.6100000003</v>
      </c>
      <c r="T359" s="392"/>
      <c r="U359" s="391"/>
      <c r="V359" s="550"/>
      <c r="W359" s="387"/>
      <c r="Z359" s="419"/>
    </row>
    <row r="360" spans="1:29" ht="43.9" hidden="1" customHeight="1">
      <c r="A360" s="570">
        <f>A358+1</f>
        <v>285</v>
      </c>
      <c r="B360" s="611" t="s">
        <v>726</v>
      </c>
      <c r="C360" s="455" t="s">
        <v>240</v>
      </c>
      <c r="D360" s="566">
        <v>3232</v>
      </c>
      <c r="E360" s="388">
        <v>940</v>
      </c>
      <c r="F360" s="388" t="s">
        <v>223</v>
      </c>
      <c r="G360" s="564">
        <v>753</v>
      </c>
      <c r="H360" s="572">
        <v>2</v>
      </c>
      <c r="I360" s="572">
        <v>4</v>
      </c>
      <c r="J360" s="572">
        <v>16</v>
      </c>
      <c r="K360" s="458" t="s">
        <v>225</v>
      </c>
      <c r="L360" s="529">
        <f>M360+N360+O360+P360+Q360</f>
        <v>322964.71999999997</v>
      </c>
      <c r="M360" s="519">
        <v>287999.71999999997</v>
      </c>
      <c r="N360" s="388">
        <v>34965</v>
      </c>
      <c r="O360" s="473"/>
      <c r="P360" s="388"/>
      <c r="Q360" s="388"/>
      <c r="R360" s="446">
        <f>M360/J360</f>
        <v>17999.982499999998</v>
      </c>
      <c r="S360" s="388">
        <f t="shared" si="37"/>
        <v>0</v>
      </c>
      <c r="T360" s="389"/>
      <c r="U360" s="391"/>
      <c r="V360" s="388"/>
      <c r="W360" s="387"/>
      <c r="Z360" s="419"/>
    </row>
    <row r="361" spans="1:29" ht="43.9" hidden="1" customHeight="1">
      <c r="A361" s="404">
        <f t="shared" si="32"/>
        <v>286</v>
      </c>
      <c r="B361" s="611" t="s">
        <v>727</v>
      </c>
      <c r="C361" s="455" t="s">
        <v>240</v>
      </c>
      <c r="D361" s="566">
        <v>4341</v>
      </c>
      <c r="E361" s="388">
        <v>498</v>
      </c>
      <c r="F361" s="388" t="s">
        <v>223</v>
      </c>
      <c r="G361" s="564">
        <v>842</v>
      </c>
      <c r="H361" s="572">
        <v>2</v>
      </c>
      <c r="I361" s="572">
        <v>2</v>
      </c>
      <c r="J361" s="572">
        <v>18</v>
      </c>
      <c r="K361" s="397" t="s">
        <v>33</v>
      </c>
      <c r="L361" s="529">
        <f>M361+N361+O361+P361+Q361</f>
        <v>2060649.32</v>
      </c>
      <c r="M361" s="519">
        <v>2036905.32</v>
      </c>
      <c r="N361" s="394"/>
      <c r="O361" s="553">
        <v>2487</v>
      </c>
      <c r="P361" s="388"/>
      <c r="Q361" s="394">
        <v>21257</v>
      </c>
      <c r="R361" s="446">
        <f>M361/J361</f>
        <v>113161.40666666668</v>
      </c>
      <c r="S361" s="388">
        <f t="shared" si="37"/>
        <v>0</v>
      </c>
      <c r="T361" s="389" t="s">
        <v>3598</v>
      </c>
      <c r="U361" s="391"/>
      <c r="V361" s="388"/>
      <c r="W361" s="387"/>
      <c r="Z361" s="419"/>
    </row>
    <row r="362" spans="1:29" ht="43.9" hidden="1" customHeight="1">
      <c r="A362" s="404">
        <f t="shared" si="32"/>
        <v>287</v>
      </c>
      <c r="B362" s="611" t="s">
        <v>728</v>
      </c>
      <c r="C362" s="455" t="s">
        <v>240</v>
      </c>
      <c r="D362" s="566">
        <v>3779</v>
      </c>
      <c r="E362" s="388">
        <v>720</v>
      </c>
      <c r="F362" s="388" t="s">
        <v>223</v>
      </c>
      <c r="G362" s="564">
        <v>738</v>
      </c>
      <c r="H362" s="572">
        <v>2</v>
      </c>
      <c r="I362" s="572">
        <v>3</v>
      </c>
      <c r="J362" s="572">
        <v>12</v>
      </c>
      <c r="K362" s="612" t="s">
        <v>33</v>
      </c>
      <c r="L362" s="529">
        <f>M362+N362+O362+P362+Q362</f>
        <v>2147699.4700000002</v>
      </c>
      <c r="M362" s="550">
        <v>2141531.27</v>
      </c>
      <c r="N362" s="388"/>
      <c r="O362" s="473">
        <v>6168.2</v>
      </c>
      <c r="P362" s="388"/>
      <c r="Q362" s="388"/>
      <c r="R362" s="446">
        <f>M362/G362</f>
        <v>2901.8038888888891</v>
      </c>
      <c r="S362" s="388">
        <f t="shared" si="37"/>
        <v>1.8644641386345029E-10</v>
      </c>
      <c r="T362" s="389"/>
      <c r="U362" s="391"/>
      <c r="V362" s="550"/>
      <c r="W362" s="387"/>
      <c r="Z362" s="419"/>
    </row>
    <row r="363" spans="1:29" s="458" customFormat="1" ht="54.75" hidden="1" customHeight="1">
      <c r="A363" s="1113">
        <f>A362+1</f>
        <v>288</v>
      </c>
      <c r="B363" s="1113" t="s">
        <v>729</v>
      </c>
      <c r="C363" s="455" t="s">
        <v>218</v>
      </c>
      <c r="D363" s="566">
        <v>12430</v>
      </c>
      <c r="E363" s="608">
        <v>1700</v>
      </c>
      <c r="F363" s="391" t="s">
        <v>223</v>
      </c>
      <c r="G363" s="609">
        <v>1140</v>
      </c>
      <c r="H363" s="610">
        <v>5</v>
      </c>
      <c r="I363" s="610">
        <v>4</v>
      </c>
      <c r="J363" s="610">
        <v>80</v>
      </c>
      <c r="K363" s="397" t="s">
        <v>30</v>
      </c>
      <c r="L363" s="1129">
        <f>M363+N363+O363+Q363+M364+N364+O364+Q364+M365+N365+O365+Q365+M366+N366+O366+Q366</f>
        <v>7929573.7200000007</v>
      </c>
      <c r="M363" s="519">
        <v>1739508.44</v>
      </c>
      <c r="N363" s="388"/>
      <c r="O363" s="473">
        <v>6447.6</v>
      </c>
      <c r="P363" s="388"/>
      <c r="Q363" s="388"/>
      <c r="R363" s="446">
        <f>M363/J363</f>
        <v>21743.855499999998</v>
      </c>
      <c r="S363" s="388">
        <f t="shared" si="37"/>
        <v>6183617.6800000016</v>
      </c>
      <c r="T363" s="389"/>
      <c r="U363" s="391"/>
      <c r="V363" s="388"/>
      <c r="W363" s="387"/>
      <c r="Z363" s="419"/>
    </row>
    <row r="364" spans="1:29" s="976" customFormat="1" ht="46.9" hidden="1" customHeight="1">
      <c r="A364" s="1113"/>
      <c r="B364" s="1113"/>
      <c r="C364" s="455"/>
      <c r="D364" s="566"/>
      <c r="E364" s="608"/>
      <c r="F364" s="391"/>
      <c r="G364" s="609"/>
      <c r="H364" s="610"/>
      <c r="I364" s="610"/>
      <c r="J364" s="610"/>
      <c r="K364" s="458" t="s">
        <v>239</v>
      </c>
      <c r="L364" s="1129"/>
      <c r="M364" s="551">
        <v>1267943.3399999999</v>
      </c>
      <c r="N364" s="388">
        <v>34965</v>
      </c>
      <c r="O364" s="473"/>
      <c r="P364" s="550"/>
      <c r="Q364" s="388"/>
      <c r="R364" s="446">
        <f>M364/J363</f>
        <v>15849.291749999999</v>
      </c>
      <c r="S364" s="388">
        <f t="shared" si="37"/>
        <v>-1302908.3399999999</v>
      </c>
      <c r="T364" s="389"/>
      <c r="U364" s="391"/>
      <c r="V364" s="550"/>
      <c r="W364" s="387"/>
      <c r="Z364" s="419"/>
    </row>
    <row r="365" spans="1:29" s="976" customFormat="1" ht="46.9" hidden="1" customHeight="1">
      <c r="A365" s="1113"/>
      <c r="B365" s="1113"/>
      <c r="C365" s="455"/>
      <c r="D365" s="566"/>
      <c r="E365" s="608"/>
      <c r="F365" s="391"/>
      <c r="G365" s="609"/>
      <c r="H365" s="610"/>
      <c r="I365" s="610"/>
      <c r="J365" s="610"/>
      <c r="K365" s="458" t="s">
        <v>38</v>
      </c>
      <c r="L365" s="1129"/>
      <c r="M365" s="519">
        <v>2300297.36</v>
      </c>
      <c r="N365" s="388"/>
      <c r="O365" s="473">
        <v>7611.75</v>
      </c>
      <c r="P365" s="388"/>
      <c r="Q365" s="388"/>
      <c r="R365" s="528">
        <f>M365/E363</f>
        <v>1353.116094117647</v>
      </c>
      <c r="S365" s="388">
        <f t="shared" si="37"/>
        <v>-2307909.11</v>
      </c>
      <c r="T365" s="392"/>
      <c r="U365" s="391"/>
      <c r="V365" s="388"/>
      <c r="W365" s="387"/>
      <c r="Z365" s="419"/>
    </row>
    <row r="366" spans="1:29" s="976" customFormat="1" ht="46.9" hidden="1" customHeight="1">
      <c r="A366" s="1113"/>
      <c r="B366" s="1113"/>
      <c r="C366" s="455"/>
      <c r="D366" s="566"/>
      <c r="E366" s="608"/>
      <c r="F366" s="391"/>
      <c r="G366" s="609"/>
      <c r="H366" s="610"/>
      <c r="I366" s="610"/>
      <c r="J366" s="610"/>
      <c r="K366" s="554" t="s">
        <v>33</v>
      </c>
      <c r="L366" s="1129"/>
      <c r="M366" s="547">
        <v>2557800.23</v>
      </c>
      <c r="N366" s="388"/>
      <c r="O366" s="473">
        <v>15000</v>
      </c>
      <c r="P366" s="388"/>
      <c r="Q366" s="388"/>
      <c r="R366" s="528">
        <f>M366/G363</f>
        <v>2243.684412280702</v>
      </c>
      <c r="S366" s="388">
        <f t="shared" si="37"/>
        <v>-2572800.23</v>
      </c>
      <c r="T366" s="392"/>
      <c r="U366" s="391"/>
      <c r="V366" s="388"/>
      <c r="W366" s="387"/>
      <c r="Z366" s="419"/>
    </row>
    <row r="367" spans="1:29" s="976" customFormat="1" ht="54.75" hidden="1" customHeight="1">
      <c r="A367" s="1113">
        <f>A363+1</f>
        <v>289</v>
      </c>
      <c r="B367" s="1113" t="s">
        <v>730</v>
      </c>
      <c r="C367" s="455" t="s">
        <v>218</v>
      </c>
      <c r="D367" s="566">
        <v>12403</v>
      </c>
      <c r="E367" s="608">
        <v>1670</v>
      </c>
      <c r="F367" s="391" t="s">
        <v>223</v>
      </c>
      <c r="G367" s="609">
        <v>1143</v>
      </c>
      <c r="H367" s="610">
        <v>5</v>
      </c>
      <c r="I367" s="610">
        <v>4</v>
      </c>
      <c r="J367" s="610">
        <v>80</v>
      </c>
      <c r="K367" s="397" t="s">
        <v>30</v>
      </c>
      <c r="L367" s="1129">
        <f>M367+N367+O367+Q367+M368+N368+O368+Q368+M369+N369+O369+Q369+M370+N370+O370+Q370</f>
        <v>7787045.8100000005</v>
      </c>
      <c r="M367" s="519">
        <v>1740764.1800000002</v>
      </c>
      <c r="N367" s="388"/>
      <c r="O367" s="473">
        <v>6447.6</v>
      </c>
      <c r="P367" s="388"/>
      <c r="Q367" s="388"/>
      <c r="R367" s="446">
        <f>M367/J367</f>
        <v>21759.552250000001</v>
      </c>
      <c r="S367" s="388">
        <f t="shared" si="37"/>
        <v>6039834.0300000012</v>
      </c>
      <c r="T367" s="389"/>
      <c r="U367" s="391"/>
      <c r="V367" s="388"/>
      <c r="W367" s="387"/>
      <c r="Z367" s="419"/>
    </row>
    <row r="368" spans="1:29" s="976" customFormat="1" ht="46.9" hidden="1" customHeight="1">
      <c r="A368" s="1113"/>
      <c r="B368" s="1113"/>
      <c r="C368" s="455"/>
      <c r="D368" s="566"/>
      <c r="E368" s="608"/>
      <c r="F368" s="391"/>
      <c r="G368" s="609"/>
      <c r="H368" s="610"/>
      <c r="I368" s="610"/>
      <c r="J368" s="610"/>
      <c r="K368" s="458" t="s">
        <v>239</v>
      </c>
      <c r="L368" s="1129"/>
      <c r="M368" s="551">
        <v>1267738.8799999999</v>
      </c>
      <c r="N368" s="388">
        <v>34965</v>
      </c>
      <c r="O368" s="473"/>
      <c r="P368" s="550"/>
      <c r="Q368" s="388"/>
      <c r="R368" s="446">
        <f>M368/J367</f>
        <v>15846.735999999999</v>
      </c>
      <c r="S368" s="388">
        <f t="shared" si="37"/>
        <v>-1302703.8799999999</v>
      </c>
      <c r="T368" s="389"/>
      <c r="U368" s="391"/>
      <c r="V368" s="550"/>
      <c r="W368" s="387"/>
      <c r="Z368" s="419"/>
    </row>
    <row r="369" spans="1:26" s="458" customFormat="1" ht="46.9" hidden="1" customHeight="1">
      <c r="A369" s="1113"/>
      <c r="B369" s="1113"/>
      <c r="C369" s="455"/>
      <c r="D369" s="566"/>
      <c r="E369" s="608"/>
      <c r="F369" s="391"/>
      <c r="G369" s="609"/>
      <c r="H369" s="610"/>
      <c r="I369" s="610"/>
      <c r="J369" s="610"/>
      <c r="K369" s="458" t="s">
        <v>38</v>
      </c>
      <c r="L369" s="1129"/>
      <c r="M369" s="519">
        <v>2100818.58</v>
      </c>
      <c r="N369" s="388"/>
      <c r="O369" s="473">
        <v>7477.43</v>
      </c>
      <c r="P369" s="388"/>
      <c r="Q369" s="388"/>
      <c r="R369" s="528">
        <f>M369/E367</f>
        <v>1257.9751976047905</v>
      </c>
      <c r="S369" s="388">
        <f t="shared" si="37"/>
        <v>-2108296.0100000002</v>
      </c>
      <c r="T369" s="392"/>
      <c r="U369" s="391"/>
      <c r="V369" s="388"/>
      <c r="W369" s="387"/>
      <c r="Z369" s="419"/>
    </row>
    <row r="370" spans="1:26" s="458" customFormat="1" ht="46.9" hidden="1" customHeight="1">
      <c r="A370" s="1113"/>
      <c r="B370" s="1113"/>
      <c r="C370" s="455"/>
      <c r="D370" s="566"/>
      <c r="E370" s="608"/>
      <c r="F370" s="391"/>
      <c r="G370" s="609"/>
      <c r="H370" s="610"/>
      <c r="I370" s="610"/>
      <c r="J370" s="610"/>
      <c r="K370" s="554" t="s">
        <v>33</v>
      </c>
      <c r="L370" s="1129"/>
      <c r="M370" s="547">
        <v>2613834.14</v>
      </c>
      <c r="N370" s="388"/>
      <c r="O370" s="473">
        <v>15000</v>
      </c>
      <c r="P370" s="388"/>
      <c r="Q370" s="388"/>
      <c r="R370" s="528">
        <f>M370/G367</f>
        <v>2286.8190201224847</v>
      </c>
      <c r="S370" s="388">
        <f t="shared" si="37"/>
        <v>-2628834.14</v>
      </c>
      <c r="T370" s="392"/>
      <c r="U370" s="391"/>
      <c r="V370" s="388"/>
      <c r="W370" s="387"/>
      <c r="Z370" s="419"/>
    </row>
    <row r="371" spans="1:26" ht="54.75" hidden="1" customHeight="1">
      <c r="A371" s="404">
        <v>290</v>
      </c>
      <c r="B371" s="403" t="s">
        <v>732</v>
      </c>
      <c r="C371" s="531" t="s">
        <v>272</v>
      </c>
      <c r="D371" s="566">
        <v>3079</v>
      </c>
      <c r="E371" s="608">
        <v>460</v>
      </c>
      <c r="F371" s="391" t="s">
        <v>223</v>
      </c>
      <c r="G371" s="609">
        <v>607</v>
      </c>
      <c r="H371" s="610">
        <v>2</v>
      </c>
      <c r="I371" s="610">
        <v>2</v>
      </c>
      <c r="J371" s="610">
        <v>12</v>
      </c>
      <c r="K371" s="397" t="s">
        <v>30</v>
      </c>
      <c r="L371" s="529">
        <f>M371+N371+O371+P371+Q371</f>
        <v>354692.04000000004</v>
      </c>
      <c r="M371" s="547">
        <v>353724.9</v>
      </c>
      <c r="N371" s="388"/>
      <c r="O371" s="473">
        <v>967.14</v>
      </c>
      <c r="P371" s="388"/>
      <c r="Q371" s="388"/>
      <c r="R371" s="446">
        <f>M371/J371</f>
        <v>29477.075000000001</v>
      </c>
      <c r="S371" s="388">
        <f t="shared" si="37"/>
        <v>1.3983481039758772E-11</v>
      </c>
      <c r="T371" s="389"/>
      <c r="U371" s="391"/>
      <c r="V371" s="388"/>
      <c r="W371" s="387"/>
      <c r="Z371" s="419"/>
    </row>
    <row r="372" spans="1:26" ht="39" hidden="1" customHeight="1">
      <c r="A372" s="404">
        <f t="shared" si="32"/>
        <v>291</v>
      </c>
      <c r="B372" s="403" t="s">
        <v>733</v>
      </c>
      <c r="C372" s="531" t="s">
        <v>272</v>
      </c>
      <c r="D372" s="566">
        <v>3118</v>
      </c>
      <c r="E372" s="608">
        <v>460</v>
      </c>
      <c r="F372" s="391" t="s">
        <v>223</v>
      </c>
      <c r="G372" s="609">
        <v>674</v>
      </c>
      <c r="H372" s="610">
        <v>2</v>
      </c>
      <c r="I372" s="610">
        <v>2</v>
      </c>
      <c r="J372" s="610">
        <v>12</v>
      </c>
      <c r="K372" s="397" t="s">
        <v>30</v>
      </c>
      <c r="L372" s="1144">
        <f>M372+N372+O372+P372+Q372+M373+N373+O373+P373+Q373</f>
        <v>1226385.79</v>
      </c>
      <c r="M372" s="519">
        <v>154622.79999999999</v>
      </c>
      <c r="N372" s="388"/>
      <c r="O372" s="473">
        <v>895.5</v>
      </c>
      <c r="P372" s="388"/>
      <c r="Q372" s="388"/>
      <c r="R372" s="446">
        <f>M372/J372</f>
        <v>12885.233333333332</v>
      </c>
      <c r="S372" s="388">
        <f t="shared" si="37"/>
        <v>1070867.49</v>
      </c>
      <c r="T372" s="389"/>
      <c r="U372" s="391"/>
      <c r="V372" s="388"/>
      <c r="W372" s="387"/>
      <c r="Z372" s="419"/>
    </row>
    <row r="373" spans="1:26" ht="43.9" hidden="1" customHeight="1">
      <c r="A373" s="404"/>
      <c r="B373" s="403"/>
      <c r="C373" s="531"/>
      <c r="D373" s="566"/>
      <c r="E373" s="608"/>
      <c r="F373" s="391"/>
      <c r="G373" s="609"/>
      <c r="H373" s="610"/>
      <c r="I373" s="610"/>
      <c r="J373" s="610"/>
      <c r="K373" s="552" t="s">
        <v>239</v>
      </c>
      <c r="L373" s="1144"/>
      <c r="M373" s="547">
        <v>1043682.49</v>
      </c>
      <c r="N373" s="388">
        <v>15455.34</v>
      </c>
      <c r="O373" s="553"/>
      <c r="P373" s="394"/>
      <c r="Q373" s="388">
        <v>11729.66</v>
      </c>
      <c r="R373" s="446">
        <f>M373/J372</f>
        <v>86973.540833333333</v>
      </c>
      <c r="S373" s="388">
        <f t="shared" si="37"/>
        <v>-1070867.49</v>
      </c>
      <c r="T373" s="389" t="s">
        <v>3599</v>
      </c>
      <c r="U373" s="391"/>
      <c r="V373" s="388"/>
      <c r="W373" s="387"/>
      <c r="Z373" s="419"/>
    </row>
    <row r="374" spans="1:26" ht="54.75" hidden="1" customHeight="1">
      <c r="A374" s="404">
        <f>A372+1</f>
        <v>292</v>
      </c>
      <c r="B374" s="403" t="s">
        <v>734</v>
      </c>
      <c r="C374" s="455" t="s">
        <v>218</v>
      </c>
      <c r="D374" s="566">
        <v>3039</v>
      </c>
      <c r="E374" s="608">
        <v>460</v>
      </c>
      <c r="F374" s="391" t="s">
        <v>223</v>
      </c>
      <c r="G374" s="609">
        <v>613</v>
      </c>
      <c r="H374" s="610">
        <v>2</v>
      </c>
      <c r="I374" s="610">
        <v>3</v>
      </c>
      <c r="J374" s="610">
        <v>24</v>
      </c>
      <c r="K374" s="397" t="s">
        <v>30</v>
      </c>
      <c r="L374" s="529">
        <f t="shared" ref="L374:L380" si="38">M374+N374+O374+P374+Q374</f>
        <v>934170.28</v>
      </c>
      <c r="M374" s="519">
        <v>932236</v>
      </c>
      <c r="N374" s="388"/>
      <c r="O374" s="473">
        <v>1934.28</v>
      </c>
      <c r="P374" s="388"/>
      <c r="Q374" s="388"/>
      <c r="R374" s="446">
        <f>M374/J374</f>
        <v>38843.166666666664</v>
      </c>
      <c r="S374" s="388">
        <f t="shared" si="37"/>
        <v>2.7966962079517543E-11</v>
      </c>
      <c r="T374" s="389"/>
      <c r="U374" s="391"/>
      <c r="V374" s="388"/>
      <c r="W374" s="387"/>
      <c r="Z374" s="419"/>
    </row>
    <row r="375" spans="1:26" ht="54.75" hidden="1" customHeight="1">
      <c r="A375" s="404">
        <f t="shared" si="32"/>
        <v>293</v>
      </c>
      <c r="B375" s="403" t="s">
        <v>735</v>
      </c>
      <c r="C375" s="455" t="s">
        <v>218</v>
      </c>
      <c r="D375" s="566">
        <v>3558</v>
      </c>
      <c r="E375" s="608">
        <v>470</v>
      </c>
      <c r="F375" s="533" t="s">
        <v>234</v>
      </c>
      <c r="G375" s="609">
        <v>681</v>
      </c>
      <c r="H375" s="610">
        <v>2</v>
      </c>
      <c r="I375" s="610">
        <v>2</v>
      </c>
      <c r="J375" s="610">
        <v>16</v>
      </c>
      <c r="K375" s="397" t="s">
        <v>30</v>
      </c>
      <c r="L375" s="529">
        <f t="shared" si="38"/>
        <v>516762.89</v>
      </c>
      <c r="M375" s="519">
        <v>515568.89</v>
      </c>
      <c r="N375" s="388"/>
      <c r="O375" s="473">
        <v>1194</v>
      </c>
      <c r="P375" s="388"/>
      <c r="Q375" s="388"/>
      <c r="R375" s="446">
        <f>M375/J375</f>
        <v>32223.055625000001</v>
      </c>
      <c r="S375" s="388">
        <f t="shared" si="37"/>
        <v>0</v>
      </c>
      <c r="T375" s="389"/>
      <c r="U375" s="391"/>
      <c r="V375" s="388"/>
      <c r="W375" s="387"/>
      <c r="Z375" s="419"/>
    </row>
    <row r="376" spans="1:26" ht="54.75" hidden="1" customHeight="1">
      <c r="A376" s="404">
        <f t="shared" si="32"/>
        <v>294</v>
      </c>
      <c r="B376" s="403" t="s">
        <v>736</v>
      </c>
      <c r="C376" s="455" t="s">
        <v>218</v>
      </c>
      <c r="D376" s="566">
        <v>3564</v>
      </c>
      <c r="E376" s="608">
        <v>470</v>
      </c>
      <c r="F376" s="533" t="s">
        <v>234</v>
      </c>
      <c r="G376" s="609">
        <v>682</v>
      </c>
      <c r="H376" s="610">
        <v>2</v>
      </c>
      <c r="I376" s="610">
        <v>2</v>
      </c>
      <c r="J376" s="610">
        <v>16</v>
      </c>
      <c r="K376" s="397" t="s">
        <v>30</v>
      </c>
      <c r="L376" s="529">
        <f t="shared" si="38"/>
        <v>511225.95</v>
      </c>
      <c r="M376" s="519">
        <v>510031.95</v>
      </c>
      <c r="N376" s="388"/>
      <c r="O376" s="473">
        <v>1194</v>
      </c>
      <c r="P376" s="388"/>
      <c r="Q376" s="388"/>
      <c r="R376" s="446">
        <f>M376/J376</f>
        <v>31876.996875000001</v>
      </c>
      <c r="S376" s="388">
        <f t="shared" si="37"/>
        <v>0</v>
      </c>
      <c r="T376" s="389"/>
      <c r="U376" s="391"/>
      <c r="V376" s="388"/>
      <c r="W376" s="387"/>
      <c r="Z376" s="419"/>
    </row>
    <row r="377" spans="1:26" ht="54.75" hidden="1" customHeight="1">
      <c r="A377" s="404">
        <f t="shared" si="32"/>
        <v>295</v>
      </c>
      <c r="B377" s="403" t="s">
        <v>737</v>
      </c>
      <c r="C377" s="455" t="s">
        <v>218</v>
      </c>
      <c r="D377" s="487">
        <v>12068</v>
      </c>
      <c r="E377" s="391">
        <v>2257.92</v>
      </c>
      <c r="F377" s="391" t="s">
        <v>234</v>
      </c>
      <c r="G377" s="391">
        <v>526.70000000000005</v>
      </c>
      <c r="H377" s="528">
        <v>9</v>
      </c>
      <c r="I377" s="528">
        <v>1</v>
      </c>
      <c r="J377" s="528">
        <v>72</v>
      </c>
      <c r="K377" s="458" t="s">
        <v>30</v>
      </c>
      <c r="L377" s="529">
        <f t="shared" si="38"/>
        <v>1673519.0899999999</v>
      </c>
      <c r="M377" s="529">
        <v>1666641.65</v>
      </c>
      <c r="N377" s="391"/>
      <c r="O377" s="473">
        <v>6877.44</v>
      </c>
      <c r="P377" s="391"/>
      <c r="Q377" s="391"/>
      <c r="R377" s="528">
        <f>M377/J377</f>
        <v>23147.800694444442</v>
      </c>
      <c r="S377" s="388">
        <f t="shared" si="37"/>
        <v>-5.5479176808148623E-11</v>
      </c>
      <c r="T377" s="389"/>
      <c r="U377" s="391"/>
      <c r="V377" s="391"/>
      <c r="W377" s="387"/>
      <c r="Z377" s="419"/>
    </row>
    <row r="378" spans="1:26" ht="43.9" hidden="1" customHeight="1">
      <c r="A378" s="404">
        <f t="shared" si="32"/>
        <v>296</v>
      </c>
      <c r="B378" s="403" t="s">
        <v>738</v>
      </c>
      <c r="C378" s="544" t="s">
        <v>272</v>
      </c>
      <c r="D378" s="532">
        <v>16180</v>
      </c>
      <c r="E378" s="391">
        <v>2970</v>
      </c>
      <c r="F378" s="535" t="s">
        <v>234</v>
      </c>
      <c r="G378" s="535">
        <v>625</v>
      </c>
      <c r="H378" s="446">
        <v>9</v>
      </c>
      <c r="I378" s="446">
        <v>2</v>
      </c>
      <c r="J378" s="446">
        <v>72</v>
      </c>
      <c r="K378" s="397" t="s">
        <v>364</v>
      </c>
      <c r="L378" s="529">
        <f t="shared" si="38"/>
        <v>3535811.9</v>
      </c>
      <c r="M378" s="519">
        <v>3430093.15</v>
      </c>
      <c r="N378" s="388">
        <v>105718.75</v>
      </c>
      <c r="Q378" s="388"/>
      <c r="R378" s="446">
        <v>2000000</v>
      </c>
      <c r="S378" s="388">
        <f t="shared" si="37"/>
        <v>0</v>
      </c>
      <c r="T378" s="389"/>
      <c r="U378" s="391"/>
      <c r="V378" s="388"/>
      <c r="W378" s="387"/>
      <c r="Z378" s="419"/>
    </row>
    <row r="379" spans="1:26" ht="43.9" hidden="1" customHeight="1">
      <c r="A379" s="404">
        <f t="shared" si="32"/>
        <v>297</v>
      </c>
      <c r="B379" s="403" t="s">
        <v>739</v>
      </c>
      <c r="C379" s="544" t="s">
        <v>272</v>
      </c>
      <c r="D379" s="532">
        <v>43798</v>
      </c>
      <c r="E379" s="391">
        <v>6980</v>
      </c>
      <c r="F379" s="535" t="s">
        <v>234</v>
      </c>
      <c r="G379" s="535">
        <v>1698</v>
      </c>
      <c r="H379" s="446">
        <v>9</v>
      </c>
      <c r="I379" s="446">
        <v>4</v>
      </c>
      <c r="J379" s="446">
        <v>216</v>
      </c>
      <c r="K379" s="397" t="s">
        <v>364</v>
      </c>
      <c r="L379" s="529">
        <f t="shared" si="38"/>
        <v>6023565.1400000006</v>
      </c>
      <c r="M379" s="519">
        <v>5896702.6400000006</v>
      </c>
      <c r="N379" s="388">
        <v>126862.5</v>
      </c>
      <c r="Q379" s="388"/>
      <c r="R379" s="446">
        <v>2000000</v>
      </c>
      <c r="S379" s="388">
        <f t="shared" si="37"/>
        <v>0</v>
      </c>
      <c r="T379" s="389"/>
      <c r="U379" s="391"/>
      <c r="V379" s="388"/>
      <c r="W379" s="387"/>
      <c r="Z379" s="419"/>
    </row>
    <row r="380" spans="1:26" ht="43.9" hidden="1" customHeight="1">
      <c r="A380" s="404">
        <f t="shared" si="32"/>
        <v>298</v>
      </c>
      <c r="B380" s="403" t="s">
        <v>740</v>
      </c>
      <c r="C380" s="531" t="s">
        <v>218</v>
      </c>
      <c r="D380" s="532">
        <v>42736</v>
      </c>
      <c r="E380" s="391">
        <v>6980</v>
      </c>
      <c r="F380" s="383" t="s">
        <v>234</v>
      </c>
      <c r="G380" s="391">
        <v>1716</v>
      </c>
      <c r="H380" s="528">
        <v>9</v>
      </c>
      <c r="I380" s="528">
        <v>4</v>
      </c>
      <c r="J380" s="528">
        <v>216</v>
      </c>
      <c r="K380" s="397" t="s">
        <v>364</v>
      </c>
      <c r="L380" s="529">
        <f t="shared" si="38"/>
        <v>7104990.3899999997</v>
      </c>
      <c r="M380" s="519">
        <v>6956984.1399999997</v>
      </c>
      <c r="N380" s="388">
        <v>148006.25</v>
      </c>
      <c r="Q380" s="388"/>
      <c r="R380" s="446">
        <v>2000000</v>
      </c>
      <c r="S380" s="388">
        <f t="shared" si="37"/>
        <v>0</v>
      </c>
      <c r="T380" s="389"/>
      <c r="U380" s="391"/>
      <c r="V380" s="388"/>
      <c r="W380" s="387"/>
      <c r="Z380" s="419"/>
    </row>
    <row r="381" spans="1:26" ht="27.75" hidden="1" customHeight="1">
      <c r="A381" s="404">
        <f t="shared" si="32"/>
        <v>299</v>
      </c>
      <c r="B381" s="403" t="s">
        <v>741</v>
      </c>
      <c r="C381" s="455" t="s">
        <v>218</v>
      </c>
      <c r="D381" s="455">
        <v>12990</v>
      </c>
      <c r="E381" s="388">
        <v>2770</v>
      </c>
      <c r="F381" s="388" t="s">
        <v>234</v>
      </c>
      <c r="G381" s="388">
        <v>387</v>
      </c>
      <c r="H381" s="446">
        <v>12</v>
      </c>
      <c r="I381" s="446">
        <v>1</v>
      </c>
      <c r="J381" s="446">
        <v>46</v>
      </c>
      <c r="K381" s="458" t="s">
        <v>225</v>
      </c>
      <c r="L381" s="1128">
        <f>M381+N381+O381+P381+Q381+M382+N382+O382+Q382</f>
        <v>9263082.8399999999</v>
      </c>
      <c r="M381" s="519">
        <v>969296.01</v>
      </c>
      <c r="N381" s="388">
        <v>31968</v>
      </c>
      <c r="O381" s="473"/>
      <c r="P381" s="388"/>
      <c r="Q381" s="388"/>
      <c r="R381" s="446">
        <f>M381/J381</f>
        <v>21071.652391304349</v>
      </c>
      <c r="S381" s="388">
        <f t="shared" si="37"/>
        <v>8261818.8300000001</v>
      </c>
      <c r="T381" s="389"/>
      <c r="U381" s="391"/>
      <c r="V381" s="388"/>
      <c r="W381" s="387"/>
      <c r="Z381" s="419"/>
    </row>
    <row r="382" spans="1:26" ht="43.9" hidden="1" customHeight="1">
      <c r="A382" s="404"/>
      <c r="B382" s="403"/>
      <c r="C382" s="455"/>
      <c r="D382" s="455"/>
      <c r="E382" s="388"/>
      <c r="F382" s="388"/>
      <c r="G382" s="388"/>
      <c r="H382" s="446"/>
      <c r="I382" s="446"/>
      <c r="J382" s="446"/>
      <c r="K382" s="458" t="s">
        <v>227</v>
      </c>
      <c r="L382" s="1128"/>
      <c r="M382" s="519">
        <v>8239782.5600000005</v>
      </c>
      <c r="N382" s="388">
        <v>22036.27</v>
      </c>
      <c r="O382" s="473"/>
      <c r="P382" s="388"/>
      <c r="Q382" s="388"/>
      <c r="R382" s="543">
        <f>M382/E381</f>
        <v>2974.6507436823108</v>
      </c>
      <c r="S382" s="388">
        <f t="shared" si="37"/>
        <v>-8261818.8300000001</v>
      </c>
      <c r="T382" s="389"/>
      <c r="U382" s="391"/>
      <c r="V382" s="388"/>
      <c r="W382" s="387"/>
      <c r="Z382" s="419"/>
    </row>
    <row r="383" spans="1:26" ht="43.9" hidden="1" customHeight="1">
      <c r="A383" s="404">
        <f>A381+1</f>
        <v>300</v>
      </c>
      <c r="B383" s="403" t="s">
        <v>742</v>
      </c>
      <c r="C383" s="531" t="s">
        <v>218</v>
      </c>
      <c r="D383" s="487">
        <v>32501</v>
      </c>
      <c r="E383" s="388">
        <v>5832</v>
      </c>
      <c r="F383" s="383" t="s">
        <v>234</v>
      </c>
      <c r="G383" s="575">
        <v>1353</v>
      </c>
      <c r="H383" s="528">
        <v>9</v>
      </c>
      <c r="I383" s="528">
        <v>4</v>
      </c>
      <c r="J383" s="576">
        <v>148</v>
      </c>
      <c r="K383" s="397" t="s">
        <v>364</v>
      </c>
      <c r="L383" s="529">
        <f>M383+N383+O383+P383+Q383</f>
        <v>7182909.4500000002</v>
      </c>
      <c r="M383" s="519">
        <v>7034903.2000000002</v>
      </c>
      <c r="N383" s="388">
        <v>148006.25</v>
      </c>
      <c r="Q383" s="388"/>
      <c r="R383" s="446">
        <v>2000000</v>
      </c>
      <c r="S383" s="388">
        <f t="shared" si="37"/>
        <v>0</v>
      </c>
      <c r="T383" s="389"/>
      <c r="U383" s="391"/>
      <c r="V383" s="388"/>
      <c r="W383" s="387"/>
      <c r="Z383" s="419"/>
    </row>
    <row r="384" spans="1:26" ht="43.9" hidden="1" customHeight="1">
      <c r="A384" s="404">
        <f t="shared" si="32"/>
        <v>301</v>
      </c>
      <c r="B384" s="403" t="s">
        <v>743</v>
      </c>
      <c r="C384" s="455" t="s">
        <v>218</v>
      </c>
      <c r="D384" s="532">
        <v>17865</v>
      </c>
      <c r="E384" s="391">
        <v>3240</v>
      </c>
      <c r="F384" s="539" t="s">
        <v>234</v>
      </c>
      <c r="G384" s="535">
        <v>690</v>
      </c>
      <c r="H384" s="536">
        <v>9</v>
      </c>
      <c r="I384" s="536">
        <v>2</v>
      </c>
      <c r="J384" s="536">
        <v>80</v>
      </c>
      <c r="K384" s="458" t="s">
        <v>364</v>
      </c>
      <c r="L384" s="1128">
        <f>M384+N384+O384+P384+Q384+M385+N385+O385+P385+Q385</f>
        <v>5607784.54</v>
      </c>
      <c r="M384" s="538">
        <v>3520000</v>
      </c>
      <c r="N384" s="539">
        <v>105718.75</v>
      </c>
      <c r="O384" s="540"/>
      <c r="P384" s="388"/>
      <c r="Q384" s="541"/>
      <c r="R384" s="446">
        <v>2000000</v>
      </c>
      <c r="S384" s="388">
        <f t="shared" ref="S384:S415" si="39">L384-M384-N384-O384-P384-Q384</f>
        <v>1982065.79</v>
      </c>
      <c r="T384" s="389"/>
      <c r="U384" s="391"/>
      <c r="V384" s="539"/>
      <c r="W384" s="387"/>
      <c r="Z384" s="419"/>
    </row>
    <row r="385" spans="1:26" ht="54.75" hidden="1" customHeight="1">
      <c r="A385" s="404"/>
      <c r="B385" s="403"/>
      <c r="C385" s="455"/>
      <c r="D385" s="532"/>
      <c r="E385" s="391"/>
      <c r="F385" s="539"/>
      <c r="G385" s="535"/>
      <c r="H385" s="536"/>
      <c r="I385" s="536"/>
      <c r="J385" s="536"/>
      <c r="K385" s="458" t="s">
        <v>30</v>
      </c>
      <c r="L385" s="1128"/>
      <c r="M385" s="605">
        <v>1974842.09</v>
      </c>
      <c r="N385" s="573"/>
      <c r="O385" s="540">
        <v>7223.7</v>
      </c>
      <c r="P385" s="394"/>
      <c r="Q385" s="620"/>
      <c r="R385" s="446">
        <f>M385/J384</f>
        <v>24685.526125</v>
      </c>
      <c r="S385" s="388">
        <f t="shared" si="39"/>
        <v>-1982065.79</v>
      </c>
      <c r="T385" s="389" t="s">
        <v>3599</v>
      </c>
      <c r="U385" s="391"/>
      <c r="V385" s="539"/>
      <c r="W385" s="387"/>
      <c r="Z385" s="419"/>
    </row>
    <row r="386" spans="1:26" s="416" customFormat="1" ht="54.75" hidden="1" customHeight="1">
      <c r="A386" s="404">
        <f>A384+1</f>
        <v>302</v>
      </c>
      <c r="B386" s="403" t="s">
        <v>744</v>
      </c>
      <c r="C386" s="455" t="s">
        <v>218</v>
      </c>
      <c r="D386" s="487">
        <v>15533</v>
      </c>
      <c r="E386" s="391">
        <v>3130</v>
      </c>
      <c r="F386" s="391" t="s">
        <v>234</v>
      </c>
      <c r="G386" s="391">
        <v>608</v>
      </c>
      <c r="H386" s="528">
        <v>9</v>
      </c>
      <c r="I386" s="528">
        <v>2</v>
      </c>
      <c r="J386" s="528">
        <v>72</v>
      </c>
      <c r="K386" s="458" t="s">
        <v>30</v>
      </c>
      <c r="L386" s="529">
        <f t="shared" ref="L386:L402" si="40">M386+N386+O386+P386+Q386</f>
        <v>2218413.66</v>
      </c>
      <c r="M386" s="529">
        <v>2211536.2200000002</v>
      </c>
      <c r="N386" s="391"/>
      <c r="O386" s="473">
        <v>6877.44</v>
      </c>
      <c r="P386" s="487"/>
      <c r="Q386" s="391"/>
      <c r="R386" s="528">
        <f>M386/G386</f>
        <v>3637.395098684211</v>
      </c>
      <c r="S386" s="388">
        <f t="shared" si="39"/>
        <v>-5.5479176808148623E-11</v>
      </c>
      <c r="T386" s="389"/>
      <c r="U386" s="391"/>
      <c r="V386" s="391"/>
      <c r="W386" s="387"/>
      <c r="Z386" s="419"/>
    </row>
    <row r="387" spans="1:26" ht="43.9" hidden="1" customHeight="1">
      <c r="A387" s="404">
        <f t="shared" si="32"/>
        <v>303</v>
      </c>
      <c r="B387" s="403" t="s">
        <v>745</v>
      </c>
      <c r="C387" s="544" t="s">
        <v>272</v>
      </c>
      <c r="D387" s="446">
        <v>26694</v>
      </c>
      <c r="E387" s="388">
        <v>2100</v>
      </c>
      <c r="F387" s="388" t="s">
        <v>234</v>
      </c>
      <c r="G387" s="388">
        <v>1279</v>
      </c>
      <c r="H387" s="446">
        <v>14</v>
      </c>
      <c r="I387" s="446">
        <v>1</v>
      </c>
      <c r="J387" s="446">
        <v>79</v>
      </c>
      <c r="K387" s="537" t="s">
        <v>225</v>
      </c>
      <c r="L387" s="529">
        <f t="shared" si="40"/>
        <v>1585644.94</v>
      </c>
      <c r="M387" s="519">
        <v>1550679.94</v>
      </c>
      <c r="N387" s="388">
        <v>34965</v>
      </c>
      <c r="O387" s="473"/>
      <c r="P387" s="388"/>
      <c r="Q387" s="388"/>
      <c r="R387" s="446">
        <f>M387/J387</f>
        <v>19628.86</v>
      </c>
      <c r="S387" s="388">
        <f t="shared" si="39"/>
        <v>0</v>
      </c>
      <c r="T387" s="389"/>
      <c r="U387" s="391"/>
      <c r="V387" s="388"/>
      <c r="W387" s="387"/>
      <c r="Z387" s="419"/>
    </row>
    <row r="388" spans="1:26" ht="43.9" hidden="1" customHeight="1">
      <c r="A388" s="404">
        <f t="shared" si="32"/>
        <v>304</v>
      </c>
      <c r="B388" s="403" t="s">
        <v>746</v>
      </c>
      <c r="C388" s="531" t="s">
        <v>218</v>
      </c>
      <c r="D388" s="446">
        <v>17617</v>
      </c>
      <c r="E388" s="388">
        <v>1975</v>
      </c>
      <c r="F388" s="541" t="s">
        <v>234</v>
      </c>
      <c r="G388" s="388">
        <v>697</v>
      </c>
      <c r="H388" s="446">
        <v>9</v>
      </c>
      <c r="I388" s="446">
        <v>2</v>
      </c>
      <c r="J388" s="446">
        <v>79</v>
      </c>
      <c r="K388" s="537" t="s">
        <v>227</v>
      </c>
      <c r="L388" s="529">
        <f t="shared" si="40"/>
        <v>8563136.9800000004</v>
      </c>
      <c r="M388" s="519">
        <v>8517432.7300000004</v>
      </c>
      <c r="N388" s="388">
        <v>45704.25</v>
      </c>
      <c r="O388" s="473"/>
      <c r="P388" s="388"/>
      <c r="Q388" s="388"/>
      <c r="R388" s="528">
        <f>M388/E388</f>
        <v>4312.6241670886075</v>
      </c>
      <c r="S388" s="388">
        <f t="shared" si="39"/>
        <v>0</v>
      </c>
      <c r="T388" s="389"/>
      <c r="U388" s="391"/>
      <c r="V388" s="388"/>
      <c r="W388" s="387"/>
      <c r="Z388" s="419"/>
    </row>
    <row r="389" spans="1:26" ht="54.75" hidden="1" customHeight="1">
      <c r="A389" s="404">
        <f t="shared" si="32"/>
        <v>305</v>
      </c>
      <c r="B389" s="403" t="s">
        <v>747</v>
      </c>
      <c r="C389" s="531" t="s">
        <v>272</v>
      </c>
      <c r="D389" s="532">
        <v>13674</v>
      </c>
      <c r="E389" s="391">
        <v>2483.3000000000002</v>
      </c>
      <c r="F389" s="533" t="s">
        <v>234</v>
      </c>
      <c r="G389" s="535">
        <v>1209</v>
      </c>
      <c r="H389" s="536">
        <v>5</v>
      </c>
      <c r="I389" s="536">
        <v>4</v>
      </c>
      <c r="J389" s="536">
        <v>69</v>
      </c>
      <c r="K389" s="397" t="s">
        <v>30</v>
      </c>
      <c r="L389" s="529">
        <f t="shared" si="40"/>
        <v>1624567.73</v>
      </c>
      <c r="M389" s="519">
        <v>1619006.67</v>
      </c>
      <c r="N389" s="388"/>
      <c r="O389" s="540">
        <v>5561.06</v>
      </c>
      <c r="P389" s="388"/>
      <c r="Q389" s="388"/>
      <c r="R389" s="446">
        <f>M389/J389</f>
        <v>23463.864782608696</v>
      </c>
      <c r="S389" s="388">
        <f t="shared" si="39"/>
        <v>5.5479176808148623E-11</v>
      </c>
      <c r="T389" s="389"/>
      <c r="U389" s="391"/>
      <c r="V389" s="388"/>
      <c r="W389" s="387"/>
      <c r="Z389" s="419"/>
    </row>
    <row r="390" spans="1:26" ht="43.9" hidden="1" customHeight="1">
      <c r="A390" s="404">
        <f t="shared" si="32"/>
        <v>306</v>
      </c>
      <c r="B390" s="403" t="s">
        <v>748</v>
      </c>
      <c r="C390" s="531" t="s">
        <v>272</v>
      </c>
      <c r="D390" s="532">
        <v>14002</v>
      </c>
      <c r="E390" s="535">
        <v>2520</v>
      </c>
      <c r="F390" s="391" t="s">
        <v>223</v>
      </c>
      <c r="G390" s="535">
        <v>1053</v>
      </c>
      <c r="H390" s="536">
        <v>5</v>
      </c>
      <c r="I390" s="536">
        <v>2</v>
      </c>
      <c r="J390" s="536">
        <v>173</v>
      </c>
      <c r="K390" s="458" t="s">
        <v>33</v>
      </c>
      <c r="L390" s="529">
        <f t="shared" si="40"/>
        <v>3739890.1900000004</v>
      </c>
      <c r="M390" s="519">
        <v>3728888.97</v>
      </c>
      <c r="N390" s="388"/>
      <c r="O390" s="473">
        <v>11001.22</v>
      </c>
      <c r="P390" s="388"/>
      <c r="Q390" s="388"/>
      <c r="R390" s="446">
        <f>M390/G390</f>
        <v>3541.2050997151</v>
      </c>
      <c r="S390" s="388">
        <f t="shared" si="39"/>
        <v>2.0554580260068178E-10</v>
      </c>
      <c r="T390" s="389"/>
      <c r="U390" s="391"/>
      <c r="V390" s="388"/>
      <c r="W390" s="387"/>
      <c r="Z390" s="419"/>
    </row>
    <row r="391" spans="1:26" ht="54.75" hidden="1" customHeight="1">
      <c r="A391" s="404">
        <f t="shared" si="32"/>
        <v>307</v>
      </c>
      <c r="B391" s="427" t="s">
        <v>749</v>
      </c>
      <c r="C391" s="455" t="s">
        <v>218</v>
      </c>
      <c r="D391" s="532">
        <v>24635</v>
      </c>
      <c r="E391" s="391">
        <v>4458.1000000000004</v>
      </c>
      <c r="F391" s="391" t="s">
        <v>223</v>
      </c>
      <c r="G391" s="388">
        <v>2262</v>
      </c>
      <c r="H391" s="446">
        <v>5</v>
      </c>
      <c r="I391" s="446">
        <v>8</v>
      </c>
      <c r="J391" s="446">
        <f>158-1-1-1</f>
        <v>155</v>
      </c>
      <c r="K391" s="397" t="s">
        <v>30</v>
      </c>
      <c r="L391" s="529">
        <f t="shared" si="40"/>
        <v>3506623.0399999996</v>
      </c>
      <c r="M391" s="519">
        <v>3494130.8099999996</v>
      </c>
      <c r="N391" s="388"/>
      <c r="O391" s="473">
        <v>12492.23</v>
      </c>
      <c r="P391" s="388"/>
      <c r="Q391" s="388"/>
      <c r="R391" s="446">
        <f>M391/J391</f>
        <v>22542.779419354836</v>
      </c>
      <c r="S391" s="388">
        <f t="shared" si="39"/>
        <v>-1.8189894035458565E-11</v>
      </c>
      <c r="T391" s="389"/>
      <c r="U391" s="391"/>
      <c r="V391" s="388"/>
      <c r="W391" s="387"/>
      <c r="Z391" s="419"/>
    </row>
    <row r="392" spans="1:26" ht="43.9" hidden="1" customHeight="1">
      <c r="A392" s="404">
        <f t="shared" si="32"/>
        <v>308</v>
      </c>
      <c r="B392" s="403" t="s">
        <v>750</v>
      </c>
      <c r="C392" s="455" t="s">
        <v>218</v>
      </c>
      <c r="D392" s="532">
        <v>9215</v>
      </c>
      <c r="E392" s="391">
        <v>1876.2</v>
      </c>
      <c r="F392" s="391" t="s">
        <v>223</v>
      </c>
      <c r="G392" s="535">
        <v>837</v>
      </c>
      <c r="H392" s="536">
        <v>5</v>
      </c>
      <c r="I392" s="536">
        <v>3</v>
      </c>
      <c r="J392" s="536">
        <v>56</v>
      </c>
      <c r="K392" s="458" t="s">
        <v>225</v>
      </c>
      <c r="L392" s="529">
        <f t="shared" si="40"/>
        <v>790171.94</v>
      </c>
      <c r="M392" s="519">
        <v>755206.94</v>
      </c>
      <c r="N392" s="388">
        <v>34965</v>
      </c>
      <c r="O392" s="473"/>
      <c r="P392" s="388"/>
      <c r="Q392" s="388"/>
      <c r="R392" s="446">
        <f>M392/J392</f>
        <v>13485.838214285714</v>
      </c>
      <c r="S392" s="388">
        <f t="shared" si="39"/>
        <v>0</v>
      </c>
      <c r="T392" s="389"/>
      <c r="U392" s="391"/>
      <c r="V392" s="388"/>
      <c r="W392" s="387"/>
      <c r="Z392" s="419"/>
    </row>
    <row r="393" spans="1:26" ht="43.9" hidden="1" customHeight="1">
      <c r="A393" s="404">
        <f t="shared" si="32"/>
        <v>309</v>
      </c>
      <c r="B393" s="403" t="s">
        <v>751</v>
      </c>
      <c r="C393" s="531" t="s">
        <v>272</v>
      </c>
      <c r="D393" s="532">
        <v>9982</v>
      </c>
      <c r="E393" s="391">
        <v>2038.1</v>
      </c>
      <c r="F393" s="533" t="s">
        <v>234</v>
      </c>
      <c r="G393" s="535">
        <v>437</v>
      </c>
      <c r="H393" s="536">
        <v>9</v>
      </c>
      <c r="I393" s="536">
        <v>1</v>
      </c>
      <c r="J393" s="536">
        <v>48</v>
      </c>
      <c r="K393" s="458" t="s">
        <v>33</v>
      </c>
      <c r="L393" s="529">
        <f t="shared" si="40"/>
        <v>729992.22</v>
      </c>
      <c r="M393" s="538">
        <v>727252.89</v>
      </c>
      <c r="N393" s="539"/>
      <c r="O393" s="540">
        <v>2739.33</v>
      </c>
      <c r="P393" s="388"/>
      <c r="Q393" s="541"/>
      <c r="R393" s="446">
        <f>M393/G393</f>
        <v>1664.1942562929062</v>
      </c>
      <c r="S393" s="388">
        <f t="shared" si="39"/>
        <v>-4.1836756281554699E-11</v>
      </c>
      <c r="T393" s="389"/>
      <c r="U393" s="391"/>
      <c r="V393" s="539"/>
      <c r="W393" s="387"/>
      <c r="Z393" s="419"/>
    </row>
    <row r="394" spans="1:26" ht="43.9" hidden="1" customHeight="1">
      <c r="A394" s="404">
        <f t="shared" si="32"/>
        <v>310</v>
      </c>
      <c r="B394" s="403" t="s">
        <v>752</v>
      </c>
      <c r="C394" s="455" t="s">
        <v>272</v>
      </c>
      <c r="D394" s="545">
        <v>10620</v>
      </c>
      <c r="E394" s="391">
        <v>1856</v>
      </c>
      <c r="F394" s="391" t="s">
        <v>223</v>
      </c>
      <c r="G394" s="391">
        <v>708</v>
      </c>
      <c r="H394" s="528">
        <v>5</v>
      </c>
      <c r="I394" s="528">
        <v>3</v>
      </c>
      <c r="J394" s="446">
        <v>58</v>
      </c>
      <c r="K394" s="458" t="s">
        <v>225</v>
      </c>
      <c r="L394" s="529">
        <f t="shared" si="40"/>
        <v>796449.92</v>
      </c>
      <c r="M394" s="547">
        <v>764481.92</v>
      </c>
      <c r="N394" s="388">
        <v>31968</v>
      </c>
      <c r="O394" s="473"/>
      <c r="P394" s="388"/>
      <c r="Q394" s="388"/>
      <c r="R394" s="446">
        <f>M394/J394</f>
        <v>13180.72275862069</v>
      </c>
      <c r="S394" s="388">
        <f t="shared" si="39"/>
        <v>0</v>
      </c>
      <c r="T394" s="389"/>
      <c r="U394" s="391"/>
      <c r="V394" s="388"/>
      <c r="W394" s="387"/>
      <c r="Z394" s="419"/>
    </row>
    <row r="395" spans="1:26" ht="43.9" hidden="1" customHeight="1">
      <c r="A395" s="404">
        <f t="shared" si="32"/>
        <v>311</v>
      </c>
      <c r="B395" s="607" t="s">
        <v>753</v>
      </c>
      <c r="C395" s="531" t="s">
        <v>218</v>
      </c>
      <c r="D395" s="566">
        <v>31932</v>
      </c>
      <c r="E395" s="388">
        <v>4012</v>
      </c>
      <c r="F395" s="383" t="s">
        <v>234</v>
      </c>
      <c r="G395" s="564">
        <v>1341</v>
      </c>
      <c r="H395" s="572">
        <v>9</v>
      </c>
      <c r="I395" s="572">
        <v>4</v>
      </c>
      <c r="J395" s="572">
        <v>143</v>
      </c>
      <c r="K395" s="397" t="s">
        <v>364</v>
      </c>
      <c r="L395" s="529">
        <f t="shared" si="40"/>
        <v>8080440.25</v>
      </c>
      <c r="M395" s="519">
        <v>7932434</v>
      </c>
      <c r="N395" s="388">
        <v>148006.25</v>
      </c>
      <c r="Q395" s="388"/>
      <c r="R395" s="446">
        <v>2000000</v>
      </c>
      <c r="S395" s="388">
        <f t="shared" si="39"/>
        <v>0</v>
      </c>
      <c r="T395" s="389"/>
      <c r="U395" s="391"/>
      <c r="V395" s="388"/>
      <c r="W395" s="387"/>
      <c r="Z395" s="419"/>
    </row>
    <row r="396" spans="1:26" ht="43.9" hidden="1" customHeight="1">
      <c r="A396" s="404">
        <f t="shared" si="32"/>
        <v>312</v>
      </c>
      <c r="B396" s="403" t="s">
        <v>754</v>
      </c>
      <c r="C396" s="544" t="s">
        <v>218</v>
      </c>
      <c r="D396" s="446">
        <v>9528</v>
      </c>
      <c r="E396" s="388">
        <v>1151</v>
      </c>
      <c r="F396" s="388" t="s">
        <v>234</v>
      </c>
      <c r="G396" s="388">
        <v>977</v>
      </c>
      <c r="H396" s="446">
        <v>5</v>
      </c>
      <c r="I396" s="446">
        <v>4</v>
      </c>
      <c r="J396" s="446">
        <v>60</v>
      </c>
      <c r="K396" s="504" t="s">
        <v>253</v>
      </c>
      <c r="L396" s="529">
        <f t="shared" si="40"/>
        <v>3255837.5300000003</v>
      </c>
      <c r="M396" s="519">
        <f>2928066+292806.53</f>
        <v>3220872.5300000003</v>
      </c>
      <c r="N396" s="388">
        <v>34965</v>
      </c>
      <c r="O396" s="540"/>
      <c r="P396" s="388"/>
      <c r="Q396" s="541"/>
      <c r="R396" s="446">
        <f>M396/G396</f>
        <v>3296.6965506653023</v>
      </c>
      <c r="S396" s="388">
        <f t="shared" si="39"/>
        <v>0</v>
      </c>
      <c r="T396" s="389"/>
      <c r="U396" s="391"/>
      <c r="V396" s="388"/>
      <c r="W396" s="387"/>
      <c r="Z396" s="419"/>
    </row>
    <row r="397" spans="1:26" ht="43.9" hidden="1" customHeight="1">
      <c r="A397" s="404">
        <f t="shared" si="32"/>
        <v>313</v>
      </c>
      <c r="B397" s="403" t="s">
        <v>755</v>
      </c>
      <c r="C397" s="455" t="s">
        <v>272</v>
      </c>
      <c r="D397" s="531">
        <v>4163</v>
      </c>
      <c r="E397" s="388">
        <v>941.5</v>
      </c>
      <c r="F397" s="388" t="s">
        <v>223</v>
      </c>
      <c r="G397" s="388">
        <v>585</v>
      </c>
      <c r="H397" s="446">
        <v>3</v>
      </c>
      <c r="I397" s="446">
        <v>2</v>
      </c>
      <c r="J397" s="446">
        <v>18</v>
      </c>
      <c r="K397" s="537" t="s">
        <v>225</v>
      </c>
      <c r="L397" s="529">
        <f t="shared" si="40"/>
        <v>290368.44</v>
      </c>
      <c r="M397" s="519">
        <v>270388.44</v>
      </c>
      <c r="N397" s="388">
        <v>19980</v>
      </c>
      <c r="O397" s="473"/>
      <c r="P397" s="388"/>
      <c r="Q397" s="388"/>
      <c r="R397" s="446">
        <f>M397/J397</f>
        <v>15021.58</v>
      </c>
      <c r="S397" s="388">
        <f t="shared" si="39"/>
        <v>0</v>
      </c>
      <c r="T397" s="389"/>
      <c r="U397" s="391"/>
      <c r="V397" s="388"/>
      <c r="W397" s="387"/>
      <c r="Z397" s="419"/>
    </row>
    <row r="398" spans="1:26" ht="43.9" hidden="1" customHeight="1">
      <c r="A398" s="404">
        <f t="shared" si="32"/>
        <v>314</v>
      </c>
      <c r="B398" s="611" t="s">
        <v>756</v>
      </c>
      <c r="C398" s="531" t="s">
        <v>272</v>
      </c>
      <c r="D398" s="566">
        <v>3043</v>
      </c>
      <c r="E398" s="388">
        <v>747</v>
      </c>
      <c r="F398" s="391" t="s">
        <v>223</v>
      </c>
      <c r="G398" s="388">
        <v>531.5</v>
      </c>
      <c r="H398" s="446">
        <v>2</v>
      </c>
      <c r="I398" s="446">
        <v>2</v>
      </c>
      <c r="J398" s="446">
        <v>16</v>
      </c>
      <c r="K398" s="612" t="s">
        <v>33</v>
      </c>
      <c r="L398" s="529">
        <f t="shared" si="40"/>
        <v>1402478.19</v>
      </c>
      <c r="M398" s="613">
        <v>1398035.91</v>
      </c>
      <c r="N398" s="388"/>
      <c r="O398" s="473">
        <v>4442.28</v>
      </c>
      <c r="P398" s="388"/>
      <c r="Q398" s="388"/>
      <c r="R398" s="446">
        <f>M398/G398</f>
        <v>2630.3591909689558</v>
      </c>
      <c r="S398" s="388">
        <f t="shared" si="39"/>
        <v>2.8194335754960775E-11</v>
      </c>
      <c r="T398" s="389"/>
      <c r="U398" s="391"/>
      <c r="V398" s="550"/>
      <c r="W398" s="387"/>
      <c r="Z398" s="419"/>
    </row>
    <row r="399" spans="1:26" ht="43.9" hidden="1" customHeight="1">
      <c r="A399" s="404">
        <f t="shared" si="32"/>
        <v>315</v>
      </c>
      <c r="B399" s="611" t="s">
        <v>757</v>
      </c>
      <c r="C399" s="531" t="s">
        <v>272</v>
      </c>
      <c r="D399" s="566">
        <v>3102</v>
      </c>
      <c r="E399" s="388">
        <v>747</v>
      </c>
      <c r="F399" s="391" t="s">
        <v>223</v>
      </c>
      <c r="G399" s="388">
        <v>531.6</v>
      </c>
      <c r="H399" s="446">
        <v>2</v>
      </c>
      <c r="I399" s="446">
        <v>2</v>
      </c>
      <c r="J399" s="446">
        <v>16</v>
      </c>
      <c r="K399" s="612" t="s">
        <v>33</v>
      </c>
      <c r="L399" s="529">
        <f t="shared" si="40"/>
        <v>1569084.6700000002</v>
      </c>
      <c r="M399" s="550">
        <v>1564641.56</v>
      </c>
      <c r="N399" s="388"/>
      <c r="O399" s="473">
        <v>4443.1099999999997</v>
      </c>
      <c r="P399" s="388"/>
      <c r="Q399" s="388"/>
      <c r="R399" s="446">
        <f>M399/G399</f>
        <v>2943.2685477802861</v>
      </c>
      <c r="S399" s="388">
        <f t="shared" si="39"/>
        <v>1.0277290130034089E-10</v>
      </c>
      <c r="T399" s="389"/>
      <c r="U399" s="391"/>
      <c r="V399" s="550"/>
      <c r="W399" s="387"/>
      <c r="Z399" s="419"/>
    </row>
    <row r="400" spans="1:26" ht="43.9" hidden="1" customHeight="1">
      <c r="A400" s="404">
        <f t="shared" si="32"/>
        <v>316</v>
      </c>
      <c r="B400" s="546" t="s">
        <v>758</v>
      </c>
      <c r="C400" s="544" t="s">
        <v>272</v>
      </c>
      <c r="D400" s="487">
        <v>4570</v>
      </c>
      <c r="E400" s="388">
        <v>735</v>
      </c>
      <c r="F400" s="388" t="s">
        <v>234</v>
      </c>
      <c r="G400" s="388">
        <v>545.5</v>
      </c>
      <c r="H400" s="446">
        <v>2</v>
      </c>
      <c r="I400" s="446">
        <v>2</v>
      </c>
      <c r="J400" s="446">
        <v>58</v>
      </c>
      <c r="K400" s="458" t="s">
        <v>239</v>
      </c>
      <c r="L400" s="529">
        <f t="shared" si="40"/>
        <v>1037946.03</v>
      </c>
      <c r="M400" s="519">
        <v>1002981.03</v>
      </c>
      <c r="N400" s="388">
        <v>34965</v>
      </c>
      <c r="O400" s="473"/>
      <c r="P400" s="388"/>
      <c r="Q400" s="388"/>
      <c r="R400" s="446">
        <f>M400/J400</f>
        <v>17292.776379310344</v>
      </c>
      <c r="S400" s="388">
        <f t="shared" si="39"/>
        <v>0</v>
      </c>
      <c r="T400" s="389"/>
      <c r="U400" s="391"/>
      <c r="V400" s="388"/>
      <c r="W400" s="387"/>
      <c r="Z400" s="419"/>
    </row>
    <row r="401" spans="1:36" ht="54.75" hidden="1" customHeight="1">
      <c r="A401" s="404">
        <f>A400+1</f>
        <v>317</v>
      </c>
      <c r="B401" s="543" t="s">
        <v>759</v>
      </c>
      <c r="C401" s="531" t="s">
        <v>272</v>
      </c>
      <c r="D401" s="566">
        <v>15429</v>
      </c>
      <c r="E401" s="388">
        <v>2349</v>
      </c>
      <c r="F401" s="391" t="s">
        <v>223</v>
      </c>
      <c r="G401" s="388">
        <v>1151</v>
      </c>
      <c r="H401" s="572">
        <v>5</v>
      </c>
      <c r="I401" s="572">
        <v>4</v>
      </c>
      <c r="J401" s="572">
        <v>77</v>
      </c>
      <c r="K401" s="397" t="s">
        <v>30</v>
      </c>
      <c r="L401" s="529">
        <f t="shared" si="40"/>
        <v>1722194.6700000002</v>
      </c>
      <c r="M401" s="519">
        <v>1715988.85</v>
      </c>
      <c r="N401" s="388"/>
      <c r="O401" s="473">
        <v>6205.82</v>
      </c>
      <c r="P401" s="388"/>
      <c r="Q401" s="388"/>
      <c r="R401" s="446">
        <f>M401/J401</f>
        <v>22285.569480519483</v>
      </c>
      <c r="S401" s="388">
        <f t="shared" si="39"/>
        <v>6.5483618527650833E-11</v>
      </c>
      <c r="T401" s="389"/>
      <c r="U401" s="391"/>
      <c r="V401" s="388"/>
      <c r="W401" s="387"/>
      <c r="Z401" s="419"/>
    </row>
    <row r="402" spans="1:36" ht="54.75" hidden="1" customHeight="1">
      <c r="A402" s="404">
        <f>A401+1</f>
        <v>318</v>
      </c>
      <c r="B402" s="543" t="s">
        <v>760</v>
      </c>
      <c r="C402" s="455" t="s">
        <v>272</v>
      </c>
      <c r="D402" s="545">
        <v>12654</v>
      </c>
      <c r="E402" s="391">
        <v>2500</v>
      </c>
      <c r="F402" s="391" t="s">
        <v>223</v>
      </c>
      <c r="G402" s="391">
        <v>1217</v>
      </c>
      <c r="H402" s="446">
        <v>4</v>
      </c>
      <c r="I402" s="528">
        <v>3</v>
      </c>
      <c r="J402" s="528">
        <v>35</v>
      </c>
      <c r="K402" s="537" t="s">
        <v>30</v>
      </c>
      <c r="L402" s="529">
        <f t="shared" si="40"/>
        <v>1083196.81</v>
      </c>
      <c r="M402" s="529">
        <v>1080375.98</v>
      </c>
      <c r="N402" s="388"/>
      <c r="O402" s="530">
        <v>2820.83</v>
      </c>
      <c r="P402" s="391"/>
      <c r="Q402" s="391"/>
      <c r="R402" s="446">
        <f>M402/J402</f>
        <v>30867.885142857143</v>
      </c>
      <c r="S402" s="388">
        <f t="shared" si="39"/>
        <v>7.4578565545380116E-11</v>
      </c>
      <c r="T402" s="389"/>
      <c r="U402" s="391"/>
      <c r="V402" s="391"/>
      <c r="W402" s="387"/>
      <c r="Z402" s="419"/>
    </row>
    <row r="403" spans="1:36" s="416" customFormat="1" ht="34.9" hidden="1" customHeight="1">
      <c r="A403" s="1112">
        <f>A402+1</f>
        <v>319</v>
      </c>
      <c r="B403" s="403" t="s">
        <v>762</v>
      </c>
      <c r="C403" s="617" t="s">
        <v>272</v>
      </c>
      <c r="D403" s="561">
        <v>13304</v>
      </c>
      <c r="E403" s="565">
        <v>2474</v>
      </c>
      <c r="F403" s="539" t="s">
        <v>223</v>
      </c>
      <c r="G403" s="565">
        <v>1217</v>
      </c>
      <c r="H403" s="561">
        <v>4</v>
      </c>
      <c r="I403" s="561">
        <v>3</v>
      </c>
      <c r="J403" s="561">
        <v>35</v>
      </c>
      <c r="K403" s="556" t="s">
        <v>38</v>
      </c>
      <c r="L403" s="1128">
        <f>M403+N403+O403+P403+Q403+M404+N404+O404+P404+Q404</f>
        <v>7012076.1299999999</v>
      </c>
      <c r="M403" s="529">
        <v>3956266.91</v>
      </c>
      <c r="N403" s="391"/>
      <c r="O403" s="530">
        <v>11343</v>
      </c>
      <c r="P403" s="391"/>
      <c r="Q403" s="560"/>
      <c r="R403" s="528">
        <f>M403/E403</f>
        <v>1599.1377970897333</v>
      </c>
      <c r="S403" s="388">
        <f t="shared" si="39"/>
        <v>3044466.2199999997</v>
      </c>
      <c r="T403" s="392"/>
      <c r="U403" s="391"/>
      <c r="V403" s="391"/>
      <c r="W403" s="387"/>
      <c r="Z403" s="419"/>
    </row>
    <row r="404" spans="1:36" s="416" customFormat="1" ht="34.9" hidden="1" customHeight="1">
      <c r="A404" s="1112"/>
      <c r="B404" s="403"/>
      <c r="C404" s="617"/>
      <c r="D404" s="561"/>
      <c r="E404" s="565"/>
      <c r="F404" s="539"/>
      <c r="G404" s="565"/>
      <c r="H404" s="561"/>
      <c r="I404" s="561"/>
      <c r="J404" s="561"/>
      <c r="K404" s="458" t="s">
        <v>33</v>
      </c>
      <c r="L404" s="1128"/>
      <c r="M404" s="529">
        <v>3031751.61</v>
      </c>
      <c r="N404" s="391"/>
      <c r="O404" s="473">
        <v>12714.61</v>
      </c>
      <c r="P404" s="391"/>
      <c r="Q404" s="560"/>
      <c r="R404" s="446">
        <f>M404/G403</f>
        <v>2491.1681265406737</v>
      </c>
      <c r="S404" s="388">
        <f t="shared" si="39"/>
        <v>-3044466.2199999997</v>
      </c>
      <c r="T404" s="392"/>
      <c r="U404" s="391"/>
      <c r="V404" s="391"/>
      <c r="W404" s="387"/>
      <c r="Z404" s="419"/>
    </row>
    <row r="405" spans="1:36" ht="43.9" hidden="1" customHeight="1">
      <c r="A405" s="404">
        <f>A403+1</f>
        <v>320</v>
      </c>
      <c r="B405" s="543" t="s">
        <v>763</v>
      </c>
      <c r="C405" s="455" t="s">
        <v>272</v>
      </c>
      <c r="D405" s="545">
        <v>23832</v>
      </c>
      <c r="E405" s="391">
        <v>4232.3</v>
      </c>
      <c r="F405" s="391" t="s">
        <v>223</v>
      </c>
      <c r="G405" s="391">
        <v>1824</v>
      </c>
      <c r="H405" s="446">
        <v>5</v>
      </c>
      <c r="I405" s="528">
        <v>4</v>
      </c>
      <c r="J405" s="528">
        <v>69</v>
      </c>
      <c r="K405" s="458" t="s">
        <v>225</v>
      </c>
      <c r="L405" s="529">
        <f t="shared" ref="L405:L422" si="41">M405+N405+O405+P405+Q405</f>
        <v>971489.5</v>
      </c>
      <c r="M405" s="529">
        <v>939521.5</v>
      </c>
      <c r="N405" s="391">
        <v>31968</v>
      </c>
      <c r="O405" s="530"/>
      <c r="P405" s="391"/>
      <c r="Q405" s="391"/>
      <c r="R405" s="446">
        <f>M405/J405</f>
        <v>13616.253623188406</v>
      </c>
      <c r="S405" s="388">
        <f t="shared" si="39"/>
        <v>0</v>
      </c>
      <c r="T405" s="389"/>
      <c r="U405" s="391"/>
      <c r="V405" s="391"/>
      <c r="W405" s="387"/>
      <c r="Z405" s="419"/>
    </row>
    <row r="406" spans="1:36" ht="43.9" hidden="1" customHeight="1">
      <c r="A406" s="404">
        <f>A405+1</f>
        <v>321</v>
      </c>
      <c r="B406" s="403" t="s">
        <v>764</v>
      </c>
      <c r="C406" s="455" t="s">
        <v>272</v>
      </c>
      <c r="D406" s="531">
        <v>33745</v>
      </c>
      <c r="E406" s="388">
        <v>5320</v>
      </c>
      <c r="F406" s="388" t="s">
        <v>234</v>
      </c>
      <c r="G406" s="388">
        <v>1345</v>
      </c>
      <c r="H406" s="446">
        <v>9</v>
      </c>
      <c r="I406" s="446">
        <v>4</v>
      </c>
      <c r="J406" s="446">
        <v>144</v>
      </c>
      <c r="K406" s="458" t="s">
        <v>225</v>
      </c>
      <c r="L406" s="529">
        <f t="shared" si="41"/>
        <v>3144352.94</v>
      </c>
      <c r="M406" s="519">
        <v>3099397.94</v>
      </c>
      <c r="N406" s="388">
        <v>44955</v>
      </c>
      <c r="O406" s="473"/>
      <c r="P406" s="388"/>
      <c r="Q406" s="388"/>
      <c r="R406" s="446">
        <f>M406/J406</f>
        <v>21523.596805555557</v>
      </c>
      <c r="S406" s="388">
        <f t="shared" si="39"/>
        <v>0</v>
      </c>
      <c r="T406" s="389"/>
      <c r="U406" s="391"/>
      <c r="V406" s="388"/>
      <c r="W406" s="387"/>
      <c r="Z406" s="419"/>
    </row>
    <row r="407" spans="1:36" s="416" customFormat="1" ht="43.9" hidden="1" customHeight="1">
      <c r="A407" s="404">
        <f t="shared" ref="A407:A414" si="42">A406+1</f>
        <v>322</v>
      </c>
      <c r="B407" s="403" t="s">
        <v>765</v>
      </c>
      <c r="C407" s="455" t="s">
        <v>218</v>
      </c>
      <c r="D407" s="532">
        <v>29879</v>
      </c>
      <c r="E407" s="391">
        <v>2980</v>
      </c>
      <c r="F407" s="539" t="s">
        <v>234</v>
      </c>
      <c r="G407" s="535">
        <v>1205</v>
      </c>
      <c r="H407" s="536">
        <v>9</v>
      </c>
      <c r="I407" s="536">
        <v>2</v>
      </c>
      <c r="J407" s="536">
        <v>380</v>
      </c>
      <c r="K407" s="458" t="s">
        <v>364</v>
      </c>
      <c r="L407" s="529">
        <f t="shared" si="41"/>
        <v>4018235.36</v>
      </c>
      <c r="M407" s="538">
        <v>3912516.61</v>
      </c>
      <c r="N407" s="539">
        <v>105718.75</v>
      </c>
      <c r="O407" s="540"/>
      <c r="P407" s="388"/>
      <c r="Q407" s="541"/>
      <c r="R407" s="446">
        <v>2000000</v>
      </c>
      <c r="S407" s="388">
        <f t="shared" si="39"/>
        <v>0</v>
      </c>
      <c r="T407" s="389"/>
      <c r="U407" s="391"/>
      <c r="V407" s="539"/>
      <c r="W407" s="387"/>
      <c r="Z407" s="419"/>
    </row>
    <row r="408" spans="1:36" ht="43.9" hidden="1" customHeight="1">
      <c r="A408" s="404">
        <f t="shared" si="42"/>
        <v>323</v>
      </c>
      <c r="B408" s="607" t="s">
        <v>766</v>
      </c>
      <c r="C408" s="531" t="s">
        <v>218</v>
      </c>
      <c r="D408" s="455">
        <v>30461</v>
      </c>
      <c r="E408" s="388">
        <v>2150</v>
      </c>
      <c r="F408" s="383" t="s">
        <v>234</v>
      </c>
      <c r="G408" s="388">
        <v>1245.3</v>
      </c>
      <c r="H408" s="446">
        <v>9</v>
      </c>
      <c r="I408" s="446">
        <v>2</v>
      </c>
      <c r="J408" s="446">
        <v>379</v>
      </c>
      <c r="K408" s="397" t="s">
        <v>364</v>
      </c>
      <c r="L408" s="529">
        <f t="shared" si="41"/>
        <v>4083754.39</v>
      </c>
      <c r="M408" s="519">
        <v>3978035.64</v>
      </c>
      <c r="N408" s="539">
        <v>105718.75</v>
      </c>
      <c r="Q408" s="388"/>
      <c r="R408" s="446">
        <v>2000000</v>
      </c>
      <c r="S408" s="388">
        <f t="shared" si="39"/>
        <v>0</v>
      </c>
      <c r="T408" s="389"/>
      <c r="U408" s="391"/>
      <c r="V408" s="388"/>
      <c r="W408" s="387"/>
      <c r="Z408" s="419"/>
    </row>
    <row r="409" spans="1:36" ht="43.9" hidden="1" customHeight="1">
      <c r="A409" s="404">
        <f t="shared" si="42"/>
        <v>324</v>
      </c>
      <c r="B409" s="607" t="s">
        <v>767</v>
      </c>
      <c r="C409" s="531" t="s">
        <v>218</v>
      </c>
      <c r="D409" s="566">
        <v>42196</v>
      </c>
      <c r="E409" s="388">
        <v>4104</v>
      </c>
      <c r="F409" s="383" t="s">
        <v>234</v>
      </c>
      <c r="G409" s="388">
        <v>1842</v>
      </c>
      <c r="H409" s="446">
        <v>9</v>
      </c>
      <c r="I409" s="446">
        <v>4</v>
      </c>
      <c r="J409" s="446">
        <v>200</v>
      </c>
      <c r="K409" s="397" t="s">
        <v>364</v>
      </c>
      <c r="L409" s="529">
        <f t="shared" si="41"/>
        <v>7894090.6500000004</v>
      </c>
      <c r="M409" s="519">
        <v>7746084.4000000004</v>
      </c>
      <c r="N409" s="388">
        <v>148006.25</v>
      </c>
      <c r="Q409" s="388"/>
      <c r="R409" s="446">
        <v>2000000</v>
      </c>
      <c r="S409" s="388">
        <f t="shared" si="39"/>
        <v>0</v>
      </c>
      <c r="T409" s="389"/>
      <c r="U409" s="391"/>
      <c r="V409" s="388"/>
      <c r="W409" s="387"/>
      <c r="Z409" s="419"/>
    </row>
    <row r="410" spans="1:36" s="416" customFormat="1" ht="46.9" hidden="1" customHeight="1">
      <c r="A410" s="404">
        <f t="shared" si="42"/>
        <v>325</v>
      </c>
      <c r="B410" s="403" t="s">
        <v>768</v>
      </c>
      <c r="C410" s="455" t="s">
        <v>272</v>
      </c>
      <c r="D410" s="545">
        <v>11063</v>
      </c>
      <c r="E410" s="391">
        <v>1611.7</v>
      </c>
      <c r="F410" s="388" t="s">
        <v>223</v>
      </c>
      <c r="G410" s="391">
        <v>622</v>
      </c>
      <c r="H410" s="528">
        <v>3</v>
      </c>
      <c r="I410" s="528">
        <v>3</v>
      </c>
      <c r="J410" s="528">
        <v>26</v>
      </c>
      <c r="K410" s="458" t="s">
        <v>225</v>
      </c>
      <c r="L410" s="529">
        <f t="shared" si="41"/>
        <v>510752.79</v>
      </c>
      <c r="M410" s="519">
        <v>475787.79</v>
      </c>
      <c r="N410" s="388">
        <v>34965</v>
      </c>
      <c r="O410" s="473"/>
      <c r="P410" s="388"/>
      <c r="Q410" s="388"/>
      <c r="R410" s="446">
        <f>M410/J410</f>
        <v>18299.530384615384</v>
      </c>
      <c r="S410" s="388">
        <f t="shared" si="39"/>
        <v>0</v>
      </c>
      <c r="T410" s="398"/>
      <c r="U410" s="391"/>
      <c r="V410" s="388"/>
      <c r="W410" s="387"/>
      <c r="Z410" s="419"/>
    </row>
    <row r="411" spans="1:36" s="416" customFormat="1" ht="46.9" hidden="1" customHeight="1">
      <c r="A411" s="404">
        <f t="shared" si="42"/>
        <v>326</v>
      </c>
      <c r="B411" s="403" t="s">
        <v>769</v>
      </c>
      <c r="C411" s="455" t="s">
        <v>272</v>
      </c>
      <c r="D411" s="545">
        <v>4619</v>
      </c>
      <c r="E411" s="391">
        <v>501.5</v>
      </c>
      <c r="F411" s="388" t="s">
        <v>223</v>
      </c>
      <c r="G411" s="391">
        <v>651.9</v>
      </c>
      <c r="H411" s="528">
        <v>3</v>
      </c>
      <c r="I411" s="528">
        <v>2</v>
      </c>
      <c r="J411" s="528">
        <v>16</v>
      </c>
      <c r="K411" s="458" t="s">
        <v>33</v>
      </c>
      <c r="L411" s="529">
        <f t="shared" si="41"/>
        <v>1967049.6</v>
      </c>
      <c r="M411" s="519">
        <f>1823494.68+138106.3</f>
        <v>1961600.98</v>
      </c>
      <c r="N411" s="388"/>
      <c r="O411" s="473">
        <v>5448.62</v>
      </c>
      <c r="P411" s="388"/>
      <c r="Q411" s="388"/>
      <c r="R411" s="446">
        <f>M411/G411</f>
        <v>3009.051971161221</v>
      </c>
      <c r="S411" s="388">
        <f t="shared" si="39"/>
        <v>1.1186784831807017E-10</v>
      </c>
      <c r="T411" s="398"/>
      <c r="U411" s="391"/>
      <c r="V411" s="388"/>
      <c r="W411" s="387"/>
      <c r="Z411" s="419"/>
    </row>
    <row r="412" spans="1:36" s="416" customFormat="1" ht="54.75" hidden="1" customHeight="1">
      <c r="A412" s="404">
        <f t="shared" si="42"/>
        <v>327</v>
      </c>
      <c r="B412" s="403" t="s">
        <v>770</v>
      </c>
      <c r="C412" s="531" t="s">
        <v>272</v>
      </c>
      <c r="D412" s="532">
        <v>12063</v>
      </c>
      <c r="E412" s="391">
        <v>552</v>
      </c>
      <c r="F412" s="388" t="s">
        <v>371</v>
      </c>
      <c r="G412" s="391">
        <v>973</v>
      </c>
      <c r="H412" s="446">
        <v>5</v>
      </c>
      <c r="I412" s="446">
        <v>4</v>
      </c>
      <c r="J412" s="528">
        <v>72</v>
      </c>
      <c r="K412" s="397" t="s">
        <v>30</v>
      </c>
      <c r="L412" s="529">
        <f t="shared" si="41"/>
        <v>1947858.29</v>
      </c>
      <c r="M412" s="519">
        <v>1942055.45</v>
      </c>
      <c r="N412" s="388"/>
      <c r="O412" s="473">
        <v>5802.84</v>
      </c>
      <c r="P412" s="388"/>
      <c r="Q412" s="388"/>
      <c r="R412" s="446">
        <f>M412/J412</f>
        <v>26972.992361111112</v>
      </c>
      <c r="S412" s="388">
        <f t="shared" si="39"/>
        <v>8.3673512563109398E-11</v>
      </c>
      <c r="T412" s="398"/>
      <c r="U412" s="391"/>
      <c r="V412" s="388"/>
      <c r="W412" s="387"/>
      <c r="Z412" s="419"/>
    </row>
    <row r="413" spans="1:36" s="414" customFormat="1" ht="43.9" hidden="1" customHeight="1">
      <c r="A413" s="404">
        <f t="shared" si="42"/>
        <v>328</v>
      </c>
      <c r="B413" s="403" t="s">
        <v>771</v>
      </c>
      <c r="C413" s="544" t="s">
        <v>272</v>
      </c>
      <c r="D413" s="446">
        <v>13480</v>
      </c>
      <c r="E413" s="388">
        <v>960</v>
      </c>
      <c r="F413" s="388" t="s">
        <v>223</v>
      </c>
      <c r="G413" s="388">
        <v>1160</v>
      </c>
      <c r="H413" s="446"/>
      <c r="I413" s="446"/>
      <c r="J413" s="446"/>
      <c r="K413" s="458" t="s">
        <v>33</v>
      </c>
      <c r="L413" s="529">
        <f t="shared" si="41"/>
        <v>3788213.83</v>
      </c>
      <c r="M413" s="519">
        <v>3741578.83</v>
      </c>
      <c r="N413" s="394"/>
      <c r="O413" s="530">
        <v>6635</v>
      </c>
      <c r="P413" s="394"/>
      <c r="Q413" s="388">
        <v>40000</v>
      </c>
      <c r="R413" s="446" t="e">
        <f>M413/#REF!</f>
        <v>#REF!</v>
      </c>
      <c r="S413" s="388">
        <f t="shared" si="39"/>
        <v>0</v>
      </c>
      <c r="T413" s="389" t="s">
        <v>3600</v>
      </c>
      <c r="U413" s="391"/>
      <c r="V413" s="388"/>
      <c r="W413" s="387"/>
      <c r="Z413" s="419"/>
    </row>
    <row r="414" spans="1:36" s="977" customFormat="1" ht="54.75" hidden="1" customHeight="1">
      <c r="A414" s="404">
        <f t="shared" si="42"/>
        <v>329</v>
      </c>
      <c r="B414" s="590" t="s">
        <v>772</v>
      </c>
      <c r="C414" s="455" t="s">
        <v>240</v>
      </c>
      <c r="D414" s="531">
        <v>4176</v>
      </c>
      <c r="E414" s="388">
        <v>757</v>
      </c>
      <c r="F414" s="388" t="s">
        <v>223</v>
      </c>
      <c r="G414" s="388">
        <v>837</v>
      </c>
      <c r="H414" s="446">
        <v>2</v>
      </c>
      <c r="I414" s="446">
        <v>2</v>
      </c>
      <c r="J414" s="446">
        <v>12</v>
      </c>
      <c r="K414" s="397" t="s">
        <v>30</v>
      </c>
      <c r="L414" s="529">
        <f t="shared" si="41"/>
        <v>201742.17</v>
      </c>
      <c r="M414" s="519">
        <v>200846.67</v>
      </c>
      <c r="N414" s="388"/>
      <c r="O414" s="562">
        <v>895.5</v>
      </c>
      <c r="P414" s="558"/>
      <c r="Q414" s="560"/>
      <c r="R414" s="446">
        <f>M414/J414</f>
        <v>16737.2225</v>
      </c>
      <c r="S414" s="388">
        <f t="shared" si="39"/>
        <v>0</v>
      </c>
      <c r="T414" s="389"/>
      <c r="U414" s="391"/>
      <c r="V414" s="388"/>
      <c r="W414" s="387"/>
      <c r="X414" s="404"/>
      <c r="Z414" s="419"/>
      <c r="AA414" s="390"/>
      <c r="AB414" s="404"/>
      <c r="AC414" s="390"/>
      <c r="AD414" s="390"/>
      <c r="AE414" s="981"/>
      <c r="AG414" s="455"/>
      <c r="AH414" s="390"/>
      <c r="AI414" s="404"/>
      <c r="AJ414" s="390"/>
    </row>
    <row r="415" spans="1:36" s="977" customFormat="1" ht="43.15" hidden="1" customHeight="1">
      <c r="A415" s="404">
        <f>A414+1</f>
        <v>330</v>
      </c>
      <c r="B415" s="403" t="s">
        <v>773</v>
      </c>
      <c r="C415" s="455" t="s">
        <v>218</v>
      </c>
      <c r="D415" s="532">
        <v>11458</v>
      </c>
      <c r="E415" s="391">
        <v>3010</v>
      </c>
      <c r="F415" s="542" t="s">
        <v>234</v>
      </c>
      <c r="G415" s="535">
        <v>1248.5</v>
      </c>
      <c r="H415" s="536">
        <v>12</v>
      </c>
      <c r="I415" s="536">
        <v>1</v>
      </c>
      <c r="J415" s="536">
        <v>65</v>
      </c>
      <c r="K415" s="458" t="s">
        <v>33</v>
      </c>
      <c r="L415" s="529">
        <f t="shared" si="41"/>
        <v>672048.46</v>
      </c>
      <c r="M415" s="538">
        <v>664222.24</v>
      </c>
      <c r="N415" s="539"/>
      <c r="O415" s="540">
        <v>7826.22</v>
      </c>
      <c r="P415" s="388"/>
      <c r="Q415" s="541"/>
      <c r="R415" s="446">
        <f>M415/G415</f>
        <v>532.01621145374452</v>
      </c>
      <c r="S415" s="388">
        <f t="shared" si="39"/>
        <v>-2.8194335754960775E-11</v>
      </c>
      <c r="T415" s="389"/>
      <c r="U415" s="391"/>
      <c r="V415" s="539"/>
      <c r="W415" s="387"/>
      <c r="X415" s="404"/>
      <c r="Z415" s="419"/>
      <c r="AA415" s="390"/>
      <c r="AB415" s="404"/>
      <c r="AC415" s="390"/>
      <c r="AD415" s="390"/>
      <c r="AE415" s="981"/>
      <c r="AG415" s="455"/>
      <c r="AH415" s="388"/>
      <c r="AI415" s="404"/>
      <c r="AJ415" s="390"/>
    </row>
    <row r="416" spans="1:36" s="416" customFormat="1" ht="46.9" hidden="1" customHeight="1">
      <c r="A416" s="404">
        <f t="shared" ref="A416:A423" si="43">A415+1</f>
        <v>331</v>
      </c>
      <c r="B416" s="403" t="s">
        <v>774</v>
      </c>
      <c r="C416" s="531" t="s">
        <v>272</v>
      </c>
      <c r="D416" s="561">
        <v>73370</v>
      </c>
      <c r="E416" s="565">
        <v>7128</v>
      </c>
      <c r="F416" s="533" t="s">
        <v>234</v>
      </c>
      <c r="G416" s="565">
        <v>2808</v>
      </c>
      <c r="H416" s="549">
        <v>9</v>
      </c>
      <c r="I416" s="446">
        <v>6</v>
      </c>
      <c r="J416" s="561">
        <v>285</v>
      </c>
      <c r="K416" s="537" t="s">
        <v>225</v>
      </c>
      <c r="L416" s="529">
        <f t="shared" si="41"/>
        <v>5974707.4999999991</v>
      </c>
      <c r="M416" s="519">
        <v>5939742.4999999991</v>
      </c>
      <c r="N416" s="388">
        <v>34965</v>
      </c>
      <c r="O416" s="473"/>
      <c r="P416" s="388"/>
      <c r="Q416" s="388"/>
      <c r="R416" s="446">
        <f>M416/J416</f>
        <v>20841.201754385962</v>
      </c>
      <c r="S416" s="388">
        <f t="shared" ref="S416:S449" si="44">L416-M416-N416-O416-P416-Q416</f>
        <v>0</v>
      </c>
      <c r="T416" s="398"/>
      <c r="U416" s="391"/>
      <c r="V416" s="388"/>
      <c r="W416" s="387"/>
      <c r="Z416" s="419"/>
    </row>
    <row r="417" spans="1:31" ht="54.75" hidden="1" customHeight="1">
      <c r="A417" s="404">
        <f t="shared" si="43"/>
        <v>332</v>
      </c>
      <c r="B417" s="403" t="s">
        <v>775</v>
      </c>
      <c r="C417" s="531" t="s">
        <v>272</v>
      </c>
      <c r="D417" s="566">
        <v>12483</v>
      </c>
      <c r="E417" s="388">
        <v>2200</v>
      </c>
      <c r="F417" s="388" t="s">
        <v>223</v>
      </c>
      <c r="G417" s="564">
        <f>1148-18</f>
        <v>1130</v>
      </c>
      <c r="H417" s="446">
        <v>5</v>
      </c>
      <c r="I417" s="446">
        <v>4</v>
      </c>
      <c r="J417" s="446">
        <v>80</v>
      </c>
      <c r="K417" s="397" t="s">
        <v>30</v>
      </c>
      <c r="L417" s="529">
        <f t="shared" si="41"/>
        <v>1766066.83</v>
      </c>
      <c r="M417" s="519">
        <v>1759619.23</v>
      </c>
      <c r="N417" s="388"/>
      <c r="O417" s="473">
        <v>6447.6</v>
      </c>
      <c r="P417" s="388"/>
      <c r="Q417" s="388"/>
      <c r="R417" s="446">
        <f>M417/J417</f>
        <v>21995.240375000001</v>
      </c>
      <c r="S417" s="388">
        <f t="shared" si="44"/>
        <v>9.276845958083868E-11</v>
      </c>
      <c r="T417" s="389"/>
      <c r="U417" s="391"/>
      <c r="V417" s="388"/>
      <c r="W417" s="387"/>
      <c r="Z417" s="419"/>
    </row>
    <row r="418" spans="1:31" s="416" customFormat="1" ht="54.75" hidden="1" customHeight="1">
      <c r="A418" s="404">
        <f t="shared" si="43"/>
        <v>333</v>
      </c>
      <c r="B418" s="403" t="s">
        <v>776</v>
      </c>
      <c r="C418" s="455" t="s">
        <v>240</v>
      </c>
      <c r="D418" s="566">
        <v>3641</v>
      </c>
      <c r="E418" s="388">
        <v>890</v>
      </c>
      <c r="F418" s="388" t="s">
        <v>223</v>
      </c>
      <c r="G418" s="388">
        <v>585</v>
      </c>
      <c r="H418" s="446">
        <v>2</v>
      </c>
      <c r="I418" s="446">
        <v>4</v>
      </c>
      <c r="J418" s="446">
        <v>16</v>
      </c>
      <c r="K418" s="397" t="s">
        <v>30</v>
      </c>
      <c r="L418" s="529">
        <f t="shared" si="41"/>
        <v>579153.56999999995</v>
      </c>
      <c r="M418" s="519">
        <v>577959.56999999995</v>
      </c>
      <c r="N418" s="388"/>
      <c r="O418" s="473">
        <v>1194</v>
      </c>
      <c r="P418" s="388"/>
      <c r="Q418" s="388"/>
      <c r="R418" s="446">
        <f>M418/J418</f>
        <v>36122.473124999997</v>
      </c>
      <c r="S418" s="388">
        <f t="shared" si="44"/>
        <v>0</v>
      </c>
      <c r="T418" s="398"/>
      <c r="U418" s="391"/>
      <c r="V418" s="388"/>
      <c r="W418" s="387"/>
      <c r="Z418" s="419"/>
    </row>
    <row r="419" spans="1:31" s="416" customFormat="1" ht="46.9" hidden="1" customHeight="1">
      <c r="A419" s="404">
        <f>A418+1</f>
        <v>334</v>
      </c>
      <c r="B419" s="403" t="s">
        <v>777</v>
      </c>
      <c r="C419" s="455" t="s">
        <v>218</v>
      </c>
      <c r="D419" s="566">
        <v>14386</v>
      </c>
      <c r="E419" s="608">
        <v>1700</v>
      </c>
      <c r="F419" s="609" t="s">
        <v>223</v>
      </c>
      <c r="G419" s="609">
        <v>1140</v>
      </c>
      <c r="H419" s="610">
        <v>5</v>
      </c>
      <c r="I419" s="610">
        <v>4</v>
      </c>
      <c r="J419" s="610">
        <v>80</v>
      </c>
      <c r="K419" s="458" t="s">
        <v>33</v>
      </c>
      <c r="L419" s="529">
        <f t="shared" si="41"/>
        <v>3329216.2</v>
      </c>
      <c r="M419" s="551">
        <v>3317306.0500000003</v>
      </c>
      <c r="N419" s="388"/>
      <c r="O419" s="473">
        <v>11910.15</v>
      </c>
      <c r="P419" s="388"/>
      <c r="Q419" s="388"/>
      <c r="R419" s="446">
        <f>M419/G419</f>
        <v>2909.9175877192984</v>
      </c>
      <c r="S419" s="388">
        <f t="shared" si="44"/>
        <v>-9.276845958083868E-11</v>
      </c>
      <c r="T419" s="398"/>
      <c r="U419" s="391"/>
      <c r="V419" s="550"/>
      <c r="W419" s="387"/>
      <c r="Z419" s="419"/>
    </row>
    <row r="420" spans="1:31" s="416" customFormat="1" ht="46.9" hidden="1" customHeight="1">
      <c r="A420" s="404">
        <f t="shared" si="43"/>
        <v>335</v>
      </c>
      <c r="B420" s="543" t="s">
        <v>778</v>
      </c>
      <c r="C420" s="544" t="s">
        <v>272</v>
      </c>
      <c r="D420" s="487">
        <v>9853</v>
      </c>
      <c r="E420" s="388">
        <v>2018</v>
      </c>
      <c r="F420" s="388" t="s">
        <v>234</v>
      </c>
      <c r="G420" s="391">
        <v>508</v>
      </c>
      <c r="H420" s="528">
        <v>9</v>
      </c>
      <c r="I420" s="528">
        <v>1</v>
      </c>
      <c r="J420" s="528">
        <v>52</v>
      </c>
      <c r="K420" s="504" t="s">
        <v>33</v>
      </c>
      <c r="L420" s="529">
        <f t="shared" si="41"/>
        <v>843709.49</v>
      </c>
      <c r="M420" s="519">
        <v>840525.09</v>
      </c>
      <c r="N420" s="388"/>
      <c r="O420" s="530">
        <v>3184.4</v>
      </c>
      <c r="P420" s="388"/>
      <c r="Q420" s="388"/>
      <c r="R420" s="446">
        <f>M420/G420</f>
        <v>1654.5769488188976</v>
      </c>
      <c r="S420" s="388">
        <f t="shared" si="44"/>
        <v>2.319211489520967E-11</v>
      </c>
      <c r="T420" s="398"/>
      <c r="U420" s="391"/>
      <c r="V420" s="388"/>
      <c r="W420" s="387"/>
      <c r="Z420" s="419"/>
    </row>
    <row r="421" spans="1:31" s="416" customFormat="1" ht="54.75" hidden="1" customHeight="1">
      <c r="A421" s="404">
        <f t="shared" si="43"/>
        <v>336</v>
      </c>
      <c r="B421" s="543" t="s">
        <v>779</v>
      </c>
      <c r="C421" s="544" t="s">
        <v>272</v>
      </c>
      <c r="D421" s="487">
        <v>9880</v>
      </c>
      <c r="E421" s="388">
        <v>2018</v>
      </c>
      <c r="F421" s="388" t="s">
        <v>234</v>
      </c>
      <c r="G421" s="391">
        <v>508</v>
      </c>
      <c r="H421" s="528">
        <v>9</v>
      </c>
      <c r="I421" s="528">
        <v>1</v>
      </c>
      <c r="J421" s="528">
        <v>52</v>
      </c>
      <c r="K421" s="537" t="s">
        <v>30</v>
      </c>
      <c r="L421" s="529">
        <f t="shared" si="41"/>
        <v>1148539.9300000002</v>
      </c>
      <c r="M421" s="519">
        <v>1143572.8900000001</v>
      </c>
      <c r="N421" s="388"/>
      <c r="O421" s="530">
        <v>4967.04</v>
      </c>
      <c r="P421" s="388"/>
      <c r="Q421" s="388"/>
      <c r="R421" s="446">
        <f>M421/J421</f>
        <v>21991.786346153847</v>
      </c>
      <c r="S421" s="388">
        <f t="shared" si="44"/>
        <v>3.7289282772690058E-11</v>
      </c>
      <c r="T421" s="398"/>
      <c r="U421" s="391"/>
      <c r="V421" s="388"/>
      <c r="W421" s="387"/>
      <c r="Z421" s="419"/>
    </row>
    <row r="422" spans="1:31" s="404" customFormat="1" ht="39" hidden="1" customHeight="1">
      <c r="A422" s="404">
        <f t="shared" si="43"/>
        <v>337</v>
      </c>
      <c r="B422" s="403" t="s">
        <v>780</v>
      </c>
      <c r="C422" s="531" t="s">
        <v>272</v>
      </c>
      <c r="D422" s="446">
        <v>4812</v>
      </c>
      <c r="E422" s="388">
        <v>432</v>
      </c>
      <c r="F422" s="539" t="s">
        <v>231</v>
      </c>
      <c r="G422" s="388">
        <v>579.29999999999995</v>
      </c>
      <c r="H422" s="549"/>
      <c r="I422" s="446"/>
      <c r="J422" s="446"/>
      <c r="K422" s="537" t="s">
        <v>225</v>
      </c>
      <c r="L422" s="529">
        <f t="shared" si="41"/>
        <v>306674</v>
      </c>
      <c r="M422" s="519">
        <v>271709</v>
      </c>
      <c r="N422" s="388">
        <v>34965</v>
      </c>
      <c r="O422" s="473"/>
      <c r="P422" s="388"/>
      <c r="Q422" s="388"/>
      <c r="R422" s="446" t="e">
        <f>M422/#REF!</f>
        <v>#REF!</v>
      </c>
      <c r="S422" s="388">
        <f t="shared" si="44"/>
        <v>0</v>
      </c>
      <c r="T422" s="389"/>
      <c r="U422" s="391"/>
      <c r="V422" s="388"/>
      <c r="W422" s="387"/>
      <c r="Z422" s="419"/>
      <c r="AB422" s="455"/>
      <c r="AC422" s="388"/>
      <c r="AE422" s="390"/>
    </row>
    <row r="423" spans="1:31" s="414" customFormat="1" ht="25.5" hidden="1" customHeight="1">
      <c r="A423" s="404">
        <f t="shared" si="43"/>
        <v>338</v>
      </c>
      <c r="B423" s="403" t="s">
        <v>781</v>
      </c>
      <c r="C423" s="455" t="s">
        <v>222</v>
      </c>
      <c r="D423" s="487">
        <v>15919</v>
      </c>
      <c r="E423" s="391">
        <v>2210</v>
      </c>
      <c r="F423" s="391" t="s">
        <v>231</v>
      </c>
      <c r="G423" s="391">
        <v>1667.6</v>
      </c>
      <c r="H423" s="528">
        <v>4</v>
      </c>
      <c r="I423" s="528">
        <v>5</v>
      </c>
      <c r="J423" s="528">
        <v>42</v>
      </c>
      <c r="K423" s="458" t="s">
        <v>33</v>
      </c>
      <c r="L423" s="1173">
        <f>M423+N423+O423+P423+Q423+M424+N424+O424+P424+Q424</f>
        <v>8452798.3499999996</v>
      </c>
      <c r="M423" s="529">
        <v>6210604.54</v>
      </c>
      <c r="N423" s="391"/>
      <c r="O423" s="473">
        <v>15928.92</v>
      </c>
      <c r="P423" s="391"/>
      <c r="Q423" s="391"/>
      <c r="R423" s="446">
        <f>M423/G423</f>
        <v>3724.2771288078679</v>
      </c>
      <c r="S423" s="388">
        <f t="shared" si="44"/>
        <v>2226264.8899999997</v>
      </c>
      <c r="T423" s="389"/>
      <c r="U423" s="391"/>
      <c r="V423" s="391"/>
      <c r="W423" s="387"/>
      <c r="Z423" s="419"/>
    </row>
    <row r="424" spans="1:31" s="414" customFormat="1" ht="43.9" hidden="1" customHeight="1">
      <c r="A424" s="404"/>
      <c r="B424" s="403"/>
      <c r="C424" s="455"/>
      <c r="D424" s="487"/>
      <c r="E424" s="391"/>
      <c r="F424" s="391"/>
      <c r="G424" s="391"/>
      <c r="H424" s="528"/>
      <c r="I424" s="528"/>
      <c r="J424" s="528"/>
      <c r="K424" s="458" t="s">
        <v>38</v>
      </c>
      <c r="L424" s="1173"/>
      <c r="M424" s="529">
        <v>2213730.87</v>
      </c>
      <c r="N424" s="391"/>
      <c r="O424" s="473">
        <v>12534.02</v>
      </c>
      <c r="P424" s="391"/>
      <c r="Q424" s="391"/>
      <c r="R424" s="446">
        <f>M424/E423</f>
        <v>1001.6881764705882</v>
      </c>
      <c r="S424" s="388">
        <f t="shared" si="44"/>
        <v>-2226264.89</v>
      </c>
      <c r="T424" s="389"/>
      <c r="U424" s="391"/>
      <c r="V424" s="391"/>
      <c r="W424" s="387"/>
      <c r="Z424" s="419"/>
    </row>
    <row r="425" spans="1:31" s="416" customFormat="1" ht="46.9" hidden="1" customHeight="1">
      <c r="A425" s="404">
        <f>A423+1</f>
        <v>339</v>
      </c>
      <c r="B425" s="403" t="s">
        <v>782</v>
      </c>
      <c r="C425" s="455" t="s">
        <v>272</v>
      </c>
      <c r="D425" s="446">
        <v>20379</v>
      </c>
      <c r="E425" s="388">
        <v>2900</v>
      </c>
      <c r="F425" s="388" t="s">
        <v>234</v>
      </c>
      <c r="G425" s="388">
        <v>896</v>
      </c>
      <c r="H425" s="446">
        <v>9</v>
      </c>
      <c r="I425" s="446">
        <v>2</v>
      </c>
      <c r="J425" s="446">
        <v>108</v>
      </c>
      <c r="K425" s="397" t="s">
        <v>33</v>
      </c>
      <c r="L425" s="529">
        <f>M425+N425+O425+P425+Q425</f>
        <v>1663448.26</v>
      </c>
      <c r="M425" s="547">
        <v>1653776.86</v>
      </c>
      <c r="N425" s="388"/>
      <c r="O425" s="473">
        <v>9671.4</v>
      </c>
      <c r="P425" s="388"/>
      <c r="Q425" s="388"/>
      <c r="R425" s="446">
        <f>M425/G425</f>
        <v>1845.7331026785716</v>
      </c>
      <c r="S425" s="388">
        <f t="shared" si="44"/>
        <v>-9.276845958083868E-11</v>
      </c>
      <c r="T425" s="398"/>
      <c r="U425" s="391"/>
      <c r="V425" s="388"/>
      <c r="W425" s="387"/>
      <c r="Z425" s="419"/>
    </row>
    <row r="426" spans="1:31" s="416" customFormat="1" ht="46.9" hidden="1" customHeight="1">
      <c r="A426" s="404">
        <f t="shared" ref="A426:A436" si="45">A425+1</f>
        <v>340</v>
      </c>
      <c r="B426" s="403" t="s">
        <v>783</v>
      </c>
      <c r="C426" s="531" t="s">
        <v>218</v>
      </c>
      <c r="D426" s="382">
        <v>31774</v>
      </c>
      <c r="E426" s="383">
        <v>5560</v>
      </c>
      <c r="F426" s="383" t="s">
        <v>234</v>
      </c>
      <c r="G426" s="383">
        <v>1381</v>
      </c>
      <c r="H426" s="446">
        <v>9</v>
      </c>
      <c r="I426" s="446">
        <v>4</v>
      </c>
      <c r="J426" s="382">
        <v>144</v>
      </c>
      <c r="K426" s="397" t="s">
        <v>364</v>
      </c>
      <c r="L426" s="529">
        <f>M426+N426+O426+P426+Q426</f>
        <v>4036647.23</v>
      </c>
      <c r="M426" s="388">
        <v>3930928.48</v>
      </c>
      <c r="N426" s="388">
        <v>105718.75</v>
      </c>
      <c r="O426" s="385"/>
      <c r="P426" s="383"/>
      <c r="Q426" s="388"/>
      <c r="R426" s="446">
        <v>2000000</v>
      </c>
      <c r="S426" s="388">
        <f t="shared" si="44"/>
        <v>0</v>
      </c>
      <c r="T426" s="398"/>
      <c r="U426" s="391"/>
      <c r="V426" s="388"/>
      <c r="W426" s="387"/>
      <c r="Z426" s="419"/>
    </row>
    <row r="427" spans="1:31" s="416" customFormat="1" ht="46.9" hidden="1" customHeight="1">
      <c r="A427" s="404">
        <f t="shared" si="45"/>
        <v>341</v>
      </c>
      <c r="B427" s="403" t="s">
        <v>784</v>
      </c>
      <c r="C427" s="455" t="s">
        <v>218</v>
      </c>
      <c r="D427" s="532">
        <v>12593</v>
      </c>
      <c r="E427" s="391">
        <v>2547.6999999999998</v>
      </c>
      <c r="F427" s="539" t="s">
        <v>234</v>
      </c>
      <c r="G427" s="535">
        <v>412</v>
      </c>
      <c r="H427" s="536">
        <v>12</v>
      </c>
      <c r="I427" s="536">
        <v>1</v>
      </c>
      <c r="J427" s="536">
        <v>48</v>
      </c>
      <c r="K427" s="458" t="s">
        <v>364</v>
      </c>
      <c r="L427" s="529">
        <f>M427+N427+O427+P427+Q427</f>
        <v>4593486.49</v>
      </c>
      <c r="M427" s="538">
        <v>4487767.74</v>
      </c>
      <c r="N427" s="539">
        <v>105718.75</v>
      </c>
      <c r="O427" s="540"/>
      <c r="P427" s="388"/>
      <c r="Q427" s="541"/>
      <c r="R427" s="446">
        <v>2200000</v>
      </c>
      <c r="S427" s="388">
        <f t="shared" si="44"/>
        <v>0</v>
      </c>
      <c r="T427" s="398"/>
      <c r="U427" s="391"/>
      <c r="V427" s="539"/>
      <c r="W427" s="387"/>
      <c r="Z427" s="419"/>
    </row>
    <row r="428" spans="1:31" s="416" customFormat="1" ht="46.9" hidden="1" customHeight="1">
      <c r="A428" s="404">
        <f t="shared" si="45"/>
        <v>342</v>
      </c>
      <c r="B428" s="403" t="s">
        <v>785</v>
      </c>
      <c r="C428" s="544" t="s">
        <v>218</v>
      </c>
      <c r="D428" s="545">
        <v>16094</v>
      </c>
      <c r="E428" s="391">
        <v>3142</v>
      </c>
      <c r="F428" s="391" t="s">
        <v>234</v>
      </c>
      <c r="G428" s="391">
        <v>686</v>
      </c>
      <c r="H428" s="446">
        <v>9</v>
      </c>
      <c r="I428" s="528">
        <v>2</v>
      </c>
      <c r="J428" s="528">
        <v>72</v>
      </c>
      <c r="K428" s="458" t="s">
        <v>33</v>
      </c>
      <c r="L428" s="529">
        <f>M428+N428+O428+P428+Q428</f>
        <v>1173424.0299999998</v>
      </c>
      <c r="M428" s="529">
        <v>1169123.8399999999</v>
      </c>
      <c r="N428" s="388"/>
      <c r="O428" s="530">
        <v>4300.1899999999996</v>
      </c>
      <c r="P428" s="391"/>
      <c r="Q428" s="391"/>
      <c r="R428" s="446">
        <f>M428/G428</f>
        <v>1704.2621574344021</v>
      </c>
      <c r="S428" s="388">
        <f t="shared" si="44"/>
        <v>-5.5479176808148623E-11</v>
      </c>
      <c r="T428" s="398"/>
      <c r="U428" s="391"/>
      <c r="V428" s="391"/>
      <c r="W428" s="387"/>
      <c r="Z428" s="419"/>
    </row>
    <row r="429" spans="1:31" s="977" customFormat="1" ht="54.75" hidden="1" customHeight="1">
      <c r="A429" s="1113">
        <f t="shared" si="45"/>
        <v>343</v>
      </c>
      <c r="B429" s="427" t="s">
        <v>786</v>
      </c>
      <c r="C429" s="1154" t="s">
        <v>272</v>
      </c>
      <c r="D429" s="1148">
        <v>21022</v>
      </c>
      <c r="E429" s="1121">
        <v>2133</v>
      </c>
      <c r="F429" s="1121" t="s">
        <v>234</v>
      </c>
      <c r="G429" s="1121">
        <v>856.5</v>
      </c>
      <c r="H429" s="1148">
        <v>9</v>
      </c>
      <c r="I429" s="1148">
        <v>1</v>
      </c>
      <c r="J429" s="1148">
        <v>119</v>
      </c>
      <c r="K429" s="397" t="s">
        <v>30</v>
      </c>
      <c r="L429" s="1128">
        <f>M429+N429+O429+P429+Q429+M430+N430+O430+P430+Q430</f>
        <v>6238064.4299999997</v>
      </c>
      <c r="M429" s="551">
        <v>3704804.86</v>
      </c>
      <c r="N429" s="388"/>
      <c r="O429" s="473">
        <v>11366.88</v>
      </c>
      <c r="P429" s="388"/>
      <c r="Q429" s="388"/>
      <c r="R429" s="446">
        <f>M429/J429</f>
        <v>31132.813949579831</v>
      </c>
      <c r="S429" s="388">
        <f t="shared" si="44"/>
        <v>2521892.69</v>
      </c>
      <c r="T429" s="389"/>
      <c r="U429" s="391"/>
      <c r="V429" s="550"/>
      <c r="W429" s="387"/>
      <c r="X429" s="390"/>
      <c r="Z429" s="419"/>
      <c r="AA429" s="388"/>
      <c r="AB429" s="404"/>
      <c r="AC429" s="390"/>
    </row>
    <row r="430" spans="1:31" s="977" customFormat="1" ht="39" hidden="1" customHeight="1">
      <c r="A430" s="1113"/>
      <c r="B430" s="427"/>
      <c r="C430" s="1154"/>
      <c r="D430" s="1148"/>
      <c r="E430" s="1121"/>
      <c r="F430" s="1121"/>
      <c r="G430" s="1121"/>
      <c r="H430" s="1148"/>
      <c r="I430" s="1148"/>
      <c r="J430" s="1148"/>
      <c r="K430" s="537" t="s">
        <v>225</v>
      </c>
      <c r="L430" s="1128"/>
      <c r="M430" s="551">
        <v>2476937.69</v>
      </c>
      <c r="N430" s="388">
        <v>44955</v>
      </c>
      <c r="O430" s="473"/>
      <c r="P430" s="388"/>
      <c r="Q430" s="388"/>
      <c r="R430" s="446">
        <f>M430/J429</f>
        <v>20814.60243697479</v>
      </c>
      <c r="S430" s="388">
        <f t="shared" si="44"/>
        <v>-2521892.69</v>
      </c>
      <c r="T430" s="389"/>
      <c r="U430" s="391"/>
      <c r="V430" s="550"/>
      <c r="W430" s="387"/>
      <c r="X430" s="390"/>
      <c r="Z430" s="419"/>
      <c r="AA430" s="388"/>
      <c r="AB430" s="404"/>
      <c r="AC430" s="390"/>
    </row>
    <row r="431" spans="1:31" ht="43.9" hidden="1" customHeight="1">
      <c r="A431" s="404">
        <f>A429+1</f>
        <v>344</v>
      </c>
      <c r="B431" s="427" t="s">
        <v>787</v>
      </c>
      <c r="C431" s="617" t="s">
        <v>272</v>
      </c>
      <c r="D431" s="446">
        <v>25160</v>
      </c>
      <c r="E431" s="388">
        <v>1835.6</v>
      </c>
      <c r="F431" s="388" t="s">
        <v>234</v>
      </c>
      <c r="G431" s="388">
        <v>895.5</v>
      </c>
      <c r="H431" s="446">
        <v>9</v>
      </c>
      <c r="I431" s="446">
        <v>1</v>
      </c>
      <c r="J431" s="446">
        <v>97</v>
      </c>
      <c r="K431" s="397" t="s">
        <v>33</v>
      </c>
      <c r="L431" s="529">
        <f t="shared" ref="L431:L436" si="46">M431+N431+O431+P431+Q431</f>
        <v>1565242.4</v>
      </c>
      <c r="M431" s="551">
        <v>1559628.96</v>
      </c>
      <c r="N431" s="388"/>
      <c r="O431" s="473">
        <v>5613.44</v>
      </c>
      <c r="P431" s="388"/>
      <c r="Q431" s="388"/>
      <c r="R431" s="446">
        <f>M431/G431</f>
        <v>1741.6292127303182</v>
      </c>
      <c r="S431" s="388">
        <f t="shared" si="44"/>
        <v>-5.5479176808148623E-11</v>
      </c>
      <c r="T431" s="389"/>
      <c r="U431" s="391"/>
      <c r="V431" s="550"/>
      <c r="W431" s="387"/>
      <c r="Z431" s="419"/>
    </row>
    <row r="432" spans="1:31" s="416" customFormat="1" ht="46.9" hidden="1" customHeight="1">
      <c r="A432" s="404">
        <f t="shared" si="45"/>
        <v>345</v>
      </c>
      <c r="B432" s="403" t="s">
        <v>788</v>
      </c>
      <c r="C432" s="455" t="s">
        <v>218</v>
      </c>
      <c r="D432" s="532">
        <v>15776</v>
      </c>
      <c r="E432" s="391">
        <v>2978.6</v>
      </c>
      <c r="F432" s="539" t="s">
        <v>234</v>
      </c>
      <c r="G432" s="535">
        <v>683</v>
      </c>
      <c r="H432" s="536">
        <v>9</v>
      </c>
      <c r="I432" s="536">
        <v>2</v>
      </c>
      <c r="J432" s="536">
        <v>72</v>
      </c>
      <c r="K432" s="458" t="s">
        <v>364</v>
      </c>
      <c r="L432" s="529">
        <f t="shared" si="46"/>
        <v>4043127.2800000003</v>
      </c>
      <c r="M432" s="538">
        <v>3937408.5300000003</v>
      </c>
      <c r="N432" s="539">
        <v>105718.75</v>
      </c>
      <c r="O432" s="540"/>
      <c r="P432" s="388"/>
      <c r="Q432" s="541"/>
      <c r="R432" s="446">
        <v>2000000</v>
      </c>
      <c r="S432" s="388">
        <f t="shared" si="44"/>
        <v>0</v>
      </c>
      <c r="T432" s="398"/>
      <c r="U432" s="391"/>
      <c r="V432" s="539"/>
      <c r="W432" s="387"/>
      <c r="Z432" s="419"/>
    </row>
    <row r="433" spans="1:26" s="416" customFormat="1" ht="46.9" hidden="1" customHeight="1">
      <c r="A433" s="404">
        <f t="shared" si="45"/>
        <v>346</v>
      </c>
      <c r="B433" s="427" t="s">
        <v>789</v>
      </c>
      <c r="C433" s="531" t="s">
        <v>218</v>
      </c>
      <c r="D433" s="382">
        <v>32576</v>
      </c>
      <c r="E433" s="388">
        <v>5393.6</v>
      </c>
      <c r="F433" s="383" t="s">
        <v>234</v>
      </c>
      <c r="G433" s="383">
        <v>1397</v>
      </c>
      <c r="H433" s="446">
        <v>9</v>
      </c>
      <c r="I433" s="446">
        <v>4</v>
      </c>
      <c r="J433" s="382">
        <v>144</v>
      </c>
      <c r="K433" s="397" t="s">
        <v>364</v>
      </c>
      <c r="L433" s="529">
        <f t="shared" si="46"/>
        <v>8047561.0700000003</v>
      </c>
      <c r="M433" s="519">
        <v>7899554.8200000003</v>
      </c>
      <c r="N433" s="388">
        <v>148006.25</v>
      </c>
      <c r="O433" s="385"/>
      <c r="P433" s="383"/>
      <c r="Q433" s="388"/>
      <c r="R433" s="446">
        <v>2000000</v>
      </c>
      <c r="S433" s="388">
        <f t="shared" si="44"/>
        <v>0</v>
      </c>
      <c r="T433" s="398"/>
      <c r="U433" s="391"/>
      <c r="V433" s="388"/>
      <c r="W433" s="387"/>
      <c r="Z433" s="419"/>
    </row>
    <row r="434" spans="1:26" s="416" customFormat="1" ht="46.9" hidden="1" customHeight="1">
      <c r="A434" s="404">
        <f t="shared" si="45"/>
        <v>347</v>
      </c>
      <c r="B434" s="427" t="s">
        <v>790</v>
      </c>
      <c r="C434" s="455" t="s">
        <v>218</v>
      </c>
      <c r="D434" s="532">
        <v>16400</v>
      </c>
      <c r="E434" s="391">
        <v>3048</v>
      </c>
      <c r="F434" s="539" t="s">
        <v>234</v>
      </c>
      <c r="G434" s="535">
        <v>685</v>
      </c>
      <c r="H434" s="536">
        <v>9</v>
      </c>
      <c r="I434" s="536">
        <v>2</v>
      </c>
      <c r="J434" s="536">
        <v>72</v>
      </c>
      <c r="K434" s="458" t="s">
        <v>364</v>
      </c>
      <c r="L434" s="529">
        <f t="shared" si="46"/>
        <v>4040001.52</v>
      </c>
      <c r="M434" s="538">
        <v>3934282.77</v>
      </c>
      <c r="N434" s="539">
        <v>105718.75</v>
      </c>
      <c r="O434" s="540"/>
      <c r="P434" s="388"/>
      <c r="Q434" s="541"/>
      <c r="R434" s="446">
        <v>2000000</v>
      </c>
      <c r="S434" s="388">
        <f t="shared" si="44"/>
        <v>0</v>
      </c>
      <c r="T434" s="398"/>
      <c r="U434" s="391"/>
      <c r="V434" s="539"/>
      <c r="W434" s="387"/>
      <c r="Z434" s="419"/>
    </row>
    <row r="435" spans="1:26" s="416" customFormat="1" ht="46.9" hidden="1" customHeight="1">
      <c r="A435" s="404">
        <f t="shared" si="45"/>
        <v>348</v>
      </c>
      <c r="B435" s="427" t="s">
        <v>3642</v>
      </c>
      <c r="C435" s="455" t="s">
        <v>218</v>
      </c>
      <c r="D435" s="532">
        <v>30750</v>
      </c>
      <c r="E435" s="391">
        <v>6510</v>
      </c>
      <c r="F435" s="539" t="s">
        <v>234</v>
      </c>
      <c r="G435" s="535">
        <v>1500</v>
      </c>
      <c r="H435" s="536">
        <v>9</v>
      </c>
      <c r="I435" s="536">
        <v>4</v>
      </c>
      <c r="J435" s="536">
        <v>144</v>
      </c>
      <c r="K435" s="458" t="s">
        <v>364</v>
      </c>
      <c r="L435" s="529">
        <f t="shared" si="46"/>
        <v>7969552.6900000004</v>
      </c>
      <c r="M435" s="538">
        <v>7828983.9400000004</v>
      </c>
      <c r="N435" s="539">
        <v>140568.75</v>
      </c>
      <c r="O435" s="540"/>
      <c r="P435" s="388"/>
      <c r="Q435" s="541"/>
      <c r="R435" s="446">
        <v>2000000</v>
      </c>
      <c r="S435" s="388">
        <f t="shared" si="44"/>
        <v>0</v>
      </c>
      <c r="T435" s="398"/>
      <c r="U435" s="391"/>
      <c r="V435" s="539"/>
      <c r="W435" s="387"/>
      <c r="Z435" s="419"/>
    </row>
    <row r="436" spans="1:26" s="416" customFormat="1" ht="46.9" hidden="1" customHeight="1">
      <c r="A436" s="404">
        <f t="shared" si="45"/>
        <v>349</v>
      </c>
      <c r="B436" s="427" t="s">
        <v>3660</v>
      </c>
      <c r="C436" s="455" t="s">
        <v>272</v>
      </c>
      <c r="D436" s="532">
        <v>19172</v>
      </c>
      <c r="E436" s="391">
        <v>2495</v>
      </c>
      <c r="F436" s="539" t="s">
        <v>223</v>
      </c>
      <c r="G436" s="535">
        <v>1028.7</v>
      </c>
      <c r="H436" s="536">
        <v>5</v>
      </c>
      <c r="I436" s="536">
        <v>3</v>
      </c>
      <c r="J436" s="536">
        <v>48</v>
      </c>
      <c r="K436" s="458" t="s">
        <v>225</v>
      </c>
      <c r="L436" s="529">
        <f t="shared" si="46"/>
        <v>799142</v>
      </c>
      <c r="M436" s="538">
        <v>760320</v>
      </c>
      <c r="N436" s="539">
        <v>38822</v>
      </c>
      <c r="O436" s="540"/>
      <c r="P436" s="388"/>
      <c r="Q436" s="541"/>
      <c r="R436" s="446">
        <f>M436/J436</f>
        <v>15840</v>
      </c>
      <c r="S436" s="388">
        <f t="shared" si="44"/>
        <v>0</v>
      </c>
      <c r="T436" s="398"/>
      <c r="U436" s="391"/>
      <c r="V436" s="539"/>
      <c r="W436" s="387"/>
      <c r="Z436" s="419"/>
    </row>
    <row r="437" spans="1:26" s="416" customFormat="1" ht="46.9" hidden="1" customHeight="1">
      <c r="A437" s="1113">
        <f>A436+1</f>
        <v>350</v>
      </c>
      <c r="B437" s="1153" t="s">
        <v>1457</v>
      </c>
      <c r="C437" s="455" t="s">
        <v>218</v>
      </c>
      <c r="D437" s="532">
        <v>12304</v>
      </c>
      <c r="E437" s="391">
        <v>2125</v>
      </c>
      <c r="F437" s="539" t="s">
        <v>223</v>
      </c>
      <c r="G437" s="535">
        <v>1237.5</v>
      </c>
      <c r="H437" s="536">
        <v>5</v>
      </c>
      <c r="I437" s="536">
        <v>4</v>
      </c>
      <c r="J437" s="536">
        <v>80</v>
      </c>
      <c r="K437" s="458" t="s">
        <v>33</v>
      </c>
      <c r="L437" s="1128">
        <f>M437+N437+O437+Q437+N438+O438+Q438+N439+O439+Q439+M438+M439</f>
        <v>4562981.16</v>
      </c>
      <c r="M437" s="538">
        <v>2800719.6</v>
      </c>
      <c r="N437" s="573"/>
      <c r="O437" s="621">
        <v>6503</v>
      </c>
      <c r="P437" s="394"/>
      <c r="Q437" s="620">
        <v>38126</v>
      </c>
      <c r="R437" s="446">
        <f>M437/G437</f>
        <v>2263.2077575757576</v>
      </c>
      <c r="S437" s="388">
        <f t="shared" si="44"/>
        <v>1717632.56</v>
      </c>
      <c r="T437" s="398"/>
      <c r="U437" s="391"/>
      <c r="V437" s="539"/>
      <c r="W437" s="387"/>
      <c r="Z437" s="419"/>
    </row>
    <row r="438" spans="1:26" s="416" customFormat="1" ht="46.9" hidden="1" customHeight="1">
      <c r="A438" s="1113"/>
      <c r="B438" s="1153"/>
      <c r="C438" s="455"/>
      <c r="D438" s="532"/>
      <c r="E438" s="391"/>
      <c r="F438" s="539"/>
      <c r="G438" s="535"/>
      <c r="H438" s="536"/>
      <c r="I438" s="536"/>
      <c r="J438" s="536"/>
      <c r="K438" s="458" t="s">
        <v>225</v>
      </c>
      <c r="L438" s="1128"/>
      <c r="M438" s="538">
        <v>924025.73</v>
      </c>
      <c r="N438" s="573">
        <v>21949</v>
      </c>
      <c r="O438" s="621"/>
      <c r="P438" s="394"/>
      <c r="Q438" s="620">
        <v>20000</v>
      </c>
      <c r="R438" s="446">
        <f>M438/J437</f>
        <v>11550.321625</v>
      </c>
      <c r="S438" s="388">
        <f t="shared" si="44"/>
        <v>-965974.73</v>
      </c>
      <c r="T438" s="398"/>
      <c r="U438" s="391"/>
      <c r="V438" s="539"/>
      <c r="W438" s="387"/>
      <c r="Z438" s="419"/>
    </row>
    <row r="439" spans="1:26" s="416" customFormat="1" ht="46.9" hidden="1" customHeight="1">
      <c r="A439" s="1113"/>
      <c r="B439" s="1153"/>
      <c r="C439" s="455"/>
      <c r="D439" s="532"/>
      <c r="E439" s="391"/>
      <c r="F439" s="539"/>
      <c r="G439" s="535"/>
      <c r="H439" s="536"/>
      <c r="I439" s="536"/>
      <c r="J439" s="536"/>
      <c r="K439" s="458" t="s">
        <v>3610</v>
      </c>
      <c r="L439" s="1128"/>
      <c r="M439" s="538">
        <v>738206.83</v>
      </c>
      <c r="N439" s="573"/>
      <c r="O439" s="621">
        <v>6503</v>
      </c>
      <c r="P439" s="394"/>
      <c r="Q439" s="620">
        <v>6948</v>
      </c>
      <c r="R439" s="446">
        <f>M439/G437</f>
        <v>596.53077171717166</v>
      </c>
      <c r="S439" s="388">
        <f t="shared" si="44"/>
        <v>-751657.83</v>
      </c>
      <c r="T439" s="398"/>
      <c r="U439" s="391"/>
      <c r="V439" s="539"/>
      <c r="W439" s="387"/>
      <c r="Z439" s="419"/>
    </row>
    <row r="440" spans="1:26" s="416" customFormat="1" ht="46.9" hidden="1" customHeight="1">
      <c r="A440" s="404">
        <v>351</v>
      </c>
      <c r="B440" s="427" t="s">
        <v>3656</v>
      </c>
      <c r="C440" s="455" t="s">
        <v>272</v>
      </c>
      <c r="D440" s="532">
        <v>6456</v>
      </c>
      <c r="E440" s="391">
        <v>1204</v>
      </c>
      <c r="F440" s="539" t="s">
        <v>223</v>
      </c>
      <c r="G440" s="535">
        <v>588</v>
      </c>
      <c r="H440" s="536">
        <v>5</v>
      </c>
      <c r="I440" s="536">
        <v>2</v>
      </c>
      <c r="J440" s="536">
        <v>38</v>
      </c>
      <c r="K440" s="458" t="s">
        <v>33</v>
      </c>
      <c r="L440" s="529">
        <f t="shared" ref="L440:L445" si="47">M440+N440+O440+P440+Q440</f>
        <v>1530173.03</v>
      </c>
      <c r="M440" s="538">
        <v>1504324.03</v>
      </c>
      <c r="N440" s="539"/>
      <c r="O440" s="621">
        <v>5849</v>
      </c>
      <c r="P440" s="394"/>
      <c r="Q440" s="620">
        <v>20000</v>
      </c>
      <c r="R440" s="446">
        <f>M440/G440</f>
        <v>2558.3742006802722</v>
      </c>
      <c r="S440" s="388">
        <f t="shared" si="44"/>
        <v>0</v>
      </c>
      <c r="T440" s="398"/>
      <c r="U440" s="391"/>
      <c r="V440" s="539"/>
      <c r="W440" s="387"/>
      <c r="Z440" s="419"/>
    </row>
    <row r="441" spans="1:26" s="416" customFormat="1" ht="70.5" hidden="1" customHeight="1">
      <c r="A441" s="404">
        <f t="shared" ref="A441:A452" si="48">A440+1</f>
        <v>352</v>
      </c>
      <c r="B441" s="427" t="s">
        <v>1467</v>
      </c>
      <c r="C441" s="455" t="s">
        <v>272</v>
      </c>
      <c r="D441" s="532">
        <v>16663</v>
      </c>
      <c r="E441" s="391">
        <v>2160</v>
      </c>
      <c r="F441" s="539" t="s">
        <v>223</v>
      </c>
      <c r="G441" s="535">
        <v>1147</v>
      </c>
      <c r="H441" s="536">
        <v>5</v>
      </c>
      <c r="I441" s="536">
        <v>4</v>
      </c>
      <c r="J441" s="536">
        <v>64</v>
      </c>
      <c r="K441" s="458" t="s">
        <v>3610</v>
      </c>
      <c r="L441" s="529">
        <f t="shared" si="47"/>
        <v>700071.95</v>
      </c>
      <c r="M441" s="538">
        <v>685080.95</v>
      </c>
      <c r="N441" s="539"/>
      <c r="O441" s="621">
        <v>6503</v>
      </c>
      <c r="P441" s="394"/>
      <c r="Q441" s="620">
        <v>8488</v>
      </c>
      <c r="R441" s="446">
        <f>M441/G441</f>
        <v>597.28068875326937</v>
      </c>
      <c r="S441" s="388">
        <f t="shared" si="44"/>
        <v>0</v>
      </c>
      <c r="T441" s="398"/>
      <c r="U441" s="391"/>
      <c r="V441" s="539"/>
      <c r="W441" s="387"/>
      <c r="Z441" s="419"/>
    </row>
    <row r="442" spans="1:26" s="416" customFormat="1" ht="54.75" hidden="1" customHeight="1">
      <c r="A442" s="404">
        <f t="shared" si="48"/>
        <v>353</v>
      </c>
      <c r="B442" s="427" t="s">
        <v>3703</v>
      </c>
      <c r="C442" s="455" t="s">
        <v>272</v>
      </c>
      <c r="D442" s="532">
        <v>12312</v>
      </c>
      <c r="E442" s="391">
        <v>2198</v>
      </c>
      <c r="F442" s="539" t="s">
        <v>223</v>
      </c>
      <c r="G442" s="535">
        <v>1127</v>
      </c>
      <c r="H442" s="536">
        <v>5</v>
      </c>
      <c r="I442" s="536">
        <v>4</v>
      </c>
      <c r="J442" s="536">
        <v>70</v>
      </c>
      <c r="K442" s="458" t="s">
        <v>30</v>
      </c>
      <c r="L442" s="529">
        <f t="shared" si="47"/>
        <v>762411.63</v>
      </c>
      <c r="M442" s="538">
        <v>739355.63</v>
      </c>
      <c r="N442" s="539"/>
      <c r="O442" s="621">
        <v>4878</v>
      </c>
      <c r="P442" s="394"/>
      <c r="Q442" s="620">
        <v>18178</v>
      </c>
      <c r="R442" s="446">
        <f>M442/J442</f>
        <v>10562.223285714286</v>
      </c>
      <c r="S442" s="388">
        <f t="shared" si="44"/>
        <v>0</v>
      </c>
      <c r="T442" s="398"/>
      <c r="U442" s="391"/>
      <c r="V442" s="539"/>
      <c r="W442" s="387"/>
      <c r="Z442" s="419"/>
    </row>
    <row r="443" spans="1:26" ht="50.1" hidden="1" customHeight="1">
      <c r="A443" s="404">
        <f t="shared" si="48"/>
        <v>354</v>
      </c>
      <c r="B443" s="403" t="s">
        <v>3732</v>
      </c>
      <c r="C443" s="455" t="s">
        <v>272</v>
      </c>
      <c r="D443" s="487">
        <v>55294</v>
      </c>
      <c r="E443" s="391">
        <v>6267</v>
      </c>
      <c r="F443" s="539" t="s">
        <v>234</v>
      </c>
      <c r="G443" s="391">
        <v>1188</v>
      </c>
      <c r="H443" s="528">
        <v>11</v>
      </c>
      <c r="I443" s="528">
        <v>4</v>
      </c>
      <c r="J443" s="528">
        <v>176</v>
      </c>
      <c r="K443" s="389" t="s">
        <v>33</v>
      </c>
      <c r="L443" s="519">
        <f t="shared" si="47"/>
        <v>3940713.5500000003</v>
      </c>
      <c r="M443" s="529">
        <v>3894842.5500000003</v>
      </c>
      <c r="N443" s="396"/>
      <c r="O443" s="530">
        <v>45871</v>
      </c>
      <c r="P443" s="391"/>
      <c r="Q443" s="391"/>
      <c r="R443" s="382">
        <f>M443/G443</f>
        <v>3278.4869949494951</v>
      </c>
      <c r="S443" s="388">
        <f t="shared" si="44"/>
        <v>0</v>
      </c>
      <c r="U443" s="391"/>
      <c r="V443" s="391"/>
      <c r="W443" s="387"/>
      <c r="Z443" s="419"/>
    </row>
    <row r="444" spans="1:26" s="416" customFormat="1" ht="46.9" hidden="1" customHeight="1">
      <c r="A444" s="404">
        <f t="shared" si="48"/>
        <v>355</v>
      </c>
      <c r="B444" s="427" t="s">
        <v>3265</v>
      </c>
      <c r="C444" s="455" t="s">
        <v>272</v>
      </c>
      <c r="D444" s="532">
        <v>17804</v>
      </c>
      <c r="E444" s="391">
        <v>2336</v>
      </c>
      <c r="F444" s="539" t="s">
        <v>234</v>
      </c>
      <c r="G444" s="535">
        <v>927</v>
      </c>
      <c r="H444" s="536">
        <v>5</v>
      </c>
      <c r="I444" s="536">
        <v>4</v>
      </c>
      <c r="J444" s="536">
        <v>56</v>
      </c>
      <c r="K444" s="458" t="s">
        <v>253</v>
      </c>
      <c r="L444" s="529">
        <f t="shared" si="47"/>
        <v>4234291.82</v>
      </c>
      <c r="M444" s="538">
        <v>4195337.82</v>
      </c>
      <c r="N444" s="573">
        <v>18954</v>
      </c>
      <c r="O444" s="621"/>
      <c r="P444" s="394"/>
      <c r="Q444" s="620">
        <v>20000</v>
      </c>
      <c r="R444" s="446">
        <f>M444/G444</f>
        <v>4525.7150161812297</v>
      </c>
      <c r="S444" s="388">
        <f t="shared" si="44"/>
        <v>0</v>
      </c>
      <c r="T444" s="398"/>
      <c r="U444" s="391"/>
      <c r="V444" s="539"/>
      <c r="W444" s="387"/>
      <c r="Z444" s="419"/>
    </row>
    <row r="445" spans="1:26" s="416" customFormat="1" ht="46.9" hidden="1" customHeight="1">
      <c r="A445" s="404">
        <f t="shared" si="48"/>
        <v>356</v>
      </c>
      <c r="B445" s="427" t="s">
        <v>3651</v>
      </c>
      <c r="C445" s="455" t="s">
        <v>272</v>
      </c>
      <c r="D445" s="532">
        <v>21263</v>
      </c>
      <c r="E445" s="391">
        <v>3488</v>
      </c>
      <c r="F445" s="539" t="s">
        <v>234</v>
      </c>
      <c r="G445" s="535">
        <v>1110</v>
      </c>
      <c r="H445" s="536">
        <v>9</v>
      </c>
      <c r="I445" s="536">
        <v>2</v>
      </c>
      <c r="J445" s="536">
        <v>104</v>
      </c>
      <c r="K445" s="458" t="s">
        <v>225</v>
      </c>
      <c r="L445" s="529">
        <f t="shared" si="47"/>
        <v>1578648.38</v>
      </c>
      <c r="M445" s="538">
        <v>1534419.38</v>
      </c>
      <c r="N445" s="573">
        <v>24229</v>
      </c>
      <c r="O445" s="621"/>
      <c r="P445" s="394"/>
      <c r="Q445" s="620">
        <v>20000</v>
      </c>
      <c r="R445" s="446">
        <f>M445/J445</f>
        <v>14754.032499999999</v>
      </c>
      <c r="S445" s="388">
        <f t="shared" si="44"/>
        <v>0</v>
      </c>
      <c r="T445" s="398"/>
      <c r="U445" s="391"/>
      <c r="V445" s="539"/>
      <c r="W445" s="387"/>
      <c r="Z445" s="419"/>
    </row>
    <row r="446" spans="1:26" s="416" customFormat="1" ht="46.9" hidden="1" customHeight="1">
      <c r="A446" s="404">
        <f t="shared" si="48"/>
        <v>357</v>
      </c>
      <c r="B446" s="427" t="s">
        <v>3267</v>
      </c>
      <c r="C446" s="544" t="s">
        <v>218</v>
      </c>
      <c r="D446" s="446">
        <v>16206</v>
      </c>
      <c r="E446" s="388">
        <v>3009</v>
      </c>
      <c r="F446" s="388" t="s">
        <v>234</v>
      </c>
      <c r="G446" s="388">
        <v>456</v>
      </c>
      <c r="H446" s="446">
        <v>9</v>
      </c>
      <c r="I446" s="446">
        <v>2</v>
      </c>
      <c r="J446" s="446">
        <v>72</v>
      </c>
      <c r="K446" s="504" t="s">
        <v>253</v>
      </c>
      <c r="L446" s="519">
        <f>M446+N446+O446+Q446</f>
        <v>1244362.8999999999</v>
      </c>
      <c r="M446" s="384">
        <v>1206252.8999999999</v>
      </c>
      <c r="N446" s="388">
        <v>38110</v>
      </c>
      <c r="O446" s="473"/>
      <c r="P446" s="388"/>
      <c r="Q446" s="388"/>
      <c r="R446" s="446">
        <f>M446/G446</f>
        <v>2645.2914473684209</v>
      </c>
      <c r="S446" s="388">
        <f t="shared" si="44"/>
        <v>0</v>
      </c>
      <c r="T446" s="398"/>
      <c r="U446" s="391"/>
      <c r="V446" s="383"/>
      <c r="W446" s="387"/>
      <c r="Z446" s="419"/>
    </row>
    <row r="447" spans="1:26" s="416" customFormat="1" ht="46.9" hidden="1" customHeight="1">
      <c r="A447" s="404">
        <f t="shared" si="48"/>
        <v>358</v>
      </c>
      <c r="B447" s="427" t="s">
        <v>3603</v>
      </c>
      <c r="C447" s="455" t="s">
        <v>222</v>
      </c>
      <c r="D447" s="532">
        <v>22736</v>
      </c>
      <c r="E447" s="391">
        <v>1945</v>
      </c>
      <c r="F447" s="539" t="s">
        <v>223</v>
      </c>
      <c r="G447" s="535">
        <v>998</v>
      </c>
      <c r="H447" s="536">
        <v>5</v>
      </c>
      <c r="I447" s="536">
        <v>3</v>
      </c>
      <c r="J447" s="536">
        <v>60</v>
      </c>
      <c r="K447" s="458" t="s">
        <v>33</v>
      </c>
      <c r="L447" s="529">
        <f>M447+N447+O447+P447+Q447</f>
        <v>2133185.0999999996</v>
      </c>
      <c r="M447" s="538">
        <v>2123647.2599999998</v>
      </c>
      <c r="N447" s="539"/>
      <c r="O447" s="540">
        <v>9537.84</v>
      </c>
      <c r="P447" s="388"/>
      <c r="Q447" s="541"/>
      <c r="R447" s="446">
        <f>M447/G447</f>
        <v>2127.9030661322645</v>
      </c>
      <c r="S447" s="388">
        <f t="shared" si="44"/>
        <v>-1.4915713109076023E-10</v>
      </c>
      <c r="T447" s="398"/>
      <c r="U447" s="391"/>
      <c r="V447" s="539"/>
      <c r="W447" s="387"/>
      <c r="Z447" s="419"/>
    </row>
    <row r="448" spans="1:26" s="416" customFormat="1" ht="46.9" hidden="1" customHeight="1">
      <c r="A448" s="404">
        <f t="shared" si="48"/>
        <v>359</v>
      </c>
      <c r="B448" s="427" t="s">
        <v>3268</v>
      </c>
      <c r="C448" s="455" t="s">
        <v>218</v>
      </c>
      <c r="D448" s="532">
        <v>16950</v>
      </c>
      <c r="E448" s="391">
        <v>2711</v>
      </c>
      <c r="F448" s="539" t="s">
        <v>223</v>
      </c>
      <c r="G448" s="535">
        <v>1130</v>
      </c>
      <c r="H448" s="536">
        <v>5</v>
      </c>
      <c r="I448" s="536">
        <v>4</v>
      </c>
      <c r="J448" s="536">
        <v>80</v>
      </c>
      <c r="K448" s="458" t="s">
        <v>33</v>
      </c>
      <c r="L448" s="529">
        <f>M448+N448+O448+P448+Q448</f>
        <v>3275778.3899999997</v>
      </c>
      <c r="M448" s="538">
        <v>3228755.3899999997</v>
      </c>
      <c r="N448" s="539"/>
      <c r="O448" s="621">
        <v>7023</v>
      </c>
      <c r="P448" s="394"/>
      <c r="Q448" s="620">
        <v>40000</v>
      </c>
      <c r="R448" s="446">
        <f>M448/G448</f>
        <v>2857.3056548672562</v>
      </c>
      <c r="S448" s="388">
        <f t="shared" si="44"/>
        <v>0</v>
      </c>
      <c r="T448" s="398"/>
      <c r="U448" s="391"/>
      <c r="V448" s="539"/>
      <c r="W448" s="387"/>
      <c r="Z448" s="419"/>
    </row>
    <row r="449" spans="1:26" s="416" customFormat="1" ht="46.9" hidden="1" customHeight="1">
      <c r="A449" s="404">
        <f t="shared" si="48"/>
        <v>360</v>
      </c>
      <c r="B449" s="427" t="s">
        <v>3605</v>
      </c>
      <c r="C449" s="455" t="s">
        <v>218</v>
      </c>
      <c r="D449" s="532"/>
      <c r="E449" s="391">
        <v>2762</v>
      </c>
      <c r="F449" s="539" t="s">
        <v>223</v>
      </c>
      <c r="G449" s="535">
        <v>1148</v>
      </c>
      <c r="H449" s="536">
        <v>5</v>
      </c>
      <c r="I449" s="536">
        <v>4</v>
      </c>
      <c r="J449" s="536">
        <v>80</v>
      </c>
      <c r="K449" s="458" t="s">
        <v>33</v>
      </c>
      <c r="L449" s="1128">
        <f>M449+N449+O449+P449+Q449+M450+N450+O450+Q450</f>
        <v>3732773.1700000004</v>
      </c>
      <c r="M449" s="538">
        <v>2724941.43</v>
      </c>
      <c r="N449" s="539"/>
      <c r="O449" s="540">
        <v>11893.68</v>
      </c>
      <c r="P449" s="388"/>
      <c r="Q449" s="541"/>
      <c r="R449" s="446">
        <f>M449/G449</f>
        <v>2373.6423606271778</v>
      </c>
      <c r="S449" s="388">
        <f t="shared" si="44"/>
        <v>995938.06000000017</v>
      </c>
      <c r="T449" s="398"/>
      <c r="U449" s="391"/>
      <c r="V449" s="539"/>
      <c r="W449" s="387"/>
      <c r="Z449" s="419"/>
    </row>
    <row r="450" spans="1:26" s="416" customFormat="1" ht="46.9" hidden="1" customHeight="1">
      <c r="A450" s="404"/>
      <c r="B450" s="427"/>
      <c r="C450" s="455"/>
      <c r="D450" s="532"/>
      <c r="E450" s="391"/>
      <c r="F450" s="539"/>
      <c r="G450" s="535"/>
      <c r="H450" s="536"/>
      <c r="I450" s="536"/>
      <c r="J450" s="536"/>
      <c r="K450" s="554" t="s">
        <v>225</v>
      </c>
      <c r="L450" s="1128"/>
      <c r="M450" s="538">
        <v>966088.06</v>
      </c>
      <c r="N450" s="539">
        <v>29850</v>
      </c>
      <c r="O450" s="540"/>
      <c r="P450" s="388"/>
      <c r="Q450" s="541"/>
      <c r="R450" s="446"/>
      <c r="S450" s="388"/>
      <c r="T450" s="398"/>
      <c r="U450" s="391"/>
      <c r="V450" s="539"/>
      <c r="W450" s="387"/>
      <c r="Z450" s="419"/>
    </row>
    <row r="451" spans="1:26" s="416" customFormat="1" ht="54.75" hidden="1" customHeight="1">
      <c r="A451" s="404">
        <f>A449+1</f>
        <v>361</v>
      </c>
      <c r="B451" s="427" t="s">
        <v>3697</v>
      </c>
      <c r="C451" s="455" t="s">
        <v>272</v>
      </c>
      <c r="D451" s="532">
        <v>32813</v>
      </c>
      <c r="E451" s="391"/>
      <c r="F451" s="539" t="s">
        <v>234</v>
      </c>
      <c r="G451" s="535">
        <v>620.9</v>
      </c>
      <c r="H451" s="536">
        <v>9</v>
      </c>
      <c r="I451" s="536">
        <v>4</v>
      </c>
      <c r="J451" s="536">
        <v>144</v>
      </c>
      <c r="K451" s="458" t="s">
        <v>30</v>
      </c>
      <c r="L451" s="529">
        <f>M451+N451+O451+P451+Q451</f>
        <v>5463141.0800000001</v>
      </c>
      <c r="M451" s="538">
        <v>5449386.2000000002</v>
      </c>
      <c r="N451" s="539"/>
      <c r="O451" s="540">
        <v>13754.88</v>
      </c>
      <c r="P451" s="388"/>
      <c r="Q451" s="541"/>
      <c r="R451" s="446">
        <f>M451/J451</f>
        <v>37842.959722222222</v>
      </c>
      <c r="S451" s="388">
        <f t="shared" ref="S451:S463" si="49">L451-M451-N451-O451-P451-Q451</f>
        <v>-1.1095835361629725E-10</v>
      </c>
      <c r="T451" s="398"/>
      <c r="U451" s="391"/>
      <c r="V451" s="539"/>
      <c r="W451" s="387"/>
      <c r="Z451" s="419"/>
    </row>
    <row r="452" spans="1:26" s="416" customFormat="1" ht="42" hidden="1" customHeight="1">
      <c r="A452" s="404">
        <f t="shared" si="48"/>
        <v>362</v>
      </c>
      <c r="B452" s="427" t="s">
        <v>3700</v>
      </c>
      <c r="C452" s="455" t="s">
        <v>222</v>
      </c>
      <c r="D452" s="532">
        <v>11964</v>
      </c>
      <c r="E452" s="391">
        <v>2983</v>
      </c>
      <c r="F452" s="539" t="s">
        <v>234</v>
      </c>
      <c r="G452" s="535">
        <v>390</v>
      </c>
      <c r="H452" s="536">
        <v>12</v>
      </c>
      <c r="I452" s="536">
        <v>1</v>
      </c>
      <c r="J452" s="536">
        <v>48</v>
      </c>
      <c r="K452" s="458" t="s">
        <v>30</v>
      </c>
      <c r="L452" s="1128">
        <f>M452+N452+O452+Q452+N453+O453+Q453+M453</f>
        <v>6166741.3399999999</v>
      </c>
      <c r="M452" s="538">
        <v>1489847.27</v>
      </c>
      <c r="N452" s="539"/>
      <c r="O452" s="621">
        <v>12130</v>
      </c>
      <c r="P452" s="388"/>
      <c r="Q452" s="620">
        <v>25573</v>
      </c>
      <c r="R452" s="446">
        <f>M452/J452</f>
        <v>31038.484791666666</v>
      </c>
      <c r="S452" s="388">
        <f t="shared" si="49"/>
        <v>4639191.07</v>
      </c>
      <c r="T452" s="398"/>
      <c r="U452" s="391"/>
      <c r="V452" s="539"/>
      <c r="W452" s="387"/>
      <c r="Z452" s="419"/>
    </row>
    <row r="453" spans="1:26" s="416" customFormat="1" ht="46.9" hidden="1" customHeight="1">
      <c r="A453" s="404"/>
      <c r="B453" s="427"/>
      <c r="C453" s="455"/>
      <c r="D453" s="532"/>
      <c r="E453" s="391"/>
      <c r="F453" s="539"/>
      <c r="G453" s="535"/>
      <c r="H453" s="536"/>
      <c r="I453" s="536"/>
      <c r="J453" s="536"/>
      <c r="K453" s="458" t="s">
        <v>220</v>
      </c>
      <c r="L453" s="1128"/>
      <c r="M453" s="538">
        <v>4538784.82</v>
      </c>
      <c r="N453" s="539">
        <v>100406.25</v>
      </c>
      <c r="O453" s="540"/>
      <c r="P453" s="388"/>
      <c r="Q453" s="541"/>
      <c r="R453" s="446">
        <v>2200000</v>
      </c>
      <c r="S453" s="388">
        <f t="shared" si="49"/>
        <v>-4639191.07</v>
      </c>
      <c r="T453" s="398"/>
      <c r="U453" s="391"/>
      <c r="V453" s="539"/>
      <c r="W453" s="387"/>
      <c r="Z453" s="419"/>
    </row>
    <row r="454" spans="1:26" s="416" customFormat="1" ht="46.9" hidden="1" customHeight="1">
      <c r="A454" s="404">
        <v>363</v>
      </c>
      <c r="B454" s="427" t="s">
        <v>1551</v>
      </c>
      <c r="C454" s="455" t="s">
        <v>218</v>
      </c>
      <c r="D454" s="532">
        <v>12236</v>
      </c>
      <c r="E454" s="391">
        <v>2382</v>
      </c>
      <c r="F454" s="539" t="s">
        <v>223</v>
      </c>
      <c r="G454" s="535">
        <v>1142</v>
      </c>
      <c r="H454" s="536">
        <v>5</v>
      </c>
      <c r="I454" s="536">
        <v>4</v>
      </c>
      <c r="J454" s="536">
        <v>80</v>
      </c>
      <c r="K454" s="458" t="s">
        <v>33</v>
      </c>
      <c r="L454" s="529">
        <f>M454+N454+O454+P454+Q454</f>
        <v>3711245.55</v>
      </c>
      <c r="M454" s="538">
        <f>3548748.27+151588.9</f>
        <v>3700337.17</v>
      </c>
      <c r="N454" s="539"/>
      <c r="O454" s="540">
        <v>10908.38</v>
      </c>
      <c r="P454" s="388"/>
      <c r="Q454" s="541"/>
      <c r="R454" s="446">
        <f>M454/G454</f>
        <v>3240.2251926444833</v>
      </c>
      <c r="S454" s="388">
        <f t="shared" si="49"/>
        <v>-1.1095835361629725E-10</v>
      </c>
      <c r="T454" s="398"/>
      <c r="U454" s="391"/>
      <c r="V454" s="539"/>
      <c r="W454" s="387"/>
      <c r="Z454" s="419"/>
    </row>
    <row r="455" spans="1:26" s="416" customFormat="1" ht="46.9" hidden="1" customHeight="1">
      <c r="A455" s="404">
        <f>A454+1</f>
        <v>364</v>
      </c>
      <c r="B455" s="427" t="s">
        <v>3274</v>
      </c>
      <c r="C455" s="455" t="s">
        <v>218</v>
      </c>
      <c r="D455" s="532">
        <v>12411</v>
      </c>
      <c r="E455" s="391">
        <v>1700</v>
      </c>
      <c r="F455" s="539" t="s">
        <v>223</v>
      </c>
      <c r="G455" s="535">
        <v>1223</v>
      </c>
      <c r="H455" s="536">
        <v>5</v>
      </c>
      <c r="I455" s="536">
        <v>4</v>
      </c>
      <c r="J455" s="536">
        <v>80</v>
      </c>
      <c r="K455" s="458" t="s">
        <v>33</v>
      </c>
      <c r="L455" s="529">
        <f>M455+N455+O455+P455+Q455</f>
        <v>3624808.63</v>
      </c>
      <c r="M455" s="538">
        <v>3613031.01</v>
      </c>
      <c r="N455" s="539"/>
      <c r="O455" s="540">
        <v>11777.62</v>
      </c>
      <c r="P455" s="388"/>
      <c r="Q455" s="541"/>
      <c r="R455" s="446">
        <f>M455/G455</f>
        <v>2954.2363123466885</v>
      </c>
      <c r="S455" s="388">
        <f t="shared" si="49"/>
        <v>1.1095835361629725E-10</v>
      </c>
      <c r="T455" s="398"/>
      <c r="U455" s="391"/>
      <c r="V455" s="539"/>
      <c r="W455" s="387"/>
      <c r="Z455" s="419"/>
    </row>
    <row r="456" spans="1:26" s="416" customFormat="1" ht="46.9" hidden="1" customHeight="1">
      <c r="A456" s="404">
        <f>A455+1</f>
        <v>365</v>
      </c>
      <c r="B456" s="427" t="s">
        <v>3650</v>
      </c>
      <c r="C456" s="455" t="s">
        <v>272</v>
      </c>
      <c r="D456" s="532">
        <v>4544</v>
      </c>
      <c r="E456" s="391">
        <v>638</v>
      </c>
      <c r="F456" s="539" t="s">
        <v>223</v>
      </c>
      <c r="G456" s="535">
        <v>660</v>
      </c>
      <c r="H456" s="536">
        <v>2</v>
      </c>
      <c r="I456" s="536">
        <v>2</v>
      </c>
      <c r="J456" s="536">
        <v>14</v>
      </c>
      <c r="K456" s="458" t="s">
        <v>33</v>
      </c>
      <c r="L456" s="1128">
        <f>M456+N456+O456+P456+Q456+M457+N457+O457+Q457</f>
        <v>3094548.29</v>
      </c>
      <c r="M456" s="605">
        <v>2110941.71</v>
      </c>
      <c r="N456" s="573"/>
      <c r="O456" s="621">
        <v>2525</v>
      </c>
      <c r="P456" s="394"/>
      <c r="Q456" s="620">
        <v>22250</v>
      </c>
      <c r="R456" s="446">
        <f>M456/G456</f>
        <v>3198.3965303030304</v>
      </c>
      <c r="S456" s="388">
        <f t="shared" si="49"/>
        <v>958831.58000000007</v>
      </c>
      <c r="T456" s="398"/>
      <c r="U456" s="391"/>
      <c r="V456" s="539"/>
      <c r="W456" s="387"/>
      <c r="Z456" s="419"/>
    </row>
    <row r="457" spans="1:26" s="416" customFormat="1" ht="46.9" hidden="1" customHeight="1">
      <c r="A457" s="404"/>
      <c r="B457" s="427"/>
      <c r="C457" s="455"/>
      <c r="D457" s="532"/>
      <c r="E457" s="391"/>
      <c r="F457" s="539"/>
      <c r="G457" s="535"/>
      <c r="H457" s="536"/>
      <c r="I457" s="536"/>
      <c r="J457" s="536"/>
      <c r="K457" s="458" t="s">
        <v>38</v>
      </c>
      <c r="L457" s="1128"/>
      <c r="M457" s="605">
        <v>927858.58</v>
      </c>
      <c r="N457" s="573"/>
      <c r="O457" s="621">
        <v>2525</v>
      </c>
      <c r="P457" s="394"/>
      <c r="Q457" s="620">
        <v>28448</v>
      </c>
      <c r="R457" s="446">
        <f>M457/E456</f>
        <v>1454.3237931034482</v>
      </c>
      <c r="S457" s="388">
        <f t="shared" si="49"/>
        <v>-958831.58</v>
      </c>
      <c r="T457" s="398"/>
      <c r="U457" s="391"/>
      <c r="V457" s="539"/>
      <c r="W457" s="387"/>
      <c r="Z457" s="419"/>
    </row>
    <row r="458" spans="1:26" s="416" customFormat="1" ht="54.75" hidden="1" customHeight="1">
      <c r="A458" s="404">
        <f>A456+1</f>
        <v>366</v>
      </c>
      <c r="B458" s="427" t="s">
        <v>3657</v>
      </c>
      <c r="C458" s="455" t="s">
        <v>218</v>
      </c>
      <c r="D458" s="532">
        <v>4697</v>
      </c>
      <c r="E458" s="391">
        <v>1360</v>
      </c>
      <c r="F458" s="539" t="s">
        <v>223</v>
      </c>
      <c r="G458" s="535">
        <v>436.4</v>
      </c>
      <c r="H458" s="536">
        <v>5</v>
      </c>
      <c r="I458" s="536">
        <v>2</v>
      </c>
      <c r="J458" s="536">
        <v>30</v>
      </c>
      <c r="K458" s="458" t="s">
        <v>30</v>
      </c>
      <c r="L458" s="529">
        <f>M458+N458+O458+P458+Q458</f>
        <v>797555.61</v>
      </c>
      <c r="M458" s="538">
        <v>771875.61</v>
      </c>
      <c r="N458" s="539"/>
      <c r="O458" s="621">
        <v>4239</v>
      </c>
      <c r="P458" s="394"/>
      <c r="Q458" s="620">
        <v>21441</v>
      </c>
      <c r="R458" s="446">
        <f>M458/J458</f>
        <v>25729.186999999998</v>
      </c>
      <c r="S458" s="388">
        <f t="shared" si="49"/>
        <v>0</v>
      </c>
      <c r="T458" s="398"/>
      <c r="U458" s="391"/>
      <c r="V458" s="539"/>
      <c r="W458" s="387"/>
      <c r="Z458" s="419"/>
    </row>
    <row r="459" spans="1:26" s="416" customFormat="1" ht="46.9" hidden="1" customHeight="1">
      <c r="A459" s="404">
        <f>A458+1</f>
        <v>367</v>
      </c>
      <c r="B459" s="427" t="s">
        <v>3287</v>
      </c>
      <c r="C459" s="455" t="s">
        <v>240</v>
      </c>
      <c r="D459" s="532">
        <v>12540</v>
      </c>
      <c r="E459" s="391">
        <v>2353</v>
      </c>
      <c r="F459" s="539" t="s">
        <v>223</v>
      </c>
      <c r="G459" s="535">
        <v>1182</v>
      </c>
      <c r="H459" s="536">
        <v>5</v>
      </c>
      <c r="I459" s="536">
        <v>4</v>
      </c>
      <c r="J459" s="536">
        <v>80</v>
      </c>
      <c r="K459" s="458" t="s">
        <v>33</v>
      </c>
      <c r="L459" s="529">
        <f>M459+N459+O459+P459+Q459</f>
        <v>4024530.39</v>
      </c>
      <c r="M459" s="538">
        <f>3744576+268663.93</f>
        <v>4013239.93</v>
      </c>
      <c r="N459" s="539"/>
      <c r="O459" s="540">
        <v>11290.46</v>
      </c>
      <c r="P459" s="388"/>
      <c r="Q459" s="541"/>
      <c r="R459" s="446">
        <f>M459/G459</f>
        <v>3395.296049069374</v>
      </c>
      <c r="S459" s="388">
        <f t="shared" si="49"/>
        <v>-3.637978807091713E-11</v>
      </c>
      <c r="T459" s="398"/>
      <c r="U459" s="391"/>
      <c r="V459" s="539"/>
      <c r="W459" s="387"/>
      <c r="Z459" s="419"/>
    </row>
    <row r="460" spans="1:26" s="416" customFormat="1" ht="46.9" hidden="1" customHeight="1">
      <c r="A460" s="404">
        <f>A459+1</f>
        <v>368</v>
      </c>
      <c r="B460" s="427" t="s">
        <v>3602</v>
      </c>
      <c r="C460" s="455" t="s">
        <v>272</v>
      </c>
      <c r="D460" s="532">
        <v>14158</v>
      </c>
      <c r="E460" s="391">
        <v>2610</v>
      </c>
      <c r="F460" s="539" t="s">
        <v>231</v>
      </c>
      <c r="G460" s="535">
        <v>1202.8</v>
      </c>
      <c r="H460" s="536">
        <v>5</v>
      </c>
      <c r="I460" s="536">
        <v>4</v>
      </c>
      <c r="J460" s="536">
        <v>64</v>
      </c>
      <c r="K460" s="458" t="s">
        <v>225</v>
      </c>
      <c r="L460" s="529">
        <f>M460+N460+O460+P460+Q460</f>
        <v>936144.12</v>
      </c>
      <c r="M460" s="538">
        <v>901179.12</v>
      </c>
      <c r="N460" s="539">
        <v>34965</v>
      </c>
      <c r="O460" s="540"/>
      <c r="P460" s="388"/>
      <c r="Q460" s="541"/>
      <c r="R460" s="446">
        <f>M460/J460</f>
        <v>14080.92375</v>
      </c>
      <c r="S460" s="388">
        <f t="shared" si="49"/>
        <v>0</v>
      </c>
      <c r="T460" s="398"/>
      <c r="U460" s="391"/>
      <c r="V460" s="539"/>
      <c r="W460" s="387"/>
      <c r="Z460" s="419"/>
    </row>
    <row r="461" spans="1:26" s="416" customFormat="1" ht="54.75" hidden="1" customHeight="1">
      <c r="A461" s="404">
        <f>A460+1</f>
        <v>369</v>
      </c>
      <c r="B461" s="427" t="s">
        <v>3655</v>
      </c>
      <c r="C461" s="455" t="s">
        <v>272</v>
      </c>
      <c r="D461" s="532">
        <v>4427</v>
      </c>
      <c r="E461" s="391">
        <v>950</v>
      </c>
      <c r="F461" s="539" t="s">
        <v>223</v>
      </c>
      <c r="G461" s="535">
        <v>554</v>
      </c>
      <c r="H461" s="536">
        <v>3</v>
      </c>
      <c r="I461" s="536">
        <v>2</v>
      </c>
      <c r="J461" s="536">
        <v>16</v>
      </c>
      <c r="K461" s="458" t="s">
        <v>30</v>
      </c>
      <c r="L461" s="529">
        <f>M461+N461+O461+P461+Q461</f>
        <v>376771.28</v>
      </c>
      <c r="M461" s="538">
        <v>353868.28</v>
      </c>
      <c r="N461" s="539"/>
      <c r="O461" s="621">
        <v>1462</v>
      </c>
      <c r="P461" s="394"/>
      <c r="Q461" s="620">
        <v>21441</v>
      </c>
      <c r="R461" s="446">
        <f>M461/J461</f>
        <v>22116.767500000002</v>
      </c>
      <c r="S461" s="388">
        <f t="shared" si="49"/>
        <v>0</v>
      </c>
      <c r="T461" s="398"/>
      <c r="U461" s="391"/>
      <c r="V461" s="539"/>
      <c r="W461" s="387"/>
      <c r="Z461" s="419"/>
    </row>
    <row r="462" spans="1:26" s="416" customFormat="1" ht="46.9" hidden="1" customHeight="1">
      <c r="A462" s="404">
        <f>A461+1</f>
        <v>370</v>
      </c>
      <c r="B462" s="427" t="s">
        <v>2498</v>
      </c>
      <c r="C462" s="455" t="s">
        <v>272</v>
      </c>
      <c r="D462" s="532">
        <v>30027</v>
      </c>
      <c r="E462" s="391">
        <v>6000</v>
      </c>
      <c r="F462" s="539" t="s">
        <v>234</v>
      </c>
      <c r="G462" s="535">
        <v>851</v>
      </c>
      <c r="H462" s="536">
        <v>14</v>
      </c>
      <c r="I462" s="536">
        <v>1</v>
      </c>
      <c r="J462" s="536">
        <v>159</v>
      </c>
      <c r="K462" s="458" t="s">
        <v>364</v>
      </c>
      <c r="L462" s="529">
        <f>M462+N462+O462+P462+Q462</f>
        <v>4816285.96</v>
      </c>
      <c r="M462" s="538">
        <v>4715879.71</v>
      </c>
      <c r="N462" s="539">
        <v>100406.25</v>
      </c>
      <c r="O462" s="540"/>
      <c r="P462" s="388"/>
      <c r="Q462" s="541"/>
      <c r="R462" s="446">
        <v>2200000</v>
      </c>
      <c r="S462" s="388">
        <f t="shared" si="49"/>
        <v>0</v>
      </c>
      <c r="T462" s="398"/>
      <c r="U462" s="391"/>
      <c r="V462" s="539"/>
      <c r="W462" s="387"/>
      <c r="Z462" s="419"/>
    </row>
    <row r="463" spans="1:26" s="416" customFormat="1" ht="46.9" hidden="1" customHeight="1">
      <c r="A463" s="404">
        <f>A462+1</f>
        <v>371</v>
      </c>
      <c r="B463" s="427" t="s">
        <v>3291</v>
      </c>
      <c r="C463" s="455" t="s">
        <v>272</v>
      </c>
      <c r="D463" s="532">
        <v>17520</v>
      </c>
      <c r="E463" s="391">
        <v>2305</v>
      </c>
      <c r="F463" s="539" t="s">
        <v>223</v>
      </c>
      <c r="G463" s="535">
        <v>1167.5999999999999</v>
      </c>
      <c r="H463" s="536">
        <v>5</v>
      </c>
      <c r="I463" s="536">
        <v>4</v>
      </c>
      <c r="J463" s="536">
        <v>70</v>
      </c>
      <c r="K463" s="458" t="s">
        <v>38</v>
      </c>
      <c r="L463" s="1128">
        <f>M463+N463+O463+P463+Q463+M464+N464+O464+Q464</f>
        <v>3715643.3</v>
      </c>
      <c r="M463" s="538">
        <v>895499.94</v>
      </c>
      <c r="N463" s="539"/>
      <c r="O463" s="540">
        <v>14925</v>
      </c>
      <c r="P463" s="388"/>
      <c r="Q463" s="541"/>
      <c r="R463" s="446">
        <f>M463/G463</f>
        <v>766.95781089414186</v>
      </c>
      <c r="S463" s="388">
        <f t="shared" si="49"/>
        <v>2805218.36</v>
      </c>
      <c r="T463" s="398"/>
      <c r="U463" s="391"/>
      <c r="V463" s="539"/>
      <c r="W463" s="387"/>
      <c r="Z463" s="419"/>
    </row>
    <row r="464" spans="1:26" s="980" customFormat="1" ht="46.9" hidden="1" customHeight="1">
      <c r="A464" s="579"/>
      <c r="B464" s="622"/>
      <c r="C464" s="615"/>
      <c r="D464" s="623"/>
      <c r="E464" s="396"/>
      <c r="F464" s="573"/>
      <c r="G464" s="624"/>
      <c r="H464" s="625"/>
      <c r="I464" s="625"/>
      <c r="J464" s="625"/>
      <c r="K464" s="554" t="s">
        <v>33</v>
      </c>
      <c r="L464" s="1128"/>
      <c r="M464" s="605">
        <v>2794024.61</v>
      </c>
      <c r="N464" s="573"/>
      <c r="O464" s="621">
        <v>11193.75</v>
      </c>
      <c r="P464" s="394"/>
      <c r="Q464" s="620"/>
      <c r="R464" s="616"/>
      <c r="S464" s="394"/>
      <c r="T464" s="399"/>
      <c r="U464" s="396"/>
      <c r="V464" s="539"/>
      <c r="W464" s="387"/>
      <c r="Z464" s="419"/>
    </row>
    <row r="465" spans="1:26" s="416" customFormat="1" ht="54.75" hidden="1" customHeight="1">
      <c r="A465" s="404">
        <f>A463+1</f>
        <v>372</v>
      </c>
      <c r="B465" s="1153" t="s">
        <v>3644</v>
      </c>
      <c r="C465" s="455" t="s">
        <v>272</v>
      </c>
      <c r="D465" s="532">
        <v>12197</v>
      </c>
      <c r="E465" s="391">
        <v>1323.6</v>
      </c>
      <c r="F465" s="539" t="s">
        <v>231</v>
      </c>
      <c r="G465" s="535">
        <v>1095</v>
      </c>
      <c r="H465" s="536">
        <v>4</v>
      </c>
      <c r="I465" s="536">
        <v>4</v>
      </c>
      <c r="J465" s="536">
        <v>29</v>
      </c>
      <c r="K465" s="458" t="s">
        <v>30</v>
      </c>
      <c r="L465" s="1128">
        <f>M465+N465+O465+Q465+N466+O466+Q466+M466</f>
        <v>2904935.81</v>
      </c>
      <c r="M465" s="538">
        <v>736593.6</v>
      </c>
      <c r="N465" s="539"/>
      <c r="O465" s="621">
        <v>2547</v>
      </c>
      <c r="P465" s="394"/>
      <c r="Q465" s="620">
        <v>34491</v>
      </c>
      <c r="R465" s="446">
        <f>M465/J465</f>
        <v>25399.779310344828</v>
      </c>
      <c r="S465" s="388">
        <f t="shared" ref="S465:S491" si="50">L465-M465-N465-O465-P465-Q465</f>
        <v>2131304.21</v>
      </c>
      <c r="T465" s="398"/>
      <c r="U465" s="391"/>
      <c r="V465" s="539"/>
      <c r="W465" s="387"/>
      <c r="Z465" s="419"/>
    </row>
    <row r="466" spans="1:26" s="416" customFormat="1" ht="46.9" hidden="1" customHeight="1">
      <c r="A466" s="404"/>
      <c r="B466" s="1153"/>
      <c r="C466" s="455"/>
      <c r="D466" s="532"/>
      <c r="E466" s="391"/>
      <c r="F466" s="539"/>
      <c r="G466" s="535"/>
      <c r="H466" s="536"/>
      <c r="I466" s="536"/>
      <c r="J466" s="536"/>
      <c r="K466" s="458" t="s">
        <v>3606</v>
      </c>
      <c r="L466" s="1128"/>
      <c r="M466" s="538">
        <v>2088417.21</v>
      </c>
      <c r="N466" s="539"/>
      <c r="O466" s="621">
        <v>5093</v>
      </c>
      <c r="P466" s="394"/>
      <c r="Q466" s="620">
        <v>37794</v>
      </c>
      <c r="R466" s="446">
        <f>M466/G465</f>
        <v>1907.2303287671232</v>
      </c>
      <c r="S466" s="388">
        <f t="shared" si="50"/>
        <v>-2131304.21</v>
      </c>
      <c r="T466" s="398"/>
      <c r="U466" s="391"/>
      <c r="V466" s="539"/>
      <c r="W466" s="387"/>
      <c r="Z466" s="419"/>
    </row>
    <row r="467" spans="1:26" s="416" customFormat="1" ht="54.75" hidden="1" customHeight="1">
      <c r="A467" s="404">
        <f>A465+1</f>
        <v>373</v>
      </c>
      <c r="B467" s="427" t="s">
        <v>3648</v>
      </c>
      <c r="C467" s="455" t="s">
        <v>218</v>
      </c>
      <c r="D467" s="532">
        <v>37814</v>
      </c>
      <c r="E467" s="391">
        <v>4410</v>
      </c>
      <c r="F467" s="539" t="s">
        <v>234</v>
      </c>
      <c r="G467" s="535">
        <v>462</v>
      </c>
      <c r="H467" s="536">
        <v>10</v>
      </c>
      <c r="I467" s="536">
        <v>3</v>
      </c>
      <c r="J467" s="536">
        <v>155</v>
      </c>
      <c r="K467" s="458" t="s">
        <v>30</v>
      </c>
      <c r="L467" s="529">
        <f>M467+N467+O467+P467+Q467</f>
        <v>4267015.8499999996</v>
      </c>
      <c r="M467" s="538">
        <v>4215184.8499999996</v>
      </c>
      <c r="N467" s="539"/>
      <c r="O467" s="540">
        <v>14880</v>
      </c>
      <c r="P467" s="388"/>
      <c r="Q467" s="620">
        <v>36951</v>
      </c>
      <c r="R467" s="446">
        <f>M467/J467</f>
        <v>27194.740967741935</v>
      </c>
      <c r="S467" s="388">
        <f t="shared" si="50"/>
        <v>0</v>
      </c>
      <c r="T467" s="398"/>
      <c r="U467" s="391"/>
      <c r="V467" s="539"/>
      <c r="W467" s="387"/>
      <c r="Z467" s="419"/>
    </row>
    <row r="468" spans="1:26" s="416" customFormat="1" ht="42.75" hidden="1" customHeight="1">
      <c r="A468" s="404">
        <f>A467+1</f>
        <v>374</v>
      </c>
      <c r="B468" s="427" t="s">
        <v>3698</v>
      </c>
      <c r="C468" s="455" t="s">
        <v>218</v>
      </c>
      <c r="D468" s="532">
        <v>23583</v>
      </c>
      <c r="E468" s="391">
        <v>4050</v>
      </c>
      <c r="F468" s="539" t="s">
        <v>234</v>
      </c>
      <c r="G468" s="535">
        <v>1023.4</v>
      </c>
      <c r="H468" s="536">
        <v>9</v>
      </c>
      <c r="I468" s="536">
        <v>3</v>
      </c>
      <c r="J468" s="536">
        <v>117</v>
      </c>
      <c r="K468" s="458" t="s">
        <v>30</v>
      </c>
      <c r="L468" s="1128">
        <f>M468+N468+O468+P468+Q468+M469+N469+O469+Q469</f>
        <v>18020112.270000003</v>
      </c>
      <c r="M468" s="538">
        <v>4070630.71</v>
      </c>
      <c r="N468" s="539"/>
      <c r="O468" s="540">
        <v>11175.84</v>
      </c>
      <c r="P468" s="388"/>
      <c r="Q468" s="541"/>
      <c r="R468" s="446">
        <f>M468/J468</f>
        <v>34791.715470085466</v>
      </c>
      <c r="S468" s="388">
        <f t="shared" si="50"/>
        <v>13938305.720000003</v>
      </c>
      <c r="T468" s="398"/>
      <c r="U468" s="391"/>
      <c r="V468" s="539"/>
      <c r="W468" s="387"/>
      <c r="Z468" s="419"/>
    </row>
    <row r="469" spans="1:26" s="416" customFormat="1" ht="54.75" hidden="1" customHeight="1">
      <c r="A469" s="404"/>
      <c r="B469" s="427"/>
      <c r="C469" s="455"/>
      <c r="D469" s="532"/>
      <c r="E469" s="391"/>
      <c r="F469" s="539"/>
      <c r="G469" s="535"/>
      <c r="H469" s="536"/>
      <c r="I469" s="536"/>
      <c r="J469" s="536"/>
      <c r="K469" s="458" t="s">
        <v>227</v>
      </c>
      <c r="L469" s="1128"/>
      <c r="M469" s="538">
        <v>13913616.780000001</v>
      </c>
      <c r="N469" s="539">
        <v>24688.94</v>
      </c>
      <c r="O469" s="540"/>
      <c r="P469" s="388"/>
      <c r="Q469" s="541"/>
      <c r="R469" s="543">
        <f>M469/E468</f>
        <v>3435.4609333333337</v>
      </c>
      <c r="S469" s="388">
        <f t="shared" si="50"/>
        <v>-13938305.720000001</v>
      </c>
      <c r="T469" s="398"/>
      <c r="U469" s="391"/>
      <c r="V469" s="539"/>
      <c r="W469" s="387"/>
      <c r="Z469" s="419"/>
    </row>
    <row r="470" spans="1:26" s="416" customFormat="1" ht="46.9" hidden="1" customHeight="1">
      <c r="A470" s="404">
        <f>A468+1</f>
        <v>375</v>
      </c>
      <c r="B470" s="427" t="s">
        <v>3702</v>
      </c>
      <c r="C470" s="455" t="s">
        <v>218</v>
      </c>
      <c r="D470" s="532">
        <v>15336</v>
      </c>
      <c r="E470" s="391">
        <v>3155</v>
      </c>
      <c r="F470" s="539" t="s">
        <v>234</v>
      </c>
      <c r="G470" s="535">
        <v>678.1</v>
      </c>
      <c r="H470" s="536">
        <v>9</v>
      </c>
      <c r="I470" s="536">
        <v>2</v>
      </c>
      <c r="J470" s="536">
        <v>72</v>
      </c>
      <c r="K470" s="458" t="s">
        <v>33</v>
      </c>
      <c r="L470" s="529">
        <f t="shared" ref="L470:L484" si="51">M470+N470+O470+P470+Q470</f>
        <v>999453</v>
      </c>
      <c r="M470" s="538">
        <v>969348</v>
      </c>
      <c r="N470" s="539"/>
      <c r="O470" s="621">
        <v>10105</v>
      </c>
      <c r="P470" s="394"/>
      <c r="Q470" s="620">
        <v>20000</v>
      </c>
      <c r="R470" s="446">
        <f t="shared" ref="R470:R479" si="52">M470/G470</f>
        <v>1429.5059725704173</v>
      </c>
      <c r="S470" s="388">
        <f t="shared" si="50"/>
        <v>0</v>
      </c>
      <c r="T470" s="398"/>
      <c r="U470" s="391"/>
      <c r="V470" s="539"/>
      <c r="W470" s="387"/>
      <c r="Z470" s="419"/>
    </row>
    <row r="471" spans="1:26" s="416" customFormat="1" ht="46.9" hidden="1" customHeight="1">
      <c r="A471" s="404">
        <f>A470+1</f>
        <v>376</v>
      </c>
      <c r="B471" s="403" t="s">
        <v>3762</v>
      </c>
      <c r="C471" s="455" t="s">
        <v>218</v>
      </c>
      <c r="D471" s="487">
        <v>12063</v>
      </c>
      <c r="E471" s="391">
        <v>2450</v>
      </c>
      <c r="F471" s="391" t="s">
        <v>223</v>
      </c>
      <c r="G471" s="391">
        <v>1136</v>
      </c>
      <c r="H471" s="528">
        <v>5</v>
      </c>
      <c r="I471" s="528">
        <v>4</v>
      </c>
      <c r="J471" s="528">
        <v>78</v>
      </c>
      <c r="K471" s="389" t="s">
        <v>33</v>
      </c>
      <c r="L471" s="519">
        <f t="shared" si="51"/>
        <v>3642702.9</v>
      </c>
      <c r="M471" s="529">
        <v>3598847.9</v>
      </c>
      <c r="N471" s="391"/>
      <c r="O471" s="530">
        <v>43855</v>
      </c>
      <c r="P471" s="391"/>
      <c r="Q471" s="383"/>
      <c r="R471" s="446">
        <f t="shared" si="52"/>
        <v>3167.9999119718309</v>
      </c>
      <c r="S471" s="388">
        <f t="shared" si="50"/>
        <v>0</v>
      </c>
      <c r="T471" s="398"/>
      <c r="U471" s="391"/>
      <c r="V471" s="391"/>
      <c r="W471" s="387"/>
      <c r="Z471" s="419"/>
    </row>
    <row r="472" spans="1:26" s="416" customFormat="1" ht="46.9" hidden="1" customHeight="1">
      <c r="A472" s="404">
        <f>A471+1</f>
        <v>377</v>
      </c>
      <c r="B472" s="427" t="s">
        <v>3604</v>
      </c>
      <c r="C472" s="455" t="s">
        <v>272</v>
      </c>
      <c r="D472" s="532">
        <v>24896</v>
      </c>
      <c r="E472" s="391">
        <v>3380</v>
      </c>
      <c r="F472" s="539" t="s">
        <v>223</v>
      </c>
      <c r="G472" s="535">
        <v>2281</v>
      </c>
      <c r="H472" s="536">
        <v>5</v>
      </c>
      <c r="I472" s="536">
        <v>8</v>
      </c>
      <c r="J472" s="536">
        <v>148</v>
      </c>
      <c r="K472" s="458" t="s">
        <v>33</v>
      </c>
      <c r="L472" s="529">
        <f t="shared" si="51"/>
        <v>7274721.04</v>
      </c>
      <c r="M472" s="538">
        <v>7252954.7199999997</v>
      </c>
      <c r="N472" s="539"/>
      <c r="O472" s="540">
        <v>21766.32</v>
      </c>
      <c r="P472" s="388"/>
      <c r="Q472" s="541"/>
      <c r="R472" s="446">
        <f t="shared" si="52"/>
        <v>3179.7258746163961</v>
      </c>
      <c r="S472" s="388">
        <f t="shared" si="50"/>
        <v>2.9831426218152046E-10</v>
      </c>
      <c r="T472" s="398"/>
      <c r="U472" s="391"/>
      <c r="V472" s="539"/>
      <c r="W472" s="387"/>
      <c r="Z472" s="419"/>
    </row>
    <row r="473" spans="1:26" s="416" customFormat="1" ht="46.9" hidden="1" customHeight="1">
      <c r="A473" s="404">
        <f>A472+1</f>
        <v>378</v>
      </c>
      <c r="B473" s="427" t="s">
        <v>3652</v>
      </c>
      <c r="C473" s="455" t="s">
        <v>218</v>
      </c>
      <c r="D473" s="532">
        <v>7537</v>
      </c>
      <c r="E473" s="391">
        <v>1276</v>
      </c>
      <c r="F473" s="539" t="s">
        <v>234</v>
      </c>
      <c r="G473" s="535">
        <v>328</v>
      </c>
      <c r="H473" s="536">
        <v>9</v>
      </c>
      <c r="I473" s="536">
        <v>1</v>
      </c>
      <c r="J473" s="536">
        <v>36</v>
      </c>
      <c r="K473" s="458" t="s">
        <v>33</v>
      </c>
      <c r="L473" s="529">
        <f t="shared" si="51"/>
        <v>548516.16</v>
      </c>
      <c r="M473" s="538">
        <v>526105.16</v>
      </c>
      <c r="N473" s="539"/>
      <c r="O473" s="621">
        <v>9233</v>
      </c>
      <c r="P473" s="394"/>
      <c r="Q473" s="620">
        <v>13178</v>
      </c>
      <c r="R473" s="446">
        <f t="shared" si="52"/>
        <v>1603.9791463414635</v>
      </c>
      <c r="S473" s="388">
        <f t="shared" si="50"/>
        <v>0</v>
      </c>
      <c r="T473" s="398"/>
      <c r="U473" s="391"/>
      <c r="V473" s="539"/>
      <c r="W473" s="387"/>
      <c r="Z473" s="419"/>
    </row>
    <row r="474" spans="1:26" s="416" customFormat="1" ht="46.9" hidden="1" customHeight="1">
      <c r="A474" s="404">
        <f t="shared" ref="A474:A491" si="53">A473+1</f>
        <v>379</v>
      </c>
      <c r="B474" s="427" t="s">
        <v>1693</v>
      </c>
      <c r="C474" s="455" t="s">
        <v>272</v>
      </c>
      <c r="D474" s="532">
        <v>16361</v>
      </c>
      <c r="E474" s="391">
        <v>3379</v>
      </c>
      <c r="F474" s="539" t="s">
        <v>223</v>
      </c>
      <c r="G474" s="535">
        <v>1487.3</v>
      </c>
      <c r="H474" s="536">
        <v>5</v>
      </c>
      <c r="I474" s="536">
        <v>5</v>
      </c>
      <c r="J474" s="536">
        <v>100</v>
      </c>
      <c r="K474" s="458" t="s">
        <v>33</v>
      </c>
      <c r="L474" s="529">
        <f t="shared" si="51"/>
        <v>3707141.45</v>
      </c>
      <c r="M474" s="538">
        <v>3693708.95</v>
      </c>
      <c r="N474" s="539"/>
      <c r="O474" s="540">
        <v>13432.5</v>
      </c>
      <c r="P474" s="388"/>
      <c r="Q474" s="541"/>
      <c r="R474" s="446">
        <f t="shared" si="52"/>
        <v>2483.499596584415</v>
      </c>
      <c r="S474" s="388">
        <f t="shared" si="50"/>
        <v>0</v>
      </c>
      <c r="T474" s="398"/>
      <c r="U474" s="391"/>
      <c r="V474" s="539"/>
      <c r="W474" s="387"/>
      <c r="Z474" s="419"/>
    </row>
    <row r="475" spans="1:26" s="416" customFormat="1" ht="46.9" hidden="1" customHeight="1">
      <c r="A475" s="404">
        <f t="shared" si="53"/>
        <v>380</v>
      </c>
      <c r="B475" s="427" t="s">
        <v>3659</v>
      </c>
      <c r="C475" s="455" t="s">
        <v>218</v>
      </c>
      <c r="D475" s="532">
        <v>12297</v>
      </c>
      <c r="E475" s="391">
        <v>2125</v>
      </c>
      <c r="F475" s="539" t="s">
        <v>223</v>
      </c>
      <c r="G475" s="535">
        <v>960</v>
      </c>
      <c r="H475" s="536">
        <v>5</v>
      </c>
      <c r="I475" s="536">
        <v>4</v>
      </c>
      <c r="J475" s="536">
        <v>80</v>
      </c>
      <c r="K475" s="458" t="s">
        <v>33</v>
      </c>
      <c r="L475" s="529">
        <f t="shared" si="51"/>
        <v>3023580.13</v>
      </c>
      <c r="M475" s="538">
        <v>2978974.13</v>
      </c>
      <c r="N475" s="539"/>
      <c r="O475" s="621">
        <v>6503</v>
      </c>
      <c r="P475" s="394"/>
      <c r="Q475" s="620">
        <v>38103</v>
      </c>
      <c r="R475" s="446">
        <f t="shared" si="52"/>
        <v>3103.0980520833332</v>
      </c>
      <c r="S475" s="388">
        <f t="shared" si="50"/>
        <v>0</v>
      </c>
      <c r="T475" s="398"/>
      <c r="U475" s="391"/>
      <c r="V475" s="539"/>
      <c r="W475" s="387"/>
      <c r="Z475" s="419"/>
    </row>
    <row r="476" spans="1:26" s="416" customFormat="1" ht="46.9" hidden="1" customHeight="1">
      <c r="A476" s="404">
        <f t="shared" si="53"/>
        <v>381</v>
      </c>
      <c r="B476" s="427" t="s">
        <v>1704</v>
      </c>
      <c r="C476" s="455" t="s">
        <v>272</v>
      </c>
      <c r="D476" s="532">
        <v>70562</v>
      </c>
      <c r="E476" s="391">
        <v>3303</v>
      </c>
      <c r="F476" s="539" t="s">
        <v>234</v>
      </c>
      <c r="G476" s="535">
        <v>1470</v>
      </c>
      <c r="H476" s="536">
        <v>16</v>
      </c>
      <c r="I476" s="536">
        <v>2</v>
      </c>
      <c r="J476" s="536">
        <v>168</v>
      </c>
      <c r="K476" s="458" t="s">
        <v>253</v>
      </c>
      <c r="L476" s="529">
        <f t="shared" si="51"/>
        <v>2209732.46</v>
      </c>
      <c r="M476" s="605">
        <v>2169932.46</v>
      </c>
      <c r="N476" s="539">
        <v>39800</v>
      </c>
      <c r="O476" s="540"/>
      <c r="P476" s="388"/>
      <c r="Q476" s="541"/>
      <c r="R476" s="446">
        <f t="shared" si="52"/>
        <v>1476.1445306122448</v>
      </c>
      <c r="S476" s="388">
        <f t="shared" si="50"/>
        <v>0</v>
      </c>
      <c r="T476" s="398"/>
      <c r="U476" s="391"/>
      <c r="V476" s="539"/>
      <c r="W476" s="387"/>
      <c r="Z476" s="419"/>
    </row>
    <row r="477" spans="1:26" s="416" customFormat="1" ht="46.9" hidden="1" customHeight="1">
      <c r="A477" s="404">
        <f t="shared" si="53"/>
        <v>382</v>
      </c>
      <c r="B477" s="427" t="s">
        <v>3645</v>
      </c>
      <c r="C477" s="455" t="s">
        <v>272</v>
      </c>
      <c r="D477" s="532">
        <v>11607</v>
      </c>
      <c r="E477" s="391">
        <v>2435</v>
      </c>
      <c r="F477" s="539" t="s">
        <v>223</v>
      </c>
      <c r="G477" s="535">
        <v>1270</v>
      </c>
      <c r="H477" s="536">
        <v>5</v>
      </c>
      <c r="I477" s="536">
        <v>4</v>
      </c>
      <c r="J477" s="536">
        <v>80</v>
      </c>
      <c r="K477" s="458" t="s">
        <v>33</v>
      </c>
      <c r="L477" s="529">
        <f t="shared" si="51"/>
        <v>3854457.42</v>
      </c>
      <c r="M477" s="605">
        <v>3812066.42</v>
      </c>
      <c r="N477" s="539"/>
      <c r="O477" s="621">
        <v>6425</v>
      </c>
      <c r="P477" s="394"/>
      <c r="Q477" s="620">
        <v>35966</v>
      </c>
      <c r="R477" s="446">
        <f t="shared" si="52"/>
        <v>3001.6271023622048</v>
      </c>
      <c r="S477" s="388">
        <f t="shared" si="50"/>
        <v>0</v>
      </c>
      <c r="T477" s="398"/>
      <c r="U477" s="391"/>
      <c r="V477" s="539"/>
      <c r="W477" s="387"/>
      <c r="Z477" s="419"/>
    </row>
    <row r="478" spans="1:26" s="416" customFormat="1" ht="46.9" hidden="1" customHeight="1">
      <c r="A478" s="404">
        <f t="shared" si="53"/>
        <v>383</v>
      </c>
      <c r="B478" s="427" t="s">
        <v>2667</v>
      </c>
      <c r="C478" s="455" t="s">
        <v>272</v>
      </c>
      <c r="D478" s="532">
        <v>8727</v>
      </c>
      <c r="E478" s="391">
        <v>1777</v>
      </c>
      <c r="F478" s="539" t="s">
        <v>234</v>
      </c>
      <c r="G478" s="535">
        <v>553</v>
      </c>
      <c r="H478" s="536">
        <v>5</v>
      </c>
      <c r="I478" s="536">
        <v>2</v>
      </c>
      <c r="J478" s="536">
        <v>40</v>
      </c>
      <c r="K478" s="458" t="s">
        <v>3880</v>
      </c>
      <c r="L478" s="529">
        <f t="shared" si="51"/>
        <v>2305286.34</v>
      </c>
      <c r="M478" s="538">
        <v>2269036.34</v>
      </c>
      <c r="N478" s="573">
        <v>16250</v>
      </c>
      <c r="O478" s="621"/>
      <c r="P478" s="394"/>
      <c r="Q478" s="620">
        <v>20000</v>
      </c>
      <c r="R478" s="446">
        <f t="shared" si="52"/>
        <v>4103.1398553345389</v>
      </c>
      <c r="S478" s="388">
        <f t="shared" si="50"/>
        <v>0</v>
      </c>
      <c r="T478" s="398"/>
      <c r="U478" s="391"/>
      <c r="V478" s="539"/>
      <c r="W478" s="387"/>
      <c r="Z478" s="419"/>
    </row>
    <row r="479" spans="1:26" s="416" customFormat="1" ht="90" hidden="1" customHeight="1">
      <c r="A479" s="404">
        <f t="shared" si="53"/>
        <v>384</v>
      </c>
      <c r="B479" s="427" t="s">
        <v>3601</v>
      </c>
      <c r="C479" s="455" t="s">
        <v>272</v>
      </c>
      <c r="D479" s="532">
        <v>27280</v>
      </c>
      <c r="E479" s="391">
        <v>3753</v>
      </c>
      <c r="F479" s="539" t="s">
        <v>234</v>
      </c>
      <c r="G479" s="535">
        <v>1705</v>
      </c>
      <c r="H479" s="536">
        <v>5</v>
      </c>
      <c r="I479" s="536">
        <v>6</v>
      </c>
      <c r="J479" s="536">
        <v>72</v>
      </c>
      <c r="K479" s="458" t="s">
        <v>3880</v>
      </c>
      <c r="L479" s="529">
        <f t="shared" si="51"/>
        <v>5197093.1399999997</v>
      </c>
      <c r="M479" s="538">
        <v>5183362.1399999997</v>
      </c>
      <c r="N479" s="539"/>
      <c r="O479" s="540">
        <v>13731</v>
      </c>
      <c r="P479" s="388"/>
      <c r="Q479" s="541"/>
      <c r="R479" s="446">
        <f t="shared" si="52"/>
        <v>3040.0950967741933</v>
      </c>
      <c r="S479" s="388">
        <f t="shared" si="50"/>
        <v>0</v>
      </c>
      <c r="T479" s="398"/>
      <c r="U479" s="391"/>
      <c r="V479" s="539"/>
      <c r="W479" s="387"/>
      <c r="Z479" s="419"/>
    </row>
    <row r="480" spans="1:26" s="416" customFormat="1" ht="54.75" hidden="1" customHeight="1">
      <c r="A480" s="404">
        <f t="shared" si="53"/>
        <v>385</v>
      </c>
      <c r="B480" s="427" t="s">
        <v>3658</v>
      </c>
      <c r="C480" s="455" t="s">
        <v>272</v>
      </c>
      <c r="D480" s="532">
        <v>9743</v>
      </c>
      <c r="E480" s="391">
        <v>1992.8</v>
      </c>
      <c r="F480" s="539" t="s">
        <v>234</v>
      </c>
      <c r="G480" s="535">
        <v>397</v>
      </c>
      <c r="H480" s="536">
        <v>9</v>
      </c>
      <c r="I480" s="536">
        <v>1</v>
      </c>
      <c r="J480" s="536">
        <v>54</v>
      </c>
      <c r="K480" s="458" t="s">
        <v>30</v>
      </c>
      <c r="L480" s="529">
        <f t="shared" si="51"/>
        <v>1122462.05</v>
      </c>
      <c r="M480" s="538">
        <v>1086075.05</v>
      </c>
      <c r="N480" s="539"/>
      <c r="O480" s="621">
        <v>8887</v>
      </c>
      <c r="P480" s="394"/>
      <c r="Q480" s="620">
        <v>27500</v>
      </c>
      <c r="R480" s="446">
        <f>M480/J480</f>
        <v>20112.500925925928</v>
      </c>
      <c r="S480" s="388">
        <f t="shared" si="50"/>
        <v>0</v>
      </c>
      <c r="T480" s="398"/>
      <c r="U480" s="391"/>
      <c r="V480" s="539"/>
      <c r="W480" s="387"/>
      <c r="Z480" s="419"/>
    </row>
    <row r="481" spans="1:26" s="416" customFormat="1" ht="54.75" hidden="1" customHeight="1">
      <c r="A481" s="404">
        <f t="shared" si="53"/>
        <v>386</v>
      </c>
      <c r="B481" s="427" t="s">
        <v>3701</v>
      </c>
      <c r="C481" s="455" t="s">
        <v>218</v>
      </c>
      <c r="D481" s="532">
        <v>12097</v>
      </c>
      <c r="E481" s="391">
        <v>2438.1999999999998</v>
      </c>
      <c r="F481" s="539" t="s">
        <v>223</v>
      </c>
      <c r="G481" s="535">
        <v>1140</v>
      </c>
      <c r="H481" s="536">
        <v>5</v>
      </c>
      <c r="I481" s="536">
        <v>4</v>
      </c>
      <c r="J481" s="536">
        <v>79</v>
      </c>
      <c r="K481" s="458" t="s">
        <v>30</v>
      </c>
      <c r="L481" s="529">
        <f t="shared" si="51"/>
        <v>1822897.28</v>
      </c>
      <c r="M481" s="605">
        <v>1816530.27</v>
      </c>
      <c r="N481" s="539"/>
      <c r="O481" s="540">
        <v>6367.01</v>
      </c>
      <c r="P481" s="388"/>
      <c r="Q481" s="541"/>
      <c r="R481" s="446">
        <f>M481/J481</f>
        <v>22994.054050632913</v>
      </c>
      <c r="S481" s="388">
        <f t="shared" si="50"/>
        <v>9.0949470177292824E-12</v>
      </c>
      <c r="T481" s="398"/>
      <c r="U481" s="391"/>
      <c r="V481" s="539"/>
      <c r="W481" s="387"/>
      <c r="Z481" s="419"/>
    </row>
    <row r="482" spans="1:26" s="416" customFormat="1" ht="46.9" hidden="1" customHeight="1">
      <c r="A482" s="404">
        <f t="shared" si="53"/>
        <v>387</v>
      </c>
      <c r="B482" s="427" t="s">
        <v>3654</v>
      </c>
      <c r="C482" s="455" t="s">
        <v>272</v>
      </c>
      <c r="D482" s="532">
        <v>11174</v>
      </c>
      <c r="E482" s="391">
        <v>2850</v>
      </c>
      <c r="F482" s="539" t="s">
        <v>223</v>
      </c>
      <c r="G482" s="535">
        <v>1020</v>
      </c>
      <c r="H482" s="536">
        <v>4</v>
      </c>
      <c r="I482" s="536">
        <v>4</v>
      </c>
      <c r="J482" s="536">
        <v>40</v>
      </c>
      <c r="K482" s="458" t="s">
        <v>225</v>
      </c>
      <c r="L482" s="529">
        <f t="shared" si="51"/>
        <v>1031092</v>
      </c>
      <c r="M482" s="538">
        <v>1005840</v>
      </c>
      <c r="N482" s="573">
        <v>16803</v>
      </c>
      <c r="O482" s="621"/>
      <c r="P482" s="394"/>
      <c r="Q482" s="620">
        <v>8449</v>
      </c>
      <c r="R482" s="446">
        <f>M482/J482</f>
        <v>25146</v>
      </c>
      <c r="S482" s="388">
        <f t="shared" si="50"/>
        <v>0</v>
      </c>
      <c r="T482" s="398"/>
      <c r="U482" s="391"/>
      <c r="V482" s="539"/>
      <c r="W482" s="387"/>
      <c r="Z482" s="419"/>
    </row>
    <row r="483" spans="1:26" s="416" customFormat="1" ht="46.9" hidden="1" customHeight="1">
      <c r="A483" s="404">
        <f t="shared" si="53"/>
        <v>388</v>
      </c>
      <c r="B483" s="427" t="s">
        <v>3643</v>
      </c>
      <c r="C483" s="455" t="s">
        <v>272</v>
      </c>
      <c r="D483" s="532">
        <v>37150</v>
      </c>
      <c r="E483" s="391">
        <v>6089</v>
      </c>
      <c r="F483" s="539" t="s">
        <v>234</v>
      </c>
      <c r="G483" s="535">
        <v>1769</v>
      </c>
      <c r="H483" s="536">
        <v>9</v>
      </c>
      <c r="I483" s="536">
        <v>4</v>
      </c>
      <c r="J483" s="536">
        <v>128</v>
      </c>
      <c r="K483" s="458" t="s">
        <v>225</v>
      </c>
      <c r="L483" s="529">
        <f t="shared" si="51"/>
        <v>2363369.91</v>
      </c>
      <c r="M483" s="538">
        <v>2363369.91</v>
      </c>
      <c r="N483" s="539"/>
      <c r="O483" s="540"/>
      <c r="P483" s="388"/>
      <c r="Q483" s="541"/>
      <c r="R483" s="446">
        <f>M483/J483</f>
        <v>18463.827421875001</v>
      </c>
      <c r="S483" s="388">
        <f t="shared" si="50"/>
        <v>0</v>
      </c>
      <c r="T483" s="398" t="s">
        <v>4194</v>
      </c>
      <c r="U483" s="391"/>
      <c r="V483" s="539"/>
      <c r="W483" s="387"/>
      <c r="Z483" s="419"/>
    </row>
    <row r="484" spans="1:26" s="416" customFormat="1" ht="46.9" hidden="1" customHeight="1">
      <c r="A484" s="404">
        <f t="shared" si="53"/>
        <v>389</v>
      </c>
      <c r="B484" s="427" t="s">
        <v>2719</v>
      </c>
      <c r="C484" s="455" t="s">
        <v>218</v>
      </c>
      <c r="D484" s="532">
        <v>22994</v>
      </c>
      <c r="E484" s="391">
        <v>2500</v>
      </c>
      <c r="F484" s="539" t="s">
        <v>234</v>
      </c>
      <c r="G484" s="535">
        <v>911.5</v>
      </c>
      <c r="H484" s="536">
        <v>9</v>
      </c>
      <c r="I484" s="536">
        <v>2</v>
      </c>
      <c r="J484" s="536">
        <v>144</v>
      </c>
      <c r="K484" s="458" t="s">
        <v>33</v>
      </c>
      <c r="L484" s="529">
        <f t="shared" si="51"/>
        <v>2020288.06</v>
      </c>
      <c r="M484" s="538">
        <v>1989326.06</v>
      </c>
      <c r="N484" s="539"/>
      <c r="O484" s="621">
        <v>10962</v>
      </c>
      <c r="P484" s="394"/>
      <c r="Q484" s="620">
        <v>20000</v>
      </c>
      <c r="R484" s="446">
        <f>M484/E484</f>
        <v>795.73042399999997</v>
      </c>
      <c r="S484" s="388">
        <f t="shared" si="50"/>
        <v>0</v>
      </c>
      <c r="T484" s="398"/>
      <c r="U484" s="391"/>
      <c r="V484" s="539"/>
      <c r="W484" s="387"/>
      <c r="Z484" s="419"/>
    </row>
    <row r="485" spans="1:26" s="416" customFormat="1" ht="54.75" hidden="1" customHeight="1">
      <c r="A485" s="404">
        <f t="shared" si="53"/>
        <v>390</v>
      </c>
      <c r="B485" s="427" t="s">
        <v>1796</v>
      </c>
      <c r="C485" s="455" t="s">
        <v>272</v>
      </c>
      <c r="D485" s="532">
        <v>8386</v>
      </c>
      <c r="E485" s="391">
        <v>881</v>
      </c>
      <c r="F485" s="539" t="s">
        <v>231</v>
      </c>
      <c r="G485" s="535">
        <v>676</v>
      </c>
      <c r="H485" s="536">
        <v>5</v>
      </c>
      <c r="I485" s="536">
        <v>3</v>
      </c>
      <c r="J485" s="536">
        <v>40</v>
      </c>
      <c r="K485" s="458" t="s">
        <v>30</v>
      </c>
      <c r="L485" s="1128">
        <f>M485+N485+O485+Q485+M486+N486+O486+Q486</f>
        <v>2250792.91</v>
      </c>
      <c r="M485" s="605">
        <v>1547894.49</v>
      </c>
      <c r="N485" s="539"/>
      <c r="O485" s="540">
        <v>3083.5</v>
      </c>
      <c r="P485" s="388"/>
      <c r="Q485" s="541"/>
      <c r="R485" s="446">
        <f>M485/J485</f>
        <v>38697.362249999998</v>
      </c>
      <c r="S485" s="388">
        <f t="shared" si="50"/>
        <v>699814.92000000016</v>
      </c>
      <c r="T485" s="398"/>
      <c r="U485" s="391"/>
      <c r="V485" s="539"/>
      <c r="W485" s="387"/>
      <c r="Z485" s="419"/>
    </row>
    <row r="486" spans="1:26" s="416" customFormat="1" ht="46.9" hidden="1" customHeight="1">
      <c r="A486" s="404"/>
      <c r="B486" s="427"/>
      <c r="C486" s="455"/>
      <c r="D486" s="532"/>
      <c r="E486" s="391"/>
      <c r="F486" s="539"/>
      <c r="G486" s="535"/>
      <c r="H486" s="536"/>
      <c r="I486" s="536"/>
      <c r="J486" s="536"/>
      <c r="K486" s="458" t="s">
        <v>225</v>
      </c>
      <c r="L486" s="1128"/>
      <c r="M486" s="605">
        <f>543615.47+120199.45</f>
        <v>663814.91999999993</v>
      </c>
      <c r="N486" s="539">
        <v>36000</v>
      </c>
      <c r="O486" s="540"/>
      <c r="P486" s="388"/>
      <c r="Q486" s="541"/>
      <c r="R486" s="446">
        <f>M486/J485</f>
        <v>16595.373</v>
      </c>
      <c r="S486" s="388">
        <f t="shared" si="50"/>
        <v>-699814.91999999993</v>
      </c>
      <c r="T486" s="398"/>
      <c r="U486" s="391"/>
      <c r="V486" s="539"/>
      <c r="W486" s="387"/>
      <c r="Z486" s="419"/>
    </row>
    <row r="487" spans="1:26" s="416" customFormat="1" ht="46.9" hidden="1" customHeight="1">
      <c r="A487" s="404">
        <f>A485+1</f>
        <v>391</v>
      </c>
      <c r="B487" s="427" t="s">
        <v>3301</v>
      </c>
      <c r="C487" s="455" t="s">
        <v>230</v>
      </c>
      <c r="D487" s="532">
        <v>1925</v>
      </c>
      <c r="E487" s="391">
        <v>602</v>
      </c>
      <c r="F487" s="539" t="s">
        <v>223</v>
      </c>
      <c r="G487" s="535">
        <v>612</v>
      </c>
      <c r="H487" s="536">
        <v>2</v>
      </c>
      <c r="I487" s="536">
        <v>2</v>
      </c>
      <c r="J487" s="536">
        <v>8</v>
      </c>
      <c r="K487" s="458" t="s">
        <v>395</v>
      </c>
      <c r="L487" s="529">
        <f>M487+N487+O487+P487+Q487</f>
        <v>793956.01</v>
      </c>
      <c r="M487" s="538">
        <v>782493.01</v>
      </c>
      <c r="N487" s="539"/>
      <c r="O487" s="621">
        <v>2037</v>
      </c>
      <c r="P487" s="394"/>
      <c r="Q487" s="620">
        <v>9426</v>
      </c>
      <c r="R487" s="446">
        <f>M487/E487</f>
        <v>1299.8222757475082</v>
      </c>
      <c r="S487" s="388">
        <f t="shared" si="50"/>
        <v>0</v>
      </c>
      <c r="T487" s="398"/>
      <c r="U487" s="391"/>
      <c r="V487" s="539"/>
      <c r="W487" s="387"/>
      <c r="Z487" s="419"/>
    </row>
    <row r="488" spans="1:26" s="416" customFormat="1" ht="46.9" hidden="1" customHeight="1">
      <c r="A488" s="404">
        <f t="shared" si="53"/>
        <v>392</v>
      </c>
      <c r="B488" s="427" t="s">
        <v>3693</v>
      </c>
      <c r="C488" s="455" t="s">
        <v>230</v>
      </c>
      <c r="D488" s="532">
        <v>2904</v>
      </c>
      <c r="E488" s="391">
        <v>780</v>
      </c>
      <c r="F488" s="539" t="s">
        <v>223</v>
      </c>
      <c r="G488" s="535">
        <v>512</v>
      </c>
      <c r="H488" s="536">
        <v>2</v>
      </c>
      <c r="I488" s="536">
        <v>2</v>
      </c>
      <c r="J488" s="536">
        <v>12</v>
      </c>
      <c r="K488" s="458" t="s">
        <v>395</v>
      </c>
      <c r="L488" s="529">
        <f>M488+N488+O488+P488+Q488</f>
        <v>1276780.55</v>
      </c>
      <c r="M488" s="538">
        <v>1260341.55</v>
      </c>
      <c r="N488" s="539"/>
      <c r="O488" s="621">
        <v>2219</v>
      </c>
      <c r="P488" s="394"/>
      <c r="Q488" s="620">
        <v>14220</v>
      </c>
      <c r="R488" s="446">
        <f>M488/E488</f>
        <v>1615.8225</v>
      </c>
      <c r="S488" s="388">
        <f t="shared" si="50"/>
        <v>0</v>
      </c>
      <c r="T488" s="398"/>
      <c r="U488" s="391"/>
      <c r="V488" s="539"/>
      <c r="W488" s="387"/>
      <c r="Z488" s="419"/>
    </row>
    <row r="489" spans="1:26" s="416" customFormat="1" ht="46.9" hidden="1" customHeight="1">
      <c r="A489" s="404">
        <f t="shared" si="53"/>
        <v>393</v>
      </c>
      <c r="B489" s="427" t="s">
        <v>3264</v>
      </c>
      <c r="C489" s="455" t="s">
        <v>230</v>
      </c>
      <c r="D489" s="532">
        <v>2871</v>
      </c>
      <c r="E489" s="391">
        <v>780</v>
      </c>
      <c r="F489" s="539" t="s">
        <v>223</v>
      </c>
      <c r="G489" s="535">
        <v>510</v>
      </c>
      <c r="H489" s="536">
        <v>2</v>
      </c>
      <c r="I489" s="536">
        <v>2</v>
      </c>
      <c r="J489" s="536">
        <v>12</v>
      </c>
      <c r="K489" s="458" t="s">
        <v>395</v>
      </c>
      <c r="L489" s="529">
        <f>M489+N489+O489+P489+Q489</f>
        <v>1223726.48</v>
      </c>
      <c r="M489" s="538">
        <v>1207455.48</v>
      </c>
      <c r="N489" s="539"/>
      <c r="O489" s="621">
        <v>2213</v>
      </c>
      <c r="P489" s="394"/>
      <c r="Q489" s="620">
        <v>14058</v>
      </c>
      <c r="R489" s="446">
        <f>M489/E489</f>
        <v>1548.0198461538462</v>
      </c>
      <c r="S489" s="388">
        <f t="shared" si="50"/>
        <v>0</v>
      </c>
      <c r="T489" s="398"/>
      <c r="U489" s="391"/>
      <c r="V489" s="539"/>
      <c r="W489" s="387"/>
      <c r="Z489" s="419"/>
    </row>
    <row r="490" spans="1:26" s="416" customFormat="1" ht="46.9" hidden="1" customHeight="1">
      <c r="A490" s="404">
        <f t="shared" si="53"/>
        <v>394</v>
      </c>
      <c r="B490" s="427" t="s">
        <v>3283</v>
      </c>
      <c r="C490" s="455" t="s">
        <v>272</v>
      </c>
      <c r="D490" s="532">
        <v>2893</v>
      </c>
      <c r="E490" s="391">
        <v>602</v>
      </c>
      <c r="F490" s="539" t="s">
        <v>223</v>
      </c>
      <c r="G490" s="535">
        <v>1024</v>
      </c>
      <c r="H490" s="536">
        <v>2</v>
      </c>
      <c r="I490" s="536">
        <v>3</v>
      </c>
      <c r="J490" s="536">
        <v>14</v>
      </c>
      <c r="K490" s="458" t="s">
        <v>33</v>
      </c>
      <c r="L490" s="529">
        <f>M490+N490+O490+P490+Q490</f>
        <v>3322983</v>
      </c>
      <c r="M490" s="538">
        <v>3306600</v>
      </c>
      <c r="N490" s="539"/>
      <c r="O490" s="621">
        <v>2217</v>
      </c>
      <c r="P490" s="394"/>
      <c r="Q490" s="620">
        <v>14166</v>
      </c>
      <c r="R490" s="446">
        <f>M490/E490</f>
        <v>5492.6910299003321</v>
      </c>
      <c r="S490" s="388">
        <f t="shared" si="50"/>
        <v>0</v>
      </c>
      <c r="T490" s="398"/>
      <c r="U490" s="391"/>
      <c r="V490" s="539"/>
      <c r="W490" s="387"/>
      <c r="Z490" s="419"/>
    </row>
    <row r="491" spans="1:26" ht="43.9" hidden="1" customHeight="1">
      <c r="A491" s="404">
        <f t="shared" si="53"/>
        <v>395</v>
      </c>
      <c r="B491" s="543" t="s">
        <v>761</v>
      </c>
      <c r="C491" s="455" t="s">
        <v>272</v>
      </c>
      <c r="D491" s="545">
        <v>11740</v>
      </c>
      <c r="E491" s="391">
        <v>2191.4</v>
      </c>
      <c r="F491" s="391" t="s">
        <v>223</v>
      </c>
      <c r="G491" s="391">
        <v>1114</v>
      </c>
      <c r="H491" s="446">
        <v>4</v>
      </c>
      <c r="I491" s="528">
        <v>3</v>
      </c>
      <c r="J491" s="528">
        <v>27</v>
      </c>
      <c r="K491" s="458" t="s">
        <v>285</v>
      </c>
      <c r="L491" s="1144">
        <f>M491+N491+O491+P491++Q491+M492+N492+O492+Q492</f>
        <v>8304032.7599999998</v>
      </c>
      <c r="M491" s="534">
        <v>4737058.9800000004</v>
      </c>
      <c r="N491" s="396">
        <v>39960</v>
      </c>
      <c r="O491" s="530"/>
      <c r="P491" s="391"/>
      <c r="Q491" s="391"/>
      <c r="R491" s="528">
        <f>M491/E491</f>
        <v>2161.6587478324359</v>
      </c>
      <c r="S491" s="388">
        <f t="shared" si="50"/>
        <v>3527013.7799999993</v>
      </c>
      <c r="T491" s="381"/>
      <c r="U491" s="391"/>
      <c r="V491" s="391"/>
      <c r="W491" s="387"/>
      <c r="Z491" s="419"/>
    </row>
    <row r="492" spans="1:26" s="400" customFormat="1" ht="43.9" hidden="1" customHeight="1">
      <c r="A492" s="579"/>
      <c r="B492" s="588"/>
      <c r="C492" s="615"/>
      <c r="D492" s="581"/>
      <c r="E492" s="396"/>
      <c r="F492" s="396"/>
      <c r="G492" s="396"/>
      <c r="H492" s="616"/>
      <c r="I492" s="626"/>
      <c r="J492" s="626"/>
      <c r="K492" s="554" t="s">
        <v>33</v>
      </c>
      <c r="L492" s="1144"/>
      <c r="M492" s="534">
        <v>3512088.78</v>
      </c>
      <c r="N492" s="396"/>
      <c r="O492" s="627">
        <v>14925</v>
      </c>
      <c r="P492" s="396"/>
      <c r="Q492" s="396"/>
      <c r="R492" s="626"/>
      <c r="S492" s="394"/>
      <c r="U492" s="396"/>
      <c r="V492" s="396"/>
      <c r="W492" s="387"/>
      <c r="Z492" s="419"/>
    </row>
    <row r="493" spans="1:26" s="401" customFormat="1" ht="37.5" hidden="1" customHeight="1">
      <c r="A493" s="404">
        <f>A491+1</f>
        <v>396</v>
      </c>
      <c r="B493" s="403" t="s">
        <v>2477</v>
      </c>
      <c r="C493" s="455" t="s">
        <v>272</v>
      </c>
      <c r="D493" s="487">
        <v>39132</v>
      </c>
      <c r="E493" s="391">
        <v>7735</v>
      </c>
      <c r="F493" s="391" t="s">
        <v>369</v>
      </c>
      <c r="G493" s="391">
        <v>2172</v>
      </c>
      <c r="H493" s="528">
        <v>5</v>
      </c>
      <c r="I493" s="528">
        <v>8</v>
      </c>
      <c r="J493" s="528">
        <v>76</v>
      </c>
      <c r="K493" s="458" t="s">
        <v>33</v>
      </c>
      <c r="L493" s="1128">
        <f>M493+N493+O493+P493+Q493+M494+N494+O494+Q494</f>
        <v>6285828.0100000007</v>
      </c>
      <c r="M493" s="529">
        <v>5708112.8100000005</v>
      </c>
      <c r="N493" s="391"/>
      <c r="O493" s="530">
        <v>5000</v>
      </c>
      <c r="P493" s="391"/>
      <c r="Q493" s="391"/>
      <c r="R493" s="528">
        <f>M493/H493</f>
        <v>1141622.5620000002</v>
      </c>
      <c r="S493" s="388">
        <f t="shared" ref="S493:S513" si="54">L493-M493-N493-O493-P493-Q493</f>
        <v>572715.20000000019</v>
      </c>
      <c r="T493" s="416"/>
      <c r="U493" s="391"/>
      <c r="V493" s="391"/>
      <c r="W493" s="387"/>
      <c r="Z493" s="419"/>
    </row>
    <row r="494" spans="1:26" s="401" customFormat="1" ht="49.5" hidden="1" customHeight="1">
      <c r="A494" s="404"/>
      <c r="B494" s="403"/>
      <c r="C494" s="455"/>
      <c r="D494" s="487"/>
      <c r="E494" s="391"/>
      <c r="F494" s="391"/>
      <c r="G494" s="391"/>
      <c r="H494" s="528"/>
      <c r="I494" s="528"/>
      <c r="J494" s="528"/>
      <c r="K494" s="458" t="s">
        <v>3610</v>
      </c>
      <c r="L494" s="1128"/>
      <c r="M494" s="529">
        <v>563257.72</v>
      </c>
      <c r="N494" s="391"/>
      <c r="O494" s="530">
        <v>9457.48</v>
      </c>
      <c r="P494" s="391"/>
      <c r="Q494" s="391"/>
      <c r="R494" s="528"/>
      <c r="S494" s="388">
        <f t="shared" si="54"/>
        <v>-572715.19999999995</v>
      </c>
      <c r="T494" s="419"/>
      <c r="U494" s="391"/>
      <c r="V494" s="391"/>
      <c r="W494" s="387"/>
      <c r="Z494" s="419"/>
    </row>
    <row r="495" spans="1:26" s="401" customFormat="1" ht="69" hidden="1" customHeight="1">
      <c r="A495" s="404">
        <f>A493+1</f>
        <v>397</v>
      </c>
      <c r="B495" s="427" t="s">
        <v>3661</v>
      </c>
      <c r="C495" s="455" t="s">
        <v>272</v>
      </c>
      <c r="D495" s="532">
        <v>8602</v>
      </c>
      <c r="E495" s="391">
        <v>1306.7</v>
      </c>
      <c r="F495" s="539" t="s">
        <v>223</v>
      </c>
      <c r="G495" s="535">
        <v>1124.2</v>
      </c>
      <c r="H495" s="536">
        <v>3</v>
      </c>
      <c r="I495" s="536">
        <v>3</v>
      </c>
      <c r="J495" s="536">
        <v>22</v>
      </c>
      <c r="K495" s="458" t="s">
        <v>30</v>
      </c>
      <c r="L495" s="529">
        <f t="shared" ref="L495:L508" si="55">M495+N495+O495+P495+Q495</f>
        <v>506159.42</v>
      </c>
      <c r="M495" s="538">
        <v>476856.42</v>
      </c>
      <c r="N495" s="539"/>
      <c r="O495" s="540">
        <v>1803</v>
      </c>
      <c r="P495" s="388"/>
      <c r="Q495" s="541">
        <v>27500</v>
      </c>
      <c r="R495" s="528">
        <f>M495/J495</f>
        <v>21675.291818181817</v>
      </c>
      <c r="S495" s="388">
        <f t="shared" si="54"/>
        <v>0</v>
      </c>
      <c r="T495" s="416"/>
      <c r="U495" s="391"/>
      <c r="V495" s="539"/>
      <c r="W495" s="387"/>
      <c r="Z495" s="419"/>
    </row>
    <row r="496" spans="1:26" s="401" customFormat="1" ht="69" hidden="1" customHeight="1">
      <c r="A496" s="404">
        <f t="shared" ref="A496:A504" si="56">A495+1</f>
        <v>398</v>
      </c>
      <c r="B496" s="427" t="s">
        <v>3663</v>
      </c>
      <c r="C496" s="455" t="s">
        <v>272</v>
      </c>
      <c r="D496" s="532">
        <v>9594</v>
      </c>
      <c r="E496" s="391">
        <v>320</v>
      </c>
      <c r="F496" s="539" t="s">
        <v>223</v>
      </c>
      <c r="G496" s="535">
        <v>1012</v>
      </c>
      <c r="H496" s="536">
        <v>3</v>
      </c>
      <c r="I496" s="536">
        <v>3</v>
      </c>
      <c r="J496" s="536">
        <v>21</v>
      </c>
      <c r="K496" s="458" t="s">
        <v>30</v>
      </c>
      <c r="L496" s="529">
        <f t="shared" si="55"/>
        <v>664026.12</v>
      </c>
      <c r="M496" s="538">
        <v>634642.12</v>
      </c>
      <c r="N496" s="539"/>
      <c r="O496" s="540">
        <v>1884</v>
      </c>
      <c r="P496" s="388"/>
      <c r="Q496" s="541">
        <v>27500</v>
      </c>
      <c r="R496" s="528">
        <f>M496/J496</f>
        <v>30221.053333333333</v>
      </c>
      <c r="S496" s="388">
        <f t="shared" si="54"/>
        <v>0</v>
      </c>
      <c r="T496" s="416"/>
      <c r="U496" s="391"/>
      <c r="V496" s="539"/>
      <c r="W496" s="387"/>
      <c r="Z496" s="419"/>
    </row>
    <row r="497" spans="1:26" s="401" customFormat="1" ht="69" hidden="1" customHeight="1">
      <c r="A497" s="404">
        <f t="shared" si="56"/>
        <v>399</v>
      </c>
      <c r="B497" s="427" t="s">
        <v>3664</v>
      </c>
      <c r="C497" s="455" t="s">
        <v>272</v>
      </c>
      <c r="D497" s="532">
        <v>10638</v>
      </c>
      <c r="E497" s="391">
        <v>2140</v>
      </c>
      <c r="F497" s="539" t="s">
        <v>223</v>
      </c>
      <c r="G497" s="535">
        <v>1110</v>
      </c>
      <c r="H497" s="536">
        <v>3</v>
      </c>
      <c r="I497" s="536">
        <v>3</v>
      </c>
      <c r="J497" s="536">
        <v>19</v>
      </c>
      <c r="K497" s="458" t="s">
        <v>30</v>
      </c>
      <c r="L497" s="529">
        <f t="shared" si="55"/>
        <v>544606.23</v>
      </c>
      <c r="M497" s="538">
        <v>528188.23</v>
      </c>
      <c r="N497" s="539"/>
      <c r="O497" s="540">
        <v>1969</v>
      </c>
      <c r="P497" s="388"/>
      <c r="Q497" s="541">
        <v>14449</v>
      </c>
      <c r="R497" s="528">
        <f>M497/J497</f>
        <v>27799.380526315788</v>
      </c>
      <c r="S497" s="388">
        <f t="shared" si="54"/>
        <v>0</v>
      </c>
      <c r="T497" s="416"/>
      <c r="U497" s="391"/>
      <c r="V497" s="539"/>
      <c r="W497" s="387"/>
      <c r="Z497" s="419"/>
    </row>
    <row r="498" spans="1:26" s="401" customFormat="1" ht="69" hidden="1" customHeight="1">
      <c r="A498" s="404">
        <f t="shared" si="56"/>
        <v>400</v>
      </c>
      <c r="B498" s="427" t="s">
        <v>3665</v>
      </c>
      <c r="C498" s="455" t="s">
        <v>272</v>
      </c>
      <c r="D498" s="532">
        <v>4783</v>
      </c>
      <c r="E498" s="391">
        <v>1417.64</v>
      </c>
      <c r="F498" s="539" t="s">
        <v>223</v>
      </c>
      <c r="G498" s="535">
        <v>580.5</v>
      </c>
      <c r="H498" s="536">
        <v>3</v>
      </c>
      <c r="I498" s="536">
        <v>2</v>
      </c>
      <c r="J498" s="536">
        <v>18</v>
      </c>
      <c r="K498" s="458" t="s">
        <v>30</v>
      </c>
      <c r="L498" s="529">
        <f t="shared" si="55"/>
        <v>499854.61</v>
      </c>
      <c r="M498" s="538">
        <v>476922.61</v>
      </c>
      <c r="N498" s="539"/>
      <c r="O498" s="540">
        <v>1491</v>
      </c>
      <c r="P498" s="388"/>
      <c r="Q498" s="541">
        <v>21441</v>
      </c>
      <c r="R498" s="528">
        <f>M498/J498</f>
        <v>26495.700555555555</v>
      </c>
      <c r="S498" s="388">
        <f t="shared" si="54"/>
        <v>0</v>
      </c>
      <c r="T498" s="416"/>
      <c r="U498" s="391"/>
      <c r="V498" s="539"/>
      <c r="W498" s="387"/>
      <c r="Z498" s="419"/>
    </row>
    <row r="499" spans="1:26" s="401" customFormat="1" ht="46.9" hidden="1" customHeight="1">
      <c r="A499" s="404">
        <f t="shared" si="56"/>
        <v>401</v>
      </c>
      <c r="B499" s="427" t="s">
        <v>3670</v>
      </c>
      <c r="C499" s="455" t="s">
        <v>272</v>
      </c>
      <c r="D499" s="532">
        <v>30850</v>
      </c>
      <c r="E499" s="391">
        <v>567</v>
      </c>
      <c r="F499" s="539" t="s">
        <v>234</v>
      </c>
      <c r="G499" s="535">
        <v>495.8</v>
      </c>
      <c r="H499" s="536">
        <v>12</v>
      </c>
      <c r="I499" s="536">
        <v>1</v>
      </c>
      <c r="J499" s="536">
        <v>65</v>
      </c>
      <c r="K499" s="458" t="s">
        <v>33</v>
      </c>
      <c r="L499" s="529">
        <f t="shared" si="55"/>
        <v>1564584.27</v>
      </c>
      <c r="M499" s="605">
        <v>1532743.27</v>
      </c>
      <c r="N499" s="539"/>
      <c r="O499" s="540">
        <v>11841</v>
      </c>
      <c r="P499" s="388"/>
      <c r="Q499" s="541">
        <v>20000</v>
      </c>
      <c r="R499" s="528">
        <f t="shared" ref="R499:R507" si="57">M499/H499</f>
        <v>127728.60583333333</v>
      </c>
      <c r="S499" s="388">
        <f t="shared" si="54"/>
        <v>0</v>
      </c>
      <c r="T499" s="416"/>
      <c r="U499" s="391"/>
      <c r="V499" s="539"/>
      <c r="W499" s="387"/>
      <c r="Z499" s="419"/>
    </row>
    <row r="500" spans="1:26" s="401" customFormat="1" ht="46.9" hidden="1" customHeight="1">
      <c r="A500" s="404">
        <f t="shared" si="56"/>
        <v>402</v>
      </c>
      <c r="B500" s="427" t="s">
        <v>3671</v>
      </c>
      <c r="C500" s="455" t="s">
        <v>272</v>
      </c>
      <c r="D500" s="532">
        <v>1718</v>
      </c>
      <c r="E500" s="391">
        <v>407.5</v>
      </c>
      <c r="F500" s="539" t="s">
        <v>223</v>
      </c>
      <c r="G500" s="535">
        <v>354</v>
      </c>
      <c r="H500" s="536">
        <v>2</v>
      </c>
      <c r="I500" s="536">
        <v>1</v>
      </c>
      <c r="J500" s="536">
        <v>8</v>
      </c>
      <c r="K500" s="458" t="s">
        <v>33</v>
      </c>
      <c r="L500" s="529">
        <f t="shared" si="55"/>
        <v>971064.93</v>
      </c>
      <c r="M500" s="538">
        <v>960623.93</v>
      </c>
      <c r="N500" s="539"/>
      <c r="O500" s="540">
        <v>1998</v>
      </c>
      <c r="P500" s="388"/>
      <c r="Q500" s="541">
        <v>8443</v>
      </c>
      <c r="R500" s="528">
        <f t="shared" si="57"/>
        <v>480311.96500000003</v>
      </c>
      <c r="S500" s="388">
        <f t="shared" si="54"/>
        <v>0</v>
      </c>
      <c r="T500" s="416"/>
      <c r="U500" s="391"/>
      <c r="V500" s="539"/>
      <c r="W500" s="387"/>
      <c r="Z500" s="419"/>
    </row>
    <row r="501" spans="1:26" s="401" customFormat="1" ht="46.9" hidden="1" customHeight="1">
      <c r="A501" s="404">
        <f t="shared" si="56"/>
        <v>403</v>
      </c>
      <c r="B501" s="427" t="s">
        <v>3672</v>
      </c>
      <c r="C501" s="455" t="s">
        <v>272</v>
      </c>
      <c r="D501" s="532">
        <v>1708</v>
      </c>
      <c r="E501" s="391">
        <v>407.5</v>
      </c>
      <c r="F501" s="539" t="s">
        <v>223</v>
      </c>
      <c r="G501" s="535">
        <v>354</v>
      </c>
      <c r="H501" s="536">
        <v>2</v>
      </c>
      <c r="I501" s="536">
        <v>1</v>
      </c>
      <c r="J501" s="536">
        <v>8</v>
      </c>
      <c r="K501" s="458" t="s">
        <v>33</v>
      </c>
      <c r="L501" s="529">
        <f t="shared" si="55"/>
        <v>1061882.52</v>
      </c>
      <c r="M501" s="538">
        <v>1051522.52</v>
      </c>
      <c r="N501" s="539"/>
      <c r="O501" s="540">
        <v>1996</v>
      </c>
      <c r="P501" s="388"/>
      <c r="Q501" s="541">
        <v>8364</v>
      </c>
      <c r="R501" s="528">
        <f t="shared" si="57"/>
        <v>525761.26</v>
      </c>
      <c r="S501" s="388">
        <f t="shared" si="54"/>
        <v>0</v>
      </c>
      <c r="T501" s="416"/>
      <c r="U501" s="391"/>
      <c r="V501" s="539"/>
      <c r="W501" s="387"/>
      <c r="Z501" s="419"/>
    </row>
    <row r="502" spans="1:26" s="401" customFormat="1" ht="46.9" hidden="1" customHeight="1">
      <c r="A502" s="404">
        <f t="shared" si="56"/>
        <v>404</v>
      </c>
      <c r="B502" s="427" t="s">
        <v>3673</v>
      </c>
      <c r="C502" s="455" t="s">
        <v>272</v>
      </c>
      <c r="D502" s="532">
        <v>1772</v>
      </c>
      <c r="E502" s="391">
        <v>407.5</v>
      </c>
      <c r="F502" s="539" t="s">
        <v>223</v>
      </c>
      <c r="G502" s="535">
        <v>354</v>
      </c>
      <c r="H502" s="536">
        <v>2</v>
      </c>
      <c r="I502" s="536">
        <v>1</v>
      </c>
      <c r="J502" s="536">
        <v>8</v>
      </c>
      <c r="K502" s="458" t="s">
        <v>33</v>
      </c>
      <c r="L502" s="529">
        <f t="shared" si="55"/>
        <v>984056.12</v>
      </c>
      <c r="M502" s="538">
        <v>973371.12</v>
      </c>
      <c r="N502" s="539"/>
      <c r="O502" s="540">
        <v>2008</v>
      </c>
      <c r="P502" s="388"/>
      <c r="Q502" s="541">
        <v>8677</v>
      </c>
      <c r="R502" s="528">
        <f t="shared" si="57"/>
        <v>486685.56</v>
      </c>
      <c r="S502" s="388">
        <f t="shared" si="54"/>
        <v>0</v>
      </c>
      <c r="T502" s="416"/>
      <c r="U502" s="391"/>
      <c r="V502" s="539"/>
      <c r="W502" s="387"/>
      <c r="Z502" s="419"/>
    </row>
    <row r="503" spans="1:26" s="401" customFormat="1" ht="46.9" hidden="1" customHeight="1">
      <c r="A503" s="404">
        <f t="shared" si="56"/>
        <v>405</v>
      </c>
      <c r="B503" s="427" t="s">
        <v>3674</v>
      </c>
      <c r="C503" s="455" t="s">
        <v>272</v>
      </c>
      <c r="D503" s="532">
        <v>1769</v>
      </c>
      <c r="E503" s="391">
        <v>407.5</v>
      </c>
      <c r="F503" s="539" t="s">
        <v>223</v>
      </c>
      <c r="G503" s="535">
        <v>354</v>
      </c>
      <c r="H503" s="536">
        <v>2</v>
      </c>
      <c r="I503" s="536">
        <v>1</v>
      </c>
      <c r="J503" s="536">
        <v>8</v>
      </c>
      <c r="K503" s="458" t="s">
        <v>33</v>
      </c>
      <c r="L503" s="529">
        <f t="shared" si="55"/>
        <v>984039.10000000009</v>
      </c>
      <c r="M503" s="538">
        <v>973369.10000000009</v>
      </c>
      <c r="N503" s="539"/>
      <c r="O503" s="540">
        <v>2008</v>
      </c>
      <c r="P503" s="388"/>
      <c r="Q503" s="541">
        <v>8662</v>
      </c>
      <c r="R503" s="528">
        <f t="shared" si="57"/>
        <v>486684.55000000005</v>
      </c>
      <c r="S503" s="388">
        <f t="shared" si="54"/>
        <v>0</v>
      </c>
      <c r="T503" s="416"/>
      <c r="U503" s="391"/>
      <c r="V503" s="539"/>
      <c r="W503" s="387"/>
      <c r="Z503" s="419"/>
    </row>
    <row r="504" spans="1:26" ht="43.9" hidden="1" customHeight="1">
      <c r="A504" s="404">
        <f t="shared" si="56"/>
        <v>406</v>
      </c>
      <c r="B504" s="591" t="s">
        <v>3892</v>
      </c>
      <c r="C504" s="455" t="s">
        <v>293</v>
      </c>
      <c r="D504" s="446">
        <v>1771</v>
      </c>
      <c r="E504" s="388">
        <v>467.2</v>
      </c>
      <c r="F504" s="391" t="s">
        <v>252</v>
      </c>
      <c r="G504" s="388">
        <v>550</v>
      </c>
      <c r="H504" s="446">
        <v>2</v>
      </c>
      <c r="I504" s="446">
        <v>2</v>
      </c>
      <c r="J504" s="446">
        <v>8</v>
      </c>
      <c r="K504" s="389" t="s">
        <v>33</v>
      </c>
      <c r="L504" s="529">
        <f t="shared" si="55"/>
        <v>984989.72</v>
      </c>
      <c r="M504" s="519">
        <v>974309.72</v>
      </c>
      <c r="N504" s="388"/>
      <c r="O504" s="530">
        <v>2008</v>
      </c>
      <c r="P504" s="388"/>
      <c r="Q504" s="391">
        <v>8672</v>
      </c>
      <c r="R504" s="528">
        <f t="shared" si="57"/>
        <v>487154.86</v>
      </c>
      <c r="S504" s="388">
        <f t="shared" si="54"/>
        <v>0</v>
      </c>
      <c r="T504" s="390"/>
      <c r="U504" s="391"/>
      <c r="V504" s="388"/>
      <c r="W504" s="387"/>
      <c r="Z504" s="419"/>
    </row>
    <row r="505" spans="1:26" ht="43.9" hidden="1" customHeight="1">
      <c r="A505" s="506">
        <f>A504+1</f>
        <v>407</v>
      </c>
      <c r="B505" s="591" t="s">
        <v>3248</v>
      </c>
      <c r="C505" s="455" t="s">
        <v>293</v>
      </c>
      <c r="D505" s="446">
        <v>2893</v>
      </c>
      <c r="E505" s="388">
        <v>627.6</v>
      </c>
      <c r="F505" s="391" t="s">
        <v>252</v>
      </c>
      <c r="G505" s="388">
        <v>666</v>
      </c>
      <c r="H505" s="446">
        <v>2</v>
      </c>
      <c r="I505" s="446">
        <v>2</v>
      </c>
      <c r="J505" s="446">
        <v>16</v>
      </c>
      <c r="K505" s="389" t="s">
        <v>33</v>
      </c>
      <c r="L505" s="529">
        <f t="shared" si="55"/>
        <v>1417793.81</v>
      </c>
      <c r="M505" s="519">
        <v>1401410.81</v>
      </c>
      <c r="N505" s="388"/>
      <c r="O505" s="530">
        <v>2217</v>
      </c>
      <c r="P505" s="388"/>
      <c r="Q505" s="391">
        <v>14166</v>
      </c>
      <c r="R505" s="528">
        <f t="shared" si="57"/>
        <v>700705.40500000003</v>
      </c>
      <c r="S505" s="388">
        <f t="shared" si="54"/>
        <v>0</v>
      </c>
      <c r="T505" s="390"/>
      <c r="U505" s="391"/>
      <c r="V505" s="388"/>
      <c r="W505" s="387"/>
      <c r="Z505" s="419"/>
    </row>
    <row r="506" spans="1:26" ht="43.9" hidden="1" customHeight="1">
      <c r="A506" s="506">
        <f>A505+1</f>
        <v>408</v>
      </c>
      <c r="B506" s="591" t="s">
        <v>3249</v>
      </c>
      <c r="C506" s="455" t="s">
        <v>293</v>
      </c>
      <c r="D506" s="446">
        <v>2853</v>
      </c>
      <c r="E506" s="388">
        <v>603.20000000000005</v>
      </c>
      <c r="F506" s="391" t="s">
        <v>252</v>
      </c>
      <c r="G506" s="388">
        <v>651</v>
      </c>
      <c r="H506" s="446">
        <v>2</v>
      </c>
      <c r="I506" s="446">
        <v>2</v>
      </c>
      <c r="J506" s="446">
        <v>16</v>
      </c>
      <c r="K506" s="389" t="s">
        <v>33</v>
      </c>
      <c r="L506" s="529">
        <f t="shared" si="55"/>
        <v>1321901.8700000001</v>
      </c>
      <c r="M506" s="519">
        <v>1305721.8700000001</v>
      </c>
      <c r="N506" s="388"/>
      <c r="O506" s="530">
        <v>2210</v>
      </c>
      <c r="P506" s="388"/>
      <c r="Q506" s="391">
        <v>13970</v>
      </c>
      <c r="R506" s="528">
        <f t="shared" si="57"/>
        <v>652860.93500000006</v>
      </c>
      <c r="S506" s="388">
        <f t="shared" si="54"/>
        <v>0</v>
      </c>
      <c r="T506" s="390"/>
      <c r="U506" s="391"/>
      <c r="V506" s="388"/>
      <c r="W506" s="387"/>
      <c r="Z506" s="419"/>
    </row>
    <row r="507" spans="1:26" ht="43.9" hidden="1" customHeight="1">
      <c r="A507" s="506">
        <f>A506+1</f>
        <v>409</v>
      </c>
      <c r="B507" s="591" t="s">
        <v>3250</v>
      </c>
      <c r="C507" s="455" t="s">
        <v>293</v>
      </c>
      <c r="D507" s="446">
        <v>2809</v>
      </c>
      <c r="E507" s="388">
        <v>591.4</v>
      </c>
      <c r="F507" s="391" t="s">
        <v>252</v>
      </c>
      <c r="G507" s="388">
        <v>651</v>
      </c>
      <c r="H507" s="446">
        <v>2</v>
      </c>
      <c r="I507" s="446">
        <v>2</v>
      </c>
      <c r="J507" s="446">
        <v>16</v>
      </c>
      <c r="K507" s="389" t="s">
        <v>33</v>
      </c>
      <c r="L507" s="529">
        <f t="shared" si="55"/>
        <v>1255457.52</v>
      </c>
      <c r="M507" s="519">
        <v>1239500.52</v>
      </c>
      <c r="N507" s="388"/>
      <c r="O507" s="530">
        <v>2202</v>
      </c>
      <c r="P507" s="388"/>
      <c r="Q507" s="391">
        <v>13755</v>
      </c>
      <c r="R507" s="528">
        <f t="shared" si="57"/>
        <v>619750.26</v>
      </c>
      <c r="S507" s="388">
        <f t="shared" si="54"/>
        <v>0</v>
      </c>
      <c r="T507" s="390"/>
      <c r="U507" s="391"/>
      <c r="V507" s="388"/>
      <c r="W507" s="387"/>
      <c r="Z507" s="419"/>
    </row>
    <row r="508" spans="1:26" ht="60.75" hidden="1" customHeight="1">
      <c r="A508" s="506">
        <f>A507+1</f>
        <v>410</v>
      </c>
      <c r="B508" s="591" t="s">
        <v>3881</v>
      </c>
      <c r="C508" s="455" t="s">
        <v>272</v>
      </c>
      <c r="D508" s="446">
        <v>23932</v>
      </c>
      <c r="E508" s="388">
        <v>1027</v>
      </c>
      <c r="F508" s="391" t="s">
        <v>234</v>
      </c>
      <c r="G508" s="388">
        <v>1880</v>
      </c>
      <c r="H508" s="446">
        <v>5</v>
      </c>
      <c r="I508" s="446">
        <v>8</v>
      </c>
      <c r="J508" s="446">
        <v>129</v>
      </c>
      <c r="K508" s="389" t="s">
        <v>239</v>
      </c>
      <c r="L508" s="519">
        <f t="shared" si="55"/>
        <v>1098042.8</v>
      </c>
      <c r="M508" s="519">
        <v>1098042.8</v>
      </c>
      <c r="N508" s="388"/>
      <c r="O508" s="530"/>
      <c r="P508" s="388"/>
      <c r="Q508" s="391"/>
      <c r="R508" s="528">
        <f>M508/J508</f>
        <v>8511.9596899224816</v>
      </c>
      <c r="S508" s="388">
        <f t="shared" si="54"/>
        <v>0</v>
      </c>
      <c r="T508" s="390"/>
      <c r="U508" s="391"/>
      <c r="V508" s="388"/>
      <c r="W508" s="387"/>
      <c r="Z508" s="419"/>
    </row>
    <row r="509" spans="1:26" s="416" customFormat="1" ht="56.25" hidden="1" customHeight="1">
      <c r="A509" s="506">
        <f>A508+1</f>
        <v>411</v>
      </c>
      <c r="B509" s="543" t="s">
        <v>1484</v>
      </c>
      <c r="C509" s="455" t="s">
        <v>272</v>
      </c>
      <c r="D509" s="487">
        <v>11467</v>
      </c>
      <c r="E509" s="391">
        <v>2336.8999999999996</v>
      </c>
      <c r="F509" s="391" t="s">
        <v>223</v>
      </c>
      <c r="G509" s="391">
        <v>920.7</v>
      </c>
      <c r="H509" s="528">
        <v>4</v>
      </c>
      <c r="I509" s="528">
        <v>4</v>
      </c>
      <c r="J509" s="528">
        <v>40</v>
      </c>
      <c r="K509" s="458" t="s">
        <v>30</v>
      </c>
      <c r="L509" s="1109">
        <f>M509+N509+O509+P509+Q509+M510+N510+O510+Q510</f>
        <v>5297768.3899999997</v>
      </c>
      <c r="M509" s="391">
        <v>1178568</v>
      </c>
      <c r="N509" s="396"/>
      <c r="O509" s="553">
        <v>12466.36</v>
      </c>
      <c r="P509" s="391"/>
      <c r="Q509" s="396">
        <v>27362.400000000001</v>
      </c>
      <c r="R509" s="528">
        <f>M509/J509</f>
        <v>29464.2</v>
      </c>
      <c r="S509" s="388">
        <f t="shared" si="54"/>
        <v>4079371.63</v>
      </c>
      <c r="T509" s="398"/>
      <c r="U509" s="391"/>
      <c r="V509" s="391"/>
      <c r="W509" s="387"/>
      <c r="Z509" s="419"/>
    </row>
    <row r="510" spans="1:26" s="982" customFormat="1" ht="56.25" hidden="1" customHeight="1">
      <c r="A510" s="628"/>
      <c r="B510" s="629"/>
      <c r="C510" s="630"/>
      <c r="D510" s="631"/>
      <c r="E510" s="632"/>
      <c r="F510" s="632"/>
      <c r="G510" s="632"/>
      <c r="H510" s="633"/>
      <c r="I510" s="633"/>
      <c r="J510" s="633"/>
      <c r="K510" s="634" t="s">
        <v>33</v>
      </c>
      <c r="L510" s="1109"/>
      <c r="M510" s="529">
        <v>4064411.8</v>
      </c>
      <c r="N510" s="632"/>
      <c r="O510" s="553">
        <v>14959.83</v>
      </c>
      <c r="P510" s="632"/>
      <c r="Q510" s="632"/>
      <c r="R510" s="633">
        <f>M510/G509</f>
        <v>4414.4800695123267</v>
      </c>
      <c r="S510" s="388">
        <f t="shared" si="54"/>
        <v>-4079371.63</v>
      </c>
      <c r="T510" s="402"/>
      <c r="U510" s="391"/>
      <c r="V510" s="391"/>
      <c r="W510" s="387"/>
      <c r="Z510" s="419"/>
    </row>
    <row r="511" spans="1:26" ht="43.9" hidden="1" customHeight="1">
      <c r="A511" s="506">
        <f>A509+1</f>
        <v>412</v>
      </c>
      <c r="B511" s="591" t="s">
        <v>3271</v>
      </c>
      <c r="C511" s="455" t="s">
        <v>272</v>
      </c>
      <c r="D511" s="446">
        <v>2291</v>
      </c>
      <c r="E511" s="388">
        <v>550.1</v>
      </c>
      <c r="F511" s="391" t="s">
        <v>223</v>
      </c>
      <c r="G511" s="388">
        <v>445</v>
      </c>
      <c r="H511" s="446">
        <v>2</v>
      </c>
      <c r="I511" s="446">
        <v>2</v>
      </c>
      <c r="J511" s="446">
        <v>8</v>
      </c>
      <c r="K511" s="389" t="s">
        <v>33</v>
      </c>
      <c r="L511" s="519">
        <f>M511+N511+O511+P511+Q511</f>
        <v>1291894.81</v>
      </c>
      <c r="M511" s="519">
        <v>1278571.81</v>
      </c>
      <c r="N511" s="388"/>
      <c r="O511" s="530">
        <v>2105</v>
      </c>
      <c r="P511" s="388"/>
      <c r="Q511" s="391">
        <v>11218</v>
      </c>
      <c r="R511" s="528">
        <f>M511/G511</f>
        <v>2873.1950786516854</v>
      </c>
      <c r="S511" s="388">
        <f t="shared" si="54"/>
        <v>0</v>
      </c>
      <c r="T511" s="390"/>
      <c r="U511" s="391"/>
      <c r="V511" s="388"/>
      <c r="W511" s="387"/>
      <c r="Z511" s="419"/>
    </row>
    <row r="512" spans="1:26" ht="43.9" hidden="1" customHeight="1">
      <c r="A512" s="506">
        <f>A511+1</f>
        <v>413</v>
      </c>
      <c r="B512" s="591" t="s">
        <v>3272</v>
      </c>
      <c r="C512" s="455" t="s">
        <v>272</v>
      </c>
      <c r="D512" s="446">
        <v>2288</v>
      </c>
      <c r="E512" s="388">
        <v>550.1</v>
      </c>
      <c r="F512" s="391" t="s">
        <v>223</v>
      </c>
      <c r="G512" s="388">
        <v>445</v>
      </c>
      <c r="H512" s="446">
        <v>2</v>
      </c>
      <c r="I512" s="446">
        <v>2</v>
      </c>
      <c r="J512" s="446">
        <v>8</v>
      </c>
      <c r="K512" s="389" t="s">
        <v>33</v>
      </c>
      <c r="L512" s="519">
        <f>M512+N512+O512+P512+Q512</f>
        <v>1284876.54</v>
      </c>
      <c r="M512" s="519">
        <v>1271567.54</v>
      </c>
      <c r="N512" s="388"/>
      <c r="O512" s="530">
        <v>2105</v>
      </c>
      <c r="P512" s="388"/>
      <c r="Q512" s="391">
        <v>11204</v>
      </c>
      <c r="R512" s="528">
        <f>M512/G512</f>
        <v>2857.4551460674156</v>
      </c>
      <c r="S512" s="388">
        <f t="shared" si="54"/>
        <v>0</v>
      </c>
      <c r="T512" s="390"/>
      <c r="U512" s="391"/>
      <c r="V512" s="388"/>
      <c r="W512" s="387"/>
      <c r="Z512" s="419"/>
    </row>
    <row r="513" spans="1:219" ht="43.9" hidden="1" customHeight="1">
      <c r="A513" s="506">
        <f t="shared" ref="A513:A519" si="58">A512+1</f>
        <v>414</v>
      </c>
      <c r="B513" s="591" t="s">
        <v>3270</v>
      </c>
      <c r="C513" s="455" t="s">
        <v>272</v>
      </c>
      <c r="D513" s="446">
        <v>2768</v>
      </c>
      <c r="E513" s="388">
        <v>653</v>
      </c>
      <c r="F513" s="391" t="s">
        <v>223</v>
      </c>
      <c r="G513" s="388">
        <v>418</v>
      </c>
      <c r="H513" s="446">
        <v>2</v>
      </c>
      <c r="I513" s="446">
        <v>1</v>
      </c>
      <c r="J513" s="446">
        <v>10</v>
      </c>
      <c r="K513" s="389" t="s">
        <v>33</v>
      </c>
      <c r="L513" s="519">
        <f>M513+N513+O513+P513+Q513</f>
        <v>1174030.78</v>
      </c>
      <c r="M513" s="519">
        <v>1158282.78</v>
      </c>
      <c r="N513" s="388"/>
      <c r="O513" s="530">
        <v>2194</v>
      </c>
      <c r="P513" s="388"/>
      <c r="Q513" s="391">
        <v>13554</v>
      </c>
      <c r="R513" s="528">
        <f>M513/G513</f>
        <v>2771.0114354066986</v>
      </c>
      <c r="S513" s="388">
        <f t="shared" si="54"/>
        <v>0</v>
      </c>
      <c r="T513" s="390"/>
      <c r="U513" s="391"/>
      <c r="V513" s="388"/>
      <c r="W513" s="387"/>
      <c r="Z513" s="419"/>
    </row>
    <row r="514" spans="1:219" ht="43.9" hidden="1" customHeight="1">
      <c r="A514" s="506">
        <f t="shared" si="58"/>
        <v>415</v>
      </c>
      <c r="B514" s="622" t="s">
        <v>3666</v>
      </c>
      <c r="C514" s="615" t="s">
        <v>230</v>
      </c>
      <c r="D514" s="635">
        <v>1536</v>
      </c>
      <c r="E514" s="396">
        <v>337.24</v>
      </c>
      <c r="F514" s="573" t="s">
        <v>231</v>
      </c>
      <c r="G514" s="624">
        <v>316</v>
      </c>
      <c r="H514" s="625">
        <v>2</v>
      </c>
      <c r="I514" s="625">
        <v>1</v>
      </c>
      <c r="J514" s="625">
        <v>8</v>
      </c>
      <c r="K514" s="554" t="s">
        <v>225</v>
      </c>
      <c r="L514" s="396">
        <f>M514+N514+O514+P514+Q514</f>
        <v>136586.22</v>
      </c>
      <c r="M514" s="573">
        <v>113902.41</v>
      </c>
      <c r="N514" s="573">
        <v>22683.81</v>
      </c>
      <c r="O514" s="573"/>
      <c r="P514" s="394"/>
      <c r="Q514" s="620"/>
      <c r="R514" s="626"/>
      <c r="S514" s="388"/>
      <c r="T514" s="390"/>
      <c r="U514" s="391"/>
      <c r="V514" s="539"/>
      <c r="W514" s="387"/>
      <c r="Z514" s="419"/>
    </row>
    <row r="515" spans="1:219" ht="43.9" hidden="1" customHeight="1">
      <c r="A515" s="506">
        <f t="shared" si="58"/>
        <v>416</v>
      </c>
      <c r="B515" s="410" t="s">
        <v>3282</v>
      </c>
      <c r="C515" s="615" t="s">
        <v>293</v>
      </c>
      <c r="D515" s="636">
        <v>4076</v>
      </c>
      <c r="E515" s="396">
        <v>800</v>
      </c>
      <c r="F515" s="396" t="s">
        <v>252</v>
      </c>
      <c r="G515" s="396">
        <v>883</v>
      </c>
      <c r="H515" s="626">
        <v>2</v>
      </c>
      <c r="I515" s="626">
        <v>3</v>
      </c>
      <c r="J515" s="626">
        <v>24</v>
      </c>
      <c r="K515" s="554" t="s">
        <v>33</v>
      </c>
      <c r="L515" s="394">
        <f>M515+N515+O515+Q515</f>
        <v>2139838.85</v>
      </c>
      <c r="M515" s="396">
        <v>2123234.85</v>
      </c>
      <c r="N515" s="396"/>
      <c r="O515" s="396">
        <v>16604</v>
      </c>
      <c r="P515" s="396"/>
      <c r="Q515" s="396"/>
      <c r="R515" s="626">
        <v>2200</v>
      </c>
      <c r="S515" s="388"/>
      <c r="T515" s="390"/>
      <c r="U515" s="391"/>
      <c r="V515" s="391"/>
      <c r="W515" s="387"/>
      <c r="Z515" s="419"/>
    </row>
    <row r="516" spans="1:219" ht="61.5" hidden="1" customHeight="1">
      <c r="A516" s="506">
        <f t="shared" si="58"/>
        <v>417</v>
      </c>
      <c r="B516" s="410" t="s">
        <v>1569</v>
      </c>
      <c r="C516" s="615" t="s">
        <v>272</v>
      </c>
      <c r="D516" s="636">
        <v>2379</v>
      </c>
      <c r="E516" s="396">
        <v>498</v>
      </c>
      <c r="F516" s="396" t="s">
        <v>223</v>
      </c>
      <c r="G516" s="396">
        <v>429</v>
      </c>
      <c r="H516" s="626">
        <v>2</v>
      </c>
      <c r="I516" s="626">
        <v>2</v>
      </c>
      <c r="J516" s="626">
        <v>16</v>
      </c>
      <c r="K516" s="554" t="s">
        <v>30</v>
      </c>
      <c r="L516" s="394">
        <f>M516+N516+O516+P516+Q516</f>
        <v>294199.46999999997</v>
      </c>
      <c r="M516" s="396">
        <v>272461</v>
      </c>
      <c r="N516" s="396"/>
      <c r="O516" s="394">
        <v>21738.47</v>
      </c>
      <c r="P516" s="396"/>
      <c r="Q516" s="396"/>
      <c r="R516" s="626"/>
      <c r="S516" s="388"/>
      <c r="T516" s="390"/>
      <c r="U516" s="391"/>
      <c r="V516" s="391"/>
      <c r="W516" s="387"/>
      <c r="Z516" s="419"/>
    </row>
    <row r="517" spans="1:219" ht="61.5" hidden="1" customHeight="1">
      <c r="A517" s="506">
        <f t="shared" si="58"/>
        <v>418</v>
      </c>
      <c r="B517" s="410" t="s">
        <v>1724</v>
      </c>
      <c r="C517" s="615" t="s">
        <v>272</v>
      </c>
      <c r="D517" s="636">
        <v>4070</v>
      </c>
      <c r="E517" s="396">
        <v>558</v>
      </c>
      <c r="F517" s="396" t="s">
        <v>231</v>
      </c>
      <c r="G517" s="396">
        <v>635.9</v>
      </c>
      <c r="H517" s="626">
        <v>2</v>
      </c>
      <c r="I517" s="626">
        <v>2</v>
      </c>
      <c r="J517" s="626">
        <v>17</v>
      </c>
      <c r="K517" s="554" t="s">
        <v>30</v>
      </c>
      <c r="L517" s="394">
        <f>M517+N517+O517+P517+Q517</f>
        <v>351062.20999999996</v>
      </c>
      <c r="M517" s="396">
        <v>329270.74</v>
      </c>
      <c r="N517" s="396"/>
      <c r="O517" s="394">
        <v>21791.47</v>
      </c>
      <c r="P517" s="396"/>
      <c r="Q517" s="396"/>
      <c r="R517" s="626"/>
      <c r="S517" s="388"/>
      <c r="T517" s="390"/>
      <c r="U517" s="391"/>
      <c r="V517" s="391"/>
      <c r="W517" s="387"/>
      <c r="Z517" s="419"/>
    </row>
    <row r="518" spans="1:219" ht="61.5" hidden="1" customHeight="1">
      <c r="A518" s="506">
        <f t="shared" si="58"/>
        <v>419</v>
      </c>
      <c r="B518" s="410" t="s">
        <v>1729</v>
      </c>
      <c r="C518" s="615" t="s">
        <v>272</v>
      </c>
      <c r="D518" s="636">
        <v>1815</v>
      </c>
      <c r="E518" s="396">
        <v>420</v>
      </c>
      <c r="F518" s="396" t="s">
        <v>231</v>
      </c>
      <c r="G518" s="396">
        <v>245</v>
      </c>
      <c r="H518" s="626">
        <v>2</v>
      </c>
      <c r="I518" s="626">
        <v>1</v>
      </c>
      <c r="J518" s="626">
        <v>8</v>
      </c>
      <c r="K518" s="554" t="s">
        <v>30</v>
      </c>
      <c r="L518" s="394">
        <f>M518+N518+O518+P518+Q518</f>
        <v>265573.7</v>
      </c>
      <c r="M518" s="396">
        <v>246050.08</v>
      </c>
      <c r="N518" s="396"/>
      <c r="O518" s="394">
        <v>19523.62</v>
      </c>
      <c r="P518" s="396"/>
      <c r="Q518" s="396"/>
      <c r="R518" s="626"/>
      <c r="S518" s="388"/>
      <c r="T518" s="390"/>
      <c r="U518" s="391"/>
      <c r="V518" s="391"/>
      <c r="W518" s="387"/>
      <c r="Z518" s="419"/>
    </row>
    <row r="519" spans="1:219" ht="61.5" hidden="1" customHeight="1">
      <c r="A519" s="506">
        <f t="shared" si="58"/>
        <v>420</v>
      </c>
      <c r="B519" s="410" t="s">
        <v>1730</v>
      </c>
      <c r="C519" s="615" t="s">
        <v>272</v>
      </c>
      <c r="D519" s="636">
        <v>1200</v>
      </c>
      <c r="E519" s="396">
        <v>390</v>
      </c>
      <c r="F519" s="396" t="s">
        <v>231</v>
      </c>
      <c r="G519" s="396">
        <v>180.6</v>
      </c>
      <c r="H519" s="626">
        <v>2</v>
      </c>
      <c r="I519" s="626">
        <v>1</v>
      </c>
      <c r="J519" s="626">
        <v>8</v>
      </c>
      <c r="K519" s="554" t="s">
        <v>30</v>
      </c>
      <c r="L519" s="394">
        <f>M519+N519+O519+P519+Q519</f>
        <v>157925.19999999998</v>
      </c>
      <c r="M519" s="396">
        <v>138416.57999999999</v>
      </c>
      <c r="N519" s="396"/>
      <c r="O519" s="394">
        <v>19508.62</v>
      </c>
      <c r="P519" s="396"/>
      <c r="Q519" s="396"/>
      <c r="R519" s="626"/>
      <c r="S519" s="388"/>
      <c r="T519" s="390"/>
      <c r="U519" s="391"/>
      <c r="V519" s="391"/>
      <c r="W519" s="387"/>
      <c r="Z519" s="419"/>
    </row>
    <row r="520" spans="1:219" s="431" customFormat="1" ht="57" hidden="1" customHeight="1">
      <c r="A520" s="1112" t="s">
        <v>209</v>
      </c>
      <c r="B520" s="1112"/>
      <c r="C520" s="446" t="s">
        <v>28</v>
      </c>
      <c r="D520" s="637">
        <f>SUM(D14:D519)</f>
        <v>6474382.3100000005</v>
      </c>
      <c r="E520" s="637">
        <f>SUM(E14:E519)</f>
        <v>1053124.9899999998</v>
      </c>
      <c r="F520" s="637" t="s">
        <v>28</v>
      </c>
      <c r="G520" s="637">
        <f>SUM(G14:G519)</f>
        <v>404363.7</v>
      </c>
      <c r="H520" s="638" t="s">
        <v>28</v>
      </c>
      <c r="I520" s="638" t="s">
        <v>28</v>
      </c>
      <c r="J520" s="638">
        <f>SUM(J14:J519)</f>
        <v>30298</v>
      </c>
      <c r="K520" s="458" t="s">
        <v>28</v>
      </c>
      <c r="L520" s="639">
        <f t="shared" ref="L520:Q520" si="59">SUM(L14:L519)</f>
        <v>1318476124.4699993</v>
      </c>
      <c r="M520" s="639">
        <f t="shared" si="59"/>
        <v>1304583626.0799992</v>
      </c>
      <c r="N520" s="637">
        <f t="shared" si="59"/>
        <v>10378423.139999999</v>
      </c>
      <c r="O520" s="640">
        <f t="shared" si="59"/>
        <v>2434408.19</v>
      </c>
      <c r="P520" s="637">
        <f t="shared" si="59"/>
        <v>0</v>
      </c>
      <c r="Q520" s="637">
        <f t="shared" si="59"/>
        <v>1079667.06</v>
      </c>
      <c r="R520" s="382" t="s">
        <v>28</v>
      </c>
      <c r="S520" s="388">
        <f>L520-M520-N520-O520-P520-Q520</f>
        <v>1.0617077350616455E-7</v>
      </c>
      <c r="T520" s="387" t="e">
        <f>'1.перечень МКД'!#REF!</f>
        <v>#REF!</v>
      </c>
      <c r="U520" s="390" t="e">
        <f>L520-T520</f>
        <v>#REF!</v>
      </c>
      <c r="V520" s="983"/>
      <c r="W520" s="984"/>
      <c r="X520" s="984"/>
      <c r="Y520" s="419">
        <f t="shared" ref="Y520:Y583" si="60">M520+N520+O520+Q520</f>
        <v>1318476124.4699993</v>
      </c>
      <c r="Z520" s="419"/>
      <c r="AA520" s="502"/>
      <c r="AB520" s="985"/>
      <c r="AC520" s="499"/>
      <c r="AD520" s="499"/>
      <c r="AE520" s="499"/>
      <c r="AF520" s="986"/>
      <c r="AG520" s="986"/>
      <c r="AH520" s="986"/>
      <c r="AI520" s="987"/>
      <c r="AJ520" s="500"/>
      <c r="AK520" s="988"/>
      <c r="AL520" s="989"/>
      <c r="AM520" s="984"/>
      <c r="AN520" s="984"/>
      <c r="AO520" s="984"/>
      <c r="AP520" s="502"/>
      <c r="AQ520" s="502"/>
      <c r="AR520" s="502"/>
      <c r="AS520" s="502"/>
      <c r="AT520" s="985"/>
      <c r="AU520" s="499"/>
      <c r="AV520" s="499"/>
      <c r="AW520" s="499"/>
      <c r="AX520" s="986"/>
      <c r="AY520" s="986"/>
      <c r="AZ520" s="986"/>
      <c r="BA520" s="987"/>
      <c r="BB520" s="500"/>
      <c r="BC520" s="988"/>
      <c r="BD520" s="989"/>
      <c r="BE520" s="984"/>
      <c r="BF520" s="984"/>
      <c r="BG520" s="984"/>
      <c r="BH520" s="502"/>
      <c r="BI520" s="502"/>
      <c r="BJ520" s="502"/>
      <c r="BK520" s="502"/>
      <c r="BL520" s="985"/>
      <c r="BM520" s="499"/>
      <c r="BN520" s="499"/>
      <c r="BO520" s="499"/>
      <c r="BP520" s="986"/>
      <c r="BQ520" s="986"/>
      <c r="BR520" s="986"/>
      <c r="BS520" s="987"/>
      <c r="BT520" s="500"/>
      <c r="BU520" s="988"/>
      <c r="BV520" s="989"/>
      <c r="BW520" s="984"/>
      <c r="BX520" s="984"/>
      <c r="BY520" s="984"/>
      <c r="BZ520" s="502"/>
      <c r="CA520" s="502"/>
      <c r="CB520" s="502"/>
      <c r="CC520" s="502"/>
      <c r="CD520" s="985"/>
      <c r="CE520" s="499"/>
      <c r="CF520" s="499"/>
      <c r="CG520" s="499"/>
      <c r="CH520" s="986"/>
      <c r="CI520" s="986"/>
      <c r="CJ520" s="986"/>
      <c r="CK520" s="987"/>
      <c r="CL520" s="500"/>
      <c r="CM520" s="988"/>
      <c r="CN520" s="989"/>
      <c r="CO520" s="984"/>
      <c r="CP520" s="984"/>
      <c r="CQ520" s="984"/>
      <c r="CR520" s="502"/>
      <c r="CS520" s="502"/>
      <c r="CT520" s="502"/>
      <c r="CU520" s="502"/>
      <c r="CV520" s="985"/>
      <c r="CW520" s="499"/>
      <c r="CX520" s="499"/>
      <c r="CY520" s="499"/>
      <c r="CZ520" s="986"/>
      <c r="DA520" s="986"/>
      <c r="DB520" s="986"/>
      <c r="DC520" s="987"/>
      <c r="DD520" s="500"/>
      <c r="DE520" s="988"/>
      <c r="DF520" s="989"/>
      <c r="DG520" s="984"/>
      <c r="DH520" s="984"/>
      <c r="DI520" s="984"/>
      <c r="DJ520" s="502"/>
      <c r="DK520" s="502"/>
      <c r="DL520" s="502"/>
      <c r="DM520" s="502"/>
      <c r="DN520" s="985"/>
      <c r="DO520" s="499"/>
      <c r="DP520" s="499"/>
      <c r="DQ520" s="499"/>
      <c r="DR520" s="986"/>
      <c r="DS520" s="986"/>
      <c r="DT520" s="986"/>
      <c r="DU520" s="987"/>
      <c r="DV520" s="500"/>
      <c r="DW520" s="988"/>
      <c r="DX520" s="989"/>
      <c r="DY520" s="984"/>
      <c r="DZ520" s="984"/>
      <c r="EA520" s="984"/>
      <c r="EB520" s="502"/>
      <c r="EC520" s="502"/>
      <c r="ED520" s="502"/>
      <c r="EE520" s="502"/>
      <c r="EF520" s="985"/>
      <c r="EG520" s="499"/>
      <c r="EH520" s="499"/>
      <c r="EI520" s="499"/>
      <c r="EJ520" s="986"/>
      <c r="EK520" s="986"/>
      <c r="EL520" s="986"/>
      <c r="EM520" s="987"/>
      <c r="EN520" s="500"/>
      <c r="EO520" s="988"/>
      <c r="EP520" s="989"/>
      <c r="EQ520" s="984"/>
      <c r="ER520" s="984"/>
      <c r="ES520" s="984"/>
      <c r="ET520" s="502"/>
      <c r="EU520" s="502"/>
      <c r="EV520" s="502"/>
      <c r="EW520" s="502"/>
      <c r="EX520" s="985"/>
      <c r="EY520" s="499"/>
      <c r="EZ520" s="499"/>
      <c r="FA520" s="499"/>
      <c r="FB520" s="986"/>
      <c r="FC520" s="986"/>
      <c r="FD520" s="986"/>
      <c r="FE520" s="987"/>
      <c r="FF520" s="500"/>
      <c r="FG520" s="988"/>
      <c r="FH520" s="989"/>
      <c r="FI520" s="984"/>
      <c r="FJ520" s="984"/>
      <c r="FK520" s="984"/>
      <c r="FL520" s="502"/>
      <c r="FM520" s="502"/>
      <c r="FN520" s="502"/>
      <c r="FO520" s="502"/>
      <c r="FP520" s="985"/>
      <c r="FQ520" s="499"/>
      <c r="FR520" s="499"/>
      <c r="FS520" s="499"/>
      <c r="FT520" s="986"/>
      <c r="FU520" s="986"/>
      <c r="FV520" s="986"/>
      <c r="FW520" s="987"/>
      <c r="FX520" s="500"/>
      <c r="FY520" s="988"/>
      <c r="FZ520" s="989"/>
      <c r="GA520" s="984"/>
      <c r="GB520" s="984"/>
      <c r="GC520" s="984"/>
      <c r="GD520" s="502"/>
      <c r="GE520" s="502"/>
      <c r="GF520" s="502"/>
      <c r="GG520" s="502"/>
      <c r="GH520" s="985"/>
      <c r="GI520" s="499"/>
      <c r="GJ520" s="499"/>
      <c r="GK520" s="499"/>
      <c r="GL520" s="986"/>
      <c r="GM520" s="986"/>
      <c r="GN520" s="986"/>
      <c r="GO520" s="987"/>
      <c r="GP520" s="500"/>
      <c r="GQ520" s="988"/>
      <c r="GR520" s="989"/>
      <c r="GS520" s="984"/>
      <c r="GT520" s="984"/>
      <c r="GU520" s="984"/>
      <c r="GV520" s="502"/>
      <c r="GW520" s="502"/>
      <c r="GX520" s="502"/>
      <c r="GY520" s="502"/>
      <c r="GZ520" s="985"/>
      <c r="HA520" s="499"/>
      <c r="HB520" s="499"/>
      <c r="HC520" s="499"/>
      <c r="HD520" s="986"/>
      <c r="HE520" s="986"/>
      <c r="HF520" s="986"/>
      <c r="HG520" s="987"/>
      <c r="HH520" s="500"/>
      <c r="HI520" s="988"/>
      <c r="HJ520" s="989"/>
      <c r="HK520" s="984"/>
    </row>
    <row r="521" spans="1:219" s="431" customFormat="1" ht="18.75" hidden="1" customHeight="1">
      <c r="A521" s="1126" t="s">
        <v>138</v>
      </c>
      <c r="B521" s="1126"/>
      <c r="C521" s="1126"/>
      <c r="D521" s="1126"/>
      <c r="E521" s="1126"/>
      <c r="F521" s="1126"/>
      <c r="G521" s="1126"/>
      <c r="H521" s="1126"/>
      <c r="I521" s="1126"/>
      <c r="J521" s="1126"/>
      <c r="K521" s="1126"/>
      <c r="L521" s="1126"/>
      <c r="M521" s="1126"/>
      <c r="N521" s="1126"/>
      <c r="O521" s="1126"/>
      <c r="P521" s="1126"/>
      <c r="Q521" s="1126"/>
      <c r="R521" s="1126"/>
      <c r="S521" s="383"/>
      <c r="T521" s="387"/>
      <c r="U521" s="390"/>
      <c r="V521" s="390"/>
      <c r="W521" s="984"/>
      <c r="X521" s="984"/>
      <c r="Y521" s="419">
        <f t="shared" si="60"/>
        <v>0</v>
      </c>
      <c r="Z521" s="419"/>
      <c r="AA521" s="502"/>
      <c r="AB521" s="985"/>
      <c r="AC521" s="499"/>
      <c r="AD521" s="499"/>
      <c r="AE521" s="499"/>
      <c r="AF521" s="986"/>
      <c r="AG521" s="986"/>
      <c r="AH521" s="986"/>
      <c r="AI521" s="987"/>
      <c r="AJ521" s="500"/>
      <c r="AK521" s="988"/>
      <c r="AL521" s="989"/>
      <c r="AM521" s="984"/>
      <c r="AN521" s="984"/>
      <c r="AO521" s="984"/>
      <c r="AP521" s="502"/>
      <c r="AQ521" s="502"/>
      <c r="AR521" s="502"/>
      <c r="AS521" s="502"/>
      <c r="AT521" s="985"/>
      <c r="AU521" s="499"/>
      <c r="AV521" s="499"/>
      <c r="AW521" s="499"/>
      <c r="AX521" s="986"/>
      <c r="AY521" s="986"/>
      <c r="AZ521" s="986"/>
      <c r="BA521" s="987"/>
      <c r="BB521" s="500"/>
      <c r="BC521" s="988"/>
      <c r="BD521" s="989"/>
      <c r="BE521" s="984"/>
      <c r="BF521" s="984"/>
      <c r="BG521" s="984"/>
      <c r="BH521" s="502"/>
      <c r="BI521" s="502"/>
      <c r="BJ521" s="502"/>
      <c r="BK521" s="502"/>
      <c r="BL521" s="985"/>
      <c r="BM521" s="499"/>
      <c r="BN521" s="499"/>
      <c r="BO521" s="499"/>
      <c r="BP521" s="986"/>
      <c r="BQ521" s="986"/>
      <c r="BR521" s="986"/>
      <c r="BS521" s="987"/>
      <c r="BT521" s="500"/>
      <c r="BU521" s="988"/>
      <c r="BV521" s="989"/>
      <c r="BW521" s="984"/>
      <c r="BX521" s="984"/>
      <c r="BY521" s="984"/>
      <c r="BZ521" s="502"/>
      <c r="CA521" s="502"/>
      <c r="CB521" s="502"/>
      <c r="CC521" s="502"/>
      <c r="CD521" s="985"/>
      <c r="CE521" s="499"/>
      <c r="CF521" s="499"/>
      <c r="CG521" s="499"/>
      <c r="CH521" s="986"/>
      <c r="CI521" s="986"/>
      <c r="CJ521" s="986"/>
      <c r="CK521" s="987"/>
      <c r="CL521" s="500"/>
      <c r="CM521" s="988"/>
      <c r="CN521" s="989"/>
      <c r="CO521" s="984"/>
      <c r="CP521" s="984"/>
      <c r="CQ521" s="984"/>
      <c r="CR521" s="502"/>
      <c r="CS521" s="502"/>
      <c r="CT521" s="502"/>
      <c r="CU521" s="502"/>
      <c r="CV521" s="985"/>
      <c r="CW521" s="499"/>
      <c r="CX521" s="499"/>
      <c r="CY521" s="499"/>
      <c r="CZ521" s="986"/>
      <c r="DA521" s="986"/>
      <c r="DB521" s="986"/>
      <c r="DC521" s="987"/>
      <c r="DD521" s="500"/>
      <c r="DE521" s="988"/>
      <c r="DF521" s="989"/>
      <c r="DG521" s="984"/>
      <c r="DH521" s="984"/>
      <c r="DI521" s="984"/>
      <c r="DJ521" s="502"/>
      <c r="DK521" s="502"/>
      <c r="DL521" s="502"/>
      <c r="DM521" s="502"/>
      <c r="DN521" s="985"/>
      <c r="DO521" s="499"/>
      <c r="DP521" s="499"/>
      <c r="DQ521" s="499"/>
      <c r="DR521" s="986"/>
      <c r="DS521" s="986"/>
      <c r="DT521" s="986"/>
      <c r="DU521" s="987"/>
      <c r="DV521" s="500"/>
      <c r="DW521" s="988"/>
      <c r="DX521" s="989"/>
      <c r="DY521" s="984"/>
      <c r="DZ521" s="984"/>
      <c r="EA521" s="984"/>
      <c r="EB521" s="502"/>
      <c r="EC521" s="502"/>
      <c r="ED521" s="502"/>
      <c r="EE521" s="502"/>
      <c r="EF521" s="985"/>
      <c r="EG521" s="499"/>
      <c r="EH521" s="499"/>
      <c r="EI521" s="499"/>
      <c r="EJ521" s="986"/>
      <c r="EK521" s="986"/>
      <c r="EL521" s="986"/>
      <c r="EM521" s="987"/>
      <c r="EN521" s="500"/>
      <c r="EO521" s="988"/>
      <c r="EP521" s="989"/>
      <c r="EQ521" s="984"/>
      <c r="ER521" s="984"/>
      <c r="ES521" s="984"/>
      <c r="ET521" s="502"/>
      <c r="EU521" s="502"/>
      <c r="EV521" s="502"/>
      <c r="EW521" s="502"/>
      <c r="EX521" s="985"/>
      <c r="EY521" s="499"/>
      <c r="EZ521" s="499"/>
      <c r="FA521" s="499"/>
      <c r="FB521" s="986"/>
      <c r="FC521" s="986"/>
      <c r="FD521" s="986"/>
      <c r="FE521" s="987"/>
      <c r="FF521" s="500"/>
      <c r="FG521" s="988"/>
      <c r="FH521" s="989"/>
      <c r="FI521" s="984"/>
      <c r="FJ521" s="984"/>
      <c r="FK521" s="984"/>
      <c r="FL521" s="502"/>
      <c r="FM521" s="502"/>
      <c r="FN521" s="502"/>
      <c r="FO521" s="502"/>
      <c r="FP521" s="985"/>
      <c r="FQ521" s="499"/>
      <c r="FR521" s="499"/>
      <c r="FS521" s="499"/>
      <c r="FT521" s="986"/>
      <c r="FU521" s="986"/>
      <c r="FV521" s="986"/>
      <c r="FW521" s="987"/>
      <c r="FX521" s="500"/>
      <c r="FY521" s="988"/>
      <c r="FZ521" s="989"/>
      <c r="GA521" s="984"/>
      <c r="GB521" s="984"/>
      <c r="GC521" s="984"/>
      <c r="GD521" s="502"/>
      <c r="GE521" s="502"/>
      <c r="GF521" s="502"/>
      <c r="GG521" s="502"/>
      <c r="GH521" s="985"/>
      <c r="GI521" s="499"/>
      <c r="GJ521" s="499"/>
      <c r="GK521" s="499"/>
      <c r="GL521" s="986"/>
      <c r="GM521" s="986"/>
      <c r="GN521" s="986"/>
      <c r="GO521" s="987"/>
      <c r="GP521" s="500"/>
      <c r="GQ521" s="988"/>
      <c r="GR521" s="989"/>
      <c r="GS521" s="984"/>
      <c r="GT521" s="984"/>
      <c r="GU521" s="984"/>
      <c r="GV521" s="502"/>
      <c r="GW521" s="502"/>
      <c r="GX521" s="502"/>
      <c r="GY521" s="502"/>
      <c r="GZ521" s="985"/>
      <c r="HA521" s="499"/>
      <c r="HB521" s="499"/>
      <c r="HC521" s="499"/>
      <c r="HD521" s="986"/>
      <c r="HE521" s="986"/>
      <c r="HF521" s="986"/>
      <c r="HG521" s="987"/>
      <c r="HH521" s="500"/>
      <c r="HI521" s="988"/>
      <c r="HJ521" s="989"/>
      <c r="HK521" s="984"/>
    </row>
    <row r="522" spans="1:219" s="431" customFormat="1" ht="50.25" hidden="1" customHeight="1">
      <c r="A522" s="1133" t="s">
        <v>137</v>
      </c>
      <c r="B522" s="1133"/>
      <c r="C522" s="382" t="s">
        <v>28</v>
      </c>
      <c r="D522" s="383">
        <f>D531+D603+D678+D686+D689+D694+D699+D741+D744+D748+D771+D775+D793+D798+D801+D809+D813+D841+D844+D849+D855+D872+D875+D878+D885+D888+D893+D896+D899+D903+D907+D910+D959+D975+D985+D998+D1006+D1021</f>
        <v>3929924.4456000002</v>
      </c>
      <c r="E522" s="383">
        <f>E531+E603+E678+E686+E689+E694+E699+E741+E744+E748+E771+E775+E793+E798+E801+E809+E813+E841+E844+E849+E855+E872+E875+E878+E885+E888+E893+E896+E899+E903+E907+E910+E959+E975+E985+E998+E1006+E1021</f>
        <v>833881.20999999961</v>
      </c>
      <c r="F522" s="383" t="s">
        <v>28</v>
      </c>
      <c r="G522" s="383">
        <f>G531+G603+G678+G686+G689+G694+G699+G741+G744+G748+G771+G775+G793+G798+G801+G809+G813+G841+G844+G849+G855+G872+G875+G878+G885+G888+G893+G896+G899+G903+G907+G910+G959+G975+G985+G998+G1006+G1021</f>
        <v>381928.42500000005</v>
      </c>
      <c r="H522" s="382" t="s">
        <v>28</v>
      </c>
      <c r="I522" s="382" t="s">
        <v>28</v>
      </c>
      <c r="J522" s="382">
        <f>J531+J603+J678+J686+J689+J694+J699+J741+J744+J748+J771+J775+J793+J798+J801+J809+J813+J841+J844+J849+J855+J872+J875+J878+J885+J888+J893+J896+J899+J903+J907+J910+J959+J975+J985+J998+J1006+J1021</f>
        <v>21285</v>
      </c>
      <c r="K522" s="387" t="s">
        <v>28</v>
      </c>
      <c r="L522" s="384">
        <f t="shared" ref="L522:Q522" si="61">L531+L603+L678+L686+L689+L694+L699+L741+L744+L748+L771+L775+L793+L798+L801+L809+L813+L841+L844+L849+L855+L872+L875+L878+L885+L888+L893+L896+L899+L903+L907+L910+L959+L975+L985+L998+L1006+L1021</f>
        <v>736531978.3099997</v>
      </c>
      <c r="M522" s="384">
        <f t="shared" si="61"/>
        <v>725783494.89999986</v>
      </c>
      <c r="N522" s="383">
        <f t="shared" si="61"/>
        <v>9494470.5500000007</v>
      </c>
      <c r="O522" s="385">
        <f t="shared" si="61"/>
        <v>871279.41999999993</v>
      </c>
      <c r="P522" s="383">
        <f t="shared" si="61"/>
        <v>0</v>
      </c>
      <c r="Q522" s="383">
        <f t="shared" si="61"/>
        <v>382733.44000000006</v>
      </c>
      <c r="R522" s="446" t="s">
        <v>28</v>
      </c>
      <c r="S522" s="388">
        <f>L522-M522-N522-O522-P522-Q522</f>
        <v>-1.5331897884607315E-7</v>
      </c>
      <c r="T522" s="387" t="e">
        <f>'1.перечень МКД'!#REF!</f>
        <v>#REF!</v>
      </c>
      <c r="U522" s="390" t="e">
        <f>L522-T522</f>
        <v>#REF!</v>
      </c>
      <c r="V522" s="459"/>
      <c r="W522" s="459"/>
      <c r="X522" s="984"/>
      <c r="Y522" s="419">
        <f t="shared" si="60"/>
        <v>736531978.30999982</v>
      </c>
      <c r="Z522" s="419"/>
      <c r="AA522" s="502"/>
      <c r="AB522" s="985"/>
      <c r="AC522" s="499"/>
      <c r="AD522" s="499"/>
      <c r="AE522" s="499"/>
      <c r="AF522" s="986"/>
      <c r="AG522" s="986"/>
      <c r="AH522" s="986"/>
      <c r="AI522" s="987"/>
      <c r="AJ522" s="500"/>
      <c r="AK522" s="988"/>
      <c r="AL522" s="989"/>
      <c r="AM522" s="984"/>
      <c r="AN522" s="984"/>
      <c r="AO522" s="984"/>
      <c r="AP522" s="502"/>
      <c r="AQ522" s="502"/>
      <c r="AR522" s="502"/>
      <c r="AS522" s="502"/>
      <c r="AT522" s="985"/>
      <c r="AU522" s="499"/>
      <c r="AV522" s="499"/>
      <c r="AW522" s="499"/>
      <c r="AX522" s="986"/>
      <c r="AY522" s="986"/>
      <c r="AZ522" s="986"/>
      <c r="BA522" s="987"/>
      <c r="BB522" s="500"/>
      <c r="BC522" s="988"/>
      <c r="BD522" s="989"/>
      <c r="BE522" s="984"/>
      <c r="BF522" s="984"/>
      <c r="BG522" s="984"/>
      <c r="BH522" s="502"/>
      <c r="BI522" s="502"/>
      <c r="BJ522" s="502"/>
      <c r="BK522" s="502"/>
      <c r="BL522" s="985"/>
      <c r="BM522" s="499"/>
      <c r="BN522" s="499"/>
      <c r="BO522" s="499"/>
      <c r="BP522" s="986"/>
      <c r="BQ522" s="986"/>
      <c r="BR522" s="986"/>
      <c r="BS522" s="987"/>
      <c r="BT522" s="500"/>
      <c r="BU522" s="988"/>
      <c r="BV522" s="989"/>
      <c r="BW522" s="984"/>
      <c r="BX522" s="984"/>
      <c r="BY522" s="984"/>
      <c r="BZ522" s="502"/>
      <c r="CA522" s="502"/>
      <c r="CB522" s="502"/>
      <c r="CC522" s="502"/>
      <c r="CD522" s="985"/>
      <c r="CE522" s="499"/>
      <c r="CF522" s="499"/>
      <c r="CG522" s="499"/>
      <c r="CH522" s="986"/>
      <c r="CI522" s="986"/>
      <c r="CJ522" s="986"/>
      <c r="CK522" s="987"/>
      <c r="CL522" s="500"/>
      <c r="CM522" s="988"/>
      <c r="CN522" s="989"/>
      <c r="CO522" s="984"/>
      <c r="CP522" s="984"/>
      <c r="CQ522" s="984"/>
      <c r="CR522" s="502"/>
      <c r="CS522" s="502"/>
      <c r="CT522" s="502"/>
      <c r="CU522" s="502"/>
      <c r="CV522" s="985"/>
      <c r="CW522" s="499"/>
      <c r="CX522" s="499"/>
      <c r="CY522" s="499"/>
      <c r="CZ522" s="986"/>
      <c r="DA522" s="986"/>
      <c r="DB522" s="986"/>
      <c r="DC522" s="987"/>
      <c r="DD522" s="500"/>
      <c r="DE522" s="988"/>
      <c r="DF522" s="989"/>
      <c r="DG522" s="984"/>
      <c r="DH522" s="984"/>
      <c r="DI522" s="984"/>
      <c r="DJ522" s="502"/>
      <c r="DK522" s="502"/>
      <c r="DL522" s="502"/>
      <c r="DM522" s="502"/>
      <c r="DN522" s="985"/>
      <c r="DO522" s="499"/>
      <c r="DP522" s="499"/>
      <c r="DQ522" s="499"/>
      <c r="DR522" s="986"/>
      <c r="DS522" s="986"/>
      <c r="DT522" s="986"/>
      <c r="DU522" s="987"/>
      <c r="DV522" s="500"/>
      <c r="DW522" s="988"/>
      <c r="DX522" s="989"/>
      <c r="DY522" s="984"/>
      <c r="DZ522" s="984"/>
      <c r="EA522" s="984"/>
      <c r="EB522" s="502"/>
      <c r="EC522" s="502"/>
      <c r="ED522" s="502"/>
      <c r="EE522" s="502"/>
      <c r="EF522" s="985"/>
      <c r="EG522" s="499"/>
      <c r="EH522" s="499"/>
      <c r="EI522" s="499"/>
      <c r="EJ522" s="986"/>
      <c r="EK522" s="986"/>
      <c r="EL522" s="986"/>
      <c r="EM522" s="987"/>
      <c r="EN522" s="500"/>
      <c r="EO522" s="988"/>
      <c r="EP522" s="989"/>
      <c r="EQ522" s="984"/>
      <c r="ER522" s="984"/>
      <c r="ES522" s="984"/>
      <c r="ET522" s="502"/>
      <c r="EU522" s="502"/>
      <c r="EV522" s="502"/>
      <c r="EW522" s="502"/>
      <c r="EX522" s="985"/>
      <c r="EY522" s="499"/>
      <c r="EZ522" s="499"/>
      <c r="FA522" s="499"/>
      <c r="FB522" s="986"/>
      <c r="FC522" s="986"/>
      <c r="FD522" s="986"/>
      <c r="FE522" s="987"/>
      <c r="FF522" s="500"/>
      <c r="FG522" s="988"/>
      <c r="FH522" s="989"/>
      <c r="FI522" s="984"/>
      <c r="FJ522" s="984"/>
      <c r="FK522" s="984"/>
      <c r="FL522" s="502"/>
      <c r="FM522" s="502"/>
      <c r="FN522" s="502"/>
      <c r="FO522" s="502"/>
      <c r="FP522" s="985"/>
      <c r="FQ522" s="499"/>
      <c r="FR522" s="499"/>
      <c r="FS522" s="499"/>
      <c r="FT522" s="986"/>
      <c r="FU522" s="986"/>
      <c r="FV522" s="986"/>
      <c r="FW522" s="987"/>
      <c r="FX522" s="500"/>
      <c r="FY522" s="988"/>
      <c r="FZ522" s="989"/>
      <c r="GA522" s="984"/>
      <c r="GB522" s="984"/>
      <c r="GC522" s="984"/>
      <c r="GD522" s="502"/>
      <c r="GE522" s="502"/>
      <c r="GF522" s="502"/>
      <c r="GG522" s="502"/>
      <c r="GH522" s="985"/>
      <c r="GI522" s="499"/>
      <c r="GJ522" s="499"/>
      <c r="GK522" s="499"/>
      <c r="GL522" s="986"/>
      <c r="GM522" s="986"/>
      <c r="GN522" s="986"/>
      <c r="GO522" s="987"/>
      <c r="GP522" s="500"/>
      <c r="GQ522" s="988"/>
      <c r="GR522" s="989"/>
      <c r="GS522" s="984"/>
      <c r="GT522" s="984"/>
      <c r="GU522" s="984"/>
      <c r="GV522" s="502"/>
      <c r="GW522" s="502"/>
      <c r="GX522" s="502"/>
      <c r="GY522" s="502"/>
      <c r="GZ522" s="985"/>
      <c r="HA522" s="499"/>
      <c r="HB522" s="499"/>
      <c r="HC522" s="499"/>
      <c r="HD522" s="986"/>
      <c r="HE522" s="986"/>
      <c r="HF522" s="986"/>
      <c r="HG522" s="987"/>
      <c r="HH522" s="500"/>
      <c r="HI522" s="988"/>
      <c r="HJ522" s="989"/>
      <c r="HK522" s="984"/>
    </row>
    <row r="523" spans="1:219" s="403" customFormat="1" ht="42.75" hidden="1" customHeight="1">
      <c r="A523" s="1113" t="s">
        <v>29</v>
      </c>
      <c r="B523" s="1113"/>
      <c r="C523" s="1113"/>
      <c r="D523" s="1113"/>
      <c r="E523" s="1113"/>
      <c r="F523" s="1113"/>
      <c r="G523" s="1113"/>
      <c r="H523" s="1113"/>
      <c r="I523" s="1113"/>
      <c r="J523" s="1113"/>
      <c r="K523" s="1113"/>
      <c r="L523" s="1113"/>
      <c r="M523" s="1113"/>
      <c r="N523" s="1113"/>
      <c r="O523" s="1113"/>
      <c r="P523" s="1113"/>
      <c r="Q523" s="1113"/>
      <c r="R523" s="1113"/>
      <c r="T523" s="393"/>
      <c r="U523" s="404"/>
      <c r="V523" s="390"/>
      <c r="Y523" s="419">
        <f t="shared" si="60"/>
        <v>0</v>
      </c>
      <c r="Z523" s="419"/>
    </row>
    <row r="524" spans="1:219" s="405" customFormat="1" ht="56.25" hidden="1" customHeight="1">
      <c r="A524" s="458">
        <v>1</v>
      </c>
      <c r="B524" s="427" t="s">
        <v>791</v>
      </c>
      <c r="C524" s="446" t="s">
        <v>218</v>
      </c>
      <c r="D524" s="641">
        <v>10357</v>
      </c>
      <c r="E524" s="391">
        <v>1826</v>
      </c>
      <c r="F524" s="388" t="s">
        <v>219</v>
      </c>
      <c r="G524" s="388">
        <v>709</v>
      </c>
      <c r="H524" s="446">
        <v>5</v>
      </c>
      <c r="I524" s="446">
        <v>1</v>
      </c>
      <c r="J524" s="446">
        <v>54</v>
      </c>
      <c r="K524" s="642" t="s">
        <v>30</v>
      </c>
      <c r="L524" s="519">
        <f t="shared" ref="L524:L530" si="62">M524+N524+O524+P524+Q524</f>
        <v>1457565.06</v>
      </c>
      <c r="M524" s="396">
        <v>1453535.31</v>
      </c>
      <c r="N524" s="391"/>
      <c r="O524" s="643">
        <v>4029.75</v>
      </c>
      <c r="P524" s="388"/>
      <c r="Q524" s="388"/>
      <c r="R524" s="446">
        <f>M524/J524</f>
        <v>26917.320555555558</v>
      </c>
      <c r="T524" s="406"/>
      <c r="V524" s="390"/>
      <c r="Y524" s="419">
        <f t="shared" si="60"/>
        <v>1457565.06</v>
      </c>
      <c r="Z524" s="419"/>
    </row>
    <row r="525" spans="1:219" s="403" customFormat="1" ht="56.25" hidden="1" customHeight="1">
      <c r="A525" s="397">
        <f t="shared" ref="A525:A530" si="63">A524+1</f>
        <v>2</v>
      </c>
      <c r="B525" s="427" t="s">
        <v>792</v>
      </c>
      <c r="C525" s="446" t="s">
        <v>218</v>
      </c>
      <c r="D525" s="641">
        <v>23675</v>
      </c>
      <c r="E525" s="388">
        <v>4496</v>
      </c>
      <c r="F525" s="388" t="s">
        <v>219</v>
      </c>
      <c r="G525" s="388">
        <v>1779</v>
      </c>
      <c r="H525" s="446">
        <v>5</v>
      </c>
      <c r="I525" s="446">
        <v>7</v>
      </c>
      <c r="J525" s="446">
        <v>100</v>
      </c>
      <c r="K525" s="642" t="s">
        <v>30</v>
      </c>
      <c r="L525" s="519">
        <f t="shared" si="62"/>
        <v>2365728.67</v>
      </c>
      <c r="M525" s="529">
        <v>2358266.17</v>
      </c>
      <c r="N525" s="388"/>
      <c r="O525" s="643">
        <v>7462.5</v>
      </c>
      <c r="P525" s="388"/>
      <c r="Q525" s="388"/>
      <c r="R525" s="446">
        <f>M525/J525</f>
        <v>23582.661700000001</v>
      </c>
      <c r="T525" s="393"/>
      <c r="U525" s="404"/>
      <c r="V525" s="390"/>
      <c r="Y525" s="419">
        <f t="shared" si="60"/>
        <v>2365728.67</v>
      </c>
      <c r="Z525" s="419"/>
    </row>
    <row r="526" spans="1:219" s="403" customFormat="1" ht="56.25" hidden="1" customHeight="1">
      <c r="A526" s="397">
        <f t="shared" si="63"/>
        <v>3</v>
      </c>
      <c r="B526" s="427" t="s">
        <v>793</v>
      </c>
      <c r="C526" s="446" t="s">
        <v>218</v>
      </c>
      <c r="D526" s="641">
        <v>14880.599999999999</v>
      </c>
      <c r="E526" s="388">
        <v>4960.2</v>
      </c>
      <c r="F526" s="388" t="s">
        <v>224</v>
      </c>
      <c r="G526" s="388">
        <v>1955</v>
      </c>
      <c r="H526" s="446">
        <v>5</v>
      </c>
      <c r="I526" s="446">
        <v>9</v>
      </c>
      <c r="J526" s="446">
        <v>138</v>
      </c>
      <c r="K526" s="642" t="s">
        <v>30</v>
      </c>
      <c r="L526" s="519">
        <f t="shared" si="62"/>
        <v>3654385.9</v>
      </c>
      <c r="M526" s="396">
        <v>3642028</v>
      </c>
      <c r="N526" s="388"/>
      <c r="O526" s="643">
        <v>12357.9</v>
      </c>
      <c r="P526" s="388"/>
      <c r="Q526" s="388"/>
      <c r="R526" s="446">
        <f>M526/J526</f>
        <v>26391.507246376812</v>
      </c>
      <c r="T526" s="393"/>
      <c r="U526" s="404"/>
      <c r="V526" s="390"/>
      <c r="Y526" s="419">
        <f t="shared" si="60"/>
        <v>3654385.9</v>
      </c>
      <c r="Z526" s="419"/>
    </row>
    <row r="527" spans="1:219" s="403" customFormat="1" ht="56.25" hidden="1" customHeight="1">
      <c r="A527" s="397">
        <f t="shared" si="63"/>
        <v>4</v>
      </c>
      <c r="B527" s="403" t="s">
        <v>794</v>
      </c>
      <c r="C527" s="446" t="s">
        <v>218</v>
      </c>
      <c r="D527" s="606">
        <v>23898</v>
      </c>
      <c r="E527" s="391">
        <v>4780</v>
      </c>
      <c r="F527" s="388" t="s">
        <v>219</v>
      </c>
      <c r="G527" s="391">
        <v>1687</v>
      </c>
      <c r="H527" s="528">
        <v>5</v>
      </c>
      <c r="I527" s="528">
        <v>8</v>
      </c>
      <c r="J527" s="528">
        <v>123</v>
      </c>
      <c r="K527" s="642" t="s">
        <v>30</v>
      </c>
      <c r="L527" s="519">
        <f t="shared" si="62"/>
        <v>2316417.5499999998</v>
      </c>
      <c r="M527" s="529">
        <v>2307238.67</v>
      </c>
      <c r="N527" s="391"/>
      <c r="O527" s="643">
        <v>9178.8799999999992</v>
      </c>
      <c r="P527" s="391"/>
      <c r="Q527" s="388"/>
      <c r="R527" s="446">
        <f>M527/J527</f>
        <v>18758.037967479675</v>
      </c>
      <c r="T527" s="393"/>
      <c r="U527" s="404"/>
      <c r="V527" s="390"/>
      <c r="Y527" s="419">
        <f t="shared" si="60"/>
        <v>2316417.5499999998</v>
      </c>
      <c r="Z527" s="419"/>
    </row>
    <row r="528" spans="1:219" s="403" customFormat="1" ht="56.25" hidden="1" customHeight="1">
      <c r="A528" s="397">
        <f t="shared" si="63"/>
        <v>5</v>
      </c>
      <c r="B528" s="427" t="s">
        <v>795</v>
      </c>
      <c r="C528" s="446" t="s">
        <v>218</v>
      </c>
      <c r="D528" s="641">
        <v>23504</v>
      </c>
      <c r="E528" s="388">
        <v>4875.3</v>
      </c>
      <c r="F528" s="388" t="s">
        <v>219</v>
      </c>
      <c r="G528" s="388">
        <v>1778</v>
      </c>
      <c r="H528" s="446">
        <v>5</v>
      </c>
      <c r="I528" s="446">
        <v>7</v>
      </c>
      <c r="J528" s="446">
        <v>100</v>
      </c>
      <c r="K528" s="642" t="s">
        <v>30</v>
      </c>
      <c r="L528" s="519">
        <f t="shared" si="62"/>
        <v>2697447.34</v>
      </c>
      <c r="M528" s="396">
        <v>2689984.84</v>
      </c>
      <c r="N528" s="388"/>
      <c r="O528" s="643">
        <v>7462.5</v>
      </c>
      <c r="P528" s="388"/>
      <c r="Q528" s="388"/>
      <c r="R528" s="446">
        <f>M528/J528</f>
        <v>26899.848399999999</v>
      </c>
      <c r="T528" s="393"/>
      <c r="U528" s="404"/>
      <c r="V528" s="390"/>
      <c r="Y528" s="419">
        <f t="shared" si="60"/>
        <v>2697447.34</v>
      </c>
      <c r="Z528" s="419"/>
    </row>
    <row r="529" spans="1:26" s="403" customFormat="1" ht="37.5" hidden="1" customHeight="1">
      <c r="A529" s="397">
        <f t="shared" si="63"/>
        <v>6</v>
      </c>
      <c r="B529" s="427" t="s">
        <v>796</v>
      </c>
      <c r="C529" s="446" t="s">
        <v>218</v>
      </c>
      <c r="D529" s="606">
        <v>27464</v>
      </c>
      <c r="E529" s="391">
        <v>5413.7</v>
      </c>
      <c r="F529" s="388" t="s">
        <v>219</v>
      </c>
      <c r="G529" s="391">
        <v>1850</v>
      </c>
      <c r="H529" s="528">
        <v>5</v>
      </c>
      <c r="I529" s="528">
        <v>10</v>
      </c>
      <c r="J529" s="528">
        <v>160</v>
      </c>
      <c r="K529" s="397" t="s">
        <v>33</v>
      </c>
      <c r="L529" s="519">
        <f t="shared" si="62"/>
        <v>2979895.3400000003</v>
      </c>
      <c r="M529" s="529">
        <v>2967746.39</v>
      </c>
      <c r="N529" s="391"/>
      <c r="O529" s="643">
        <v>12148.95</v>
      </c>
      <c r="P529" s="388"/>
      <c r="Q529" s="388"/>
      <c r="R529" s="446">
        <f>M529/G529</f>
        <v>1604.187237837838</v>
      </c>
      <c r="S529" s="403" t="s">
        <v>419</v>
      </c>
      <c r="T529" s="393"/>
      <c r="U529" s="404"/>
      <c r="V529" s="390"/>
      <c r="Y529" s="419">
        <f t="shared" si="60"/>
        <v>2979895.3400000003</v>
      </c>
      <c r="Z529" s="419"/>
    </row>
    <row r="530" spans="1:26" s="403" customFormat="1" ht="69.75" hidden="1" customHeight="1">
      <c r="A530" s="397">
        <f t="shared" si="63"/>
        <v>7</v>
      </c>
      <c r="B530" s="403" t="s">
        <v>3548</v>
      </c>
      <c r="C530" s="446" t="s">
        <v>218</v>
      </c>
      <c r="D530" s="606">
        <v>79172</v>
      </c>
      <c r="E530" s="391">
        <v>13049</v>
      </c>
      <c r="F530" s="388" t="s">
        <v>219</v>
      </c>
      <c r="G530" s="391">
        <v>4332</v>
      </c>
      <c r="H530" s="528">
        <v>9</v>
      </c>
      <c r="I530" s="528">
        <v>14</v>
      </c>
      <c r="J530" s="528">
        <v>334</v>
      </c>
      <c r="K530" s="458" t="s">
        <v>220</v>
      </c>
      <c r="L530" s="519">
        <f t="shared" si="62"/>
        <v>5780404.1400000006</v>
      </c>
      <c r="M530" s="529">
        <f>1890734.47+1895303.11+1909791.56</f>
        <v>5695829.1400000006</v>
      </c>
      <c r="N530" s="396">
        <v>84575</v>
      </c>
      <c r="O530" s="473"/>
      <c r="P530" s="388"/>
      <c r="Q530" s="388"/>
      <c r="R530" s="446">
        <v>2000000</v>
      </c>
      <c r="S530" s="403" t="s">
        <v>3497</v>
      </c>
      <c r="T530" s="393"/>
      <c r="U530" s="404"/>
      <c r="V530" s="390"/>
      <c r="Y530" s="419">
        <f t="shared" si="60"/>
        <v>5780404.1400000006</v>
      </c>
      <c r="Z530" s="419"/>
    </row>
    <row r="531" spans="1:26" s="403" customFormat="1" ht="58.5" hidden="1" customHeight="1">
      <c r="A531" s="1112" t="s">
        <v>116</v>
      </c>
      <c r="B531" s="1112"/>
      <c r="C531" s="388" t="s">
        <v>28</v>
      </c>
      <c r="D531" s="641">
        <f>SUM(D524:D530)</f>
        <v>202950.6</v>
      </c>
      <c r="E531" s="388">
        <f>SUM(E524:E530)</f>
        <v>39400.199999999997</v>
      </c>
      <c r="F531" s="388" t="s">
        <v>28</v>
      </c>
      <c r="G531" s="388">
        <f>SUM(G524:G530)</f>
        <v>14090</v>
      </c>
      <c r="H531" s="446" t="s">
        <v>28</v>
      </c>
      <c r="I531" s="446" t="s">
        <v>28</v>
      </c>
      <c r="J531" s="446">
        <f>SUM(J524:J530)</f>
        <v>1009</v>
      </c>
      <c r="K531" s="389" t="s">
        <v>28</v>
      </c>
      <c r="L531" s="519">
        <f>SUM(L524:L530)</f>
        <v>21251844</v>
      </c>
      <c r="M531" s="519">
        <f>SUM(M524:M530)</f>
        <v>21114628.520000003</v>
      </c>
      <c r="N531" s="388">
        <f>SUM(N524:N530)</f>
        <v>84575</v>
      </c>
      <c r="O531" s="473">
        <f>SUM(O524:O530)</f>
        <v>52640.479999999996</v>
      </c>
      <c r="P531" s="388"/>
      <c r="Q531" s="388">
        <f>SUM(Q524:Q530)</f>
        <v>0</v>
      </c>
      <c r="R531" s="446" t="s">
        <v>28</v>
      </c>
      <c r="S531" s="388">
        <f>L531-M531-N531-O531-P531-Q531</f>
        <v>-3.2741809263825417E-9</v>
      </c>
      <c r="T531" s="393"/>
      <c r="U531" s="390"/>
      <c r="V531" s="390"/>
      <c r="Y531" s="419">
        <f t="shared" si="60"/>
        <v>21251844.000000004</v>
      </c>
      <c r="Z531" s="419"/>
    </row>
    <row r="532" spans="1:26" s="403" customFormat="1" ht="32.25" hidden="1" customHeight="1">
      <c r="A532" s="1113" t="s">
        <v>35</v>
      </c>
      <c r="B532" s="1113"/>
      <c r="C532" s="1113"/>
      <c r="D532" s="1113"/>
      <c r="E532" s="1113"/>
      <c r="F532" s="1113"/>
      <c r="G532" s="1113"/>
      <c r="H532" s="1113"/>
      <c r="I532" s="1113"/>
      <c r="J532" s="1113"/>
      <c r="K532" s="1113"/>
      <c r="L532" s="1113"/>
      <c r="M532" s="1113"/>
      <c r="N532" s="1113"/>
      <c r="O532" s="1113"/>
      <c r="P532" s="1113"/>
      <c r="Q532" s="1113"/>
      <c r="R532" s="1113"/>
      <c r="T532" s="393"/>
      <c r="U532" s="404"/>
      <c r="V532" s="390"/>
      <c r="Y532" s="419">
        <f t="shared" si="60"/>
        <v>0</v>
      </c>
      <c r="Z532" s="419"/>
    </row>
    <row r="533" spans="1:26" s="405" customFormat="1" ht="37.5" hidden="1" customHeight="1">
      <c r="A533" s="500">
        <v>1</v>
      </c>
      <c r="B533" s="403" t="s">
        <v>797</v>
      </c>
      <c r="C533" s="455" t="s">
        <v>222</v>
      </c>
      <c r="D533" s="641">
        <v>9925</v>
      </c>
      <c r="E533" s="391">
        <v>1515.8</v>
      </c>
      <c r="F533" s="391" t="s">
        <v>223</v>
      </c>
      <c r="G533" s="644">
        <v>1107.8</v>
      </c>
      <c r="H533" s="446">
        <v>4</v>
      </c>
      <c r="I533" s="446">
        <v>4</v>
      </c>
      <c r="J533" s="528">
        <v>52</v>
      </c>
      <c r="K533" s="642" t="s">
        <v>33</v>
      </c>
      <c r="L533" s="519">
        <f>M533+N533+O533+P533+Q533</f>
        <v>2121719.69</v>
      </c>
      <c r="M533" s="394">
        <v>2090701.69</v>
      </c>
      <c r="N533" s="388">
        <v>31018</v>
      </c>
      <c r="O533" s="473"/>
      <c r="P533" s="388"/>
      <c r="Q533" s="388"/>
      <c r="R533" s="446">
        <f>M533/G533</f>
        <v>1887.2555425166997</v>
      </c>
      <c r="S533" s="403"/>
      <c r="T533" s="393"/>
      <c r="V533" s="390"/>
      <c r="Y533" s="419">
        <f t="shared" si="60"/>
        <v>2121719.69</v>
      </c>
      <c r="Z533" s="419"/>
    </row>
    <row r="534" spans="1:26" s="405" customFormat="1" ht="56.25" hidden="1" customHeight="1">
      <c r="A534" s="500">
        <f>A533+1</f>
        <v>2</v>
      </c>
      <c r="B534" s="403" t="s">
        <v>798</v>
      </c>
      <c r="C534" s="455" t="s">
        <v>218</v>
      </c>
      <c r="D534" s="641">
        <v>14523</v>
      </c>
      <c r="E534" s="391">
        <v>5175.0600000000004</v>
      </c>
      <c r="F534" s="391" t="s">
        <v>224</v>
      </c>
      <c r="G534" s="644">
        <f>(20*I534)*12*1.2</f>
        <v>1728</v>
      </c>
      <c r="H534" s="446">
        <v>5</v>
      </c>
      <c r="I534" s="446">
        <v>6</v>
      </c>
      <c r="J534" s="528">
        <v>90</v>
      </c>
      <c r="K534" s="642" t="s">
        <v>30</v>
      </c>
      <c r="L534" s="1129">
        <f>M534+N534+O534+P534+Q534+M535+N535+O535+Q535</f>
        <v>2110496.71</v>
      </c>
      <c r="M534" s="529">
        <v>1511176.5399999998</v>
      </c>
      <c r="N534" s="391"/>
      <c r="O534" s="643">
        <v>6716.25</v>
      </c>
      <c r="P534" s="391"/>
      <c r="Q534" s="388"/>
      <c r="R534" s="446">
        <f>M534/J534</f>
        <v>16790.850444444441</v>
      </c>
      <c r="S534" s="403" t="s">
        <v>3547</v>
      </c>
      <c r="T534" s="393"/>
      <c r="U534" s="388"/>
      <c r="V534" s="390"/>
      <c r="Y534" s="419">
        <f t="shared" si="60"/>
        <v>1517892.7899999998</v>
      </c>
      <c r="Z534" s="419"/>
    </row>
    <row r="535" spans="1:26" s="405" customFormat="1" ht="37.5" hidden="1" customHeight="1">
      <c r="A535" s="500"/>
      <c r="B535" s="403"/>
      <c r="C535" s="455"/>
      <c r="D535" s="641"/>
      <c r="E535" s="391"/>
      <c r="F535" s="391"/>
      <c r="G535" s="644"/>
      <c r="H535" s="446"/>
      <c r="I535" s="446"/>
      <c r="J535" s="528"/>
      <c r="K535" s="642" t="s">
        <v>225</v>
      </c>
      <c r="L535" s="1129"/>
      <c r="M535" s="396">
        <v>569111.92000000004</v>
      </c>
      <c r="N535" s="391">
        <v>23492</v>
      </c>
      <c r="O535" s="643"/>
      <c r="P535" s="391"/>
      <c r="Q535" s="388"/>
      <c r="R535" s="446">
        <f>M535/J534</f>
        <v>6323.4657777777784</v>
      </c>
      <c r="S535" s="403"/>
      <c r="T535" s="393"/>
      <c r="U535" s="388"/>
      <c r="V535" s="390"/>
      <c r="Y535" s="419">
        <f t="shared" si="60"/>
        <v>592603.92000000004</v>
      </c>
      <c r="Z535" s="419"/>
    </row>
    <row r="536" spans="1:26" s="405" customFormat="1" ht="37.5" hidden="1" customHeight="1">
      <c r="A536" s="500">
        <f>A534+1</f>
        <v>3</v>
      </c>
      <c r="B536" s="403" t="s">
        <v>799</v>
      </c>
      <c r="C536" s="455" t="s">
        <v>222</v>
      </c>
      <c r="D536" s="641">
        <v>18704</v>
      </c>
      <c r="E536" s="391">
        <v>5909.04</v>
      </c>
      <c r="F536" s="391" t="s">
        <v>223</v>
      </c>
      <c r="G536" s="644">
        <v>1448.1</v>
      </c>
      <c r="H536" s="446">
        <v>5</v>
      </c>
      <c r="I536" s="446">
        <v>6</v>
      </c>
      <c r="J536" s="528">
        <v>100</v>
      </c>
      <c r="K536" s="642" t="s">
        <v>225</v>
      </c>
      <c r="L536" s="645">
        <f>M536+N536+O536+P536+Q536</f>
        <v>1169968.8700000001</v>
      </c>
      <c r="M536" s="645">
        <v>1139968.8700000001</v>
      </c>
      <c r="N536" s="646">
        <v>30000</v>
      </c>
      <c r="O536" s="647"/>
      <c r="P536" s="646"/>
      <c r="Q536" s="388"/>
      <c r="R536" s="648">
        <f>M536/J536</f>
        <v>11399.688700000001</v>
      </c>
      <c r="S536" s="403"/>
      <c r="T536" s="393"/>
      <c r="V536" s="390"/>
      <c r="Y536" s="419">
        <f t="shared" si="60"/>
        <v>1169968.8700000001</v>
      </c>
      <c r="Z536" s="419"/>
    </row>
    <row r="537" spans="1:26" s="405" customFormat="1" ht="37.5" hidden="1" customHeight="1">
      <c r="A537" s="500">
        <f t="shared" ref="A537:A600" si="64">A536+1</f>
        <v>4</v>
      </c>
      <c r="B537" s="403" t="s">
        <v>800</v>
      </c>
      <c r="C537" s="648" t="s">
        <v>222</v>
      </c>
      <c r="D537" s="641">
        <v>24047</v>
      </c>
      <c r="E537" s="391">
        <v>3348.32</v>
      </c>
      <c r="F537" s="391" t="s">
        <v>223</v>
      </c>
      <c r="G537" s="644">
        <f>(20*I537)*12*1.2</f>
        <v>2304</v>
      </c>
      <c r="H537" s="446">
        <v>5</v>
      </c>
      <c r="I537" s="446">
        <v>8</v>
      </c>
      <c r="J537" s="528">
        <v>129</v>
      </c>
      <c r="K537" s="458" t="s">
        <v>33</v>
      </c>
      <c r="L537" s="519">
        <f>M537+N537+O537+P537+Q537</f>
        <v>3827467.8200000003</v>
      </c>
      <c r="M537" s="394">
        <v>3779083.8200000003</v>
      </c>
      <c r="N537" s="388">
        <v>48384</v>
      </c>
      <c r="O537" s="473"/>
      <c r="P537" s="388"/>
      <c r="Q537" s="388"/>
      <c r="R537" s="446">
        <f>M537/G537</f>
        <v>1640.2273524305556</v>
      </c>
      <c r="S537" s="403"/>
      <c r="T537" s="393"/>
      <c r="V537" s="390"/>
      <c r="Y537" s="419">
        <f t="shared" si="60"/>
        <v>3827467.8200000003</v>
      </c>
      <c r="Z537" s="419"/>
    </row>
    <row r="538" spans="1:26" s="405" customFormat="1" ht="56.25" hidden="1" customHeight="1">
      <c r="A538" s="500">
        <f t="shared" si="64"/>
        <v>5</v>
      </c>
      <c r="B538" s="403" t="s">
        <v>801</v>
      </c>
      <c r="C538" s="648" t="s">
        <v>222</v>
      </c>
      <c r="D538" s="641">
        <v>17830</v>
      </c>
      <c r="E538" s="391">
        <v>2606.64</v>
      </c>
      <c r="F538" s="391" t="s">
        <v>223</v>
      </c>
      <c r="G538" s="644">
        <f>(20*I538)*12*1.2</f>
        <v>1728</v>
      </c>
      <c r="H538" s="446">
        <v>5</v>
      </c>
      <c r="I538" s="446">
        <v>6</v>
      </c>
      <c r="J538" s="528">
        <v>83</v>
      </c>
      <c r="K538" s="642" t="s">
        <v>30</v>
      </c>
      <c r="L538" s="1129">
        <f>M538+N538+O538+P538+Q538+M539+N539+O539+Q539</f>
        <v>1996436.8399999999</v>
      </c>
      <c r="M538" s="529">
        <v>1431361.57</v>
      </c>
      <c r="N538" s="391"/>
      <c r="O538" s="643">
        <v>6193.88</v>
      </c>
      <c r="P538" s="391"/>
      <c r="Q538" s="388"/>
      <c r="R538" s="446">
        <f>M538/J538</f>
        <v>17245.320120481927</v>
      </c>
      <c r="S538" s="403"/>
      <c r="T538" s="393"/>
      <c r="V538" s="390"/>
      <c r="Y538" s="419">
        <f t="shared" si="60"/>
        <v>1437555.45</v>
      </c>
      <c r="Z538" s="419"/>
    </row>
    <row r="539" spans="1:26" s="405" customFormat="1" ht="37.5" hidden="1" customHeight="1">
      <c r="A539" s="500"/>
      <c r="B539" s="403"/>
      <c r="C539" s="648"/>
      <c r="D539" s="641"/>
      <c r="E539" s="391"/>
      <c r="F539" s="391"/>
      <c r="G539" s="644"/>
      <c r="H539" s="446"/>
      <c r="I539" s="446"/>
      <c r="J539" s="528"/>
      <c r="K539" s="642" t="s">
        <v>225</v>
      </c>
      <c r="L539" s="1129"/>
      <c r="M539" s="529">
        <v>533304.39</v>
      </c>
      <c r="N539" s="391">
        <v>25577</v>
      </c>
      <c r="O539" s="643"/>
      <c r="P539" s="391"/>
      <c r="Q539" s="388"/>
      <c r="R539" s="446" t="e">
        <f>M539/K538</f>
        <v>#VALUE!</v>
      </c>
      <c r="S539" s="403"/>
      <c r="T539" s="393"/>
      <c r="V539" s="390"/>
      <c r="Y539" s="419">
        <f t="shared" si="60"/>
        <v>558881.39</v>
      </c>
      <c r="Z539" s="419"/>
    </row>
    <row r="540" spans="1:26" s="405" customFormat="1" ht="37.5" hidden="1" customHeight="1">
      <c r="A540" s="500">
        <f>A538+1</f>
        <v>6</v>
      </c>
      <c r="B540" s="403" t="s">
        <v>802</v>
      </c>
      <c r="C540" s="455" t="s">
        <v>218</v>
      </c>
      <c r="D540" s="641">
        <v>48095</v>
      </c>
      <c r="E540" s="391">
        <v>7016.94</v>
      </c>
      <c r="F540" s="391" t="s">
        <v>224</v>
      </c>
      <c r="G540" s="644">
        <f>(20*I540)*12*1.2</f>
        <v>1728</v>
      </c>
      <c r="H540" s="446">
        <v>9</v>
      </c>
      <c r="I540" s="446">
        <v>6</v>
      </c>
      <c r="J540" s="528">
        <v>216</v>
      </c>
      <c r="K540" s="458" t="s">
        <v>33</v>
      </c>
      <c r="L540" s="519">
        <f>M540+N540+O540+P540+Q540</f>
        <v>3306510.84</v>
      </c>
      <c r="M540" s="649">
        <v>3295162.86</v>
      </c>
      <c r="N540" s="388"/>
      <c r="O540" s="643">
        <v>11347.98</v>
      </c>
      <c r="P540" s="388"/>
      <c r="Q540" s="388"/>
      <c r="R540" s="446">
        <f>M540/G540</f>
        <v>1906.9229513888888</v>
      </c>
      <c r="S540" s="403"/>
      <c r="T540" s="393"/>
      <c r="V540" s="390"/>
      <c r="Y540" s="419">
        <f t="shared" si="60"/>
        <v>3306510.84</v>
      </c>
      <c r="Z540" s="419"/>
    </row>
    <row r="541" spans="1:26" s="405" customFormat="1" ht="56.25" hidden="1" customHeight="1">
      <c r="A541" s="500">
        <f t="shared" si="64"/>
        <v>7</v>
      </c>
      <c r="B541" s="403" t="s">
        <v>803</v>
      </c>
      <c r="C541" s="455" t="s">
        <v>218</v>
      </c>
      <c r="D541" s="641">
        <v>9283</v>
      </c>
      <c r="E541" s="391">
        <v>1514.42</v>
      </c>
      <c r="F541" s="391" t="s">
        <v>224</v>
      </c>
      <c r="G541" s="644">
        <v>960</v>
      </c>
      <c r="H541" s="446">
        <v>5</v>
      </c>
      <c r="I541" s="446">
        <v>4</v>
      </c>
      <c r="J541" s="528">
        <v>60</v>
      </c>
      <c r="K541" s="642" t="s">
        <v>30</v>
      </c>
      <c r="L541" s="519">
        <f>M541+N541+O541+P541+Q541</f>
        <v>715267.04</v>
      </c>
      <c r="M541" s="529">
        <v>710789.54</v>
      </c>
      <c r="N541" s="391"/>
      <c r="O541" s="643">
        <v>4477.5</v>
      </c>
      <c r="P541" s="391"/>
      <c r="Q541" s="388"/>
      <c r="R541" s="446">
        <f>M541/J541</f>
        <v>11846.492333333334</v>
      </c>
      <c r="S541" s="403"/>
      <c r="T541" s="393"/>
      <c r="V541" s="390"/>
      <c r="Y541" s="419">
        <f t="shared" si="60"/>
        <v>715267.04</v>
      </c>
      <c r="Z541" s="419"/>
    </row>
    <row r="542" spans="1:26" s="405" customFormat="1" ht="37.5" hidden="1" customHeight="1">
      <c r="A542" s="500">
        <f t="shared" si="64"/>
        <v>8</v>
      </c>
      <c r="B542" s="403" t="s">
        <v>804</v>
      </c>
      <c r="C542" s="648" t="s">
        <v>222</v>
      </c>
      <c r="D542" s="641">
        <v>4980.5</v>
      </c>
      <c r="E542" s="391">
        <v>3955.9</v>
      </c>
      <c r="F542" s="391" t="s">
        <v>224</v>
      </c>
      <c r="G542" s="644">
        <f>(20*I542)*12*1.2</f>
        <v>288</v>
      </c>
      <c r="H542" s="446">
        <v>9</v>
      </c>
      <c r="I542" s="446">
        <v>1</v>
      </c>
      <c r="J542" s="528">
        <v>160</v>
      </c>
      <c r="K542" s="458" t="s">
        <v>220</v>
      </c>
      <c r="L542" s="519">
        <f>M542+N542+O542+P542+Q542</f>
        <v>2022830.85</v>
      </c>
      <c r="M542" s="529">
        <v>1938255.85</v>
      </c>
      <c r="N542" s="391">
        <v>84575</v>
      </c>
      <c r="O542" s="473"/>
      <c r="P542" s="388"/>
      <c r="Q542" s="388"/>
      <c r="R542" s="446">
        <f>M542/I542</f>
        <v>1938255.85</v>
      </c>
      <c r="S542" s="403"/>
      <c r="T542" s="393"/>
      <c r="V542" s="390"/>
      <c r="Y542" s="419">
        <f t="shared" si="60"/>
        <v>2022830.85</v>
      </c>
      <c r="Z542" s="419"/>
    </row>
    <row r="543" spans="1:26" s="405" customFormat="1" ht="37.5" hidden="1" customHeight="1">
      <c r="A543" s="500">
        <f t="shared" si="64"/>
        <v>9</v>
      </c>
      <c r="B543" s="403" t="s">
        <v>805</v>
      </c>
      <c r="C543" s="648" t="s">
        <v>222</v>
      </c>
      <c r="D543" s="641">
        <v>4974.3999999999996</v>
      </c>
      <c r="E543" s="391">
        <v>3833</v>
      </c>
      <c r="F543" s="391" t="s">
        <v>224</v>
      </c>
      <c r="G543" s="644">
        <f>(20*I543)*12*1.2</f>
        <v>288</v>
      </c>
      <c r="H543" s="446">
        <v>9</v>
      </c>
      <c r="I543" s="446">
        <v>1</v>
      </c>
      <c r="J543" s="528">
        <v>160</v>
      </c>
      <c r="K543" s="458" t="s">
        <v>220</v>
      </c>
      <c r="L543" s="519">
        <f>M543+N543+O543+P543+Q543</f>
        <v>1960330.78</v>
      </c>
      <c r="M543" s="529">
        <v>1875755.78</v>
      </c>
      <c r="N543" s="391">
        <v>84575</v>
      </c>
      <c r="O543" s="473"/>
      <c r="P543" s="388"/>
      <c r="Q543" s="388"/>
      <c r="R543" s="446">
        <f>M543/I543</f>
        <v>1875755.78</v>
      </c>
      <c r="S543" s="403"/>
      <c r="T543" s="393"/>
      <c r="V543" s="390"/>
      <c r="Y543" s="419">
        <f t="shared" si="60"/>
        <v>1960330.78</v>
      </c>
      <c r="Z543" s="419"/>
    </row>
    <row r="544" spans="1:26" s="405" customFormat="1" ht="37.5" hidden="1" customHeight="1">
      <c r="A544" s="500">
        <f t="shared" si="64"/>
        <v>10</v>
      </c>
      <c r="B544" s="403" t="s">
        <v>806</v>
      </c>
      <c r="C544" s="648" t="s">
        <v>222</v>
      </c>
      <c r="D544" s="641">
        <v>17702</v>
      </c>
      <c r="E544" s="391">
        <v>3058.18</v>
      </c>
      <c r="F544" s="391" t="s">
        <v>224</v>
      </c>
      <c r="G544" s="644">
        <f>(20*I544)*12*1.2</f>
        <v>576</v>
      </c>
      <c r="H544" s="446">
        <v>10</v>
      </c>
      <c r="I544" s="446">
        <v>2</v>
      </c>
      <c r="J544" s="528">
        <v>80</v>
      </c>
      <c r="K544" s="458" t="s">
        <v>220</v>
      </c>
      <c r="L544" s="519">
        <f>M544+N544+O544+P544+Q544</f>
        <v>4096067.76</v>
      </c>
      <c r="M544" s="529">
        <f>1999721.59+1990627.42</f>
        <v>3990349.01</v>
      </c>
      <c r="N544" s="391">
        <v>105718.75</v>
      </c>
      <c r="O544" s="473"/>
      <c r="P544" s="388"/>
      <c r="Q544" s="388"/>
      <c r="R544" s="446">
        <v>2200000</v>
      </c>
      <c r="S544" s="403"/>
      <c r="T544" s="393"/>
      <c r="V544" s="390"/>
      <c r="Y544" s="419">
        <f t="shared" si="60"/>
        <v>4096067.76</v>
      </c>
      <c r="Z544" s="419"/>
    </row>
    <row r="545" spans="1:26" s="405" customFormat="1" ht="56.25" hidden="1" customHeight="1">
      <c r="A545" s="500">
        <f t="shared" si="64"/>
        <v>11</v>
      </c>
      <c r="B545" s="403" t="s">
        <v>807</v>
      </c>
      <c r="C545" s="455" t="s">
        <v>218</v>
      </c>
      <c r="D545" s="641">
        <v>12905</v>
      </c>
      <c r="E545" s="391">
        <v>2361.58</v>
      </c>
      <c r="F545" s="391" t="s">
        <v>224</v>
      </c>
      <c r="G545" s="644">
        <v>1038.5999999999999</v>
      </c>
      <c r="H545" s="446">
        <v>5</v>
      </c>
      <c r="I545" s="446">
        <v>4</v>
      </c>
      <c r="J545" s="528">
        <v>60</v>
      </c>
      <c r="K545" s="642" t="s">
        <v>30</v>
      </c>
      <c r="L545" s="1129">
        <f>M545+N545+O545+P545+Q545+M546+N546+O546+Q546</f>
        <v>1495036.96</v>
      </c>
      <c r="M545" s="396">
        <v>1013728.19</v>
      </c>
      <c r="N545" s="391"/>
      <c r="O545" s="643">
        <v>4477.5</v>
      </c>
      <c r="P545" s="391"/>
      <c r="Q545" s="388"/>
      <c r="R545" s="446">
        <f>M545/J545</f>
        <v>16895.469833333333</v>
      </c>
      <c r="S545" s="403"/>
      <c r="T545" s="393"/>
      <c r="V545" s="390"/>
      <c r="Y545" s="419">
        <f t="shared" si="60"/>
        <v>1018205.69</v>
      </c>
      <c r="Z545" s="419"/>
    </row>
    <row r="546" spans="1:26" s="405" customFormat="1" ht="37.5" hidden="1" customHeight="1">
      <c r="A546" s="500"/>
      <c r="B546" s="403"/>
      <c r="C546" s="455"/>
      <c r="D546" s="641"/>
      <c r="E546" s="391"/>
      <c r="F546" s="391"/>
      <c r="G546" s="644"/>
      <c r="H546" s="446"/>
      <c r="I546" s="446"/>
      <c r="J546" s="528"/>
      <c r="K546" s="642" t="s">
        <v>225</v>
      </c>
      <c r="L546" s="1129"/>
      <c r="M546" s="396">
        <v>456800.27</v>
      </c>
      <c r="N546" s="391">
        <v>20031</v>
      </c>
      <c r="O546" s="643"/>
      <c r="P546" s="391"/>
      <c r="Q546" s="388"/>
      <c r="R546" s="446">
        <f>M546/J545</f>
        <v>7613.3378333333339</v>
      </c>
      <c r="S546" s="403"/>
      <c r="T546" s="393"/>
      <c r="V546" s="390"/>
      <c r="Y546" s="419">
        <f t="shared" si="60"/>
        <v>476831.27</v>
      </c>
      <c r="Z546" s="419"/>
    </row>
    <row r="547" spans="1:26" s="405" customFormat="1" ht="37.5" hidden="1" customHeight="1">
      <c r="A547" s="500">
        <f>A545+1</f>
        <v>12</v>
      </c>
      <c r="B547" s="403" t="s">
        <v>808</v>
      </c>
      <c r="C547" s="648" t="s">
        <v>222</v>
      </c>
      <c r="D547" s="641">
        <v>15965</v>
      </c>
      <c r="E547" s="391">
        <v>2688.34</v>
      </c>
      <c r="F547" s="391" t="s">
        <v>224</v>
      </c>
      <c r="G547" s="644">
        <f t="shared" ref="G547:G552" si="65">(20*I547)*12*1.2</f>
        <v>1728</v>
      </c>
      <c r="H547" s="446">
        <v>5</v>
      </c>
      <c r="I547" s="446">
        <v>6</v>
      </c>
      <c r="J547" s="528">
        <v>90</v>
      </c>
      <c r="K547" s="458" t="s">
        <v>33</v>
      </c>
      <c r="L547" s="519">
        <f t="shared" ref="L547:L552" si="66">M547+N547+O547+P547+Q547</f>
        <v>2823629.06</v>
      </c>
      <c r="M547" s="649">
        <v>2812281.08</v>
      </c>
      <c r="N547" s="388"/>
      <c r="O547" s="643">
        <v>11347.98</v>
      </c>
      <c r="P547" s="388"/>
      <c r="Q547" s="388"/>
      <c r="R547" s="446">
        <f>M547/G547</f>
        <v>1627.4774768518519</v>
      </c>
      <c r="S547" s="403"/>
      <c r="T547" s="393"/>
      <c r="V547" s="390"/>
      <c r="Y547" s="419">
        <f t="shared" si="60"/>
        <v>2823629.06</v>
      </c>
      <c r="Z547" s="419"/>
    </row>
    <row r="548" spans="1:26" s="404" customFormat="1" ht="56.25" hidden="1" customHeight="1">
      <c r="A548" s="500">
        <f t="shared" si="64"/>
        <v>13</v>
      </c>
      <c r="B548" s="403" t="s">
        <v>809</v>
      </c>
      <c r="C548" s="648" t="s">
        <v>222</v>
      </c>
      <c r="D548" s="641">
        <v>19532</v>
      </c>
      <c r="E548" s="391">
        <v>4661.24</v>
      </c>
      <c r="F548" s="391" t="s">
        <v>224</v>
      </c>
      <c r="G548" s="644">
        <f t="shared" si="65"/>
        <v>2880</v>
      </c>
      <c r="H548" s="446">
        <v>5</v>
      </c>
      <c r="I548" s="446">
        <v>10</v>
      </c>
      <c r="J548" s="528">
        <v>100</v>
      </c>
      <c r="K548" s="458" t="s">
        <v>226</v>
      </c>
      <c r="L548" s="529">
        <f t="shared" si="66"/>
        <v>2474200.29</v>
      </c>
      <c r="M548" s="529">
        <v>2444200.29</v>
      </c>
      <c r="N548" s="388">
        <v>30000</v>
      </c>
      <c r="O548" s="530"/>
      <c r="P548" s="391"/>
      <c r="Q548" s="388"/>
      <c r="R548" s="528">
        <f>M548/J548</f>
        <v>24442.002899999999</v>
      </c>
      <c r="S548" s="403"/>
      <c r="T548" s="393"/>
      <c r="V548" s="390"/>
      <c r="Y548" s="419">
        <f t="shared" si="60"/>
        <v>2474200.29</v>
      </c>
      <c r="Z548" s="419"/>
    </row>
    <row r="549" spans="1:26" s="404" customFormat="1" ht="37.5" hidden="1" customHeight="1">
      <c r="A549" s="500">
        <f t="shared" si="64"/>
        <v>14</v>
      </c>
      <c r="B549" s="403" t="s">
        <v>810</v>
      </c>
      <c r="C549" s="648" t="s">
        <v>222</v>
      </c>
      <c r="D549" s="641">
        <v>23589</v>
      </c>
      <c r="E549" s="391">
        <v>3040</v>
      </c>
      <c r="F549" s="391" t="s">
        <v>223</v>
      </c>
      <c r="G549" s="644">
        <f t="shared" si="65"/>
        <v>2304</v>
      </c>
      <c r="H549" s="446">
        <v>5</v>
      </c>
      <c r="I549" s="446">
        <v>8</v>
      </c>
      <c r="J549" s="528">
        <v>122</v>
      </c>
      <c r="K549" s="458" t="s">
        <v>33</v>
      </c>
      <c r="L549" s="519">
        <f t="shared" si="66"/>
        <v>3947652.38</v>
      </c>
      <c r="M549" s="394">
        <v>3899268.38</v>
      </c>
      <c r="N549" s="388">
        <v>48384</v>
      </c>
      <c r="O549" s="473"/>
      <c r="P549" s="388"/>
      <c r="Q549" s="388"/>
      <c r="R549" s="446">
        <f>M549/G549</f>
        <v>1692.3907899305555</v>
      </c>
      <c r="S549" s="403"/>
      <c r="T549" s="393"/>
      <c r="V549" s="390"/>
      <c r="Y549" s="419">
        <f t="shared" si="60"/>
        <v>3947652.38</v>
      </c>
      <c r="Z549" s="419"/>
    </row>
    <row r="550" spans="1:26" s="404" customFormat="1" ht="37.5" hidden="1" customHeight="1">
      <c r="A550" s="500">
        <f t="shared" si="64"/>
        <v>15</v>
      </c>
      <c r="B550" s="403" t="s">
        <v>811</v>
      </c>
      <c r="C550" s="455" t="s">
        <v>218</v>
      </c>
      <c r="D550" s="641">
        <v>32333</v>
      </c>
      <c r="E550" s="391">
        <v>3970</v>
      </c>
      <c r="F550" s="391" t="s">
        <v>224</v>
      </c>
      <c r="G550" s="644">
        <v>1518.8</v>
      </c>
      <c r="H550" s="446">
        <v>9</v>
      </c>
      <c r="I550" s="446">
        <v>4</v>
      </c>
      <c r="J550" s="528">
        <v>144</v>
      </c>
      <c r="K550" s="458" t="s">
        <v>220</v>
      </c>
      <c r="L550" s="519">
        <f t="shared" si="66"/>
        <v>5711359.71</v>
      </c>
      <c r="M550" s="388">
        <f>1856571.48+1860449.12+1867476.61</f>
        <v>5584497.21</v>
      </c>
      <c r="N550" s="391">
        <v>126862.5</v>
      </c>
      <c r="O550" s="473"/>
      <c r="P550" s="388"/>
      <c r="Q550" s="388"/>
      <c r="R550" s="446">
        <f>M550/3</f>
        <v>1861499.07</v>
      </c>
      <c r="S550" s="403"/>
      <c r="T550" s="393"/>
      <c r="V550" s="390"/>
      <c r="Y550" s="419">
        <f t="shared" si="60"/>
        <v>5711359.71</v>
      </c>
      <c r="Z550" s="419"/>
    </row>
    <row r="551" spans="1:26" s="404" customFormat="1" ht="37.5" hidden="1" customHeight="1">
      <c r="A551" s="500">
        <f t="shared" si="64"/>
        <v>16</v>
      </c>
      <c r="B551" s="403" t="s">
        <v>812</v>
      </c>
      <c r="C551" s="455" t="s">
        <v>218</v>
      </c>
      <c r="D551" s="641">
        <v>10510</v>
      </c>
      <c r="E551" s="391">
        <v>1950</v>
      </c>
      <c r="F551" s="391" t="s">
        <v>224</v>
      </c>
      <c r="G551" s="644">
        <f t="shared" si="65"/>
        <v>1152</v>
      </c>
      <c r="H551" s="446">
        <v>5</v>
      </c>
      <c r="I551" s="446">
        <v>4</v>
      </c>
      <c r="J551" s="528">
        <v>60</v>
      </c>
      <c r="K551" s="458" t="s">
        <v>227</v>
      </c>
      <c r="L551" s="650">
        <f t="shared" si="66"/>
        <v>5675087.5499999998</v>
      </c>
      <c r="M551" s="650">
        <v>5633087.5499999998</v>
      </c>
      <c r="N551" s="651">
        <v>42000</v>
      </c>
      <c r="O551" s="647"/>
      <c r="P551" s="651"/>
      <c r="Q551" s="388"/>
      <c r="R551" s="528">
        <f>M551/E551</f>
        <v>2888.7628461538461</v>
      </c>
      <c r="S551" s="403" t="s">
        <v>427</v>
      </c>
      <c r="T551" s="393"/>
      <c r="V551" s="390"/>
      <c r="Y551" s="419">
        <f t="shared" si="60"/>
        <v>5675087.5499999998</v>
      </c>
      <c r="Z551" s="419"/>
    </row>
    <row r="552" spans="1:26" s="405" customFormat="1" ht="37.5" hidden="1" customHeight="1">
      <c r="A552" s="500">
        <f t="shared" si="64"/>
        <v>17</v>
      </c>
      <c r="B552" s="403" t="s">
        <v>813</v>
      </c>
      <c r="C552" s="648" t="s">
        <v>222</v>
      </c>
      <c r="D552" s="641">
        <v>13214</v>
      </c>
      <c r="E552" s="391">
        <v>1790</v>
      </c>
      <c r="F552" s="391" t="s">
        <v>223</v>
      </c>
      <c r="G552" s="644">
        <f t="shared" si="65"/>
        <v>1440</v>
      </c>
      <c r="H552" s="446">
        <v>5</v>
      </c>
      <c r="I552" s="446">
        <v>5</v>
      </c>
      <c r="J552" s="528">
        <v>64</v>
      </c>
      <c r="K552" s="642" t="s">
        <v>225</v>
      </c>
      <c r="L552" s="519">
        <f t="shared" si="66"/>
        <v>534643.67999999993</v>
      </c>
      <c r="M552" s="529">
        <v>509043.68</v>
      </c>
      <c r="N552" s="391">
        <v>25600</v>
      </c>
      <c r="O552" s="473"/>
      <c r="P552" s="391"/>
      <c r="Q552" s="388"/>
      <c r="R552" s="446">
        <f>M552/J552</f>
        <v>7953.8074999999999</v>
      </c>
      <c r="S552" s="403"/>
      <c r="T552" s="393"/>
      <c r="V552" s="390"/>
      <c r="Y552" s="419">
        <f t="shared" si="60"/>
        <v>534643.67999999993</v>
      </c>
      <c r="Z552" s="419"/>
    </row>
    <row r="553" spans="1:26" s="405" customFormat="1" ht="56.25" hidden="1" customHeight="1">
      <c r="A553" s="500">
        <f t="shared" si="64"/>
        <v>18</v>
      </c>
      <c r="B553" s="403" t="s">
        <v>814</v>
      </c>
      <c r="C553" s="648" t="s">
        <v>222</v>
      </c>
      <c r="D553" s="606">
        <f>E553*3</f>
        <v>45120</v>
      </c>
      <c r="E553" s="391">
        <v>15040</v>
      </c>
      <c r="F553" s="391" t="s">
        <v>224</v>
      </c>
      <c r="G553" s="644">
        <v>3713.4</v>
      </c>
      <c r="H553" s="446">
        <v>9</v>
      </c>
      <c r="I553" s="446">
        <v>9</v>
      </c>
      <c r="J553" s="528">
        <v>248</v>
      </c>
      <c r="K553" s="642" t="s">
        <v>30</v>
      </c>
      <c r="L553" s="1129">
        <f>M553+N553+O553+Q553+M554+N554+O554+Q554</f>
        <v>7310566.8300000001</v>
      </c>
      <c r="M553" s="396">
        <v>3407147.14</v>
      </c>
      <c r="N553" s="391"/>
      <c r="O553" s="643">
        <v>18507</v>
      </c>
      <c r="P553" s="391"/>
      <c r="Q553" s="388"/>
      <c r="R553" s="446">
        <f>M553/J553</f>
        <v>13738.496532258065</v>
      </c>
      <c r="S553" s="393">
        <f>M553+N553+O553+Q553</f>
        <v>3425654.14</v>
      </c>
      <c r="T553" s="393"/>
      <c r="V553" s="390"/>
      <c r="Y553" s="419">
        <f t="shared" si="60"/>
        <v>3425654.14</v>
      </c>
      <c r="Z553" s="419"/>
    </row>
    <row r="554" spans="1:26" s="405" customFormat="1" ht="37.5" hidden="1" customHeight="1">
      <c r="A554" s="500"/>
      <c r="B554" s="403"/>
      <c r="C554" s="648"/>
      <c r="D554" s="606"/>
      <c r="E554" s="391"/>
      <c r="F554" s="391"/>
      <c r="G554" s="644"/>
      <c r="H554" s="446"/>
      <c r="I554" s="446"/>
      <c r="J554" s="528"/>
      <c r="K554" s="642" t="s">
        <v>220</v>
      </c>
      <c r="L554" s="1129"/>
      <c r="M554" s="529">
        <f>1947220.31+1835161.13</f>
        <v>3782381.44</v>
      </c>
      <c r="N554" s="391">
        <v>102531.25</v>
      </c>
      <c r="O554" s="643"/>
      <c r="P554" s="391"/>
      <c r="Q554" s="388"/>
      <c r="R554" s="446">
        <f>M554/2</f>
        <v>1891190.72</v>
      </c>
      <c r="S554" s="403"/>
      <c r="T554" s="393"/>
      <c r="V554" s="390"/>
      <c r="Y554" s="419">
        <f t="shared" si="60"/>
        <v>3884912.69</v>
      </c>
      <c r="Z554" s="419"/>
    </row>
    <row r="555" spans="1:26" s="405" customFormat="1" ht="56.25" hidden="1" customHeight="1">
      <c r="A555" s="500">
        <f>A553+1</f>
        <v>19</v>
      </c>
      <c r="B555" s="403" t="s">
        <v>815</v>
      </c>
      <c r="C555" s="455" t="s">
        <v>218</v>
      </c>
      <c r="D555" s="641">
        <v>10147</v>
      </c>
      <c r="E555" s="391">
        <v>1650</v>
      </c>
      <c r="F555" s="391" t="s">
        <v>224</v>
      </c>
      <c r="G555" s="644">
        <v>945.1</v>
      </c>
      <c r="H555" s="446">
        <v>5</v>
      </c>
      <c r="I555" s="446">
        <v>4</v>
      </c>
      <c r="J555" s="528">
        <v>60</v>
      </c>
      <c r="K555" s="642" t="s">
        <v>30</v>
      </c>
      <c r="L555" s="519">
        <f t="shared" ref="L555:L602" si="67">M555+N555+O555+P555+Q555</f>
        <v>1264974.68</v>
      </c>
      <c r="M555" s="529">
        <v>1260497.18</v>
      </c>
      <c r="N555" s="391"/>
      <c r="O555" s="643">
        <v>4477.5</v>
      </c>
      <c r="P555" s="391"/>
      <c r="Q555" s="388"/>
      <c r="R555" s="446">
        <f>M555/J555</f>
        <v>21008.286333333333</v>
      </c>
      <c r="S555" s="403"/>
      <c r="T555" s="393"/>
      <c r="V555" s="390"/>
      <c r="Y555" s="419">
        <f t="shared" si="60"/>
        <v>1264974.68</v>
      </c>
      <c r="Z555" s="419"/>
    </row>
    <row r="556" spans="1:26" s="405" customFormat="1" ht="37.5" hidden="1" customHeight="1">
      <c r="A556" s="500">
        <f t="shared" si="64"/>
        <v>20</v>
      </c>
      <c r="B556" s="403" t="s">
        <v>816</v>
      </c>
      <c r="C556" s="648" t="s">
        <v>222</v>
      </c>
      <c r="D556" s="641">
        <v>49112</v>
      </c>
      <c r="E556" s="391">
        <v>7141.75</v>
      </c>
      <c r="F556" s="391" t="s">
        <v>228</v>
      </c>
      <c r="G556" s="644">
        <v>694.85</v>
      </c>
      <c r="H556" s="446">
        <v>12</v>
      </c>
      <c r="I556" s="446">
        <v>2</v>
      </c>
      <c r="J556" s="528">
        <v>110</v>
      </c>
      <c r="K556" s="642" t="s">
        <v>33</v>
      </c>
      <c r="L556" s="519">
        <f t="shared" si="67"/>
        <v>1334591.49</v>
      </c>
      <c r="M556" s="394">
        <v>1330028.42</v>
      </c>
      <c r="N556" s="388"/>
      <c r="O556" s="643">
        <v>4563.07</v>
      </c>
      <c r="P556" s="388"/>
      <c r="Q556" s="388"/>
      <c r="R556" s="446">
        <f>M556/G556</f>
        <v>1914.1230769230767</v>
      </c>
      <c r="S556" s="403"/>
      <c r="T556" s="393"/>
      <c r="V556" s="390"/>
      <c r="Y556" s="419">
        <f t="shared" si="60"/>
        <v>1334591.49</v>
      </c>
      <c r="Z556" s="419"/>
    </row>
    <row r="557" spans="1:26" s="405" customFormat="1" ht="37.5" hidden="1" customHeight="1">
      <c r="A557" s="500">
        <f t="shared" si="64"/>
        <v>21</v>
      </c>
      <c r="B557" s="403" t="s">
        <v>817</v>
      </c>
      <c r="C557" s="455" t="s">
        <v>222</v>
      </c>
      <c r="D557" s="641">
        <v>4518</v>
      </c>
      <c r="E557" s="391">
        <v>738.51</v>
      </c>
      <c r="F557" s="391" t="s">
        <v>223</v>
      </c>
      <c r="G557" s="644">
        <v>673.1</v>
      </c>
      <c r="H557" s="446">
        <v>3</v>
      </c>
      <c r="I557" s="446">
        <v>2</v>
      </c>
      <c r="J557" s="528">
        <v>12</v>
      </c>
      <c r="K557" s="642" t="s">
        <v>33</v>
      </c>
      <c r="L557" s="519">
        <f t="shared" si="67"/>
        <v>1382031.29</v>
      </c>
      <c r="M557" s="394">
        <v>1344337.29</v>
      </c>
      <c r="N557" s="388">
        <v>37694</v>
      </c>
      <c r="O557" s="473"/>
      <c r="P557" s="388"/>
      <c r="Q557" s="388"/>
      <c r="R557" s="446">
        <f>M557/G557</f>
        <v>1997.2326400237705</v>
      </c>
      <c r="S557" s="403"/>
      <c r="T557" s="393"/>
      <c r="V557" s="390"/>
      <c r="Y557" s="419">
        <f t="shared" si="60"/>
        <v>1382031.29</v>
      </c>
      <c r="Z557" s="419"/>
    </row>
    <row r="558" spans="1:26" s="405" customFormat="1" ht="37.5" hidden="1" customHeight="1">
      <c r="A558" s="500">
        <f t="shared" si="64"/>
        <v>22</v>
      </c>
      <c r="B558" s="403" t="s">
        <v>818</v>
      </c>
      <c r="C558" s="648" t="s">
        <v>222</v>
      </c>
      <c r="D558" s="641">
        <v>3939</v>
      </c>
      <c r="E558" s="391">
        <v>676.54</v>
      </c>
      <c r="F558" s="391" t="s">
        <v>223</v>
      </c>
      <c r="G558" s="644">
        <f>(20*I558)*12*1.2</f>
        <v>576</v>
      </c>
      <c r="H558" s="446">
        <v>3</v>
      </c>
      <c r="I558" s="446">
        <v>2</v>
      </c>
      <c r="J558" s="528">
        <v>24</v>
      </c>
      <c r="K558" s="642" t="s">
        <v>33</v>
      </c>
      <c r="L558" s="519">
        <f t="shared" si="67"/>
        <v>1293003.8799999999</v>
      </c>
      <c r="M558" s="394">
        <v>1260747.8799999999</v>
      </c>
      <c r="N558" s="388">
        <v>32256</v>
      </c>
      <c r="O558" s="473"/>
      <c r="P558" s="388"/>
      <c r="Q558" s="388"/>
      <c r="R558" s="446">
        <f>M558/G558</f>
        <v>2188.7984027777775</v>
      </c>
      <c r="S558" s="403"/>
      <c r="T558" s="393"/>
      <c r="V558" s="390"/>
      <c r="Y558" s="419">
        <f t="shared" si="60"/>
        <v>1293003.8799999999</v>
      </c>
      <c r="Z558" s="419"/>
    </row>
    <row r="559" spans="1:26" s="405" customFormat="1" ht="37.5" hidden="1" customHeight="1">
      <c r="A559" s="500">
        <f t="shared" si="64"/>
        <v>23</v>
      </c>
      <c r="B559" s="403" t="s">
        <v>819</v>
      </c>
      <c r="C559" s="455" t="s">
        <v>222</v>
      </c>
      <c r="D559" s="641">
        <v>10098</v>
      </c>
      <c r="E559" s="391">
        <v>1513.48</v>
      </c>
      <c r="F559" s="391" t="s">
        <v>229</v>
      </c>
      <c r="G559" s="644">
        <v>1112.5</v>
      </c>
      <c r="H559" s="446">
        <v>4</v>
      </c>
      <c r="I559" s="446">
        <v>4</v>
      </c>
      <c r="J559" s="528">
        <v>64</v>
      </c>
      <c r="K559" s="642" t="s">
        <v>38</v>
      </c>
      <c r="L559" s="650">
        <f t="shared" si="67"/>
        <v>4369698.1900000004</v>
      </c>
      <c r="M559" s="649">
        <v>4332608.9400000004</v>
      </c>
      <c r="N559" s="651">
        <v>25000</v>
      </c>
      <c r="O559" s="643">
        <v>12089.25</v>
      </c>
      <c r="P559" s="651"/>
      <c r="Q559" s="388"/>
      <c r="R559" s="528">
        <f>M559/E559</f>
        <v>2862.6800089859134</v>
      </c>
      <c r="S559" s="403"/>
      <c r="T559" s="393"/>
      <c r="V559" s="390"/>
      <c r="Y559" s="419">
        <f t="shared" si="60"/>
        <v>4369698.1900000004</v>
      </c>
      <c r="Z559" s="419"/>
    </row>
    <row r="560" spans="1:26" s="405" customFormat="1" ht="37.5" hidden="1" customHeight="1">
      <c r="A560" s="500">
        <f t="shared" si="64"/>
        <v>24</v>
      </c>
      <c r="B560" s="403" t="s">
        <v>820</v>
      </c>
      <c r="C560" s="455" t="s">
        <v>222</v>
      </c>
      <c r="D560" s="641">
        <v>16257</v>
      </c>
      <c r="E560" s="391">
        <v>2489</v>
      </c>
      <c r="F560" s="391" t="s">
        <v>224</v>
      </c>
      <c r="G560" s="644">
        <v>1289.4000000000001</v>
      </c>
      <c r="H560" s="446">
        <v>5</v>
      </c>
      <c r="I560" s="446">
        <v>6</v>
      </c>
      <c r="J560" s="528">
        <v>87</v>
      </c>
      <c r="K560" s="642" t="s">
        <v>227</v>
      </c>
      <c r="L560" s="650">
        <f t="shared" si="67"/>
        <v>7980665.2000000002</v>
      </c>
      <c r="M560" s="649">
        <v>7928665.2000000002</v>
      </c>
      <c r="N560" s="651">
        <v>52000</v>
      </c>
      <c r="O560" s="473"/>
      <c r="P560" s="651"/>
      <c r="Q560" s="388"/>
      <c r="R560" s="528">
        <f>M560/E560</f>
        <v>3185.4822016874245</v>
      </c>
      <c r="S560" s="403"/>
      <c r="T560" s="393"/>
      <c r="V560" s="390"/>
      <c r="Y560" s="419">
        <f t="shared" si="60"/>
        <v>7980665.2000000002</v>
      </c>
      <c r="Z560" s="419"/>
    </row>
    <row r="561" spans="1:26" s="405" customFormat="1" ht="56.25" hidden="1" customHeight="1">
      <c r="A561" s="500">
        <f t="shared" si="64"/>
        <v>25</v>
      </c>
      <c r="B561" s="403" t="s">
        <v>821</v>
      </c>
      <c r="C561" s="648" t="s">
        <v>218</v>
      </c>
      <c r="D561" s="641">
        <v>16931</v>
      </c>
      <c r="E561" s="391">
        <v>2604.88</v>
      </c>
      <c r="F561" s="391" t="s">
        <v>224</v>
      </c>
      <c r="G561" s="644">
        <f>(20*I561)*12*1.2</f>
        <v>1728</v>
      </c>
      <c r="H561" s="446">
        <v>5</v>
      </c>
      <c r="I561" s="446">
        <v>6</v>
      </c>
      <c r="J561" s="528">
        <v>90</v>
      </c>
      <c r="K561" s="642" t="s">
        <v>30</v>
      </c>
      <c r="L561" s="519">
        <f t="shared" si="67"/>
        <v>2112196.5299999998</v>
      </c>
      <c r="M561" s="529">
        <v>2105480.2799999998</v>
      </c>
      <c r="N561" s="391"/>
      <c r="O561" s="643">
        <v>6716.25</v>
      </c>
      <c r="P561" s="391"/>
      <c r="Q561" s="388"/>
      <c r="R561" s="446">
        <f>M561/J561</f>
        <v>23394.225333333332</v>
      </c>
      <c r="S561" s="403"/>
      <c r="T561" s="393"/>
      <c r="V561" s="390"/>
      <c r="Y561" s="419">
        <f t="shared" si="60"/>
        <v>2112196.5299999998</v>
      </c>
      <c r="Z561" s="419"/>
    </row>
    <row r="562" spans="1:26" s="405" customFormat="1" ht="37.5" hidden="1" customHeight="1">
      <c r="A562" s="500">
        <f t="shared" si="64"/>
        <v>26</v>
      </c>
      <c r="B562" s="403" t="s">
        <v>822</v>
      </c>
      <c r="C562" s="648" t="s">
        <v>222</v>
      </c>
      <c r="D562" s="641">
        <v>9705</v>
      </c>
      <c r="E562" s="391">
        <v>2504</v>
      </c>
      <c r="F562" s="391" t="s">
        <v>224</v>
      </c>
      <c r="G562" s="644">
        <f>(20*I562)*12*1.2</f>
        <v>1152</v>
      </c>
      <c r="H562" s="446">
        <v>5</v>
      </c>
      <c r="I562" s="446">
        <v>4</v>
      </c>
      <c r="J562" s="528">
        <v>40</v>
      </c>
      <c r="K562" s="642" t="s">
        <v>33</v>
      </c>
      <c r="L562" s="519">
        <f t="shared" si="67"/>
        <v>1487141.75</v>
      </c>
      <c r="M562" s="519">
        <v>1479576.77</v>
      </c>
      <c r="N562" s="388"/>
      <c r="O562" s="643">
        <v>7564.98</v>
      </c>
      <c r="P562" s="388"/>
      <c r="Q562" s="388"/>
      <c r="R562" s="446">
        <f>M562/G562</f>
        <v>1284.3548350694446</v>
      </c>
      <c r="S562" s="403"/>
      <c r="T562" s="393"/>
      <c r="V562" s="390"/>
      <c r="Y562" s="419">
        <f t="shared" si="60"/>
        <v>1487141.75</v>
      </c>
      <c r="Z562" s="419"/>
    </row>
    <row r="563" spans="1:26" s="405" customFormat="1" ht="56.25" hidden="1" customHeight="1">
      <c r="A563" s="500">
        <f t="shared" si="64"/>
        <v>27</v>
      </c>
      <c r="B563" s="403" t="s">
        <v>823</v>
      </c>
      <c r="C563" s="648" t="s">
        <v>222</v>
      </c>
      <c r="D563" s="641">
        <v>11546</v>
      </c>
      <c r="E563" s="391">
        <v>2443.1999999999998</v>
      </c>
      <c r="F563" s="391" t="s">
        <v>229</v>
      </c>
      <c r="G563" s="644">
        <v>1023.6</v>
      </c>
      <c r="H563" s="446">
        <v>5</v>
      </c>
      <c r="I563" s="446">
        <v>4</v>
      </c>
      <c r="J563" s="528">
        <v>80</v>
      </c>
      <c r="K563" s="458" t="s">
        <v>30</v>
      </c>
      <c r="L563" s="519">
        <f t="shared" si="67"/>
        <v>1210413.44</v>
      </c>
      <c r="M563" s="396">
        <v>1204443.44</v>
      </c>
      <c r="N563" s="391"/>
      <c r="O563" s="643">
        <v>5970</v>
      </c>
      <c r="P563" s="391"/>
      <c r="Q563" s="388"/>
      <c r="R563" s="446">
        <f>M563/J563</f>
        <v>15055.543</v>
      </c>
      <c r="S563" s="403"/>
      <c r="T563" s="393"/>
      <c r="V563" s="390"/>
      <c r="Y563" s="419">
        <f t="shared" si="60"/>
        <v>1210413.44</v>
      </c>
      <c r="Z563" s="419"/>
    </row>
    <row r="564" spans="1:26" s="405" customFormat="1" ht="37.5" hidden="1" customHeight="1">
      <c r="A564" s="500">
        <f t="shared" si="64"/>
        <v>28</v>
      </c>
      <c r="B564" s="403" t="s">
        <v>824</v>
      </c>
      <c r="C564" s="455" t="s">
        <v>222</v>
      </c>
      <c r="D564" s="641">
        <v>15614</v>
      </c>
      <c r="E564" s="391">
        <v>2500</v>
      </c>
      <c r="F564" s="391" t="s">
        <v>224</v>
      </c>
      <c r="G564" s="644">
        <v>1278.9000000000001</v>
      </c>
      <c r="H564" s="446">
        <v>5</v>
      </c>
      <c r="I564" s="446">
        <v>6</v>
      </c>
      <c r="J564" s="528">
        <v>79</v>
      </c>
      <c r="K564" s="642" t="s">
        <v>227</v>
      </c>
      <c r="L564" s="650">
        <f t="shared" si="67"/>
        <v>8267680.75</v>
      </c>
      <c r="M564" s="649">
        <v>8212680.75</v>
      </c>
      <c r="N564" s="651">
        <v>55000</v>
      </c>
      <c r="O564" s="473"/>
      <c r="P564" s="651"/>
      <c r="Q564" s="388"/>
      <c r="R564" s="528">
        <f>M564/E564</f>
        <v>3285.0722999999998</v>
      </c>
      <c r="S564" s="403"/>
      <c r="T564" s="393"/>
      <c r="V564" s="390"/>
      <c r="Y564" s="419">
        <f t="shared" si="60"/>
        <v>8267680.75</v>
      </c>
      <c r="Z564" s="419"/>
    </row>
    <row r="565" spans="1:26" s="405" customFormat="1" ht="37.5" hidden="1" customHeight="1">
      <c r="A565" s="500">
        <f t="shared" si="64"/>
        <v>29</v>
      </c>
      <c r="B565" s="403" t="s">
        <v>825</v>
      </c>
      <c r="C565" s="648" t="s">
        <v>222</v>
      </c>
      <c r="D565" s="641">
        <v>22929</v>
      </c>
      <c r="E565" s="391">
        <v>3748.58</v>
      </c>
      <c r="F565" s="391" t="s">
        <v>223</v>
      </c>
      <c r="G565" s="644">
        <f>(20*I565)*12*1.2</f>
        <v>2304</v>
      </c>
      <c r="H565" s="446">
        <v>5</v>
      </c>
      <c r="I565" s="446">
        <v>8</v>
      </c>
      <c r="J565" s="528">
        <v>125</v>
      </c>
      <c r="K565" s="642" t="s">
        <v>33</v>
      </c>
      <c r="L565" s="519">
        <f t="shared" si="67"/>
        <v>3731808.05</v>
      </c>
      <c r="M565" s="394">
        <v>3686650.05</v>
      </c>
      <c r="N565" s="388">
        <v>45158</v>
      </c>
      <c r="O565" s="473"/>
      <c r="P565" s="388"/>
      <c r="Q565" s="388"/>
      <c r="R565" s="446">
        <f>M565/G565</f>
        <v>1600.1085286458333</v>
      </c>
      <c r="S565" s="403"/>
      <c r="T565" s="393"/>
      <c r="V565" s="390"/>
      <c r="Y565" s="419">
        <f t="shared" si="60"/>
        <v>3731808.05</v>
      </c>
      <c r="Z565" s="419"/>
    </row>
    <row r="566" spans="1:26" s="405" customFormat="1" ht="56.25" hidden="1" customHeight="1">
      <c r="A566" s="500">
        <f t="shared" si="64"/>
        <v>30</v>
      </c>
      <c r="B566" s="403" t="s">
        <v>826</v>
      </c>
      <c r="C566" s="648" t="s">
        <v>222</v>
      </c>
      <c r="D566" s="641">
        <v>23949</v>
      </c>
      <c r="E566" s="391">
        <v>3748.58</v>
      </c>
      <c r="F566" s="391" t="s">
        <v>223</v>
      </c>
      <c r="G566" s="644">
        <f>(20*I566)*12*1.2</f>
        <v>2304</v>
      </c>
      <c r="H566" s="446">
        <v>5</v>
      </c>
      <c r="I566" s="446">
        <v>8</v>
      </c>
      <c r="J566" s="528">
        <v>127</v>
      </c>
      <c r="K566" s="642" t="s">
        <v>30</v>
      </c>
      <c r="L566" s="519">
        <f t="shared" si="67"/>
        <v>1623580.8</v>
      </c>
      <c r="M566" s="396">
        <v>1614103.4200000002</v>
      </c>
      <c r="N566" s="391"/>
      <c r="O566" s="643">
        <v>9477.3799999999992</v>
      </c>
      <c r="P566" s="391"/>
      <c r="Q566" s="388"/>
      <c r="R566" s="446">
        <f>M566/J566</f>
        <v>12709.475748031497</v>
      </c>
      <c r="S566" s="403"/>
      <c r="T566" s="393"/>
      <c r="V566" s="390"/>
      <c r="Y566" s="419">
        <f t="shared" si="60"/>
        <v>1623580.8</v>
      </c>
      <c r="Z566" s="419"/>
    </row>
    <row r="567" spans="1:26" s="405" customFormat="1" ht="37.5" hidden="1" customHeight="1">
      <c r="A567" s="500">
        <f t="shared" si="64"/>
        <v>31</v>
      </c>
      <c r="B567" s="403" t="s">
        <v>827</v>
      </c>
      <c r="C567" s="648" t="s">
        <v>222</v>
      </c>
      <c r="D567" s="641">
        <v>17824</v>
      </c>
      <c r="E567" s="391">
        <v>2815.88</v>
      </c>
      <c r="F567" s="391" t="s">
        <v>223</v>
      </c>
      <c r="G567" s="644">
        <f>(20*I567)*12*1.2</f>
        <v>1728</v>
      </c>
      <c r="H567" s="446">
        <v>5</v>
      </c>
      <c r="I567" s="446">
        <v>6</v>
      </c>
      <c r="J567" s="528">
        <v>100</v>
      </c>
      <c r="K567" s="642" t="s">
        <v>33</v>
      </c>
      <c r="L567" s="519">
        <f t="shared" si="67"/>
        <v>2914800.05</v>
      </c>
      <c r="M567" s="394">
        <v>2866416.05</v>
      </c>
      <c r="N567" s="388">
        <v>48384</v>
      </c>
      <c r="O567" s="473"/>
      <c r="P567" s="388"/>
      <c r="Q567" s="388"/>
      <c r="R567" s="446">
        <f>M567/G567</f>
        <v>1658.8055844907406</v>
      </c>
      <c r="S567" s="403"/>
      <c r="T567" s="393"/>
      <c r="V567" s="390"/>
      <c r="Y567" s="419">
        <f t="shared" si="60"/>
        <v>2914800.05</v>
      </c>
      <c r="Z567" s="419"/>
    </row>
    <row r="568" spans="1:26" s="405" customFormat="1" ht="37.5" hidden="1" customHeight="1">
      <c r="A568" s="500">
        <f t="shared" si="64"/>
        <v>32</v>
      </c>
      <c r="B568" s="403" t="s">
        <v>828</v>
      </c>
      <c r="C568" s="455" t="s">
        <v>222</v>
      </c>
      <c r="D568" s="641">
        <v>22675</v>
      </c>
      <c r="E568" s="391">
        <v>3220</v>
      </c>
      <c r="F568" s="391" t="s">
        <v>224</v>
      </c>
      <c r="G568" s="644">
        <v>1039</v>
      </c>
      <c r="H568" s="446">
        <v>9</v>
      </c>
      <c r="I568" s="446">
        <v>1</v>
      </c>
      <c r="J568" s="528">
        <v>144</v>
      </c>
      <c r="K568" s="642" t="s">
        <v>225</v>
      </c>
      <c r="L568" s="645">
        <f t="shared" si="67"/>
        <v>1823150.8299999998</v>
      </c>
      <c r="M568" s="652">
        <v>1794350.8299999998</v>
      </c>
      <c r="N568" s="646">
        <v>28800</v>
      </c>
      <c r="O568" s="647"/>
      <c r="P568" s="646"/>
      <c r="Q568" s="388"/>
      <c r="R568" s="648">
        <f>M568/J568</f>
        <v>12460.769652777777</v>
      </c>
      <c r="S568" s="403"/>
      <c r="T568" s="393"/>
      <c r="V568" s="390"/>
      <c r="Y568" s="419">
        <f t="shared" si="60"/>
        <v>1823150.8299999998</v>
      </c>
      <c r="Z568" s="419"/>
    </row>
    <row r="569" spans="1:26" s="405" customFormat="1" ht="56.25" hidden="1" customHeight="1">
      <c r="A569" s="500">
        <f t="shared" si="64"/>
        <v>33</v>
      </c>
      <c r="B569" s="403" t="s">
        <v>829</v>
      </c>
      <c r="C569" s="648" t="s">
        <v>222</v>
      </c>
      <c r="D569" s="641">
        <v>22601</v>
      </c>
      <c r="E569" s="391">
        <v>3970</v>
      </c>
      <c r="F569" s="391" t="s">
        <v>224</v>
      </c>
      <c r="G569" s="644">
        <v>2304</v>
      </c>
      <c r="H569" s="446">
        <v>5</v>
      </c>
      <c r="I569" s="446">
        <v>8</v>
      </c>
      <c r="J569" s="528">
        <v>125</v>
      </c>
      <c r="K569" s="642" t="s">
        <v>30</v>
      </c>
      <c r="L569" s="519">
        <f t="shared" si="67"/>
        <v>2268606.16</v>
      </c>
      <c r="M569" s="396">
        <v>2259278.04</v>
      </c>
      <c r="N569" s="391"/>
      <c r="O569" s="643">
        <v>9328.1200000000008</v>
      </c>
      <c r="P569" s="391"/>
      <c r="Q569" s="388"/>
      <c r="R569" s="446">
        <f>M569/J569</f>
        <v>18074.224320000001</v>
      </c>
      <c r="S569" s="403"/>
      <c r="T569" s="393"/>
      <c r="V569" s="390"/>
      <c r="Y569" s="419">
        <f t="shared" si="60"/>
        <v>2268606.16</v>
      </c>
      <c r="Z569" s="419"/>
    </row>
    <row r="570" spans="1:26" s="405" customFormat="1" ht="37.5" hidden="1" customHeight="1">
      <c r="A570" s="500">
        <f t="shared" si="64"/>
        <v>34</v>
      </c>
      <c r="B570" s="403" t="s">
        <v>830</v>
      </c>
      <c r="C570" s="648" t="s">
        <v>218</v>
      </c>
      <c r="D570" s="641">
        <v>14706</v>
      </c>
      <c r="E570" s="391">
        <v>2220</v>
      </c>
      <c r="F570" s="391" t="s">
        <v>224</v>
      </c>
      <c r="G570" s="644">
        <f>(20*I570)*12*1.2</f>
        <v>576</v>
      </c>
      <c r="H570" s="446">
        <v>9</v>
      </c>
      <c r="I570" s="446">
        <v>2</v>
      </c>
      <c r="J570" s="528">
        <v>72</v>
      </c>
      <c r="K570" s="642" t="s">
        <v>220</v>
      </c>
      <c r="L570" s="519">
        <f t="shared" si="67"/>
        <v>3816392.84</v>
      </c>
      <c r="M570" s="529">
        <f>1848947.71+1861726.38</f>
        <v>3710674.09</v>
      </c>
      <c r="N570" s="391">
        <v>105718.75</v>
      </c>
      <c r="O570" s="473"/>
      <c r="P570" s="388"/>
      <c r="Q570" s="388"/>
      <c r="R570" s="446">
        <f>M570/I570</f>
        <v>1855337.0449999999</v>
      </c>
      <c r="S570" s="403"/>
      <c r="T570" s="393"/>
      <c r="V570" s="390"/>
      <c r="Y570" s="419">
        <f t="shared" si="60"/>
        <v>3816392.84</v>
      </c>
      <c r="Z570" s="419"/>
    </row>
    <row r="571" spans="1:26" s="405" customFormat="1" ht="56.25" hidden="1" customHeight="1">
      <c r="A571" s="500">
        <f t="shared" si="64"/>
        <v>35</v>
      </c>
      <c r="B571" s="403" t="s">
        <v>831</v>
      </c>
      <c r="C571" s="648" t="s">
        <v>222</v>
      </c>
      <c r="D571" s="641">
        <v>7995</v>
      </c>
      <c r="E571" s="391">
        <v>1453.96</v>
      </c>
      <c r="F571" s="391" t="s">
        <v>223</v>
      </c>
      <c r="G571" s="644">
        <v>882.9</v>
      </c>
      <c r="H571" s="446">
        <v>4</v>
      </c>
      <c r="I571" s="446">
        <v>3</v>
      </c>
      <c r="J571" s="528">
        <v>48</v>
      </c>
      <c r="K571" s="458" t="s">
        <v>30</v>
      </c>
      <c r="L571" s="519">
        <f t="shared" si="67"/>
        <v>700444.96</v>
      </c>
      <c r="M571" s="396">
        <v>696862.96</v>
      </c>
      <c r="N571" s="391"/>
      <c r="O571" s="643">
        <v>3582</v>
      </c>
      <c r="P571" s="391"/>
      <c r="Q571" s="388"/>
      <c r="R571" s="446">
        <f>M571/J571</f>
        <v>14517.978333333333</v>
      </c>
      <c r="S571" s="403"/>
      <c r="T571" s="393"/>
      <c r="V571" s="390"/>
      <c r="Y571" s="419">
        <f t="shared" si="60"/>
        <v>700444.96</v>
      </c>
      <c r="Z571" s="419"/>
    </row>
    <row r="572" spans="1:26" s="405" customFormat="1" ht="37.5" hidden="1" customHeight="1">
      <c r="A572" s="500">
        <f t="shared" si="64"/>
        <v>36</v>
      </c>
      <c r="B572" s="403" t="s">
        <v>3802</v>
      </c>
      <c r="C572" s="455" t="s">
        <v>218</v>
      </c>
      <c r="D572" s="641">
        <v>10294</v>
      </c>
      <c r="E572" s="391">
        <v>1600</v>
      </c>
      <c r="F572" s="391" t="s">
        <v>224</v>
      </c>
      <c r="G572" s="644">
        <v>941</v>
      </c>
      <c r="H572" s="446">
        <v>5</v>
      </c>
      <c r="I572" s="446">
        <v>4</v>
      </c>
      <c r="J572" s="528">
        <v>60</v>
      </c>
      <c r="K572" s="642" t="s">
        <v>33</v>
      </c>
      <c r="L572" s="519">
        <f t="shared" si="67"/>
        <v>1654898.65</v>
      </c>
      <c r="M572" s="519">
        <v>1648718.71</v>
      </c>
      <c r="N572" s="388"/>
      <c r="O572" s="643">
        <v>6179.94</v>
      </c>
      <c r="P572" s="388"/>
      <c r="Q572" s="388"/>
      <c r="R572" s="446">
        <f>M572/G572</f>
        <v>1752.0921466524974</v>
      </c>
      <c r="S572" s="403"/>
      <c r="T572" s="393"/>
      <c r="V572" s="390"/>
      <c r="Y572" s="419">
        <f t="shared" si="60"/>
        <v>1654898.65</v>
      </c>
      <c r="Z572" s="419"/>
    </row>
    <row r="573" spans="1:26" s="405" customFormat="1" ht="37.5" hidden="1" customHeight="1">
      <c r="A573" s="500">
        <f t="shared" si="64"/>
        <v>37</v>
      </c>
      <c r="B573" s="403" t="s">
        <v>833</v>
      </c>
      <c r="C573" s="648" t="s">
        <v>218</v>
      </c>
      <c r="D573" s="641">
        <v>21270</v>
      </c>
      <c r="E573" s="391">
        <v>3200</v>
      </c>
      <c r="F573" s="391" t="s">
        <v>224</v>
      </c>
      <c r="G573" s="644">
        <f t="shared" ref="G573:G578" si="68">(20*I573)*12*1.2</f>
        <v>288</v>
      </c>
      <c r="H573" s="446">
        <v>9</v>
      </c>
      <c r="I573" s="446">
        <v>1</v>
      </c>
      <c r="J573" s="528">
        <v>144</v>
      </c>
      <c r="K573" s="642" t="s">
        <v>220</v>
      </c>
      <c r="L573" s="519">
        <f t="shared" si="67"/>
        <v>2040786.86</v>
      </c>
      <c r="M573" s="529">
        <v>1956211.86</v>
      </c>
      <c r="N573" s="391">
        <v>84575</v>
      </c>
      <c r="O573" s="473"/>
      <c r="P573" s="388"/>
      <c r="Q573" s="388"/>
      <c r="R573" s="446">
        <f>M573/I573</f>
        <v>1956211.86</v>
      </c>
      <c r="S573" s="403"/>
      <c r="T573" s="393"/>
      <c r="V573" s="390"/>
      <c r="Y573" s="419">
        <f t="shared" si="60"/>
        <v>2040786.86</v>
      </c>
      <c r="Z573" s="419"/>
    </row>
    <row r="574" spans="1:26" s="405" customFormat="1" ht="37.5" hidden="1" customHeight="1">
      <c r="A574" s="500">
        <f t="shared" si="64"/>
        <v>38</v>
      </c>
      <c r="B574" s="403" t="s">
        <v>834</v>
      </c>
      <c r="C574" s="648" t="s">
        <v>222</v>
      </c>
      <c r="D574" s="641">
        <v>6263</v>
      </c>
      <c r="E574" s="391">
        <v>1250.5899999999999</v>
      </c>
      <c r="F574" s="391" t="s">
        <v>223</v>
      </c>
      <c r="G574" s="644">
        <f t="shared" si="68"/>
        <v>1152</v>
      </c>
      <c r="H574" s="446">
        <v>4</v>
      </c>
      <c r="I574" s="446">
        <v>4</v>
      </c>
      <c r="J574" s="528">
        <v>36</v>
      </c>
      <c r="K574" s="642" t="s">
        <v>33</v>
      </c>
      <c r="L574" s="519">
        <f t="shared" si="67"/>
        <v>1712729.38</v>
      </c>
      <c r="M574" s="394">
        <v>1664345.38</v>
      </c>
      <c r="N574" s="388">
        <v>48384</v>
      </c>
      <c r="O574" s="473"/>
      <c r="P574" s="388"/>
      <c r="Q574" s="388"/>
      <c r="R574" s="446">
        <f>M574/G574</f>
        <v>1444.7442534722222</v>
      </c>
      <c r="S574" s="403"/>
      <c r="T574" s="393"/>
      <c r="V574" s="390"/>
      <c r="Y574" s="419">
        <f t="shared" si="60"/>
        <v>1712729.38</v>
      </c>
      <c r="Z574" s="419"/>
    </row>
    <row r="575" spans="1:26" s="405" customFormat="1" ht="56.25" hidden="1" customHeight="1">
      <c r="A575" s="500">
        <f t="shared" si="64"/>
        <v>39</v>
      </c>
      <c r="B575" s="403" t="s">
        <v>836</v>
      </c>
      <c r="C575" s="648" t="s">
        <v>222</v>
      </c>
      <c r="D575" s="641">
        <v>7787</v>
      </c>
      <c r="E575" s="391">
        <v>1271.03</v>
      </c>
      <c r="F575" s="391" t="s">
        <v>229</v>
      </c>
      <c r="G575" s="644">
        <f t="shared" si="68"/>
        <v>1152</v>
      </c>
      <c r="H575" s="446">
        <v>4</v>
      </c>
      <c r="I575" s="446">
        <v>4</v>
      </c>
      <c r="J575" s="528">
        <v>48</v>
      </c>
      <c r="K575" s="642" t="s">
        <v>30</v>
      </c>
      <c r="L575" s="519">
        <f t="shared" si="67"/>
        <v>456331.35</v>
      </c>
      <c r="M575" s="529">
        <v>452749.35</v>
      </c>
      <c r="N575" s="391"/>
      <c r="O575" s="643">
        <v>3582</v>
      </c>
      <c r="P575" s="391"/>
      <c r="Q575" s="388"/>
      <c r="R575" s="446">
        <f>M575/J575</f>
        <v>9432.2781249999989</v>
      </c>
      <c r="S575" s="403"/>
      <c r="T575" s="393"/>
      <c r="V575" s="390"/>
      <c r="Y575" s="419">
        <f t="shared" si="60"/>
        <v>456331.35</v>
      </c>
      <c r="Z575" s="419"/>
    </row>
    <row r="576" spans="1:26" s="405" customFormat="1" ht="37.5" hidden="1" customHeight="1">
      <c r="A576" s="500">
        <f t="shared" si="64"/>
        <v>40</v>
      </c>
      <c r="B576" s="403" t="s">
        <v>837</v>
      </c>
      <c r="C576" s="648" t="s">
        <v>222</v>
      </c>
      <c r="D576" s="641">
        <v>13107</v>
      </c>
      <c r="E576" s="391">
        <v>1992.91</v>
      </c>
      <c r="F576" s="391" t="s">
        <v>223</v>
      </c>
      <c r="G576" s="644">
        <f t="shared" si="68"/>
        <v>1152</v>
      </c>
      <c r="H576" s="446">
        <v>5</v>
      </c>
      <c r="I576" s="446">
        <v>4</v>
      </c>
      <c r="J576" s="528">
        <v>70</v>
      </c>
      <c r="K576" s="642" t="s">
        <v>33</v>
      </c>
      <c r="L576" s="519">
        <f t="shared" si="67"/>
        <v>2622864.61</v>
      </c>
      <c r="M576" s="394">
        <v>2590608.61</v>
      </c>
      <c r="N576" s="388">
        <v>32256</v>
      </c>
      <c r="O576" s="473"/>
      <c r="P576" s="388"/>
      <c r="Q576" s="388"/>
      <c r="R576" s="446">
        <f>M576/G576</f>
        <v>2248.7921961805555</v>
      </c>
      <c r="S576" s="403"/>
      <c r="T576" s="393"/>
      <c r="V576" s="390"/>
      <c r="Y576" s="419">
        <f t="shared" si="60"/>
        <v>2622864.61</v>
      </c>
      <c r="Z576" s="419"/>
    </row>
    <row r="577" spans="1:26" s="405" customFormat="1" ht="37.5" hidden="1" customHeight="1">
      <c r="A577" s="500">
        <f t="shared" si="64"/>
        <v>41</v>
      </c>
      <c r="B577" s="403" t="s">
        <v>838</v>
      </c>
      <c r="C577" s="648" t="s">
        <v>222</v>
      </c>
      <c r="D577" s="641">
        <v>17539</v>
      </c>
      <c r="E577" s="391">
        <v>2649.14</v>
      </c>
      <c r="F577" s="391" t="s">
        <v>223</v>
      </c>
      <c r="G577" s="644">
        <f t="shared" si="68"/>
        <v>1728</v>
      </c>
      <c r="H577" s="446">
        <v>5</v>
      </c>
      <c r="I577" s="446">
        <v>6</v>
      </c>
      <c r="J577" s="528">
        <v>98</v>
      </c>
      <c r="K577" s="642" t="s">
        <v>33</v>
      </c>
      <c r="L577" s="519">
        <f t="shared" si="67"/>
        <v>2919229.97</v>
      </c>
      <c r="M577" s="394">
        <v>2870845.97</v>
      </c>
      <c r="N577" s="388">
        <v>48384</v>
      </c>
      <c r="O577" s="473"/>
      <c r="P577" s="388"/>
      <c r="Q577" s="388"/>
      <c r="R577" s="446">
        <f>M577/G577</f>
        <v>1661.369195601852</v>
      </c>
      <c r="S577" s="403"/>
      <c r="T577" s="393"/>
      <c r="V577" s="390"/>
      <c r="Y577" s="419">
        <f t="shared" si="60"/>
        <v>2919229.97</v>
      </c>
      <c r="Z577" s="419"/>
    </row>
    <row r="578" spans="1:26" s="405" customFormat="1" ht="37.5" hidden="1" customHeight="1">
      <c r="A578" s="500">
        <f t="shared" si="64"/>
        <v>42</v>
      </c>
      <c r="B578" s="403" t="s">
        <v>839</v>
      </c>
      <c r="C578" s="648" t="s">
        <v>218</v>
      </c>
      <c r="D578" s="641">
        <v>17183</v>
      </c>
      <c r="E578" s="391">
        <v>2370</v>
      </c>
      <c r="F578" s="391" t="s">
        <v>224</v>
      </c>
      <c r="G578" s="644">
        <f t="shared" si="68"/>
        <v>576</v>
      </c>
      <c r="H578" s="446">
        <v>9</v>
      </c>
      <c r="I578" s="446">
        <v>2</v>
      </c>
      <c r="J578" s="528">
        <v>72</v>
      </c>
      <c r="K578" s="642" t="s">
        <v>220</v>
      </c>
      <c r="L578" s="519">
        <f t="shared" si="67"/>
        <v>3894621.8600000003</v>
      </c>
      <c r="M578" s="529">
        <f>1889767.79+1899135.32</f>
        <v>3788903.1100000003</v>
      </c>
      <c r="N578" s="391">
        <v>105718.75</v>
      </c>
      <c r="O578" s="473"/>
      <c r="P578" s="388"/>
      <c r="Q578" s="388"/>
      <c r="R578" s="446">
        <f>M578/I578</f>
        <v>1894451.5550000002</v>
      </c>
      <c r="S578" s="403"/>
      <c r="T578" s="393"/>
      <c r="V578" s="390"/>
      <c r="Y578" s="419">
        <f t="shared" si="60"/>
        <v>3894621.8600000003</v>
      </c>
      <c r="Z578" s="419"/>
    </row>
    <row r="579" spans="1:26" s="405" customFormat="1" ht="37.5" hidden="1" customHeight="1">
      <c r="A579" s="500">
        <f t="shared" si="64"/>
        <v>43</v>
      </c>
      <c r="B579" s="403" t="s">
        <v>841</v>
      </c>
      <c r="C579" s="648" t="s">
        <v>222</v>
      </c>
      <c r="D579" s="641">
        <v>3744</v>
      </c>
      <c r="E579" s="391">
        <v>780</v>
      </c>
      <c r="F579" s="391" t="s">
        <v>231</v>
      </c>
      <c r="G579" s="644">
        <v>643</v>
      </c>
      <c r="H579" s="446">
        <v>2</v>
      </c>
      <c r="I579" s="446">
        <v>2</v>
      </c>
      <c r="J579" s="528">
        <v>16</v>
      </c>
      <c r="K579" s="642" t="s">
        <v>225</v>
      </c>
      <c r="L579" s="645">
        <f t="shared" si="67"/>
        <v>293487.84000000003</v>
      </c>
      <c r="M579" s="652">
        <v>271727.84000000003</v>
      </c>
      <c r="N579" s="646">
        <v>21760</v>
      </c>
      <c r="O579" s="647"/>
      <c r="P579" s="646"/>
      <c r="Q579" s="388"/>
      <c r="R579" s="648">
        <f>M579/J579</f>
        <v>16982.990000000002</v>
      </c>
      <c r="S579" s="403"/>
      <c r="T579" s="393"/>
      <c r="V579" s="390"/>
      <c r="Y579" s="419">
        <f t="shared" si="60"/>
        <v>293487.84000000003</v>
      </c>
      <c r="Z579" s="419"/>
    </row>
    <row r="580" spans="1:26" s="405" customFormat="1" ht="37.5" hidden="1" customHeight="1">
      <c r="A580" s="500">
        <f t="shared" si="64"/>
        <v>44</v>
      </c>
      <c r="B580" s="403" t="s">
        <v>842</v>
      </c>
      <c r="C580" s="648" t="s">
        <v>222</v>
      </c>
      <c r="D580" s="641">
        <v>3744</v>
      </c>
      <c r="E580" s="391">
        <v>780</v>
      </c>
      <c r="F580" s="391" t="s">
        <v>231</v>
      </c>
      <c r="G580" s="644">
        <v>643</v>
      </c>
      <c r="H580" s="446">
        <v>2</v>
      </c>
      <c r="I580" s="446">
        <v>2</v>
      </c>
      <c r="J580" s="528">
        <v>14</v>
      </c>
      <c r="K580" s="642" t="s">
        <v>225</v>
      </c>
      <c r="L580" s="645">
        <f t="shared" si="67"/>
        <v>282957.82</v>
      </c>
      <c r="M580" s="652">
        <v>261537.82</v>
      </c>
      <c r="N580" s="646">
        <v>21420</v>
      </c>
      <c r="O580" s="647"/>
      <c r="P580" s="646"/>
      <c r="Q580" s="388"/>
      <c r="R580" s="648">
        <f>M580/J580</f>
        <v>18681.272857142856</v>
      </c>
      <c r="S580" s="403"/>
      <c r="T580" s="393"/>
      <c r="V580" s="390"/>
      <c r="Y580" s="419">
        <f t="shared" si="60"/>
        <v>282957.82</v>
      </c>
      <c r="Z580" s="419"/>
    </row>
    <row r="581" spans="1:26" s="405" customFormat="1" ht="37.5" hidden="1" customHeight="1">
      <c r="A581" s="500">
        <f t="shared" si="64"/>
        <v>45</v>
      </c>
      <c r="B581" s="403" t="s">
        <v>843</v>
      </c>
      <c r="C581" s="648" t="s">
        <v>222</v>
      </c>
      <c r="D581" s="641">
        <v>4146</v>
      </c>
      <c r="E581" s="391">
        <v>674</v>
      </c>
      <c r="F581" s="391" t="s">
        <v>231</v>
      </c>
      <c r="G581" s="644">
        <v>912</v>
      </c>
      <c r="H581" s="446">
        <v>2</v>
      </c>
      <c r="I581" s="446">
        <v>3</v>
      </c>
      <c r="J581" s="528">
        <v>22</v>
      </c>
      <c r="K581" s="642" t="s">
        <v>225</v>
      </c>
      <c r="L581" s="645">
        <f t="shared" si="67"/>
        <v>395744.03</v>
      </c>
      <c r="M581" s="652">
        <v>373304.03</v>
      </c>
      <c r="N581" s="646">
        <v>22440</v>
      </c>
      <c r="O581" s="647"/>
      <c r="P581" s="646"/>
      <c r="Q581" s="388"/>
      <c r="R581" s="648">
        <f>M581/J581</f>
        <v>16968.365000000002</v>
      </c>
      <c r="S581" s="403"/>
      <c r="T581" s="393"/>
      <c r="V581" s="390"/>
      <c r="Y581" s="419">
        <f t="shared" si="60"/>
        <v>395744.03</v>
      </c>
      <c r="Z581" s="419"/>
    </row>
    <row r="582" spans="1:26" s="405" customFormat="1" ht="37.5" hidden="1" customHeight="1">
      <c r="A582" s="500">
        <f t="shared" si="64"/>
        <v>46</v>
      </c>
      <c r="B582" s="403" t="s">
        <v>845</v>
      </c>
      <c r="C582" s="648" t="s">
        <v>222</v>
      </c>
      <c r="D582" s="641">
        <v>3477</v>
      </c>
      <c r="E582" s="391">
        <v>565</v>
      </c>
      <c r="F582" s="391" t="s">
        <v>223</v>
      </c>
      <c r="G582" s="644">
        <v>774</v>
      </c>
      <c r="H582" s="446">
        <v>2</v>
      </c>
      <c r="I582" s="446">
        <v>2</v>
      </c>
      <c r="J582" s="528">
        <v>16</v>
      </c>
      <c r="K582" s="642" t="s">
        <v>225</v>
      </c>
      <c r="L582" s="645">
        <f t="shared" si="67"/>
        <v>293487.96999999997</v>
      </c>
      <c r="M582" s="652">
        <v>271727.96999999997</v>
      </c>
      <c r="N582" s="646">
        <v>21760</v>
      </c>
      <c r="O582" s="647"/>
      <c r="P582" s="646"/>
      <c r="Q582" s="388"/>
      <c r="R582" s="648">
        <f>M582/J582</f>
        <v>16982.998124999998</v>
      </c>
      <c r="S582" s="403"/>
      <c r="T582" s="393"/>
      <c r="V582" s="390"/>
      <c r="Y582" s="419">
        <f t="shared" si="60"/>
        <v>293487.96999999997</v>
      </c>
      <c r="Z582" s="419"/>
    </row>
    <row r="583" spans="1:26" s="405" customFormat="1" ht="37.5" hidden="1" customHeight="1">
      <c r="A583" s="500">
        <f t="shared" si="64"/>
        <v>47</v>
      </c>
      <c r="B583" s="403" t="s">
        <v>846</v>
      </c>
      <c r="C583" s="648" t="s">
        <v>222</v>
      </c>
      <c r="D583" s="641">
        <v>3477</v>
      </c>
      <c r="E583" s="391">
        <v>565</v>
      </c>
      <c r="F583" s="391" t="s">
        <v>223</v>
      </c>
      <c r="G583" s="644">
        <v>772</v>
      </c>
      <c r="H583" s="446">
        <v>2</v>
      </c>
      <c r="I583" s="446">
        <v>2</v>
      </c>
      <c r="J583" s="528">
        <v>16</v>
      </c>
      <c r="K583" s="642" t="s">
        <v>225</v>
      </c>
      <c r="L583" s="645">
        <f t="shared" si="67"/>
        <v>293487.96999999997</v>
      </c>
      <c r="M583" s="652">
        <v>271727.96999999997</v>
      </c>
      <c r="N583" s="646">
        <v>21760</v>
      </c>
      <c r="O583" s="647"/>
      <c r="P583" s="646"/>
      <c r="Q583" s="388"/>
      <c r="R583" s="648">
        <f>M583/J583</f>
        <v>16982.998124999998</v>
      </c>
      <c r="S583" s="403"/>
      <c r="T583" s="393"/>
      <c r="V583" s="390"/>
      <c r="Y583" s="419">
        <f t="shared" si="60"/>
        <v>293487.96999999997</v>
      </c>
      <c r="Z583" s="419"/>
    </row>
    <row r="584" spans="1:26" s="405" customFormat="1" ht="37.5" hidden="1" customHeight="1">
      <c r="A584" s="500">
        <f t="shared" si="64"/>
        <v>48</v>
      </c>
      <c r="B584" s="403" t="s">
        <v>3677</v>
      </c>
      <c r="C584" s="455" t="s">
        <v>218</v>
      </c>
      <c r="D584" s="641">
        <v>12135</v>
      </c>
      <c r="E584" s="391">
        <v>2160</v>
      </c>
      <c r="F584" s="391" t="s">
        <v>224</v>
      </c>
      <c r="G584" s="644">
        <f>(20*I584)*12*1.2</f>
        <v>288</v>
      </c>
      <c r="H584" s="446">
        <v>9</v>
      </c>
      <c r="I584" s="446">
        <v>1</v>
      </c>
      <c r="J584" s="528">
        <v>69</v>
      </c>
      <c r="K584" s="458" t="s">
        <v>220</v>
      </c>
      <c r="L584" s="519">
        <f t="shared" si="67"/>
        <v>1978234.81</v>
      </c>
      <c r="M584" s="529">
        <v>1893659.81</v>
      </c>
      <c r="N584" s="391">
        <v>84575</v>
      </c>
      <c r="O584" s="473"/>
      <c r="P584" s="388"/>
      <c r="Q584" s="388"/>
      <c r="R584" s="446">
        <f>M584/I584</f>
        <v>1893659.81</v>
      </c>
      <c r="S584" s="403"/>
      <c r="V584" s="390"/>
      <c r="Y584" s="419">
        <f t="shared" ref="Y584:Y647" si="69">M584+N584+O584+Q584</f>
        <v>1978234.81</v>
      </c>
      <c r="Z584" s="419"/>
    </row>
    <row r="585" spans="1:26" s="420" customFormat="1" ht="37.5" hidden="1" customHeight="1">
      <c r="A585" s="500">
        <f t="shared" si="64"/>
        <v>49</v>
      </c>
      <c r="B585" s="403" t="s">
        <v>3678</v>
      </c>
      <c r="C585" s="648" t="s">
        <v>222</v>
      </c>
      <c r="D585" s="641">
        <v>15042</v>
      </c>
      <c r="E585" s="391">
        <v>2390</v>
      </c>
      <c r="F585" s="391" t="s">
        <v>224</v>
      </c>
      <c r="G585" s="644">
        <f>(20*I585)*12*1.2</f>
        <v>576</v>
      </c>
      <c r="H585" s="446">
        <v>9</v>
      </c>
      <c r="I585" s="446">
        <v>2</v>
      </c>
      <c r="J585" s="528">
        <v>54</v>
      </c>
      <c r="K585" s="458" t="s">
        <v>227</v>
      </c>
      <c r="L585" s="645">
        <f t="shared" si="67"/>
        <v>7359023.0999999996</v>
      </c>
      <c r="M585" s="652">
        <v>7307023.0999999996</v>
      </c>
      <c r="N585" s="646">
        <v>52000</v>
      </c>
      <c r="O585" s="647"/>
      <c r="P585" s="646"/>
      <c r="Q585" s="388"/>
      <c r="R585" s="528">
        <f>M585/E585</f>
        <v>3057.3318410041838</v>
      </c>
      <c r="S585" s="393"/>
      <c r="T585" s="406"/>
      <c r="U585" s="405"/>
      <c r="V585" s="390"/>
      <c r="Y585" s="419">
        <f t="shared" si="69"/>
        <v>7359023.0999999996</v>
      </c>
      <c r="Z585" s="419"/>
    </row>
    <row r="586" spans="1:26" s="420" customFormat="1" ht="37.5" hidden="1" customHeight="1">
      <c r="A586" s="500">
        <f t="shared" si="64"/>
        <v>50</v>
      </c>
      <c r="B586" s="403" t="s">
        <v>1822</v>
      </c>
      <c r="C586" s="648" t="s">
        <v>218</v>
      </c>
      <c r="D586" s="641">
        <v>26723</v>
      </c>
      <c r="E586" s="391">
        <v>5295.24</v>
      </c>
      <c r="F586" s="391" t="s">
        <v>228</v>
      </c>
      <c r="G586" s="644">
        <v>1056.2</v>
      </c>
      <c r="H586" s="446">
        <v>9</v>
      </c>
      <c r="I586" s="446">
        <v>3</v>
      </c>
      <c r="J586" s="528">
        <v>107</v>
      </c>
      <c r="K586" s="458" t="s">
        <v>220</v>
      </c>
      <c r="L586" s="645">
        <f t="shared" si="67"/>
        <v>5706041.3099999996</v>
      </c>
      <c r="M586" s="645">
        <f>1870763.94+1861347.94+1850891.93</f>
        <v>5583003.8099999996</v>
      </c>
      <c r="N586" s="646">
        <v>123037.5</v>
      </c>
      <c r="O586" s="647"/>
      <c r="P586" s="646"/>
      <c r="Q586" s="388"/>
      <c r="R586" s="648">
        <v>2000000</v>
      </c>
      <c r="S586" s="393"/>
      <c r="T586" s="406"/>
      <c r="U586" s="405"/>
      <c r="V586" s="390"/>
      <c r="Y586" s="419">
        <f t="shared" si="69"/>
        <v>5706041.3099999996</v>
      </c>
      <c r="Z586" s="419"/>
    </row>
    <row r="587" spans="1:26" s="420" customFormat="1" ht="37.5" hidden="1" customHeight="1">
      <c r="A587" s="500">
        <f t="shared" si="64"/>
        <v>51</v>
      </c>
      <c r="B587" s="403" t="s">
        <v>3499</v>
      </c>
      <c r="C587" s="648" t="s">
        <v>218</v>
      </c>
      <c r="D587" s="641">
        <v>14418</v>
      </c>
      <c r="E587" s="391">
        <v>14418</v>
      </c>
      <c r="F587" s="391" t="s">
        <v>228</v>
      </c>
      <c r="G587" s="644">
        <v>550</v>
      </c>
      <c r="H587" s="446">
        <v>9</v>
      </c>
      <c r="I587" s="446">
        <v>2</v>
      </c>
      <c r="J587" s="528">
        <v>54</v>
      </c>
      <c r="K587" s="458" t="s">
        <v>220</v>
      </c>
      <c r="L587" s="645">
        <f t="shared" si="67"/>
        <v>3858832.99</v>
      </c>
      <c r="M587" s="645">
        <f>1871509.13+1884792.61</f>
        <v>3756301.74</v>
      </c>
      <c r="N587" s="646">
        <v>102531.25</v>
      </c>
      <c r="O587" s="647"/>
      <c r="P587" s="646"/>
      <c r="Q587" s="388"/>
      <c r="R587" s="648">
        <v>2000000</v>
      </c>
      <c r="S587" s="393"/>
      <c r="T587" s="406"/>
      <c r="U587" s="405"/>
      <c r="V587" s="390"/>
      <c r="Y587" s="419">
        <f t="shared" si="69"/>
        <v>3858832.99</v>
      </c>
      <c r="Z587" s="419"/>
    </row>
    <row r="588" spans="1:26" s="420" customFormat="1" ht="37.5" hidden="1" customHeight="1">
      <c r="A588" s="500">
        <f t="shared" si="64"/>
        <v>52</v>
      </c>
      <c r="B588" s="403" t="s">
        <v>3972</v>
      </c>
      <c r="C588" s="648" t="s">
        <v>218</v>
      </c>
      <c r="D588" s="641">
        <v>10825</v>
      </c>
      <c r="E588" s="391">
        <v>1980</v>
      </c>
      <c r="F588" s="391" t="s">
        <v>228</v>
      </c>
      <c r="G588" s="644">
        <v>385</v>
      </c>
      <c r="H588" s="446">
        <v>9</v>
      </c>
      <c r="I588" s="446">
        <v>1</v>
      </c>
      <c r="J588" s="528">
        <v>71</v>
      </c>
      <c r="K588" s="458" t="s">
        <v>220</v>
      </c>
      <c r="L588" s="645">
        <f t="shared" si="67"/>
        <v>1977458.42</v>
      </c>
      <c r="M588" s="645">
        <v>1895433.42</v>
      </c>
      <c r="N588" s="646">
        <v>82025</v>
      </c>
      <c r="O588" s="647"/>
      <c r="P588" s="646"/>
      <c r="Q588" s="388"/>
      <c r="R588" s="648">
        <v>2000000</v>
      </c>
      <c r="S588" s="393"/>
      <c r="T588" s="406"/>
      <c r="U588" s="405"/>
      <c r="V588" s="390"/>
      <c r="Y588" s="419">
        <f t="shared" si="69"/>
        <v>1977458.42</v>
      </c>
      <c r="Z588" s="419"/>
    </row>
    <row r="589" spans="1:26" s="420" customFormat="1" ht="37.5" hidden="1" customHeight="1">
      <c r="A589" s="500">
        <f t="shared" si="64"/>
        <v>53</v>
      </c>
      <c r="B589" s="403" t="s">
        <v>3500</v>
      </c>
      <c r="C589" s="648" t="s">
        <v>222</v>
      </c>
      <c r="D589" s="641">
        <v>20130</v>
      </c>
      <c r="E589" s="391">
        <v>3450.37</v>
      </c>
      <c r="F589" s="391" t="s">
        <v>224</v>
      </c>
      <c r="G589" s="644">
        <v>727.6</v>
      </c>
      <c r="H589" s="446">
        <v>9</v>
      </c>
      <c r="I589" s="446">
        <v>1</v>
      </c>
      <c r="J589" s="528">
        <v>169</v>
      </c>
      <c r="K589" s="458" t="s">
        <v>220</v>
      </c>
      <c r="L589" s="645">
        <f t="shared" si="67"/>
        <v>2022069.68</v>
      </c>
      <c r="M589" s="645">
        <v>1940044.68</v>
      </c>
      <c r="N589" s="646">
        <v>82025</v>
      </c>
      <c r="O589" s="647"/>
      <c r="P589" s="646"/>
      <c r="Q589" s="388"/>
      <c r="R589" s="648">
        <v>2000000</v>
      </c>
      <c r="S589" s="393"/>
      <c r="T589" s="406"/>
      <c r="U589" s="405"/>
      <c r="V589" s="390"/>
      <c r="Y589" s="419">
        <f t="shared" si="69"/>
        <v>2022069.68</v>
      </c>
      <c r="Z589" s="419"/>
    </row>
    <row r="590" spans="1:26" s="420" customFormat="1" ht="37.5" hidden="1" customHeight="1">
      <c r="A590" s="500">
        <f t="shared" si="64"/>
        <v>54</v>
      </c>
      <c r="B590" s="403" t="s">
        <v>2741</v>
      </c>
      <c r="C590" s="648" t="s">
        <v>218</v>
      </c>
      <c r="D590" s="641">
        <v>26168</v>
      </c>
      <c r="E590" s="391">
        <v>3849.09</v>
      </c>
      <c r="F590" s="391" t="s">
        <v>224</v>
      </c>
      <c r="G590" s="644">
        <v>1036.8</v>
      </c>
      <c r="H590" s="446">
        <v>9</v>
      </c>
      <c r="I590" s="446">
        <v>3</v>
      </c>
      <c r="J590" s="528">
        <v>135</v>
      </c>
      <c r="K590" s="458" t="s">
        <v>220</v>
      </c>
      <c r="L590" s="645">
        <f t="shared" si="67"/>
        <v>5606574.4299999997</v>
      </c>
      <c r="M590" s="645">
        <f>1840283.1+1827998.64+1815255.19</f>
        <v>5483536.9299999997</v>
      </c>
      <c r="N590" s="646">
        <v>123037.5</v>
      </c>
      <c r="O590" s="647"/>
      <c r="P590" s="646"/>
      <c r="Q590" s="388"/>
      <c r="R590" s="648">
        <v>2000000</v>
      </c>
      <c r="S590" s="393"/>
      <c r="T590" s="406"/>
      <c r="U590" s="405"/>
      <c r="V590" s="390"/>
      <c r="Y590" s="419">
        <f t="shared" si="69"/>
        <v>5606574.4299999997</v>
      </c>
      <c r="Z590" s="419"/>
    </row>
    <row r="591" spans="1:26" s="420" customFormat="1" ht="37.5" hidden="1" customHeight="1">
      <c r="A591" s="500">
        <f t="shared" si="64"/>
        <v>55</v>
      </c>
      <c r="B591" s="403" t="s">
        <v>1827</v>
      </c>
      <c r="C591" s="648" t="s">
        <v>222</v>
      </c>
      <c r="D591" s="641">
        <v>23924</v>
      </c>
      <c r="E591" s="391">
        <v>3893.9</v>
      </c>
      <c r="F591" s="391" t="s">
        <v>224</v>
      </c>
      <c r="G591" s="644">
        <v>1126.5</v>
      </c>
      <c r="H591" s="446">
        <v>9</v>
      </c>
      <c r="I591" s="446">
        <v>2</v>
      </c>
      <c r="J591" s="528">
        <v>103</v>
      </c>
      <c r="K591" s="458" t="s">
        <v>220</v>
      </c>
      <c r="L591" s="645">
        <f t="shared" si="67"/>
        <v>3908106.45</v>
      </c>
      <c r="M591" s="645">
        <f>1902798.04+1902777.16</f>
        <v>3805575.2</v>
      </c>
      <c r="N591" s="646">
        <v>102531.25</v>
      </c>
      <c r="O591" s="647"/>
      <c r="P591" s="646"/>
      <c r="Q591" s="388"/>
      <c r="R591" s="648">
        <v>2000000</v>
      </c>
      <c r="S591" s="393"/>
      <c r="T591" s="406"/>
      <c r="U591" s="405"/>
      <c r="V591" s="390"/>
      <c r="Y591" s="419">
        <f t="shared" si="69"/>
        <v>3908106.45</v>
      </c>
      <c r="Z591" s="419"/>
    </row>
    <row r="592" spans="1:26" s="420" customFormat="1" ht="37.5" hidden="1" customHeight="1">
      <c r="A592" s="500">
        <f t="shared" si="64"/>
        <v>56</v>
      </c>
      <c r="B592" s="403" t="s">
        <v>3501</v>
      </c>
      <c r="C592" s="648" t="s">
        <v>222</v>
      </c>
      <c r="D592" s="641">
        <v>3245</v>
      </c>
      <c r="E592" s="391">
        <v>684</v>
      </c>
      <c r="F592" s="391" t="s">
        <v>223</v>
      </c>
      <c r="G592" s="644">
        <v>683</v>
      </c>
      <c r="H592" s="446">
        <v>2</v>
      </c>
      <c r="I592" s="446">
        <v>2</v>
      </c>
      <c r="J592" s="528">
        <v>16</v>
      </c>
      <c r="K592" s="458" t="s">
        <v>33</v>
      </c>
      <c r="L592" s="645">
        <f t="shared" si="67"/>
        <v>1301496.0999999999</v>
      </c>
      <c r="M592" s="645">
        <v>1265706.6099999999</v>
      </c>
      <c r="N592" s="646">
        <v>20058.39</v>
      </c>
      <c r="O592" s="647"/>
      <c r="P592" s="646"/>
      <c r="Q592" s="388">
        <v>15731.1</v>
      </c>
      <c r="R592" s="646">
        <f>M592/G592</f>
        <v>1853.1575549048314</v>
      </c>
      <c r="S592" s="393"/>
      <c r="T592" s="406"/>
      <c r="U592" s="405"/>
      <c r="V592" s="390"/>
      <c r="Y592" s="419">
        <f t="shared" si="69"/>
        <v>1301496.0999999999</v>
      </c>
      <c r="Z592" s="419"/>
    </row>
    <row r="593" spans="1:26" s="420" customFormat="1" ht="37.5" hidden="1" customHeight="1">
      <c r="A593" s="500">
        <f t="shared" si="64"/>
        <v>57</v>
      </c>
      <c r="B593" s="403" t="s">
        <v>1847</v>
      </c>
      <c r="C593" s="648" t="s">
        <v>222</v>
      </c>
      <c r="D593" s="641">
        <v>4992</v>
      </c>
      <c r="E593" s="391">
        <v>808.5</v>
      </c>
      <c r="F593" s="391" t="s">
        <v>223</v>
      </c>
      <c r="G593" s="644">
        <v>990</v>
      </c>
      <c r="H593" s="446">
        <v>2</v>
      </c>
      <c r="I593" s="446">
        <v>3</v>
      </c>
      <c r="J593" s="528">
        <v>22</v>
      </c>
      <c r="K593" s="458" t="s">
        <v>225</v>
      </c>
      <c r="L593" s="645">
        <f t="shared" si="67"/>
        <v>354737.32</v>
      </c>
      <c r="M593" s="652">
        <v>336598.54</v>
      </c>
      <c r="N593" s="646">
        <v>14527.26</v>
      </c>
      <c r="O593" s="647"/>
      <c r="P593" s="646"/>
      <c r="Q593" s="388">
        <v>3611.52</v>
      </c>
      <c r="R593" s="646">
        <f>M593/J593</f>
        <v>15299.933636363636</v>
      </c>
      <c r="S593" s="393"/>
      <c r="T593" s="406"/>
      <c r="U593" s="405"/>
      <c r="V593" s="390"/>
      <c r="Y593" s="419">
        <f t="shared" si="69"/>
        <v>354737.32</v>
      </c>
      <c r="Z593" s="419"/>
    </row>
    <row r="594" spans="1:26" s="420" customFormat="1" ht="37.5" hidden="1" customHeight="1">
      <c r="A594" s="500">
        <f t="shared" si="64"/>
        <v>58</v>
      </c>
      <c r="B594" s="403" t="s">
        <v>3502</v>
      </c>
      <c r="C594" s="648" t="s">
        <v>222</v>
      </c>
      <c r="D594" s="641">
        <v>11111.400000000001</v>
      </c>
      <c r="E594" s="391">
        <v>3703.8</v>
      </c>
      <c r="F594" s="391" t="s">
        <v>224</v>
      </c>
      <c r="G594" s="644">
        <v>767.5</v>
      </c>
      <c r="H594" s="446">
        <v>9</v>
      </c>
      <c r="I594" s="446">
        <v>2</v>
      </c>
      <c r="J594" s="528">
        <v>105</v>
      </c>
      <c r="K594" s="458" t="s">
        <v>227</v>
      </c>
      <c r="L594" s="645">
        <f t="shared" si="67"/>
        <v>8581552.2200000007</v>
      </c>
      <c r="M594" s="396">
        <v>8538205.2200000007</v>
      </c>
      <c r="N594" s="646">
        <v>43347</v>
      </c>
      <c r="O594" s="647"/>
      <c r="P594" s="646"/>
      <c r="Q594" s="388"/>
      <c r="R594" s="391">
        <f>M594/E594</f>
        <v>2305.2554727577085</v>
      </c>
      <c r="S594" s="393"/>
      <c r="T594" s="406"/>
      <c r="U594" s="405"/>
      <c r="V594" s="390"/>
      <c r="Y594" s="419">
        <f t="shared" si="69"/>
        <v>8581552.2200000007</v>
      </c>
      <c r="Z594" s="419"/>
    </row>
    <row r="595" spans="1:26" s="420" customFormat="1" ht="37.5" hidden="1" customHeight="1">
      <c r="A595" s="500">
        <f t="shared" si="64"/>
        <v>59</v>
      </c>
      <c r="B595" s="403" t="s">
        <v>2773</v>
      </c>
      <c r="C595" s="648" t="s">
        <v>230</v>
      </c>
      <c r="D595" s="641">
        <v>1224</v>
      </c>
      <c r="E595" s="391">
        <v>348</v>
      </c>
      <c r="F595" s="391" t="s">
        <v>223</v>
      </c>
      <c r="G595" s="644">
        <v>268</v>
      </c>
      <c r="H595" s="446">
        <v>2</v>
      </c>
      <c r="I595" s="446">
        <v>1</v>
      </c>
      <c r="J595" s="528">
        <v>8</v>
      </c>
      <c r="K595" s="458" t="s">
        <v>225</v>
      </c>
      <c r="L595" s="645">
        <f t="shared" si="67"/>
        <v>107292.97</v>
      </c>
      <c r="M595" s="645">
        <v>83292.97</v>
      </c>
      <c r="N595" s="646">
        <v>24000</v>
      </c>
      <c r="O595" s="647"/>
      <c r="P595" s="646"/>
      <c r="Q595" s="388"/>
      <c r="R595" s="391">
        <f>M595/J595</f>
        <v>10411.62125</v>
      </c>
      <c r="S595" s="393"/>
      <c r="T595" s="406"/>
      <c r="U595" s="405"/>
      <c r="V595" s="390"/>
      <c r="Y595" s="419">
        <f t="shared" si="69"/>
        <v>107292.97</v>
      </c>
      <c r="Z595" s="419"/>
    </row>
    <row r="596" spans="1:26" s="991" customFormat="1" ht="37.5" hidden="1" customHeight="1">
      <c r="A596" s="653">
        <f t="shared" si="64"/>
        <v>60</v>
      </c>
      <c r="B596" s="410" t="s">
        <v>1842</v>
      </c>
      <c r="C596" s="616" t="s">
        <v>222</v>
      </c>
      <c r="D596" s="654">
        <v>3744</v>
      </c>
      <c r="E596" s="396">
        <v>780</v>
      </c>
      <c r="F596" s="396" t="s">
        <v>223</v>
      </c>
      <c r="G596" s="396">
        <v>428</v>
      </c>
      <c r="H596" s="626">
        <v>2</v>
      </c>
      <c r="I596" s="626">
        <v>2</v>
      </c>
      <c r="J596" s="626">
        <v>6</v>
      </c>
      <c r="K596" s="554" t="s">
        <v>225</v>
      </c>
      <c r="L596" s="655">
        <f t="shared" si="67"/>
        <v>151791.9</v>
      </c>
      <c r="M596" s="655">
        <v>127496.97</v>
      </c>
      <c r="N596" s="652">
        <v>23404.39</v>
      </c>
      <c r="O596" s="656"/>
      <c r="P596" s="652"/>
      <c r="Q596" s="394">
        <v>890.54</v>
      </c>
      <c r="R596" s="657">
        <f>M596/J596</f>
        <v>21249.494999999999</v>
      </c>
      <c r="S596" s="407">
        <f>L596-M596-N596-O596-P596-Q596</f>
        <v>-6.3664629124104977E-12</v>
      </c>
      <c r="T596" s="408"/>
      <c r="U596" s="409"/>
      <c r="V596" s="990"/>
      <c r="W596" s="980"/>
      <c r="X596" s="980"/>
      <c r="Y596" s="419">
        <f t="shared" si="69"/>
        <v>151791.9</v>
      </c>
      <c r="Z596" s="419"/>
    </row>
    <row r="597" spans="1:26" s="991" customFormat="1" ht="37.5" hidden="1" customHeight="1">
      <c r="A597" s="653">
        <f t="shared" si="64"/>
        <v>61</v>
      </c>
      <c r="B597" s="410" t="s">
        <v>1843</v>
      </c>
      <c r="C597" s="616" t="s">
        <v>222</v>
      </c>
      <c r="D597" s="654">
        <v>6669</v>
      </c>
      <c r="E597" s="396">
        <v>1260</v>
      </c>
      <c r="F597" s="396" t="s">
        <v>223</v>
      </c>
      <c r="G597" s="396">
        <v>1049</v>
      </c>
      <c r="H597" s="626">
        <v>3</v>
      </c>
      <c r="I597" s="626">
        <v>3</v>
      </c>
      <c r="J597" s="626">
        <v>33</v>
      </c>
      <c r="K597" s="554" t="s">
        <v>225</v>
      </c>
      <c r="L597" s="655">
        <f t="shared" si="67"/>
        <v>549647.37</v>
      </c>
      <c r="M597" s="655">
        <v>520647.02</v>
      </c>
      <c r="N597" s="652">
        <v>22729.78</v>
      </c>
      <c r="O597" s="656"/>
      <c r="P597" s="652"/>
      <c r="Q597" s="394">
        <v>6270.57</v>
      </c>
      <c r="R597" s="657">
        <f>M597/J597</f>
        <v>15777.182424242425</v>
      </c>
      <c r="S597" s="407">
        <f>L597-M597-N597-O597-P597-Q597</f>
        <v>-2.1827872842550278E-11</v>
      </c>
      <c r="T597" s="408"/>
      <c r="U597" s="409"/>
      <c r="V597" s="990"/>
      <c r="W597" s="980"/>
      <c r="X597" s="980"/>
      <c r="Y597" s="419">
        <f t="shared" si="69"/>
        <v>549647.37</v>
      </c>
      <c r="Z597" s="419"/>
    </row>
    <row r="598" spans="1:26" s="980" customFormat="1" ht="56.25" hidden="1" customHeight="1">
      <c r="A598" s="653">
        <f t="shared" si="64"/>
        <v>62</v>
      </c>
      <c r="B598" s="410" t="s">
        <v>840</v>
      </c>
      <c r="C598" s="524" t="s">
        <v>218</v>
      </c>
      <c r="D598" s="654">
        <v>47262</v>
      </c>
      <c r="E598" s="396">
        <v>5140</v>
      </c>
      <c r="F598" s="396" t="s">
        <v>224</v>
      </c>
      <c r="G598" s="396">
        <v>2085.1</v>
      </c>
      <c r="H598" s="626">
        <v>9</v>
      </c>
      <c r="I598" s="626">
        <v>5</v>
      </c>
      <c r="J598" s="626">
        <v>180</v>
      </c>
      <c r="K598" s="554" t="s">
        <v>227</v>
      </c>
      <c r="L598" s="655">
        <f t="shared" si="67"/>
        <v>17108826</v>
      </c>
      <c r="M598" s="649">
        <v>17049826</v>
      </c>
      <c r="N598" s="396">
        <v>59000</v>
      </c>
      <c r="O598" s="658"/>
      <c r="P598" s="396"/>
      <c r="Q598" s="394"/>
      <c r="R598" s="616">
        <f>M598/E598</f>
        <v>3317.0867704280154</v>
      </c>
      <c r="S598" s="410"/>
      <c r="T598" s="408"/>
      <c r="U598" s="411"/>
      <c r="Y598" s="419">
        <f t="shared" si="69"/>
        <v>17108826</v>
      </c>
      <c r="Z598" s="419"/>
    </row>
    <row r="599" spans="1:26" s="412" customFormat="1" ht="56.25" hidden="1" customHeight="1">
      <c r="A599" s="653">
        <f t="shared" si="64"/>
        <v>63</v>
      </c>
      <c r="B599" s="410" t="s">
        <v>832</v>
      </c>
      <c r="C599" s="615" t="s">
        <v>218</v>
      </c>
      <c r="D599" s="659">
        <v>11479</v>
      </c>
      <c r="E599" s="396">
        <v>1670</v>
      </c>
      <c r="F599" s="396" t="s">
        <v>224</v>
      </c>
      <c r="G599" s="660">
        <v>943</v>
      </c>
      <c r="H599" s="616">
        <v>5</v>
      </c>
      <c r="I599" s="616">
        <v>4</v>
      </c>
      <c r="J599" s="626">
        <v>60</v>
      </c>
      <c r="K599" s="661" t="s">
        <v>30</v>
      </c>
      <c r="L599" s="547">
        <f t="shared" si="67"/>
        <v>858976.71</v>
      </c>
      <c r="M599" s="394">
        <v>854499.21</v>
      </c>
      <c r="N599" s="396"/>
      <c r="O599" s="658">
        <v>4477.5</v>
      </c>
      <c r="P599" s="396"/>
      <c r="Q599" s="394"/>
      <c r="R599" s="616">
        <f>M599/J599</f>
        <v>14241.653499999999</v>
      </c>
      <c r="S599" s="410"/>
      <c r="T599" s="408"/>
      <c r="V599" s="990"/>
      <c r="Y599" s="419">
        <f t="shared" si="69"/>
        <v>858976.71</v>
      </c>
      <c r="Z599" s="419"/>
    </row>
    <row r="600" spans="1:26" s="412" customFormat="1" ht="75" hidden="1" customHeight="1">
      <c r="A600" s="653">
        <f t="shared" si="64"/>
        <v>64</v>
      </c>
      <c r="B600" s="410" t="s">
        <v>835</v>
      </c>
      <c r="C600" s="615" t="s">
        <v>218</v>
      </c>
      <c r="D600" s="659">
        <v>11593</v>
      </c>
      <c r="E600" s="396">
        <v>2528.36</v>
      </c>
      <c r="F600" s="396" t="s">
        <v>224</v>
      </c>
      <c r="G600" s="660">
        <v>1042.1300000000001</v>
      </c>
      <c r="H600" s="616">
        <v>5</v>
      </c>
      <c r="I600" s="616">
        <v>4</v>
      </c>
      <c r="J600" s="626">
        <v>60</v>
      </c>
      <c r="K600" s="661" t="s">
        <v>227</v>
      </c>
      <c r="L600" s="547">
        <f t="shared" si="67"/>
        <v>5551208.3899999997</v>
      </c>
      <c r="M600" s="394">
        <v>5502906.29</v>
      </c>
      <c r="N600" s="394">
        <v>18602.099999999999</v>
      </c>
      <c r="O600" s="658"/>
      <c r="P600" s="394"/>
      <c r="Q600" s="394">
        <v>29700</v>
      </c>
      <c r="R600" s="626">
        <f>M600/E600</f>
        <v>2176.472610704172</v>
      </c>
      <c r="S600" s="410" t="s">
        <v>3503</v>
      </c>
      <c r="T600" s="408"/>
      <c r="V600" s="990"/>
      <c r="Y600" s="419">
        <f t="shared" si="69"/>
        <v>5551208.3899999997</v>
      </c>
      <c r="Z600" s="419"/>
    </row>
    <row r="601" spans="1:26" s="412" customFormat="1" ht="37.5" hidden="1" customHeight="1">
      <c r="A601" s="653">
        <f>A600+1</f>
        <v>65</v>
      </c>
      <c r="B601" s="410" t="s">
        <v>844</v>
      </c>
      <c r="C601" s="657" t="s">
        <v>222</v>
      </c>
      <c r="D601" s="659">
        <v>5616</v>
      </c>
      <c r="E601" s="396">
        <v>1098</v>
      </c>
      <c r="F601" s="396" t="s">
        <v>223</v>
      </c>
      <c r="G601" s="660">
        <v>776</v>
      </c>
      <c r="H601" s="616">
        <v>3</v>
      </c>
      <c r="I601" s="616">
        <v>2</v>
      </c>
      <c r="J601" s="626">
        <v>24</v>
      </c>
      <c r="K601" s="661" t="s">
        <v>33</v>
      </c>
      <c r="L601" s="547">
        <f t="shared" si="67"/>
        <v>1651533.88</v>
      </c>
      <c r="M601" s="547">
        <v>1618941.88</v>
      </c>
      <c r="N601" s="394">
        <v>32592</v>
      </c>
      <c r="O601" s="553"/>
      <c r="P601" s="394"/>
      <c r="Q601" s="394"/>
      <c r="R601" s="616">
        <f>M601/G601</f>
        <v>2086.2653092783503</v>
      </c>
      <c r="S601" s="410"/>
      <c r="T601" s="408"/>
      <c r="V601" s="990"/>
      <c r="Y601" s="419">
        <f t="shared" si="69"/>
        <v>1651533.88</v>
      </c>
      <c r="Z601" s="419"/>
    </row>
    <row r="602" spans="1:26" s="991" customFormat="1" ht="56.25" hidden="1" customHeight="1">
      <c r="A602" s="653">
        <f>A601+1</f>
        <v>66</v>
      </c>
      <c r="B602" s="410" t="s">
        <v>3498</v>
      </c>
      <c r="C602" s="657" t="s">
        <v>218</v>
      </c>
      <c r="D602" s="659">
        <v>15050</v>
      </c>
      <c r="E602" s="396">
        <v>2374.48</v>
      </c>
      <c r="F602" s="396" t="s">
        <v>223</v>
      </c>
      <c r="G602" s="660">
        <f>(20*I602)*12*1.2</f>
        <v>1728</v>
      </c>
      <c r="H602" s="616">
        <v>5</v>
      </c>
      <c r="I602" s="616">
        <v>6</v>
      </c>
      <c r="J602" s="626">
        <v>90</v>
      </c>
      <c r="K602" s="661" t="s">
        <v>30</v>
      </c>
      <c r="L602" s="655">
        <f t="shared" si="67"/>
        <v>590100.97</v>
      </c>
      <c r="M602" s="396">
        <v>550897.97</v>
      </c>
      <c r="N602" s="652"/>
      <c r="O602" s="656">
        <v>5056.92</v>
      </c>
      <c r="P602" s="652"/>
      <c r="Q602" s="394">
        <v>34146.080000000002</v>
      </c>
      <c r="R602" s="657">
        <f>M602/J602</f>
        <v>6121.0885555555551</v>
      </c>
      <c r="S602" s="408"/>
      <c r="T602" s="413"/>
      <c r="U602" s="412"/>
      <c r="V602" s="990"/>
      <c r="Y602" s="419">
        <f t="shared" si="69"/>
        <v>590100.97</v>
      </c>
      <c r="Z602" s="419"/>
    </row>
    <row r="603" spans="1:26" s="403" customFormat="1" ht="58.5" hidden="1" customHeight="1">
      <c r="A603" s="1112" t="s">
        <v>420</v>
      </c>
      <c r="B603" s="1112"/>
      <c r="C603" s="388" t="s">
        <v>28</v>
      </c>
      <c r="D603" s="641">
        <f>SUM(D533:D602)</f>
        <v>1007159.3</v>
      </c>
      <c r="E603" s="388">
        <f>SUM(E533:E602)</f>
        <v>194402.22999999995</v>
      </c>
      <c r="F603" s="388" t="s">
        <v>28</v>
      </c>
      <c r="G603" s="388">
        <f>SUM(G533:G602)</f>
        <v>76780.88</v>
      </c>
      <c r="H603" s="446" t="s">
        <v>28</v>
      </c>
      <c r="I603" s="446" t="s">
        <v>28</v>
      </c>
      <c r="J603" s="446">
        <f>SUM(J533:J602)</f>
        <v>5383</v>
      </c>
      <c r="K603" s="389" t="s">
        <v>28</v>
      </c>
      <c r="L603" s="519">
        <f>SUM(L533:L602)</f>
        <v>186964587.87999994</v>
      </c>
      <c r="M603" s="519">
        <f>SUM(M533:M602)</f>
        <v>184030864.64999995</v>
      </c>
      <c r="N603" s="388">
        <f>SUM(N533:N602)</f>
        <v>2697240.42</v>
      </c>
      <c r="O603" s="473">
        <f>SUM(O533:O602)</f>
        <v>146133</v>
      </c>
      <c r="P603" s="388"/>
      <c r="Q603" s="388">
        <f>SUM(Q533:Q602)</f>
        <v>90349.81</v>
      </c>
      <c r="R603" s="446" t="s">
        <v>28</v>
      </c>
      <c r="S603" s="393">
        <f>L603-M603-N603-O603-P603-Q603</f>
        <v>-1.0652001947164536E-8</v>
      </c>
      <c r="T603" s="393"/>
      <c r="U603" s="404"/>
      <c r="V603" s="390"/>
      <c r="Y603" s="419">
        <f t="shared" si="69"/>
        <v>186964587.87999994</v>
      </c>
      <c r="Z603" s="419"/>
    </row>
    <row r="604" spans="1:26" s="403" customFormat="1" ht="39" hidden="1" customHeight="1">
      <c r="A604" s="1113" t="s">
        <v>37</v>
      </c>
      <c r="B604" s="1113"/>
      <c r="C604" s="1113"/>
      <c r="D604" s="1113"/>
      <c r="E604" s="1113"/>
      <c r="F604" s="1113"/>
      <c r="G604" s="1113"/>
      <c r="H604" s="1113"/>
      <c r="I604" s="1113"/>
      <c r="J604" s="1113"/>
      <c r="K604" s="1113"/>
      <c r="L604" s="1113"/>
      <c r="M604" s="1113"/>
      <c r="N604" s="1113"/>
      <c r="O604" s="1113"/>
      <c r="P604" s="1113"/>
      <c r="Q604" s="1113"/>
      <c r="R604" s="1113"/>
      <c r="T604" s="393"/>
      <c r="U604" s="404"/>
      <c r="V604" s="390"/>
      <c r="Y604" s="419">
        <f t="shared" si="69"/>
        <v>0</v>
      </c>
      <c r="Z604" s="419"/>
    </row>
    <row r="605" spans="1:26" s="414" customFormat="1" ht="56.25" hidden="1" customHeight="1">
      <c r="A605" s="500">
        <v>1</v>
      </c>
      <c r="B605" s="403" t="s">
        <v>847</v>
      </c>
      <c r="C605" s="648" t="s">
        <v>222</v>
      </c>
      <c r="D605" s="606">
        <v>18009</v>
      </c>
      <c r="E605" s="391">
        <v>3585</v>
      </c>
      <c r="F605" s="391" t="s">
        <v>223</v>
      </c>
      <c r="G605" s="391">
        <v>1620</v>
      </c>
      <c r="H605" s="528">
        <v>5</v>
      </c>
      <c r="I605" s="528">
        <v>6</v>
      </c>
      <c r="J605" s="528">
        <v>100</v>
      </c>
      <c r="K605" s="458" t="s">
        <v>30</v>
      </c>
      <c r="L605" s="519">
        <f t="shared" ref="L605:L614" si="70">M605+N605+O605+P605+Q605</f>
        <v>1590064.22</v>
      </c>
      <c r="M605" s="529">
        <v>1582601.72</v>
      </c>
      <c r="N605" s="391"/>
      <c r="O605" s="643">
        <v>7462.5</v>
      </c>
      <c r="P605" s="391"/>
      <c r="Q605" s="388"/>
      <c r="R605" s="446">
        <f>M605/J605</f>
        <v>15826.0172</v>
      </c>
      <c r="V605" s="390"/>
      <c r="Y605" s="419">
        <f t="shared" si="69"/>
        <v>1590064.22</v>
      </c>
      <c r="Z605" s="419"/>
    </row>
    <row r="606" spans="1:26" s="414" customFormat="1" ht="37.5" hidden="1" customHeight="1">
      <c r="A606" s="662">
        <f>A605+1</f>
        <v>2</v>
      </c>
      <c r="B606" s="663" t="s">
        <v>3549</v>
      </c>
      <c r="C606" s="664" t="s">
        <v>222</v>
      </c>
      <c r="D606" s="665">
        <v>22653</v>
      </c>
      <c r="E606" s="666">
        <v>2400</v>
      </c>
      <c r="F606" s="667" t="s">
        <v>234</v>
      </c>
      <c r="G606" s="666">
        <v>839</v>
      </c>
      <c r="H606" s="668">
        <v>9</v>
      </c>
      <c r="I606" s="668">
        <v>2</v>
      </c>
      <c r="J606" s="669">
        <v>72</v>
      </c>
      <c r="K606" s="642" t="s">
        <v>220</v>
      </c>
      <c r="L606" s="519">
        <f t="shared" si="70"/>
        <v>2047023.71</v>
      </c>
      <c r="M606" s="529">
        <v>1964998.71</v>
      </c>
      <c r="N606" s="391">
        <v>82025</v>
      </c>
      <c r="O606" s="473"/>
      <c r="P606" s="388"/>
      <c r="Q606" s="646"/>
      <c r="R606" s="446">
        <v>2000000</v>
      </c>
      <c r="S606" s="415">
        <v>2015</v>
      </c>
      <c r="V606" s="390"/>
      <c r="Y606" s="419">
        <f t="shared" si="69"/>
        <v>2047023.71</v>
      </c>
      <c r="Z606" s="419"/>
    </row>
    <row r="607" spans="1:26" s="415" customFormat="1" ht="37.5" hidden="1" customHeight="1">
      <c r="A607" s="662">
        <f t="shared" ref="A607:A669" si="71">A606+1</f>
        <v>3</v>
      </c>
      <c r="B607" s="403" t="s">
        <v>848</v>
      </c>
      <c r="C607" s="648" t="s">
        <v>222</v>
      </c>
      <c r="D607" s="606">
        <v>13078</v>
      </c>
      <c r="E607" s="391">
        <v>602</v>
      </c>
      <c r="F607" s="391" t="s">
        <v>234</v>
      </c>
      <c r="G607" s="391">
        <v>889</v>
      </c>
      <c r="H607" s="528">
        <v>5</v>
      </c>
      <c r="I607" s="528">
        <v>1</v>
      </c>
      <c r="J607" s="528">
        <v>69</v>
      </c>
      <c r="K607" s="500" t="s">
        <v>33</v>
      </c>
      <c r="L607" s="519">
        <f t="shared" si="70"/>
        <v>1909430.6500000001</v>
      </c>
      <c r="M607" s="519">
        <v>1903592.9900000002</v>
      </c>
      <c r="N607" s="388"/>
      <c r="O607" s="643">
        <v>5837.66</v>
      </c>
      <c r="P607" s="388"/>
      <c r="Q607" s="388"/>
      <c r="R607" s="446">
        <f>M607/G607</f>
        <v>2141.2744544431948</v>
      </c>
      <c r="S607" s="414"/>
      <c r="U607" s="388"/>
      <c r="V607" s="390"/>
      <c r="Y607" s="419">
        <f t="shared" si="69"/>
        <v>1909430.6500000001</v>
      </c>
      <c r="Z607" s="419"/>
    </row>
    <row r="608" spans="1:26" s="414" customFormat="1" ht="37.5" hidden="1" customHeight="1">
      <c r="A608" s="662">
        <f t="shared" si="71"/>
        <v>4</v>
      </c>
      <c r="B608" s="403" t="s">
        <v>849</v>
      </c>
      <c r="C608" s="648" t="s">
        <v>222</v>
      </c>
      <c r="D608" s="606">
        <v>11711</v>
      </c>
      <c r="E608" s="391">
        <v>1952</v>
      </c>
      <c r="F608" s="391" t="s">
        <v>234</v>
      </c>
      <c r="G608" s="391">
        <v>902</v>
      </c>
      <c r="H608" s="528">
        <v>5</v>
      </c>
      <c r="I608" s="528">
        <v>1</v>
      </c>
      <c r="J608" s="528">
        <v>69</v>
      </c>
      <c r="K608" s="500" t="s">
        <v>33</v>
      </c>
      <c r="L608" s="519">
        <f t="shared" si="70"/>
        <v>1428978.9300000002</v>
      </c>
      <c r="M608" s="519">
        <v>1423055.7000000002</v>
      </c>
      <c r="N608" s="388"/>
      <c r="O608" s="643">
        <v>5923.23</v>
      </c>
      <c r="P608" s="388"/>
      <c r="Q608" s="388"/>
      <c r="R608" s="446">
        <f>M608/G608</f>
        <v>1577.667073170732</v>
      </c>
      <c r="U608" s="388"/>
      <c r="V608" s="390"/>
      <c r="Y608" s="419">
        <f t="shared" si="69"/>
        <v>1428978.9300000002</v>
      </c>
      <c r="Z608" s="419"/>
    </row>
    <row r="609" spans="1:26" s="414" customFormat="1" ht="56.25" hidden="1" customHeight="1">
      <c r="A609" s="662">
        <f t="shared" si="71"/>
        <v>5</v>
      </c>
      <c r="B609" s="403" t="s">
        <v>850</v>
      </c>
      <c r="C609" s="487" t="s">
        <v>218</v>
      </c>
      <c r="D609" s="606">
        <v>15392</v>
      </c>
      <c r="E609" s="391">
        <v>2888</v>
      </c>
      <c r="F609" s="391" t="s">
        <v>228</v>
      </c>
      <c r="G609" s="391">
        <v>1231</v>
      </c>
      <c r="H609" s="528">
        <v>5</v>
      </c>
      <c r="I609" s="528">
        <v>6</v>
      </c>
      <c r="J609" s="528">
        <v>90</v>
      </c>
      <c r="K609" s="458" t="s">
        <v>30</v>
      </c>
      <c r="L609" s="519">
        <f t="shared" si="70"/>
        <v>2254466.25</v>
      </c>
      <c r="M609" s="529">
        <v>2247750</v>
      </c>
      <c r="N609" s="391"/>
      <c r="O609" s="643">
        <v>6716.25</v>
      </c>
      <c r="P609" s="391"/>
      <c r="Q609" s="388"/>
      <c r="R609" s="446">
        <f>M609/J609</f>
        <v>24975</v>
      </c>
      <c r="S609" s="414" t="s">
        <v>3547</v>
      </c>
      <c r="U609" s="388"/>
      <c r="V609" s="390"/>
      <c r="Y609" s="419">
        <f t="shared" si="69"/>
        <v>2254466.25</v>
      </c>
      <c r="Z609" s="419"/>
    </row>
    <row r="610" spans="1:26" s="414" customFormat="1" ht="37.5" hidden="1" customHeight="1">
      <c r="A610" s="662">
        <f t="shared" si="71"/>
        <v>6</v>
      </c>
      <c r="B610" s="403" t="s">
        <v>851</v>
      </c>
      <c r="C610" s="648" t="s">
        <v>222</v>
      </c>
      <c r="D610" s="606">
        <v>15306</v>
      </c>
      <c r="E610" s="391">
        <v>2904</v>
      </c>
      <c r="F610" s="391" t="s">
        <v>234</v>
      </c>
      <c r="G610" s="391">
        <v>1026</v>
      </c>
      <c r="H610" s="528">
        <v>5</v>
      </c>
      <c r="I610" s="528">
        <v>4</v>
      </c>
      <c r="J610" s="528">
        <v>68</v>
      </c>
      <c r="K610" s="458" t="s">
        <v>225</v>
      </c>
      <c r="L610" s="519">
        <f t="shared" si="70"/>
        <v>847142.57</v>
      </c>
      <c r="M610" s="645">
        <v>813142.57</v>
      </c>
      <c r="N610" s="646">
        <v>34000</v>
      </c>
      <c r="O610" s="647"/>
      <c r="P610" s="646"/>
      <c r="Q610" s="388"/>
      <c r="R610" s="648">
        <f>M610/J610</f>
        <v>11957.978970588234</v>
      </c>
      <c r="S610" s="416"/>
      <c r="V610" s="390"/>
      <c r="Y610" s="419">
        <f t="shared" si="69"/>
        <v>847142.57</v>
      </c>
      <c r="Z610" s="419"/>
    </row>
    <row r="611" spans="1:26" s="414" customFormat="1" ht="37.5" hidden="1" customHeight="1">
      <c r="A611" s="662">
        <f t="shared" si="71"/>
        <v>7</v>
      </c>
      <c r="B611" s="403" t="s">
        <v>852</v>
      </c>
      <c r="C611" s="648" t="s">
        <v>222</v>
      </c>
      <c r="D611" s="606">
        <v>34393</v>
      </c>
      <c r="E611" s="391">
        <v>5396</v>
      </c>
      <c r="F611" s="391" t="s">
        <v>234</v>
      </c>
      <c r="G611" s="391">
        <v>1307</v>
      </c>
      <c r="H611" s="528">
        <v>9</v>
      </c>
      <c r="I611" s="528">
        <v>4</v>
      </c>
      <c r="J611" s="528">
        <v>143</v>
      </c>
      <c r="K611" s="642" t="s">
        <v>220</v>
      </c>
      <c r="L611" s="519">
        <f t="shared" si="70"/>
        <v>4082531.25</v>
      </c>
      <c r="M611" s="529">
        <v>3980000</v>
      </c>
      <c r="N611" s="391">
        <v>102531.25</v>
      </c>
      <c r="O611" s="473"/>
      <c r="P611" s="388"/>
      <c r="Q611" s="646"/>
      <c r="R611" s="446">
        <v>2000000</v>
      </c>
      <c r="V611" s="390"/>
      <c r="Y611" s="419">
        <f t="shared" si="69"/>
        <v>4082531.25</v>
      </c>
      <c r="Z611" s="419"/>
    </row>
    <row r="612" spans="1:26" s="414" customFormat="1" ht="37.5" hidden="1" customHeight="1">
      <c r="A612" s="662">
        <f t="shared" si="71"/>
        <v>8</v>
      </c>
      <c r="B612" s="403" t="s">
        <v>853</v>
      </c>
      <c r="C612" s="648" t="s">
        <v>222</v>
      </c>
      <c r="D612" s="606">
        <v>34393</v>
      </c>
      <c r="E612" s="391">
        <v>5396</v>
      </c>
      <c r="F612" s="391" t="s">
        <v>234</v>
      </c>
      <c r="G612" s="391">
        <v>1319</v>
      </c>
      <c r="H612" s="528">
        <v>9</v>
      </c>
      <c r="I612" s="528">
        <v>4</v>
      </c>
      <c r="J612" s="528">
        <v>144</v>
      </c>
      <c r="K612" s="642" t="s">
        <v>220</v>
      </c>
      <c r="L612" s="519">
        <f t="shared" si="70"/>
        <v>4082531.25</v>
      </c>
      <c r="M612" s="529">
        <v>3980000</v>
      </c>
      <c r="N612" s="391">
        <v>102531.25</v>
      </c>
      <c r="O612" s="473"/>
      <c r="P612" s="388"/>
      <c r="Q612" s="646"/>
      <c r="R612" s="446">
        <v>2000000</v>
      </c>
      <c r="V612" s="390"/>
      <c r="Y612" s="419">
        <f t="shared" si="69"/>
        <v>4082531.25</v>
      </c>
      <c r="Z612" s="419"/>
    </row>
    <row r="613" spans="1:26" s="414" customFormat="1" ht="37.5" hidden="1" customHeight="1">
      <c r="A613" s="662">
        <f t="shared" si="71"/>
        <v>9</v>
      </c>
      <c r="B613" s="403" t="s">
        <v>854</v>
      </c>
      <c r="C613" s="648" t="s">
        <v>222</v>
      </c>
      <c r="D613" s="606">
        <v>39750</v>
      </c>
      <c r="E613" s="391">
        <v>4719</v>
      </c>
      <c r="F613" s="391" t="s">
        <v>234</v>
      </c>
      <c r="G613" s="391">
        <v>2366</v>
      </c>
      <c r="H613" s="528">
        <v>6</v>
      </c>
      <c r="I613" s="528">
        <v>11</v>
      </c>
      <c r="J613" s="528">
        <v>140</v>
      </c>
      <c r="K613" s="500" t="s">
        <v>235</v>
      </c>
      <c r="L613" s="519">
        <f t="shared" si="70"/>
        <v>4298709.66</v>
      </c>
      <c r="M613" s="519">
        <v>4283171.74</v>
      </c>
      <c r="N613" s="388"/>
      <c r="O613" s="643">
        <v>15537.92</v>
      </c>
      <c r="P613" s="388"/>
      <c r="Q613" s="388"/>
      <c r="R613" s="446">
        <f>M613/G613</f>
        <v>1810.3008199492815</v>
      </c>
      <c r="V613" s="390"/>
      <c r="Y613" s="419">
        <f t="shared" si="69"/>
        <v>4298709.66</v>
      </c>
      <c r="Z613" s="419"/>
    </row>
    <row r="614" spans="1:26" s="414" customFormat="1" ht="37.5" hidden="1" customHeight="1">
      <c r="A614" s="662">
        <f t="shared" si="71"/>
        <v>10</v>
      </c>
      <c r="B614" s="403" t="s">
        <v>855</v>
      </c>
      <c r="C614" s="648" t="s">
        <v>222</v>
      </c>
      <c r="D614" s="606">
        <v>11467</v>
      </c>
      <c r="E614" s="391">
        <v>1067</v>
      </c>
      <c r="F614" s="391" t="s">
        <v>234</v>
      </c>
      <c r="G614" s="391">
        <v>865</v>
      </c>
      <c r="H614" s="528">
        <v>5</v>
      </c>
      <c r="I614" s="528">
        <v>1</v>
      </c>
      <c r="J614" s="528">
        <v>69</v>
      </c>
      <c r="K614" s="500" t="s">
        <v>33</v>
      </c>
      <c r="L614" s="519">
        <f t="shared" si="70"/>
        <v>1431586.82</v>
      </c>
      <c r="M614" s="519">
        <v>1425906.37</v>
      </c>
      <c r="N614" s="388"/>
      <c r="O614" s="643">
        <v>5680.45</v>
      </c>
      <c r="P614" s="388"/>
      <c r="Q614" s="388"/>
      <c r="R614" s="446">
        <f>M614/G614</f>
        <v>1648.4466705202312</v>
      </c>
      <c r="U614" s="388"/>
      <c r="V614" s="390"/>
      <c r="Y614" s="419">
        <f t="shared" si="69"/>
        <v>1431586.82</v>
      </c>
      <c r="Z614" s="419"/>
    </row>
    <row r="615" spans="1:26" s="414" customFormat="1" ht="37.5" hidden="1" customHeight="1">
      <c r="A615" s="662">
        <f t="shared" si="71"/>
        <v>11</v>
      </c>
      <c r="B615" s="403" t="s">
        <v>3804</v>
      </c>
      <c r="C615" s="487" t="s">
        <v>218</v>
      </c>
      <c r="D615" s="606">
        <v>16835</v>
      </c>
      <c r="E615" s="391">
        <v>4278</v>
      </c>
      <c r="F615" s="391" t="s">
        <v>234</v>
      </c>
      <c r="G615" s="391">
        <v>1601</v>
      </c>
      <c r="H615" s="528">
        <v>5</v>
      </c>
      <c r="I615" s="528">
        <v>6</v>
      </c>
      <c r="J615" s="528">
        <v>120</v>
      </c>
      <c r="K615" s="458" t="s">
        <v>236</v>
      </c>
      <c r="L615" s="1129">
        <f>M615+N615+O615+P615+Q615+M616+N616+O616+Q616</f>
        <v>4738064.6300000008</v>
      </c>
      <c r="M615" s="519">
        <v>4434052.8900000006</v>
      </c>
      <c r="N615" s="388">
        <f>40140+35505</f>
        <v>75645</v>
      </c>
      <c r="O615" s="473"/>
      <c r="P615" s="388"/>
      <c r="Q615" s="388"/>
      <c r="R615" s="446">
        <f>M615/G615</f>
        <v>2769.5520861961277</v>
      </c>
      <c r="S615" s="416"/>
      <c r="U615" s="388"/>
      <c r="V615" s="390"/>
      <c r="Y615" s="419">
        <f t="shared" si="69"/>
        <v>4509697.8900000006</v>
      </c>
      <c r="Z615" s="419"/>
    </row>
    <row r="616" spans="1:26" s="414" customFormat="1" ht="63.75" hidden="1" customHeight="1">
      <c r="A616" s="662"/>
      <c r="B616" s="403"/>
      <c r="C616" s="487"/>
      <c r="D616" s="606"/>
      <c r="E616" s="391"/>
      <c r="F616" s="391"/>
      <c r="G616" s="391"/>
      <c r="H616" s="528"/>
      <c r="I616" s="528"/>
      <c r="J616" s="528"/>
      <c r="K616" s="458" t="s">
        <v>30</v>
      </c>
      <c r="L616" s="1129"/>
      <c r="M616" s="519">
        <v>227683.74</v>
      </c>
      <c r="N616" s="388"/>
      <c r="O616" s="473">
        <v>683</v>
      </c>
      <c r="P616" s="388"/>
      <c r="Q616" s="388"/>
      <c r="R616" s="446">
        <f>M616/J615</f>
        <v>1897.3644999999999</v>
      </c>
      <c r="S616" s="416"/>
      <c r="U616" s="388"/>
      <c r="V616" s="390"/>
      <c r="Y616" s="419">
        <f t="shared" si="69"/>
        <v>228366.74</v>
      </c>
      <c r="Z616" s="419"/>
    </row>
    <row r="617" spans="1:26" s="414" customFormat="1" ht="37.5" hidden="1" customHeight="1">
      <c r="A617" s="662">
        <f>A615+1</f>
        <v>12</v>
      </c>
      <c r="B617" s="403" t="s">
        <v>856</v>
      </c>
      <c r="C617" s="487" t="s">
        <v>218</v>
      </c>
      <c r="D617" s="606">
        <v>9983</v>
      </c>
      <c r="E617" s="391">
        <v>1425</v>
      </c>
      <c r="F617" s="391" t="s">
        <v>234</v>
      </c>
      <c r="G617" s="391">
        <v>433</v>
      </c>
      <c r="H617" s="528">
        <v>9</v>
      </c>
      <c r="I617" s="528">
        <v>1</v>
      </c>
      <c r="J617" s="528">
        <v>72</v>
      </c>
      <c r="K617" s="458" t="s">
        <v>236</v>
      </c>
      <c r="L617" s="519">
        <f>M617+N617+O617+P617+Q617</f>
        <v>1249120.3099999998</v>
      </c>
      <c r="M617" s="519">
        <v>1210150.3099999998</v>
      </c>
      <c r="N617" s="388">
        <v>38970</v>
      </c>
      <c r="O617" s="473"/>
      <c r="P617" s="388"/>
      <c r="Q617" s="388"/>
      <c r="R617" s="446">
        <f>M617/G617</f>
        <v>2794.8044110854498</v>
      </c>
      <c r="U617" s="388"/>
      <c r="V617" s="390"/>
      <c r="Y617" s="419">
        <f t="shared" si="69"/>
        <v>1249120.3099999998</v>
      </c>
      <c r="Z617" s="419"/>
    </row>
    <row r="618" spans="1:26" s="414" customFormat="1" ht="37.5" hidden="1" customHeight="1">
      <c r="A618" s="662">
        <f t="shared" si="71"/>
        <v>13</v>
      </c>
      <c r="B618" s="403" t="s">
        <v>857</v>
      </c>
      <c r="C618" s="487" t="s">
        <v>218</v>
      </c>
      <c r="D618" s="606">
        <v>31008</v>
      </c>
      <c r="E618" s="391">
        <v>4592</v>
      </c>
      <c r="F618" s="391" t="s">
        <v>234</v>
      </c>
      <c r="G618" s="391">
        <v>1333</v>
      </c>
      <c r="H618" s="528">
        <v>9</v>
      </c>
      <c r="I618" s="528">
        <v>3</v>
      </c>
      <c r="J618" s="528">
        <v>216</v>
      </c>
      <c r="K618" s="458" t="s">
        <v>236</v>
      </c>
      <c r="L618" s="1129">
        <f>M618+N618+O618+P618+Q618+M619+N619+O619+Q619</f>
        <v>4311625.13</v>
      </c>
      <c r="M618" s="519">
        <v>2952885.81</v>
      </c>
      <c r="N618" s="388">
        <v>39990</v>
      </c>
      <c r="O618" s="473"/>
      <c r="P618" s="388"/>
      <c r="Q618" s="388"/>
      <c r="R618" s="446">
        <f>M618/G618</f>
        <v>2215.2181620405104</v>
      </c>
      <c r="U618" s="388"/>
      <c r="V618" s="390"/>
      <c r="Y618" s="419">
        <f t="shared" si="69"/>
        <v>2992875.81</v>
      </c>
      <c r="Z618" s="419"/>
    </row>
    <row r="619" spans="1:26" s="414" customFormat="1" ht="61.5" hidden="1" customHeight="1">
      <c r="A619" s="662"/>
      <c r="B619" s="403"/>
      <c r="C619" s="487"/>
      <c r="D619" s="606"/>
      <c r="E619" s="391"/>
      <c r="F619" s="391"/>
      <c r="G619" s="391"/>
      <c r="H619" s="528"/>
      <c r="I619" s="528"/>
      <c r="J619" s="528"/>
      <c r="K619" s="458" t="s">
        <v>30</v>
      </c>
      <c r="L619" s="1129"/>
      <c r="M619" s="519">
        <f>1006124.19+308681.13</f>
        <v>1314805.3199999998</v>
      </c>
      <c r="N619" s="388"/>
      <c r="O619" s="473">
        <v>3944</v>
      </c>
      <c r="P619" s="388"/>
      <c r="Q619" s="388"/>
      <c r="R619" s="446">
        <f>M619/J618</f>
        <v>6087.0616666666656</v>
      </c>
      <c r="V619" s="390"/>
      <c r="Y619" s="419">
        <f t="shared" si="69"/>
        <v>1318749.3199999998</v>
      </c>
      <c r="Z619" s="419"/>
    </row>
    <row r="620" spans="1:26" s="414" customFormat="1" ht="37.5" hidden="1" customHeight="1">
      <c r="A620" s="662">
        <f>A618+1</f>
        <v>14</v>
      </c>
      <c r="B620" s="403" t="s">
        <v>858</v>
      </c>
      <c r="C620" s="487" t="s">
        <v>218</v>
      </c>
      <c r="D620" s="606">
        <v>8316</v>
      </c>
      <c r="E620" s="391">
        <v>1864</v>
      </c>
      <c r="F620" s="391" t="s">
        <v>234</v>
      </c>
      <c r="G620" s="391">
        <v>308</v>
      </c>
      <c r="H620" s="528">
        <v>6</v>
      </c>
      <c r="I620" s="528">
        <v>1</v>
      </c>
      <c r="J620" s="528">
        <v>24</v>
      </c>
      <c r="K620" s="670" t="s">
        <v>236</v>
      </c>
      <c r="L620" s="519">
        <f t="shared" ref="L620:L632" si="72">M620+N620+O620+P620+Q620</f>
        <v>907815.01</v>
      </c>
      <c r="M620" s="519">
        <v>870855.01</v>
      </c>
      <c r="N620" s="388">
        <v>36960</v>
      </c>
      <c r="O620" s="473"/>
      <c r="P620" s="388"/>
      <c r="Q620" s="388"/>
      <c r="R620" s="446">
        <f>M620/G620</f>
        <v>2827.4513311688311</v>
      </c>
      <c r="U620" s="388"/>
      <c r="V620" s="390"/>
      <c r="Y620" s="419">
        <f t="shared" si="69"/>
        <v>907815.01</v>
      </c>
      <c r="Z620" s="419"/>
    </row>
    <row r="621" spans="1:26" s="414" customFormat="1" ht="37.5" hidden="1" customHeight="1">
      <c r="A621" s="662">
        <f t="shared" si="71"/>
        <v>15</v>
      </c>
      <c r="B621" s="403" t="s">
        <v>859</v>
      </c>
      <c r="C621" s="487" t="s">
        <v>218</v>
      </c>
      <c r="D621" s="606">
        <v>21735</v>
      </c>
      <c r="E621" s="391">
        <v>2860</v>
      </c>
      <c r="F621" s="391" t="s">
        <v>228</v>
      </c>
      <c r="G621" s="391">
        <v>805</v>
      </c>
      <c r="H621" s="528">
        <v>6</v>
      </c>
      <c r="I621" s="528">
        <v>3</v>
      </c>
      <c r="J621" s="528">
        <v>72</v>
      </c>
      <c r="K621" s="458" t="s">
        <v>236</v>
      </c>
      <c r="L621" s="519">
        <f t="shared" si="72"/>
        <v>1828159.7</v>
      </c>
      <c r="M621" s="519">
        <v>1791934.7</v>
      </c>
      <c r="N621" s="388">
        <v>36225</v>
      </c>
      <c r="O621" s="473"/>
      <c r="P621" s="388"/>
      <c r="Q621" s="388"/>
      <c r="R621" s="446">
        <f>M621/G621</f>
        <v>2226.0058385093166</v>
      </c>
      <c r="U621" s="388"/>
      <c r="V621" s="390"/>
      <c r="Y621" s="419">
        <f t="shared" si="69"/>
        <v>1828159.7</v>
      </c>
      <c r="Z621" s="419"/>
    </row>
    <row r="622" spans="1:26" s="414" customFormat="1" ht="37.5" hidden="1" customHeight="1">
      <c r="A622" s="662">
        <f t="shared" si="71"/>
        <v>16</v>
      </c>
      <c r="B622" s="403" t="s">
        <v>860</v>
      </c>
      <c r="C622" s="487" t="s">
        <v>218</v>
      </c>
      <c r="D622" s="606">
        <v>10111</v>
      </c>
      <c r="E622" s="391">
        <v>1548</v>
      </c>
      <c r="F622" s="391" t="s">
        <v>234</v>
      </c>
      <c r="G622" s="391">
        <v>436</v>
      </c>
      <c r="H622" s="528">
        <v>9</v>
      </c>
      <c r="I622" s="528">
        <v>1</v>
      </c>
      <c r="J622" s="528">
        <v>72</v>
      </c>
      <c r="K622" s="458" t="s">
        <v>236</v>
      </c>
      <c r="L622" s="519">
        <f t="shared" si="72"/>
        <v>1217630.08</v>
      </c>
      <c r="M622" s="519">
        <v>1178390.08</v>
      </c>
      <c r="N622" s="388">
        <v>39240</v>
      </c>
      <c r="O622" s="473"/>
      <c r="P622" s="388"/>
      <c r="Q622" s="388"/>
      <c r="R622" s="446">
        <f>M622/G622</f>
        <v>2702.7295412844037</v>
      </c>
      <c r="U622" s="388"/>
      <c r="V622" s="390"/>
      <c r="Y622" s="419">
        <f t="shared" si="69"/>
        <v>1217630.08</v>
      </c>
      <c r="Z622" s="419"/>
    </row>
    <row r="623" spans="1:26" s="403" customFormat="1" ht="35.25" hidden="1" customHeight="1" outlineLevel="1">
      <c r="A623" s="662">
        <f t="shared" si="71"/>
        <v>17</v>
      </c>
      <c r="B623" s="403" t="s">
        <v>861</v>
      </c>
      <c r="C623" s="487" t="s">
        <v>218</v>
      </c>
      <c r="D623" s="606">
        <v>22601</v>
      </c>
      <c r="E623" s="391">
        <v>2300</v>
      </c>
      <c r="F623" s="391" t="s">
        <v>234</v>
      </c>
      <c r="G623" s="391">
        <v>886</v>
      </c>
      <c r="H623" s="528">
        <v>9</v>
      </c>
      <c r="I623" s="528">
        <v>3</v>
      </c>
      <c r="J623" s="528">
        <v>108</v>
      </c>
      <c r="K623" s="500" t="s">
        <v>33</v>
      </c>
      <c r="L623" s="519">
        <f t="shared" si="72"/>
        <v>1731278.1199999999</v>
      </c>
      <c r="M623" s="519">
        <v>1725459.3599999999</v>
      </c>
      <c r="N623" s="388"/>
      <c r="O623" s="643">
        <v>5818.76</v>
      </c>
      <c r="P623" s="388"/>
      <c r="Q623" s="388"/>
      <c r="R623" s="446">
        <f>M623/G623</f>
        <v>1947.471060948081</v>
      </c>
      <c r="S623" s="414"/>
      <c r="T623" s="414"/>
      <c r="U623" s="414"/>
      <c r="V623" s="390"/>
      <c r="W623" s="393"/>
      <c r="Y623" s="419">
        <f t="shared" si="69"/>
        <v>1731278.1199999999</v>
      </c>
      <c r="Z623" s="419"/>
    </row>
    <row r="624" spans="1:26" s="414" customFormat="1" ht="37.5" hidden="1" customHeight="1">
      <c r="A624" s="662">
        <f t="shared" si="71"/>
        <v>18</v>
      </c>
      <c r="B624" s="403" t="s">
        <v>862</v>
      </c>
      <c r="C624" s="648" t="s">
        <v>222</v>
      </c>
      <c r="D624" s="606">
        <v>17891</v>
      </c>
      <c r="E624" s="391">
        <v>3053</v>
      </c>
      <c r="F624" s="391" t="s">
        <v>234</v>
      </c>
      <c r="G624" s="391">
        <v>1373</v>
      </c>
      <c r="H624" s="528">
        <v>5</v>
      </c>
      <c r="I624" s="528">
        <v>6</v>
      </c>
      <c r="J624" s="528">
        <v>92</v>
      </c>
      <c r="K624" s="500" t="s">
        <v>33</v>
      </c>
      <c r="L624" s="519">
        <f t="shared" si="72"/>
        <v>2432995.9</v>
      </c>
      <c r="M624" s="519">
        <v>2423979.21</v>
      </c>
      <c r="N624" s="388"/>
      <c r="O624" s="643">
        <v>9016.69</v>
      </c>
      <c r="P624" s="388"/>
      <c r="Q624" s="388"/>
      <c r="R624" s="446">
        <f>M624/G624</f>
        <v>1765.4619155134742</v>
      </c>
      <c r="V624" s="390"/>
      <c r="Y624" s="419">
        <f t="shared" si="69"/>
        <v>2432995.9</v>
      </c>
      <c r="Z624" s="419"/>
    </row>
    <row r="625" spans="1:26" s="415" customFormat="1" ht="37.5" hidden="1" customHeight="1">
      <c r="A625" s="662">
        <f t="shared" si="71"/>
        <v>19</v>
      </c>
      <c r="B625" s="403" t="s">
        <v>863</v>
      </c>
      <c r="C625" s="648" t="s">
        <v>222</v>
      </c>
      <c r="D625" s="606">
        <v>11960</v>
      </c>
      <c r="E625" s="391">
        <v>1532</v>
      </c>
      <c r="F625" s="391" t="s">
        <v>234</v>
      </c>
      <c r="G625" s="391">
        <v>443</v>
      </c>
      <c r="H625" s="528">
        <v>9</v>
      </c>
      <c r="I625" s="528">
        <v>1</v>
      </c>
      <c r="J625" s="528">
        <v>50</v>
      </c>
      <c r="K625" s="642" t="s">
        <v>225</v>
      </c>
      <c r="L625" s="519">
        <f t="shared" si="72"/>
        <v>565020.24</v>
      </c>
      <c r="M625" s="652">
        <v>540020.24</v>
      </c>
      <c r="N625" s="646">
        <v>25000</v>
      </c>
      <c r="O625" s="647"/>
      <c r="P625" s="646"/>
      <c r="Q625" s="388"/>
      <c r="R625" s="648">
        <f>M625/J625</f>
        <v>10800.4048</v>
      </c>
      <c r="S625" s="416"/>
      <c r="T625" s="406"/>
      <c r="U625" s="417"/>
      <c r="V625" s="390"/>
      <c r="Y625" s="419">
        <f t="shared" si="69"/>
        <v>565020.24</v>
      </c>
      <c r="Z625" s="419"/>
    </row>
    <row r="626" spans="1:26" s="415" customFormat="1" ht="37.5" hidden="1" customHeight="1">
      <c r="A626" s="662">
        <f t="shared" si="71"/>
        <v>20</v>
      </c>
      <c r="B626" s="403" t="s">
        <v>864</v>
      </c>
      <c r="C626" s="487" t="s">
        <v>218</v>
      </c>
      <c r="D626" s="606">
        <v>50544</v>
      </c>
      <c r="E626" s="391">
        <v>5320</v>
      </c>
      <c r="F626" s="391" t="s">
        <v>234</v>
      </c>
      <c r="G626" s="391">
        <v>1908</v>
      </c>
      <c r="H626" s="528">
        <v>9</v>
      </c>
      <c r="I626" s="528">
        <v>6</v>
      </c>
      <c r="J626" s="528">
        <v>215</v>
      </c>
      <c r="K626" s="642" t="s">
        <v>225</v>
      </c>
      <c r="L626" s="519">
        <f t="shared" si="72"/>
        <v>3574357.83</v>
      </c>
      <c r="M626" s="645">
        <v>3531357.83</v>
      </c>
      <c r="N626" s="646">
        <v>43000</v>
      </c>
      <c r="O626" s="647"/>
      <c r="P626" s="646"/>
      <c r="Q626" s="388"/>
      <c r="R626" s="648">
        <f>M626/J626</f>
        <v>16424.920139534883</v>
      </c>
      <c r="S626" s="416"/>
      <c r="T626" s="406"/>
      <c r="U626" s="417"/>
      <c r="V626" s="390"/>
      <c r="Y626" s="419">
        <f t="shared" si="69"/>
        <v>3574357.83</v>
      </c>
      <c r="Z626" s="419"/>
    </row>
    <row r="627" spans="1:26" s="414" customFormat="1" ht="56.25" hidden="1" customHeight="1">
      <c r="A627" s="662">
        <f t="shared" si="71"/>
        <v>21</v>
      </c>
      <c r="B627" s="403" t="s">
        <v>865</v>
      </c>
      <c r="C627" s="648" t="s">
        <v>222</v>
      </c>
      <c r="D627" s="606">
        <v>19675</v>
      </c>
      <c r="E627" s="391">
        <v>2336</v>
      </c>
      <c r="F627" s="391" t="s">
        <v>234</v>
      </c>
      <c r="G627" s="391">
        <v>757</v>
      </c>
      <c r="H627" s="528">
        <v>9</v>
      </c>
      <c r="I627" s="528">
        <v>2</v>
      </c>
      <c r="J627" s="528">
        <v>72</v>
      </c>
      <c r="K627" s="458" t="s">
        <v>30</v>
      </c>
      <c r="L627" s="519">
        <f t="shared" si="72"/>
        <v>1803573</v>
      </c>
      <c r="M627" s="519">
        <v>1798200</v>
      </c>
      <c r="N627" s="388"/>
      <c r="O627" s="643">
        <v>5373</v>
      </c>
      <c r="P627" s="388"/>
      <c r="Q627" s="388"/>
      <c r="R627" s="446">
        <f>M627/J627</f>
        <v>24975</v>
      </c>
      <c r="V627" s="390"/>
      <c r="Y627" s="419">
        <f t="shared" si="69"/>
        <v>1803573</v>
      </c>
      <c r="Z627" s="419"/>
    </row>
    <row r="628" spans="1:26" s="414" customFormat="1" ht="37.5" hidden="1" customHeight="1">
      <c r="A628" s="662">
        <f t="shared" si="71"/>
        <v>22</v>
      </c>
      <c r="B628" s="663" t="s">
        <v>866</v>
      </c>
      <c r="C628" s="664" t="s">
        <v>222</v>
      </c>
      <c r="D628" s="671">
        <v>38610</v>
      </c>
      <c r="E628" s="667">
        <v>5703</v>
      </c>
      <c r="F628" s="667" t="s">
        <v>234</v>
      </c>
      <c r="G628" s="667">
        <v>1352</v>
      </c>
      <c r="H628" s="664">
        <v>9</v>
      </c>
      <c r="I628" s="664">
        <v>4</v>
      </c>
      <c r="J628" s="669">
        <v>129</v>
      </c>
      <c r="K628" s="458" t="s">
        <v>220</v>
      </c>
      <c r="L628" s="519">
        <f t="shared" si="72"/>
        <v>4048909.63</v>
      </c>
      <c r="M628" s="529">
        <f>1975152.22+1971226.16</f>
        <v>3946378.38</v>
      </c>
      <c r="N628" s="391">
        <v>102531.25</v>
      </c>
      <c r="O628" s="473"/>
      <c r="P628" s="388"/>
      <c r="Q628" s="646"/>
      <c r="R628" s="446">
        <f>M628/2</f>
        <v>1973189.19</v>
      </c>
      <c r="S628" s="417">
        <v>2016</v>
      </c>
      <c r="V628" s="390"/>
      <c r="Y628" s="419">
        <f t="shared" si="69"/>
        <v>4048909.63</v>
      </c>
      <c r="Z628" s="419"/>
    </row>
    <row r="629" spans="1:26" s="414" customFormat="1" ht="37.5" hidden="1" customHeight="1">
      <c r="A629" s="662">
        <f t="shared" si="71"/>
        <v>23</v>
      </c>
      <c r="B629" s="403" t="s">
        <v>867</v>
      </c>
      <c r="C629" s="455" t="s">
        <v>222</v>
      </c>
      <c r="D629" s="641">
        <v>3766.44</v>
      </c>
      <c r="E629" s="388">
        <v>1255.48</v>
      </c>
      <c r="F629" s="388" t="s">
        <v>234</v>
      </c>
      <c r="G629" s="388">
        <v>1298</v>
      </c>
      <c r="H629" s="446">
        <v>9</v>
      </c>
      <c r="I629" s="446">
        <v>2</v>
      </c>
      <c r="J629" s="446">
        <v>69</v>
      </c>
      <c r="K629" s="458" t="s">
        <v>220</v>
      </c>
      <c r="L629" s="519">
        <f t="shared" si="72"/>
        <v>2046799.8</v>
      </c>
      <c r="M629" s="529">
        <v>1964774.8</v>
      </c>
      <c r="N629" s="391">
        <v>82025</v>
      </c>
      <c r="O629" s="473"/>
      <c r="P629" s="388"/>
      <c r="Q629" s="646"/>
      <c r="R629" s="446">
        <v>2000000</v>
      </c>
      <c r="S629" s="414">
        <v>2015</v>
      </c>
      <c r="V629" s="390"/>
      <c r="Y629" s="419">
        <f t="shared" si="69"/>
        <v>2046799.8</v>
      </c>
      <c r="Z629" s="419"/>
    </row>
    <row r="630" spans="1:26" s="414" customFormat="1" ht="37.5" hidden="1" customHeight="1">
      <c r="A630" s="662">
        <f t="shared" si="71"/>
        <v>24</v>
      </c>
      <c r="B630" s="663" t="s">
        <v>868</v>
      </c>
      <c r="C630" s="672" t="s">
        <v>222</v>
      </c>
      <c r="D630" s="671">
        <v>20311</v>
      </c>
      <c r="E630" s="667">
        <v>2610</v>
      </c>
      <c r="F630" s="667" t="s">
        <v>234</v>
      </c>
      <c r="G630" s="667">
        <v>753</v>
      </c>
      <c r="H630" s="664">
        <v>9</v>
      </c>
      <c r="I630" s="664">
        <v>2</v>
      </c>
      <c r="J630" s="664">
        <v>72</v>
      </c>
      <c r="K630" s="458" t="s">
        <v>220</v>
      </c>
      <c r="L630" s="519">
        <f t="shared" si="72"/>
        <v>2044492.25</v>
      </c>
      <c r="M630" s="529">
        <f>1962467.25</f>
        <v>1962467.25</v>
      </c>
      <c r="N630" s="391">
        <v>82025</v>
      </c>
      <c r="O630" s="473"/>
      <c r="P630" s="388"/>
      <c r="Q630" s="646"/>
      <c r="R630" s="446">
        <v>2000000</v>
      </c>
      <c r="S630" s="415"/>
      <c r="V630" s="390"/>
      <c r="Y630" s="419">
        <f t="shared" si="69"/>
        <v>2044492.25</v>
      </c>
      <c r="Z630" s="419"/>
    </row>
    <row r="631" spans="1:26" s="414" customFormat="1" ht="37.5" hidden="1" customHeight="1">
      <c r="A631" s="662">
        <f t="shared" si="71"/>
        <v>25</v>
      </c>
      <c r="B631" s="403" t="s">
        <v>869</v>
      </c>
      <c r="C631" s="487" t="s">
        <v>218</v>
      </c>
      <c r="D631" s="606">
        <v>14152</v>
      </c>
      <c r="E631" s="391">
        <v>3364</v>
      </c>
      <c r="F631" s="391" t="s">
        <v>234</v>
      </c>
      <c r="G631" s="391">
        <v>608</v>
      </c>
      <c r="H631" s="528">
        <v>9</v>
      </c>
      <c r="I631" s="528">
        <v>2</v>
      </c>
      <c r="J631" s="528">
        <v>72</v>
      </c>
      <c r="K631" s="458" t="s">
        <v>220</v>
      </c>
      <c r="L631" s="519">
        <f t="shared" si="72"/>
        <v>2038897.85</v>
      </c>
      <c r="M631" s="519">
        <v>1956872.85</v>
      </c>
      <c r="N631" s="388">
        <v>82025</v>
      </c>
      <c r="O631" s="473"/>
      <c r="P631" s="388"/>
      <c r="Q631" s="646"/>
      <c r="R631" s="446">
        <v>2000000</v>
      </c>
      <c r="V631" s="390"/>
      <c r="Y631" s="419">
        <f t="shared" si="69"/>
        <v>2038897.85</v>
      </c>
      <c r="Z631" s="419"/>
    </row>
    <row r="632" spans="1:26" s="414" customFormat="1" ht="37.5" hidden="1" customHeight="1">
      <c r="A632" s="662">
        <f t="shared" si="71"/>
        <v>26</v>
      </c>
      <c r="B632" s="403" t="s">
        <v>870</v>
      </c>
      <c r="C632" s="648" t="s">
        <v>218</v>
      </c>
      <c r="D632" s="606">
        <v>10612</v>
      </c>
      <c r="E632" s="391">
        <v>2460</v>
      </c>
      <c r="F632" s="391" t="s">
        <v>234</v>
      </c>
      <c r="G632" s="391">
        <v>758</v>
      </c>
      <c r="H632" s="528">
        <v>5</v>
      </c>
      <c r="I632" s="528">
        <v>4</v>
      </c>
      <c r="J632" s="528">
        <v>60</v>
      </c>
      <c r="K632" s="500" t="s">
        <v>33</v>
      </c>
      <c r="L632" s="519">
        <f t="shared" si="72"/>
        <v>1686310.1</v>
      </c>
      <c r="M632" s="394">
        <v>1681332.12</v>
      </c>
      <c r="N632" s="388"/>
      <c r="O632" s="643">
        <v>4977.9799999999996</v>
      </c>
      <c r="P632" s="388"/>
      <c r="Q632" s="388"/>
      <c r="R632" s="446">
        <f>M632/G632</f>
        <v>2218.116253298153</v>
      </c>
      <c r="V632" s="390"/>
      <c r="Y632" s="419">
        <f t="shared" si="69"/>
        <v>1686310.1</v>
      </c>
      <c r="Z632" s="419"/>
    </row>
    <row r="633" spans="1:26" s="414" customFormat="1" ht="37.5" hidden="1" customHeight="1">
      <c r="A633" s="662">
        <f t="shared" si="71"/>
        <v>27</v>
      </c>
      <c r="B633" s="403" t="s">
        <v>871</v>
      </c>
      <c r="C633" s="648" t="s">
        <v>222</v>
      </c>
      <c r="D633" s="606">
        <v>22718</v>
      </c>
      <c r="E633" s="391">
        <v>3809.4</v>
      </c>
      <c r="F633" s="391" t="s">
        <v>234</v>
      </c>
      <c r="G633" s="391">
        <v>1612</v>
      </c>
      <c r="H633" s="528">
        <v>9</v>
      </c>
      <c r="I633" s="528">
        <v>2</v>
      </c>
      <c r="J633" s="528">
        <v>69</v>
      </c>
      <c r="K633" s="500" t="s">
        <v>33</v>
      </c>
      <c r="L633" s="519">
        <f>M633+N633+O633+P633+Q633+M634+N634+O634+Q634</f>
        <v>2395849.5300000003</v>
      </c>
      <c r="M633" s="394">
        <v>1675805.78</v>
      </c>
      <c r="N633" s="388"/>
      <c r="O633" s="643">
        <v>10585.8</v>
      </c>
      <c r="P633" s="388"/>
      <c r="Q633" s="388"/>
      <c r="R633" s="446">
        <f>M633/G633</f>
        <v>1039.5817493796526</v>
      </c>
      <c r="V633" s="390"/>
      <c r="Y633" s="419">
        <f t="shared" si="69"/>
        <v>1686391.58</v>
      </c>
      <c r="Z633" s="419"/>
    </row>
    <row r="634" spans="1:26" s="414" customFormat="1" ht="75" hidden="1" customHeight="1">
      <c r="A634" s="662"/>
      <c r="B634" s="403"/>
      <c r="C634" s="648"/>
      <c r="D634" s="606"/>
      <c r="E634" s="391"/>
      <c r="F634" s="391"/>
      <c r="G634" s="391"/>
      <c r="H634" s="528"/>
      <c r="I634" s="528"/>
      <c r="J634" s="528"/>
      <c r="K634" s="458" t="s">
        <v>238</v>
      </c>
      <c r="L634" s="519"/>
      <c r="M634" s="394">
        <v>707335.95</v>
      </c>
      <c r="N634" s="388"/>
      <c r="O634" s="658">
        <v>2122</v>
      </c>
      <c r="P634" s="388"/>
      <c r="Q634" s="388"/>
      <c r="R634" s="446"/>
      <c r="V634" s="390"/>
      <c r="Y634" s="419">
        <f t="shared" si="69"/>
        <v>709457.95</v>
      </c>
      <c r="Z634" s="419"/>
    </row>
    <row r="635" spans="1:26" s="414" customFormat="1" ht="37.5" hidden="1" customHeight="1">
      <c r="A635" s="662">
        <f>A633+1</f>
        <v>28</v>
      </c>
      <c r="B635" s="403" t="s">
        <v>872</v>
      </c>
      <c r="C635" s="487" t="s">
        <v>222</v>
      </c>
      <c r="D635" s="606">
        <v>21599</v>
      </c>
      <c r="E635" s="391">
        <v>2561</v>
      </c>
      <c r="F635" s="391" t="s">
        <v>234</v>
      </c>
      <c r="G635" s="391">
        <v>814</v>
      </c>
      <c r="H635" s="528">
        <v>9</v>
      </c>
      <c r="I635" s="528">
        <v>1</v>
      </c>
      <c r="J635" s="528">
        <v>180</v>
      </c>
      <c r="K635" s="500" t="s">
        <v>33</v>
      </c>
      <c r="L635" s="519">
        <f>M635+N635+O635+P635+Q635</f>
        <v>1587291.3499999999</v>
      </c>
      <c r="M635" s="394">
        <v>1581946.21</v>
      </c>
      <c r="N635" s="388"/>
      <c r="O635" s="643">
        <v>5345.14</v>
      </c>
      <c r="P635" s="388"/>
      <c r="Q635" s="388"/>
      <c r="R635" s="446">
        <f>M635/G635</f>
        <v>1943.4228624078623</v>
      </c>
      <c r="V635" s="390"/>
      <c r="Y635" s="419">
        <f t="shared" si="69"/>
        <v>1587291.3499999999</v>
      </c>
      <c r="Z635" s="419"/>
    </row>
    <row r="636" spans="1:26" s="414" customFormat="1" ht="37.5" hidden="1" customHeight="1">
      <c r="A636" s="662">
        <f t="shared" si="71"/>
        <v>29</v>
      </c>
      <c r="B636" s="403" t="s">
        <v>873</v>
      </c>
      <c r="C636" s="648" t="s">
        <v>218</v>
      </c>
      <c r="D636" s="606">
        <v>16065</v>
      </c>
      <c r="E636" s="391">
        <v>1919</v>
      </c>
      <c r="F636" s="391" t="s">
        <v>234</v>
      </c>
      <c r="G636" s="391">
        <v>595</v>
      </c>
      <c r="H636" s="528">
        <v>9</v>
      </c>
      <c r="I636" s="528">
        <v>2</v>
      </c>
      <c r="J636" s="528">
        <v>71</v>
      </c>
      <c r="K636" s="500" t="s">
        <v>33</v>
      </c>
      <c r="L636" s="519">
        <f>M636+N636+O636+P636+Q636</f>
        <v>1024079.28</v>
      </c>
      <c r="M636" s="394">
        <v>1020171.92</v>
      </c>
      <c r="N636" s="388"/>
      <c r="O636" s="643">
        <v>3907.36</v>
      </c>
      <c r="P636" s="388"/>
      <c r="Q636" s="388"/>
      <c r="R636" s="446">
        <f>M636/G636</f>
        <v>1714.5746554621849</v>
      </c>
      <c r="V636" s="390"/>
      <c r="Y636" s="419">
        <f t="shared" si="69"/>
        <v>1024079.28</v>
      </c>
      <c r="Z636" s="419"/>
    </row>
    <row r="637" spans="1:26" s="414" customFormat="1" ht="37.5" hidden="1" customHeight="1">
      <c r="A637" s="662">
        <f t="shared" si="71"/>
        <v>30</v>
      </c>
      <c r="B637" s="403" t="s">
        <v>874</v>
      </c>
      <c r="C637" s="648" t="s">
        <v>222</v>
      </c>
      <c r="D637" s="606">
        <v>26600</v>
      </c>
      <c r="E637" s="391">
        <v>2456</v>
      </c>
      <c r="F637" s="391" t="s">
        <v>234</v>
      </c>
      <c r="G637" s="391">
        <v>1900</v>
      </c>
      <c r="H637" s="528">
        <v>5</v>
      </c>
      <c r="I637" s="528">
        <v>4</v>
      </c>
      <c r="J637" s="528">
        <v>78</v>
      </c>
      <c r="K637" s="458" t="s">
        <v>237</v>
      </c>
      <c r="L637" s="1129">
        <f>M637+N637+O637+P637+Q637+M638+N638+O638+Q638</f>
        <v>4150278.62</v>
      </c>
      <c r="M637" s="519">
        <v>2045152.37</v>
      </c>
      <c r="N637" s="388"/>
      <c r="O637" s="643">
        <v>12477.3</v>
      </c>
      <c r="P637" s="388"/>
      <c r="Q637" s="388"/>
      <c r="R637" s="446">
        <f>M637/G637</f>
        <v>1076.3959842105264</v>
      </c>
      <c r="S637" s="416"/>
      <c r="U637" s="388"/>
      <c r="V637" s="390"/>
      <c r="Y637" s="419">
        <f t="shared" si="69"/>
        <v>2057629.6700000002</v>
      </c>
      <c r="Z637" s="419"/>
    </row>
    <row r="638" spans="1:26" s="414" customFormat="1" ht="37.5" hidden="1" customHeight="1">
      <c r="A638" s="662"/>
      <c r="B638" s="403"/>
      <c r="C638" s="648"/>
      <c r="D638" s="606"/>
      <c r="E638" s="391"/>
      <c r="F638" s="391"/>
      <c r="G638" s="391"/>
      <c r="H638" s="528"/>
      <c r="I638" s="528"/>
      <c r="J638" s="528"/>
      <c r="K638" s="458" t="s">
        <v>38</v>
      </c>
      <c r="L638" s="1129"/>
      <c r="M638" s="394">
        <v>2086389.9500000002</v>
      </c>
      <c r="N638" s="388"/>
      <c r="O638" s="658">
        <v>6259</v>
      </c>
      <c r="P638" s="388"/>
      <c r="Q638" s="388"/>
      <c r="R638" s="446">
        <f>M638/E637</f>
        <v>849.50730863192189</v>
      </c>
      <c r="S638" s="416"/>
      <c r="V638" s="390"/>
      <c r="Y638" s="419">
        <f t="shared" si="69"/>
        <v>2092648.9500000002</v>
      </c>
      <c r="Z638" s="419"/>
    </row>
    <row r="639" spans="1:26" s="414" customFormat="1" ht="37.5" hidden="1" customHeight="1">
      <c r="A639" s="662">
        <f>A637+1</f>
        <v>31</v>
      </c>
      <c r="B639" s="403" t="s">
        <v>875</v>
      </c>
      <c r="C639" s="648" t="s">
        <v>222</v>
      </c>
      <c r="D639" s="606">
        <v>13745</v>
      </c>
      <c r="E639" s="391">
        <v>2124</v>
      </c>
      <c r="F639" s="391" t="s">
        <v>234</v>
      </c>
      <c r="G639" s="391">
        <v>869</v>
      </c>
      <c r="H639" s="528">
        <v>5</v>
      </c>
      <c r="I639" s="528">
        <v>1</v>
      </c>
      <c r="J639" s="528">
        <v>70</v>
      </c>
      <c r="K639" s="458" t="s">
        <v>33</v>
      </c>
      <c r="L639" s="1129">
        <f>M639+N639+O639+P639+Q639+M640+N640+O640+Q640</f>
        <v>1813284.39</v>
      </c>
      <c r="M639" s="394">
        <v>1559806.9</v>
      </c>
      <c r="N639" s="388"/>
      <c r="O639" s="643">
        <v>5706.33</v>
      </c>
      <c r="P639" s="388"/>
      <c r="Q639" s="388"/>
      <c r="R639" s="446">
        <f>M639/G639</f>
        <v>1794.9446490218641</v>
      </c>
      <c r="V639" s="390"/>
      <c r="Y639" s="419">
        <f t="shared" si="69"/>
        <v>1565513.23</v>
      </c>
      <c r="Z639" s="419"/>
    </row>
    <row r="640" spans="1:26" s="414" customFormat="1" ht="66" hidden="1" customHeight="1">
      <c r="A640" s="662"/>
      <c r="B640" s="403"/>
      <c r="C640" s="648"/>
      <c r="D640" s="606"/>
      <c r="E640" s="391"/>
      <c r="F640" s="391"/>
      <c r="G640" s="391"/>
      <c r="H640" s="528"/>
      <c r="I640" s="528"/>
      <c r="J640" s="528"/>
      <c r="K640" s="458" t="s">
        <v>238</v>
      </c>
      <c r="L640" s="1129"/>
      <c r="M640" s="394">
        <v>247030.16</v>
      </c>
      <c r="N640" s="388"/>
      <c r="O640" s="658">
        <v>741</v>
      </c>
      <c r="P640" s="388"/>
      <c r="Q640" s="388"/>
      <c r="R640" s="446">
        <f>M640/J639</f>
        <v>3529.0022857142858</v>
      </c>
      <c r="S640" s="418"/>
      <c r="V640" s="390"/>
      <c r="Y640" s="419">
        <f t="shared" si="69"/>
        <v>247771.16</v>
      </c>
      <c r="Z640" s="419"/>
    </row>
    <row r="641" spans="1:26" s="414" customFormat="1" ht="37.5" hidden="1" customHeight="1">
      <c r="A641" s="662">
        <f>A639+1</f>
        <v>32</v>
      </c>
      <c r="B641" s="403" t="s">
        <v>876</v>
      </c>
      <c r="C641" s="648" t="s">
        <v>222</v>
      </c>
      <c r="D641" s="606">
        <v>17682</v>
      </c>
      <c r="E641" s="391">
        <v>2256</v>
      </c>
      <c r="F641" s="391" t="s">
        <v>234</v>
      </c>
      <c r="G641" s="391">
        <v>1117</v>
      </c>
      <c r="H641" s="528">
        <v>9</v>
      </c>
      <c r="I641" s="528">
        <v>1</v>
      </c>
      <c r="J641" s="528">
        <v>173</v>
      </c>
      <c r="K641" s="458" t="s">
        <v>237</v>
      </c>
      <c r="L641" s="519">
        <f>M641+N641+O641+P641+Q641+M642+N642+O642+Q642</f>
        <v>2361921</v>
      </c>
      <c r="M641" s="394">
        <v>1412319.8</v>
      </c>
      <c r="N641" s="388"/>
      <c r="O641" s="643">
        <v>7335.14</v>
      </c>
      <c r="P641" s="388"/>
      <c r="Q641" s="388"/>
      <c r="R641" s="446">
        <f>M641/G641</f>
        <v>1264.3865711727842</v>
      </c>
      <c r="S641" s="416"/>
      <c r="V641" s="390"/>
      <c r="Y641" s="419">
        <f t="shared" si="69"/>
        <v>1419654.94</v>
      </c>
      <c r="Z641" s="419"/>
    </row>
    <row r="642" spans="1:26" s="414" customFormat="1" ht="58.5" hidden="1" customHeight="1">
      <c r="A642" s="662"/>
      <c r="B642" s="403"/>
      <c r="C642" s="648"/>
      <c r="D642" s="606"/>
      <c r="E642" s="391"/>
      <c r="F642" s="391"/>
      <c r="G642" s="391"/>
      <c r="H642" s="528"/>
      <c r="I642" s="528"/>
      <c r="J642" s="528"/>
      <c r="K642" s="458" t="s">
        <v>238</v>
      </c>
      <c r="L642" s="519"/>
      <c r="M642" s="553">
        <v>939168.06</v>
      </c>
      <c r="N642" s="388"/>
      <c r="O642" s="658">
        <v>3098</v>
      </c>
      <c r="P642" s="388"/>
      <c r="Q642" s="388"/>
      <c r="R642" s="446"/>
      <c r="S642" s="419"/>
      <c r="V642" s="390"/>
      <c r="Y642" s="419">
        <f t="shared" si="69"/>
        <v>942266.06</v>
      </c>
      <c r="Z642" s="419"/>
    </row>
    <row r="643" spans="1:26" s="414" customFormat="1" ht="56.25" hidden="1" customHeight="1">
      <c r="A643" s="662">
        <f>A641+1</f>
        <v>33</v>
      </c>
      <c r="B643" s="403" t="s">
        <v>877</v>
      </c>
      <c r="C643" s="648" t="s">
        <v>222</v>
      </c>
      <c r="D643" s="606">
        <v>9998.2999999999993</v>
      </c>
      <c r="E643" s="391">
        <v>1953</v>
      </c>
      <c r="F643" s="391" t="s">
        <v>223</v>
      </c>
      <c r="G643" s="391">
        <v>909</v>
      </c>
      <c r="H643" s="528">
        <v>5</v>
      </c>
      <c r="I643" s="528">
        <v>3</v>
      </c>
      <c r="J643" s="528">
        <v>60</v>
      </c>
      <c r="K643" s="458" t="s">
        <v>238</v>
      </c>
      <c r="L643" s="519">
        <f>M643+N643+O643+P643+Q643</f>
        <v>852453.61</v>
      </c>
      <c r="M643" s="519">
        <v>847976.11</v>
      </c>
      <c r="N643" s="388"/>
      <c r="O643" s="643">
        <v>4477.5</v>
      </c>
      <c r="P643" s="388"/>
      <c r="Q643" s="388"/>
      <c r="R643" s="446">
        <f>M643/J643</f>
        <v>14132.935166666666</v>
      </c>
      <c r="U643" s="388"/>
      <c r="V643" s="390"/>
      <c r="Y643" s="419">
        <f t="shared" si="69"/>
        <v>852453.61</v>
      </c>
      <c r="Z643" s="419"/>
    </row>
    <row r="644" spans="1:26" s="414" customFormat="1" ht="37.5" hidden="1" customHeight="1">
      <c r="A644" s="662">
        <f t="shared" si="71"/>
        <v>34</v>
      </c>
      <c r="B644" s="403" t="s">
        <v>878</v>
      </c>
      <c r="C644" s="648" t="s">
        <v>222</v>
      </c>
      <c r="D644" s="606">
        <v>12267</v>
      </c>
      <c r="E644" s="391">
        <v>2500</v>
      </c>
      <c r="F644" s="391" t="s">
        <v>234</v>
      </c>
      <c r="G644" s="391">
        <v>1244</v>
      </c>
      <c r="H644" s="528">
        <v>5</v>
      </c>
      <c r="I644" s="528">
        <v>1</v>
      </c>
      <c r="J644" s="528">
        <v>68</v>
      </c>
      <c r="K644" s="500" t="s">
        <v>33</v>
      </c>
      <c r="L644" s="519">
        <f>M644+N644+O644+P644+Q644</f>
        <v>1595859.72</v>
      </c>
      <c r="M644" s="394">
        <v>1587690.77</v>
      </c>
      <c r="N644" s="388"/>
      <c r="O644" s="643">
        <v>8168.95</v>
      </c>
      <c r="P644" s="388"/>
      <c r="Q644" s="388"/>
      <c r="R644" s="446">
        <f>M644/G644</f>
        <v>1276.2787540192926</v>
      </c>
      <c r="V644" s="390"/>
      <c r="Y644" s="419">
        <f t="shared" si="69"/>
        <v>1595859.72</v>
      </c>
      <c r="Z644" s="419"/>
    </row>
    <row r="645" spans="1:26" s="414" customFormat="1" ht="36" hidden="1" customHeight="1">
      <c r="A645" s="662">
        <f t="shared" si="71"/>
        <v>35</v>
      </c>
      <c r="B645" s="403" t="s">
        <v>879</v>
      </c>
      <c r="C645" s="648" t="s">
        <v>222</v>
      </c>
      <c r="D645" s="606">
        <v>12995</v>
      </c>
      <c r="E645" s="391">
        <v>2640</v>
      </c>
      <c r="F645" s="391" t="s">
        <v>234</v>
      </c>
      <c r="G645" s="391">
        <v>905</v>
      </c>
      <c r="H645" s="528">
        <v>9</v>
      </c>
      <c r="I645" s="528">
        <v>1</v>
      </c>
      <c r="J645" s="528">
        <v>50</v>
      </c>
      <c r="K645" s="642" t="s">
        <v>33</v>
      </c>
      <c r="L645" s="519">
        <f>M645+N645+O645+P645+Q645+M646+N646+O646+Q646</f>
        <v>1743018.08</v>
      </c>
      <c r="M645" s="394">
        <v>832601.63</v>
      </c>
      <c r="N645" s="388"/>
      <c r="O645" s="643">
        <v>5943.14</v>
      </c>
      <c r="P645" s="388"/>
      <c r="Q645" s="388"/>
      <c r="R645" s="446">
        <f>M645/G645</f>
        <v>920.0018011049724</v>
      </c>
      <c r="V645" s="390"/>
      <c r="Y645" s="419">
        <f t="shared" si="69"/>
        <v>838544.77</v>
      </c>
      <c r="Z645" s="419"/>
    </row>
    <row r="646" spans="1:26" s="414" customFormat="1" ht="76.5" hidden="1" customHeight="1">
      <c r="A646" s="662"/>
      <c r="B646" s="403"/>
      <c r="C646" s="648"/>
      <c r="D646" s="606"/>
      <c r="E646" s="391"/>
      <c r="F646" s="391"/>
      <c r="G646" s="391"/>
      <c r="H646" s="528"/>
      <c r="I646" s="528"/>
      <c r="J646" s="528"/>
      <c r="K646" s="642" t="s">
        <v>238</v>
      </c>
      <c r="L646" s="519"/>
      <c r="M646" s="394">
        <v>901781.31</v>
      </c>
      <c r="N646" s="388"/>
      <c r="O646" s="658">
        <v>2692</v>
      </c>
      <c r="P646" s="388"/>
      <c r="Q646" s="388"/>
      <c r="R646" s="446"/>
      <c r="V646" s="390"/>
      <c r="Y646" s="419">
        <f t="shared" si="69"/>
        <v>904473.31</v>
      </c>
      <c r="Z646" s="419"/>
    </row>
    <row r="647" spans="1:26" s="414" customFormat="1" ht="37.5" hidden="1" customHeight="1">
      <c r="A647" s="662">
        <f>A645+1</f>
        <v>36</v>
      </c>
      <c r="B647" s="1124" t="s">
        <v>880</v>
      </c>
      <c r="C647" s="648" t="s">
        <v>222</v>
      </c>
      <c r="D647" s="606">
        <v>35654</v>
      </c>
      <c r="E647" s="391">
        <v>3220</v>
      </c>
      <c r="F647" s="391" t="s">
        <v>223</v>
      </c>
      <c r="G647" s="391">
        <v>2575</v>
      </c>
      <c r="H647" s="528">
        <v>6</v>
      </c>
      <c r="I647" s="528">
        <v>6</v>
      </c>
      <c r="J647" s="528">
        <v>82</v>
      </c>
      <c r="K647" s="642" t="s">
        <v>225</v>
      </c>
      <c r="L647" s="1129">
        <f>M647+N647+O647+P647+Q647+M648+N648+O648+Q648</f>
        <v>3294607.45</v>
      </c>
      <c r="M647" s="652">
        <v>1463610.19</v>
      </c>
      <c r="N647" s="646">
        <v>24600</v>
      </c>
      <c r="O647" s="647"/>
      <c r="P647" s="646"/>
      <c r="Q647" s="388"/>
      <c r="R647" s="648">
        <f>M647/J647</f>
        <v>17848.90475609756</v>
      </c>
      <c r="V647" s="390"/>
      <c r="Y647" s="419">
        <f t="shared" si="69"/>
        <v>1488210.19</v>
      </c>
      <c r="Z647" s="419"/>
    </row>
    <row r="648" spans="1:26" s="414" customFormat="1" ht="37.5" hidden="1" customHeight="1">
      <c r="A648" s="662"/>
      <c r="B648" s="1124"/>
      <c r="C648" s="648"/>
      <c r="D648" s="606"/>
      <c r="E648" s="391"/>
      <c r="F648" s="391"/>
      <c r="G648" s="391"/>
      <c r="H648" s="528"/>
      <c r="I648" s="528"/>
      <c r="J648" s="528"/>
      <c r="K648" s="642" t="s">
        <v>220</v>
      </c>
      <c r="L648" s="1129"/>
      <c r="M648" s="645">
        <v>1724372.26</v>
      </c>
      <c r="N648" s="646">
        <v>82025</v>
      </c>
      <c r="O648" s="647"/>
      <c r="P648" s="646"/>
      <c r="Q648" s="388"/>
      <c r="R648" s="648">
        <v>2000000</v>
      </c>
      <c r="V648" s="390"/>
      <c r="Y648" s="419">
        <f t="shared" ref="Y648:Y711" si="73">M648+N648+O648+Q648</f>
        <v>1806397.26</v>
      </c>
      <c r="Z648" s="419"/>
    </row>
    <row r="649" spans="1:26" s="414" customFormat="1" ht="37.5" hidden="1" customHeight="1">
      <c r="A649" s="662">
        <f>A647+1</f>
        <v>37</v>
      </c>
      <c r="B649" s="403" t="s">
        <v>881</v>
      </c>
      <c r="C649" s="648" t="s">
        <v>222</v>
      </c>
      <c r="D649" s="606">
        <v>36256</v>
      </c>
      <c r="E649" s="391">
        <v>3220</v>
      </c>
      <c r="F649" s="391" t="s">
        <v>223</v>
      </c>
      <c r="G649" s="391">
        <v>2482</v>
      </c>
      <c r="H649" s="528">
        <v>5</v>
      </c>
      <c r="I649" s="528">
        <v>6</v>
      </c>
      <c r="J649" s="528">
        <v>89</v>
      </c>
      <c r="K649" s="458" t="s">
        <v>225</v>
      </c>
      <c r="L649" s="519">
        <f>M649+N649+O649+P649+Q649</f>
        <v>1235656.49</v>
      </c>
      <c r="M649" s="652">
        <v>1208956.49</v>
      </c>
      <c r="N649" s="646">
        <v>26700</v>
      </c>
      <c r="O649" s="647"/>
      <c r="P649" s="646"/>
      <c r="Q649" s="388"/>
      <c r="R649" s="648">
        <f>M649/J649</f>
        <v>13583.780786516854</v>
      </c>
      <c r="V649" s="390"/>
      <c r="Y649" s="419">
        <f t="shared" si="73"/>
        <v>1235656.49</v>
      </c>
      <c r="Z649" s="419"/>
    </row>
    <row r="650" spans="1:26" s="414" customFormat="1" ht="37.5" hidden="1" customHeight="1">
      <c r="A650" s="662">
        <f t="shared" si="71"/>
        <v>38</v>
      </c>
      <c r="B650" s="403" t="s">
        <v>882</v>
      </c>
      <c r="C650" s="648" t="s">
        <v>222</v>
      </c>
      <c r="D650" s="606">
        <v>13984</v>
      </c>
      <c r="E650" s="391">
        <v>2113</v>
      </c>
      <c r="F650" s="391" t="s">
        <v>223</v>
      </c>
      <c r="G650" s="391">
        <v>1515</v>
      </c>
      <c r="H650" s="528">
        <v>4</v>
      </c>
      <c r="I650" s="528">
        <v>4</v>
      </c>
      <c r="J650" s="528">
        <v>48</v>
      </c>
      <c r="K650" s="458" t="s">
        <v>239</v>
      </c>
      <c r="L650" s="1129">
        <f>M650+N650+O650+P650+Q650+M651+N651+O651+Q651</f>
        <v>2797221.66</v>
      </c>
      <c r="M650" s="534">
        <v>2151357.54</v>
      </c>
      <c r="N650" s="388">
        <v>28800</v>
      </c>
      <c r="O650" s="530"/>
      <c r="P650" s="391"/>
      <c r="Q650" s="388"/>
      <c r="R650" s="528">
        <f>M650/J650</f>
        <v>44819.948750000003</v>
      </c>
      <c r="V650" s="390"/>
      <c r="Y650" s="419">
        <f t="shared" si="73"/>
        <v>2180157.54</v>
      </c>
      <c r="Z650" s="419"/>
    </row>
    <row r="651" spans="1:26" s="409" customFormat="1" ht="82.5" hidden="1" customHeight="1">
      <c r="A651" s="673"/>
      <c r="B651" s="410"/>
      <c r="C651" s="657"/>
      <c r="D651" s="654"/>
      <c r="E651" s="396"/>
      <c r="F651" s="396"/>
      <c r="G651" s="396"/>
      <c r="H651" s="626"/>
      <c r="I651" s="626"/>
      <c r="J651" s="626"/>
      <c r="K651" s="554" t="s">
        <v>103</v>
      </c>
      <c r="L651" s="1129"/>
      <c r="M651" s="534">
        <v>572064.12</v>
      </c>
      <c r="N651" s="394">
        <v>45000</v>
      </c>
      <c r="O651" s="627"/>
      <c r="P651" s="396"/>
      <c r="Q651" s="394"/>
      <c r="R651" s="626"/>
      <c r="V651" s="990"/>
      <c r="Y651" s="419">
        <f t="shared" si="73"/>
        <v>617064.12</v>
      </c>
      <c r="Z651" s="419"/>
    </row>
    <row r="652" spans="1:26" s="414" customFormat="1" ht="56.25" hidden="1" customHeight="1">
      <c r="A652" s="662">
        <f>A650+1</f>
        <v>39</v>
      </c>
      <c r="B652" s="403" t="s">
        <v>883</v>
      </c>
      <c r="C652" s="487" t="s">
        <v>240</v>
      </c>
      <c r="D652" s="606">
        <v>7995</v>
      </c>
      <c r="E652" s="391">
        <v>1004</v>
      </c>
      <c r="F652" s="391" t="s">
        <v>223</v>
      </c>
      <c r="G652" s="391">
        <v>836</v>
      </c>
      <c r="H652" s="528">
        <v>3</v>
      </c>
      <c r="I652" s="528">
        <v>3</v>
      </c>
      <c r="J652" s="528">
        <v>20</v>
      </c>
      <c r="K652" s="458" t="s">
        <v>30</v>
      </c>
      <c r="L652" s="519">
        <f>M652+N652+O652+P652+Q652</f>
        <v>500304.46</v>
      </c>
      <c r="M652" s="519">
        <v>498811.96</v>
      </c>
      <c r="N652" s="388"/>
      <c r="O652" s="643">
        <v>1492.5</v>
      </c>
      <c r="P652" s="388"/>
      <c r="Q652" s="388"/>
      <c r="R652" s="446">
        <f>M652/J652</f>
        <v>24940.598000000002</v>
      </c>
      <c r="S652" s="416"/>
      <c r="V652" s="390"/>
      <c r="Y652" s="419">
        <f t="shared" si="73"/>
        <v>500304.46</v>
      </c>
      <c r="Z652" s="419"/>
    </row>
    <row r="653" spans="1:26" s="414" customFormat="1" ht="37.5" hidden="1" customHeight="1">
      <c r="A653" s="662">
        <f t="shared" si="71"/>
        <v>40</v>
      </c>
      <c r="B653" s="403" t="s">
        <v>884</v>
      </c>
      <c r="C653" s="648" t="s">
        <v>222</v>
      </c>
      <c r="D653" s="606">
        <v>12561</v>
      </c>
      <c r="E653" s="391">
        <v>2440</v>
      </c>
      <c r="F653" s="391" t="s">
        <v>223</v>
      </c>
      <c r="G653" s="391">
        <v>1150</v>
      </c>
      <c r="H653" s="528">
        <v>5</v>
      </c>
      <c r="I653" s="528">
        <v>4</v>
      </c>
      <c r="J653" s="528">
        <v>76</v>
      </c>
      <c r="K653" s="458" t="s">
        <v>239</v>
      </c>
      <c r="L653" s="1129">
        <f>M653+N653+O653+P653+Q653+M654+N654+O654+Q654</f>
        <v>3248947.7600000002</v>
      </c>
      <c r="M653" s="534">
        <v>2507830.4700000002</v>
      </c>
      <c r="N653" s="388">
        <v>22800</v>
      </c>
      <c r="O653" s="530"/>
      <c r="P653" s="391"/>
      <c r="Q653" s="388"/>
      <c r="R653" s="528">
        <f>M653/J653</f>
        <v>32997.769342105268</v>
      </c>
      <c r="V653" s="390"/>
      <c r="Y653" s="419">
        <f t="shared" si="73"/>
        <v>2530630.4700000002</v>
      </c>
      <c r="Z653" s="419"/>
    </row>
    <row r="654" spans="1:26" s="414" customFormat="1" ht="88.5" hidden="1" customHeight="1">
      <c r="A654" s="662"/>
      <c r="B654" s="403"/>
      <c r="C654" s="648"/>
      <c r="D654" s="606"/>
      <c r="E654" s="391"/>
      <c r="F654" s="391"/>
      <c r="G654" s="391"/>
      <c r="H654" s="528"/>
      <c r="I654" s="528"/>
      <c r="J654" s="528"/>
      <c r="K654" s="554" t="s">
        <v>103</v>
      </c>
      <c r="L654" s="1129"/>
      <c r="M654" s="534">
        <v>673317.29</v>
      </c>
      <c r="N654" s="388">
        <v>45000</v>
      </c>
      <c r="O654" s="530"/>
      <c r="P654" s="391"/>
      <c r="Q654" s="388"/>
      <c r="R654" s="528"/>
      <c r="V654" s="390"/>
      <c r="Y654" s="419">
        <f t="shared" si="73"/>
        <v>718317.29</v>
      </c>
      <c r="Z654" s="419"/>
    </row>
    <row r="655" spans="1:26" s="414" customFormat="1" ht="37.5" hidden="1" customHeight="1">
      <c r="A655" s="662">
        <f>A653+1</f>
        <v>41</v>
      </c>
      <c r="B655" s="403" t="s">
        <v>885</v>
      </c>
      <c r="C655" s="648" t="s">
        <v>222</v>
      </c>
      <c r="D655" s="606">
        <v>12125</v>
      </c>
      <c r="E655" s="391">
        <v>2580</v>
      </c>
      <c r="F655" s="391" t="s">
        <v>234</v>
      </c>
      <c r="G655" s="391">
        <v>945</v>
      </c>
      <c r="H655" s="528">
        <v>5</v>
      </c>
      <c r="I655" s="528">
        <v>4</v>
      </c>
      <c r="J655" s="528">
        <v>60</v>
      </c>
      <c r="K655" s="458" t="s">
        <v>33</v>
      </c>
      <c r="L655" s="519">
        <f t="shared" ref="L655:L677" si="74">M655+N655+O655+P655+Q655</f>
        <v>1913726.57</v>
      </c>
      <c r="M655" s="519">
        <v>1907520.75</v>
      </c>
      <c r="N655" s="388"/>
      <c r="O655" s="643">
        <v>6205.82</v>
      </c>
      <c r="P655" s="388"/>
      <c r="Q655" s="388"/>
      <c r="R655" s="446">
        <f>M655/G655</f>
        <v>2018.5404761904763</v>
      </c>
      <c r="V655" s="390"/>
      <c r="Y655" s="419">
        <f t="shared" si="73"/>
        <v>1913726.57</v>
      </c>
      <c r="Z655" s="419"/>
    </row>
    <row r="656" spans="1:26" s="414" customFormat="1" ht="56.25" hidden="1" customHeight="1">
      <c r="A656" s="662">
        <f t="shared" si="71"/>
        <v>42</v>
      </c>
      <c r="B656" s="403" t="s">
        <v>886</v>
      </c>
      <c r="C656" s="648" t="s">
        <v>222</v>
      </c>
      <c r="D656" s="606">
        <v>18052</v>
      </c>
      <c r="E656" s="391">
        <v>3376</v>
      </c>
      <c r="F656" s="391" t="s">
        <v>223</v>
      </c>
      <c r="G656" s="391">
        <v>1634</v>
      </c>
      <c r="H656" s="528">
        <v>5</v>
      </c>
      <c r="I656" s="528">
        <v>6</v>
      </c>
      <c r="J656" s="528">
        <v>100</v>
      </c>
      <c r="K656" s="458" t="s">
        <v>238</v>
      </c>
      <c r="L656" s="519">
        <f t="shared" si="74"/>
        <v>1538287.08</v>
      </c>
      <c r="M656" s="519">
        <v>1530824.58</v>
      </c>
      <c r="N656" s="388"/>
      <c r="O656" s="643">
        <v>7462.5</v>
      </c>
      <c r="P656" s="388"/>
      <c r="Q656" s="388"/>
      <c r="R656" s="446">
        <f>M656/J656</f>
        <v>15308.245800000001</v>
      </c>
      <c r="V656" s="390"/>
      <c r="Y656" s="419">
        <f t="shared" si="73"/>
        <v>1538287.08</v>
      </c>
      <c r="Z656" s="419"/>
    </row>
    <row r="657" spans="1:26" s="415" customFormat="1" ht="37.5" hidden="1" customHeight="1">
      <c r="A657" s="662">
        <f t="shared" si="71"/>
        <v>43</v>
      </c>
      <c r="B657" s="403" t="s">
        <v>887</v>
      </c>
      <c r="C657" s="648" t="s">
        <v>222</v>
      </c>
      <c r="D657" s="606">
        <v>38158</v>
      </c>
      <c r="E657" s="391">
        <v>7510</v>
      </c>
      <c r="F657" s="391" t="s">
        <v>234</v>
      </c>
      <c r="G657" s="391">
        <v>1097</v>
      </c>
      <c r="H657" s="528">
        <v>9</v>
      </c>
      <c r="I657" s="528">
        <v>1</v>
      </c>
      <c r="J657" s="528">
        <v>102</v>
      </c>
      <c r="K657" s="500" t="s">
        <v>33</v>
      </c>
      <c r="L657" s="519">
        <f t="shared" si="74"/>
        <v>2632624.5999999996</v>
      </c>
      <c r="M657" s="519">
        <f>2389266+236154.8</f>
        <v>2625420.7999999998</v>
      </c>
      <c r="N657" s="388"/>
      <c r="O657" s="643">
        <v>7203.8</v>
      </c>
      <c r="P657" s="388"/>
      <c r="Q657" s="388"/>
      <c r="R657" s="446">
        <f>M657/G657</f>
        <v>2393.2732907930717</v>
      </c>
      <c r="S657" s="414"/>
      <c r="U657" s="417"/>
      <c r="V657" s="390"/>
      <c r="Y657" s="419">
        <f t="shared" si="73"/>
        <v>2632624.5999999996</v>
      </c>
      <c r="Z657" s="419"/>
    </row>
    <row r="658" spans="1:26" s="416" customFormat="1" ht="37.5" hidden="1" customHeight="1">
      <c r="A658" s="662">
        <f t="shared" si="71"/>
        <v>44</v>
      </c>
      <c r="B658" s="403" t="s">
        <v>888</v>
      </c>
      <c r="C658" s="648" t="s">
        <v>222</v>
      </c>
      <c r="D658" s="606">
        <v>18650</v>
      </c>
      <c r="E658" s="391">
        <v>3020</v>
      </c>
      <c r="F658" s="391" t="s">
        <v>234</v>
      </c>
      <c r="G658" s="391">
        <v>961</v>
      </c>
      <c r="H658" s="528">
        <v>9</v>
      </c>
      <c r="I658" s="528">
        <v>1</v>
      </c>
      <c r="J658" s="528">
        <v>143</v>
      </c>
      <c r="K658" s="500" t="s">
        <v>33</v>
      </c>
      <c r="L658" s="519">
        <f t="shared" si="74"/>
        <v>1368535.57</v>
      </c>
      <c r="M658" s="394">
        <v>1362224.28</v>
      </c>
      <c r="N658" s="388"/>
      <c r="O658" s="643">
        <v>6311.29</v>
      </c>
      <c r="P658" s="388"/>
      <c r="Q658" s="388"/>
      <c r="R658" s="446">
        <f>M658/G658</f>
        <v>1417.5070551508845</v>
      </c>
      <c r="S658" s="414"/>
      <c r="U658" s="414"/>
      <c r="V658" s="390"/>
      <c r="Y658" s="419">
        <f t="shared" si="73"/>
        <v>1368535.57</v>
      </c>
      <c r="Z658" s="419"/>
    </row>
    <row r="659" spans="1:26" s="416" customFormat="1" ht="37.5" hidden="1" customHeight="1">
      <c r="A659" s="662">
        <f t="shared" si="71"/>
        <v>45</v>
      </c>
      <c r="B659" s="403" t="s">
        <v>889</v>
      </c>
      <c r="C659" s="648" t="s">
        <v>222</v>
      </c>
      <c r="D659" s="606">
        <v>18567</v>
      </c>
      <c r="E659" s="391">
        <v>3020</v>
      </c>
      <c r="F659" s="391" t="s">
        <v>234</v>
      </c>
      <c r="G659" s="391">
        <v>961</v>
      </c>
      <c r="H659" s="528">
        <v>9</v>
      </c>
      <c r="I659" s="528">
        <v>1</v>
      </c>
      <c r="J659" s="528">
        <v>136</v>
      </c>
      <c r="K659" s="458" t="s">
        <v>33</v>
      </c>
      <c r="L659" s="519">
        <f t="shared" si="74"/>
        <v>1360610.9900000002</v>
      </c>
      <c r="M659" s="394">
        <v>1354299.7000000002</v>
      </c>
      <c r="N659" s="388"/>
      <c r="O659" s="643">
        <v>6311.29</v>
      </c>
      <c r="P659" s="388"/>
      <c r="Q659" s="388"/>
      <c r="R659" s="446">
        <f>M659/G659</f>
        <v>1409.2608740894902</v>
      </c>
      <c r="S659" s="414"/>
      <c r="U659" s="414"/>
      <c r="V659" s="390"/>
      <c r="Y659" s="419">
        <f t="shared" si="73"/>
        <v>1360610.9900000002</v>
      </c>
      <c r="Z659" s="419"/>
    </row>
    <row r="660" spans="1:26" s="416" customFormat="1" ht="37.5" hidden="1" customHeight="1">
      <c r="A660" s="662">
        <f t="shared" si="71"/>
        <v>46</v>
      </c>
      <c r="B660" s="403" t="s">
        <v>890</v>
      </c>
      <c r="C660" s="648" t="s">
        <v>222</v>
      </c>
      <c r="D660" s="606">
        <v>5425.5</v>
      </c>
      <c r="E660" s="391">
        <v>2170.1999999999998</v>
      </c>
      <c r="F660" s="391" t="s">
        <v>234</v>
      </c>
      <c r="G660" s="391">
        <v>983</v>
      </c>
      <c r="H660" s="528">
        <v>5</v>
      </c>
      <c r="I660" s="528">
        <v>1</v>
      </c>
      <c r="J660" s="528">
        <v>32</v>
      </c>
      <c r="K660" s="458" t="s">
        <v>237</v>
      </c>
      <c r="L660" s="519">
        <f t="shared" si="74"/>
        <v>1977487.58</v>
      </c>
      <c r="M660" s="519">
        <v>1971032.02</v>
      </c>
      <c r="N660" s="388"/>
      <c r="O660" s="643">
        <v>6455.56</v>
      </c>
      <c r="P660" s="388"/>
      <c r="Q660" s="388"/>
      <c r="R660" s="446">
        <f>M660/G660</f>
        <v>2005.1190437436419</v>
      </c>
      <c r="U660" s="388"/>
      <c r="V660" s="390"/>
      <c r="Y660" s="419">
        <f t="shared" si="73"/>
        <v>1977487.58</v>
      </c>
      <c r="Z660" s="419"/>
    </row>
    <row r="661" spans="1:26" s="416" customFormat="1" ht="56.25" hidden="1" customHeight="1">
      <c r="A661" s="662">
        <f t="shared" si="71"/>
        <v>47</v>
      </c>
      <c r="B661" s="403" t="s">
        <v>891</v>
      </c>
      <c r="C661" s="648" t="s">
        <v>240</v>
      </c>
      <c r="D661" s="606">
        <v>5834</v>
      </c>
      <c r="E661" s="391">
        <v>720</v>
      </c>
      <c r="F661" s="391" t="s">
        <v>223</v>
      </c>
      <c r="G661" s="391">
        <v>1264</v>
      </c>
      <c r="H661" s="528">
        <v>2</v>
      </c>
      <c r="I661" s="528">
        <v>3</v>
      </c>
      <c r="J661" s="528">
        <v>15</v>
      </c>
      <c r="K661" s="458" t="s">
        <v>238</v>
      </c>
      <c r="L661" s="519">
        <f t="shared" si="74"/>
        <v>266580.06</v>
      </c>
      <c r="M661" s="519">
        <v>265460.68</v>
      </c>
      <c r="N661" s="388"/>
      <c r="O661" s="643">
        <v>1119.3800000000001</v>
      </c>
      <c r="P661" s="388"/>
      <c r="Q661" s="388"/>
      <c r="R661" s="446">
        <f>M661/J661</f>
        <v>17697.378666666667</v>
      </c>
      <c r="S661" s="414"/>
      <c r="U661" s="414"/>
      <c r="V661" s="390"/>
      <c r="Y661" s="419">
        <f t="shared" si="73"/>
        <v>266580.06</v>
      </c>
      <c r="Z661" s="419"/>
    </row>
    <row r="662" spans="1:26" s="416" customFormat="1" ht="37.5" hidden="1">
      <c r="A662" s="662">
        <f t="shared" si="71"/>
        <v>48</v>
      </c>
      <c r="B662" s="403" t="s">
        <v>892</v>
      </c>
      <c r="C662" s="648" t="s">
        <v>222</v>
      </c>
      <c r="D662" s="606">
        <v>12504</v>
      </c>
      <c r="E662" s="391">
        <v>1631</v>
      </c>
      <c r="F662" s="391" t="s">
        <v>234</v>
      </c>
      <c r="G662" s="391">
        <v>817</v>
      </c>
      <c r="H662" s="528">
        <v>5</v>
      </c>
      <c r="I662" s="528">
        <v>4</v>
      </c>
      <c r="J662" s="528">
        <v>69</v>
      </c>
      <c r="K662" s="458" t="s">
        <v>33</v>
      </c>
      <c r="L662" s="519">
        <f t="shared" si="74"/>
        <v>1776023.51</v>
      </c>
      <c r="M662" s="519">
        <v>1770658.47</v>
      </c>
      <c r="N662" s="388"/>
      <c r="O662" s="643">
        <v>5365.04</v>
      </c>
      <c r="P662" s="388"/>
      <c r="Q662" s="388"/>
      <c r="R662" s="446">
        <f>M662/G662</f>
        <v>2167.2686291309669</v>
      </c>
      <c r="S662" s="414"/>
      <c r="U662" s="388"/>
      <c r="V662" s="390"/>
      <c r="Y662" s="419">
        <f t="shared" si="73"/>
        <v>1776023.51</v>
      </c>
      <c r="Z662" s="419"/>
    </row>
    <row r="663" spans="1:26" s="416" customFormat="1" ht="37.5" hidden="1" customHeight="1">
      <c r="A663" s="662">
        <f t="shared" si="71"/>
        <v>49</v>
      </c>
      <c r="B663" s="403" t="s">
        <v>893</v>
      </c>
      <c r="C663" s="487" t="s">
        <v>240</v>
      </c>
      <c r="D663" s="606">
        <f>E663*3</f>
        <v>1872</v>
      </c>
      <c r="E663" s="391">
        <f>(40+12)*2*3*2</f>
        <v>624</v>
      </c>
      <c r="F663" s="391" t="s">
        <v>223</v>
      </c>
      <c r="G663" s="391">
        <f>(42*13)*1.2</f>
        <v>655.19999999999993</v>
      </c>
      <c r="H663" s="528">
        <v>2</v>
      </c>
      <c r="I663" s="528">
        <v>2</v>
      </c>
      <c r="J663" s="528">
        <v>12</v>
      </c>
      <c r="K663" s="458" t="s">
        <v>239</v>
      </c>
      <c r="L663" s="519">
        <f t="shared" si="74"/>
        <v>978416.12</v>
      </c>
      <c r="M663" s="396">
        <v>951416.12</v>
      </c>
      <c r="N663" s="388">
        <v>27000</v>
      </c>
      <c r="O663" s="530"/>
      <c r="P663" s="391"/>
      <c r="Q663" s="388"/>
      <c r="R663" s="528">
        <f t="shared" ref="R663:R668" si="75">M663/J663</f>
        <v>79284.676666666666</v>
      </c>
      <c r="U663" s="414"/>
      <c r="V663" s="390"/>
      <c r="Y663" s="419">
        <f t="shared" si="73"/>
        <v>978416.12</v>
      </c>
      <c r="Z663" s="419"/>
    </row>
    <row r="664" spans="1:26" s="416" customFormat="1" ht="37.5" hidden="1" customHeight="1">
      <c r="A664" s="662">
        <f t="shared" si="71"/>
        <v>50</v>
      </c>
      <c r="B664" s="403" t="s">
        <v>894</v>
      </c>
      <c r="C664" s="648" t="s">
        <v>222</v>
      </c>
      <c r="D664" s="606">
        <v>13440</v>
      </c>
      <c r="E664" s="391">
        <v>2524</v>
      </c>
      <c r="F664" s="391" t="s">
        <v>234</v>
      </c>
      <c r="G664" s="391">
        <v>960</v>
      </c>
      <c r="H664" s="528">
        <v>5</v>
      </c>
      <c r="I664" s="528">
        <v>1</v>
      </c>
      <c r="J664" s="528">
        <v>154</v>
      </c>
      <c r="K664" s="458" t="s">
        <v>225</v>
      </c>
      <c r="L664" s="519">
        <f t="shared" si="74"/>
        <v>1273188.33</v>
      </c>
      <c r="M664" s="652">
        <v>1242388.33</v>
      </c>
      <c r="N664" s="646">
        <v>30800</v>
      </c>
      <c r="O664" s="647"/>
      <c r="P664" s="646"/>
      <c r="Q664" s="388"/>
      <c r="R664" s="648">
        <f t="shared" si="75"/>
        <v>8067.4566883116886</v>
      </c>
      <c r="U664" s="414"/>
      <c r="V664" s="390"/>
      <c r="Y664" s="419">
        <f t="shared" si="73"/>
        <v>1273188.33</v>
      </c>
      <c r="Z664" s="419"/>
    </row>
    <row r="665" spans="1:26" s="416" customFormat="1" ht="37.5" hidden="1" customHeight="1">
      <c r="A665" s="662">
        <f t="shared" si="71"/>
        <v>51</v>
      </c>
      <c r="B665" s="403" t="s">
        <v>895</v>
      </c>
      <c r="C665" s="648" t="s">
        <v>222</v>
      </c>
      <c r="D665" s="606">
        <v>11754</v>
      </c>
      <c r="E665" s="391">
        <v>2406</v>
      </c>
      <c r="F665" s="391" t="s">
        <v>223</v>
      </c>
      <c r="G665" s="391">
        <v>1062</v>
      </c>
      <c r="H665" s="528">
        <v>5</v>
      </c>
      <c r="I665" s="528">
        <v>4</v>
      </c>
      <c r="J665" s="528">
        <v>80</v>
      </c>
      <c r="K665" s="458" t="s">
        <v>225</v>
      </c>
      <c r="L665" s="519">
        <f t="shared" si="74"/>
        <v>908831.28</v>
      </c>
      <c r="M665" s="645">
        <v>884831.28</v>
      </c>
      <c r="N665" s="646">
        <v>24000</v>
      </c>
      <c r="O665" s="647"/>
      <c r="P665" s="646"/>
      <c r="Q665" s="388"/>
      <c r="R665" s="648">
        <f t="shared" si="75"/>
        <v>11060.391</v>
      </c>
      <c r="U665" s="414"/>
      <c r="V665" s="390"/>
      <c r="Y665" s="419">
        <f t="shared" si="73"/>
        <v>908831.28</v>
      </c>
      <c r="Z665" s="419"/>
    </row>
    <row r="666" spans="1:26" s="416" customFormat="1" ht="56.25" hidden="1" customHeight="1">
      <c r="A666" s="662">
        <f t="shared" si="71"/>
        <v>52</v>
      </c>
      <c r="B666" s="403" t="s">
        <v>896</v>
      </c>
      <c r="C666" s="648" t="s">
        <v>222</v>
      </c>
      <c r="D666" s="606">
        <v>28539</v>
      </c>
      <c r="E666" s="391">
        <v>3741</v>
      </c>
      <c r="F666" s="391" t="s">
        <v>223</v>
      </c>
      <c r="G666" s="391">
        <v>2173</v>
      </c>
      <c r="H666" s="528">
        <v>5</v>
      </c>
      <c r="I666" s="528">
        <v>8</v>
      </c>
      <c r="J666" s="528">
        <v>127</v>
      </c>
      <c r="K666" s="458" t="s">
        <v>238</v>
      </c>
      <c r="L666" s="519">
        <f t="shared" si="74"/>
        <v>1844470.93</v>
      </c>
      <c r="M666" s="519">
        <v>1834993.55</v>
      </c>
      <c r="N666" s="388"/>
      <c r="O666" s="643">
        <v>9477.3799999999992</v>
      </c>
      <c r="P666" s="388"/>
      <c r="Q666" s="388"/>
      <c r="R666" s="446">
        <f t="shared" si="75"/>
        <v>14448.76811023622</v>
      </c>
      <c r="S666" s="414"/>
      <c r="U666" s="414"/>
      <c r="V666" s="390"/>
      <c r="Y666" s="419">
        <f t="shared" si="73"/>
        <v>1844470.93</v>
      </c>
      <c r="Z666" s="419"/>
    </row>
    <row r="667" spans="1:26" s="416" customFormat="1" ht="37.5" hidden="1" customHeight="1">
      <c r="A667" s="662">
        <f t="shared" si="71"/>
        <v>53</v>
      </c>
      <c r="B667" s="403" t="s">
        <v>897</v>
      </c>
      <c r="C667" s="648" t="s">
        <v>222</v>
      </c>
      <c r="D667" s="606">
        <v>12009</v>
      </c>
      <c r="E667" s="391">
        <v>2404</v>
      </c>
      <c r="F667" s="391" t="s">
        <v>223</v>
      </c>
      <c r="G667" s="391">
        <v>1091</v>
      </c>
      <c r="H667" s="528">
        <v>5</v>
      </c>
      <c r="I667" s="528">
        <v>4</v>
      </c>
      <c r="J667" s="528">
        <v>64</v>
      </c>
      <c r="K667" s="458" t="s">
        <v>225</v>
      </c>
      <c r="L667" s="519">
        <f t="shared" si="74"/>
        <v>798523.29</v>
      </c>
      <c r="M667" s="645">
        <v>772923.29</v>
      </c>
      <c r="N667" s="646">
        <v>25600</v>
      </c>
      <c r="O667" s="647"/>
      <c r="P667" s="646"/>
      <c r="Q667" s="388"/>
      <c r="R667" s="648">
        <f t="shared" si="75"/>
        <v>12076.926406250001</v>
      </c>
      <c r="U667" s="388"/>
      <c r="V667" s="390"/>
      <c r="Y667" s="419">
        <f t="shared" si="73"/>
        <v>798523.29</v>
      </c>
      <c r="Z667" s="419"/>
    </row>
    <row r="668" spans="1:26" s="416" customFormat="1" ht="56.25" hidden="1" customHeight="1">
      <c r="A668" s="662">
        <f t="shared" si="71"/>
        <v>54</v>
      </c>
      <c r="B668" s="403" t="s">
        <v>898</v>
      </c>
      <c r="C668" s="648" t="s">
        <v>222</v>
      </c>
      <c r="D668" s="606">
        <v>17919</v>
      </c>
      <c r="E668" s="391">
        <v>2406</v>
      </c>
      <c r="F668" s="391" t="s">
        <v>223</v>
      </c>
      <c r="G668" s="391">
        <v>1613</v>
      </c>
      <c r="H668" s="528">
        <v>5</v>
      </c>
      <c r="I668" s="528">
        <v>6</v>
      </c>
      <c r="J668" s="528">
        <v>100</v>
      </c>
      <c r="K668" s="458" t="s">
        <v>238</v>
      </c>
      <c r="L668" s="519">
        <f t="shared" si="74"/>
        <v>1723433.3</v>
      </c>
      <c r="M668" s="519">
        <v>1715970.8</v>
      </c>
      <c r="N668" s="388"/>
      <c r="O668" s="643">
        <v>7462.5</v>
      </c>
      <c r="P668" s="388"/>
      <c r="Q668" s="388"/>
      <c r="R668" s="446">
        <f t="shared" si="75"/>
        <v>17159.707999999999</v>
      </c>
      <c r="S668" s="414"/>
      <c r="U668" s="414"/>
      <c r="V668" s="390"/>
      <c r="Y668" s="419">
        <f t="shared" si="73"/>
        <v>1723433.3</v>
      </c>
      <c r="Z668" s="419"/>
    </row>
    <row r="669" spans="1:26" s="416" customFormat="1" ht="56.25" hidden="1" customHeight="1">
      <c r="A669" s="662">
        <f t="shared" si="71"/>
        <v>55</v>
      </c>
      <c r="B669" s="403" t="s">
        <v>899</v>
      </c>
      <c r="C669" s="648" t="s">
        <v>222</v>
      </c>
      <c r="D669" s="606">
        <v>35104</v>
      </c>
      <c r="E669" s="391" t="s">
        <v>428</v>
      </c>
      <c r="F669" s="391" t="s">
        <v>223</v>
      </c>
      <c r="G669" s="391">
        <v>1918</v>
      </c>
      <c r="H669" s="528">
        <v>5</v>
      </c>
      <c r="I669" s="528">
        <v>5</v>
      </c>
      <c r="J669" s="528">
        <v>68</v>
      </c>
      <c r="K669" s="458" t="s">
        <v>241</v>
      </c>
      <c r="L669" s="519">
        <f t="shared" si="74"/>
        <v>5547760.21</v>
      </c>
      <c r="M669" s="394">
        <v>5499810.21</v>
      </c>
      <c r="N669" s="388">
        <v>47950</v>
      </c>
      <c r="O669" s="473"/>
      <c r="P669" s="388"/>
      <c r="Q669" s="388"/>
      <c r="R669" s="446">
        <v>3125.6517205422315</v>
      </c>
      <c r="U669" s="414"/>
      <c r="V669" s="390"/>
      <c r="Y669" s="419">
        <f t="shared" si="73"/>
        <v>5547760.21</v>
      </c>
      <c r="Z669" s="419"/>
    </row>
    <row r="670" spans="1:26" s="416" customFormat="1" ht="56.25" hidden="1" customHeight="1">
      <c r="A670" s="662">
        <f>A669+1</f>
        <v>56</v>
      </c>
      <c r="B670" s="403" t="s">
        <v>900</v>
      </c>
      <c r="C670" s="648" t="s">
        <v>222</v>
      </c>
      <c r="D670" s="606">
        <v>9216</v>
      </c>
      <c r="E670" s="391">
        <v>1645</v>
      </c>
      <c r="F670" s="391" t="s">
        <v>223</v>
      </c>
      <c r="G670" s="391">
        <v>1147</v>
      </c>
      <c r="H670" s="528">
        <v>4</v>
      </c>
      <c r="I670" s="528">
        <v>4</v>
      </c>
      <c r="J670" s="528">
        <v>60</v>
      </c>
      <c r="K670" s="458" t="s">
        <v>30</v>
      </c>
      <c r="L670" s="519">
        <f t="shared" si="74"/>
        <v>1006368.6900000001</v>
      </c>
      <c r="M670" s="519">
        <v>1001891.1900000001</v>
      </c>
      <c r="N670" s="388"/>
      <c r="O670" s="643">
        <v>4477.5</v>
      </c>
      <c r="P670" s="388"/>
      <c r="Q670" s="388"/>
      <c r="R670" s="446">
        <f>M670/J670</f>
        <v>16698.1865</v>
      </c>
      <c r="S670" s="409"/>
      <c r="U670" s="388"/>
      <c r="V670" s="390"/>
      <c r="Y670" s="419">
        <f t="shared" si="73"/>
        <v>1006368.6900000001</v>
      </c>
      <c r="Z670" s="419"/>
    </row>
    <row r="671" spans="1:26" s="416" customFormat="1" ht="56.25" hidden="1" customHeight="1">
      <c r="A671" s="662">
        <f>A670+1</f>
        <v>57</v>
      </c>
      <c r="B671" s="663" t="s">
        <v>901</v>
      </c>
      <c r="C671" s="664" t="s">
        <v>222</v>
      </c>
      <c r="D671" s="671">
        <v>13692</v>
      </c>
      <c r="E671" s="667">
        <v>2400</v>
      </c>
      <c r="F671" s="667" t="s">
        <v>223</v>
      </c>
      <c r="G671" s="667">
        <v>1141</v>
      </c>
      <c r="H671" s="664">
        <v>4</v>
      </c>
      <c r="I671" s="664">
        <v>4</v>
      </c>
      <c r="J671" s="669">
        <v>60</v>
      </c>
      <c r="K671" s="642" t="s">
        <v>238</v>
      </c>
      <c r="L671" s="519">
        <f t="shared" si="74"/>
        <v>1034262.91</v>
      </c>
      <c r="M671" s="394">
        <v>1029785.41</v>
      </c>
      <c r="N671" s="388"/>
      <c r="O671" s="643">
        <v>4477.5</v>
      </c>
      <c r="P671" s="388"/>
      <c r="Q671" s="388"/>
      <c r="R671" s="446">
        <f>M671/J671</f>
        <v>17163.090166666669</v>
      </c>
      <c r="S671" s="414"/>
      <c r="U671" s="414"/>
      <c r="V671" s="390"/>
      <c r="Y671" s="419">
        <f t="shared" si="73"/>
        <v>1034262.91</v>
      </c>
      <c r="Z671" s="419"/>
    </row>
    <row r="672" spans="1:26" s="416" customFormat="1" ht="37.5" hidden="1" customHeight="1">
      <c r="A672" s="662">
        <f t="shared" ref="A672:A677" si="76">A671+1</f>
        <v>58</v>
      </c>
      <c r="B672" s="663" t="s">
        <v>1848</v>
      </c>
      <c r="C672" s="664" t="s">
        <v>222</v>
      </c>
      <c r="D672" s="671">
        <v>19474</v>
      </c>
      <c r="E672" s="667">
        <v>2407</v>
      </c>
      <c r="F672" s="667" t="s">
        <v>234</v>
      </c>
      <c r="G672" s="667">
        <v>824</v>
      </c>
      <c r="H672" s="664">
        <v>9</v>
      </c>
      <c r="I672" s="664">
        <v>2</v>
      </c>
      <c r="J672" s="669">
        <v>72</v>
      </c>
      <c r="K672" s="642" t="s">
        <v>220</v>
      </c>
      <c r="L672" s="519">
        <f t="shared" si="74"/>
        <v>2049172.1</v>
      </c>
      <c r="M672" s="519">
        <v>1967147.1</v>
      </c>
      <c r="N672" s="388">
        <v>82025</v>
      </c>
      <c r="O672" s="643"/>
      <c r="P672" s="388"/>
      <c r="Q672" s="388"/>
      <c r="R672" s="446">
        <v>2000000</v>
      </c>
      <c r="S672" s="414"/>
      <c r="U672" s="414"/>
      <c r="V672" s="390"/>
      <c r="Y672" s="419">
        <f t="shared" si="73"/>
        <v>2049172.1</v>
      </c>
      <c r="Z672" s="419"/>
    </row>
    <row r="673" spans="1:26" s="416" customFormat="1" ht="37.5" hidden="1" customHeight="1">
      <c r="A673" s="662">
        <f t="shared" si="76"/>
        <v>59</v>
      </c>
      <c r="B673" s="663" t="s">
        <v>1849</v>
      </c>
      <c r="C673" s="664" t="s">
        <v>218</v>
      </c>
      <c r="D673" s="671">
        <v>24192</v>
      </c>
      <c r="E673" s="667">
        <v>5184</v>
      </c>
      <c r="F673" s="667" t="s">
        <v>234</v>
      </c>
      <c r="G673" s="667">
        <v>1014</v>
      </c>
      <c r="H673" s="664">
        <v>9</v>
      </c>
      <c r="I673" s="664">
        <v>3</v>
      </c>
      <c r="J673" s="669">
        <v>108</v>
      </c>
      <c r="K673" s="642" t="s">
        <v>220</v>
      </c>
      <c r="L673" s="519">
        <f t="shared" si="74"/>
        <v>2061402.61</v>
      </c>
      <c r="M673" s="519">
        <v>1979377.61</v>
      </c>
      <c r="N673" s="388">
        <v>82025</v>
      </c>
      <c r="O673" s="643"/>
      <c r="P673" s="388"/>
      <c r="Q673" s="388"/>
      <c r="R673" s="446">
        <v>2000000</v>
      </c>
      <c r="S673" s="414"/>
      <c r="U673" s="414"/>
      <c r="V673" s="390"/>
      <c r="Y673" s="419">
        <f t="shared" si="73"/>
        <v>2061402.61</v>
      </c>
      <c r="Z673" s="419"/>
    </row>
    <row r="674" spans="1:26" s="416" customFormat="1" ht="37.5" hidden="1" customHeight="1">
      <c r="A674" s="662">
        <f t="shared" si="76"/>
        <v>60</v>
      </c>
      <c r="B674" s="663" t="s">
        <v>1855</v>
      </c>
      <c r="C674" s="664" t="s">
        <v>222</v>
      </c>
      <c r="D674" s="671">
        <v>34393</v>
      </c>
      <c r="E674" s="667">
        <v>5396</v>
      </c>
      <c r="F674" s="667" t="s">
        <v>234</v>
      </c>
      <c r="G674" s="667">
        <v>865</v>
      </c>
      <c r="H674" s="664">
        <v>9</v>
      </c>
      <c r="I674" s="664">
        <v>2</v>
      </c>
      <c r="J674" s="669">
        <v>80</v>
      </c>
      <c r="K674" s="642" t="s">
        <v>220</v>
      </c>
      <c r="L674" s="519">
        <f t="shared" si="74"/>
        <v>2051787.51</v>
      </c>
      <c r="M674" s="519">
        <v>1969762.51</v>
      </c>
      <c r="N674" s="388">
        <v>82025</v>
      </c>
      <c r="O674" s="643"/>
      <c r="P674" s="388"/>
      <c r="Q674" s="388"/>
      <c r="R674" s="446">
        <v>2000000</v>
      </c>
      <c r="S674" s="414"/>
      <c r="U674" s="414"/>
      <c r="V674" s="390"/>
      <c r="Y674" s="419">
        <f t="shared" si="73"/>
        <v>2051787.51</v>
      </c>
      <c r="Z674" s="419"/>
    </row>
    <row r="675" spans="1:26" s="416" customFormat="1" ht="37.5" hidden="1" customHeight="1">
      <c r="A675" s="662">
        <f t="shared" si="76"/>
        <v>61</v>
      </c>
      <c r="B675" s="663" t="s">
        <v>1862</v>
      </c>
      <c r="C675" s="664" t="s">
        <v>222</v>
      </c>
      <c r="D675" s="671">
        <v>74088</v>
      </c>
      <c r="E675" s="667">
        <v>10702</v>
      </c>
      <c r="F675" s="667" t="s">
        <v>234</v>
      </c>
      <c r="G675" s="667">
        <v>2744</v>
      </c>
      <c r="H675" s="664">
        <v>9</v>
      </c>
      <c r="I675" s="664">
        <v>8</v>
      </c>
      <c r="J675" s="669">
        <v>256</v>
      </c>
      <c r="K675" s="642" t="s">
        <v>220</v>
      </c>
      <c r="L675" s="519">
        <f t="shared" si="74"/>
        <v>4082531.25</v>
      </c>
      <c r="M675" s="519">
        <v>3980000</v>
      </c>
      <c r="N675" s="388">
        <v>102531.25</v>
      </c>
      <c r="O675" s="643"/>
      <c r="P675" s="388"/>
      <c r="Q675" s="388"/>
      <c r="R675" s="446">
        <v>2000000</v>
      </c>
      <c r="S675" s="414"/>
      <c r="U675" s="414"/>
      <c r="V675" s="390"/>
      <c r="Y675" s="419">
        <f t="shared" si="73"/>
        <v>4082531.25</v>
      </c>
      <c r="Z675" s="419"/>
    </row>
    <row r="676" spans="1:26" s="416" customFormat="1" ht="37.5" hidden="1" customHeight="1">
      <c r="A676" s="662">
        <f t="shared" si="76"/>
        <v>62</v>
      </c>
      <c r="B676" s="663" t="s">
        <v>3504</v>
      </c>
      <c r="C676" s="664" t="s">
        <v>240</v>
      </c>
      <c r="D676" s="671">
        <v>2964</v>
      </c>
      <c r="E676" s="667">
        <v>830</v>
      </c>
      <c r="F676" s="667" t="s">
        <v>223</v>
      </c>
      <c r="G676" s="667">
        <v>650</v>
      </c>
      <c r="H676" s="664">
        <v>3</v>
      </c>
      <c r="I676" s="664">
        <v>1</v>
      </c>
      <c r="J676" s="669">
        <v>11</v>
      </c>
      <c r="K676" s="642" t="s">
        <v>237</v>
      </c>
      <c r="L676" s="519">
        <f t="shared" si="74"/>
        <v>1455350</v>
      </c>
      <c r="M676" s="394">
        <v>1422850</v>
      </c>
      <c r="N676" s="388">
        <v>32500</v>
      </c>
      <c r="O676" s="643"/>
      <c r="P676" s="388"/>
      <c r="Q676" s="388"/>
      <c r="R676" s="446">
        <f>M676/E676</f>
        <v>1714.2771084337348</v>
      </c>
      <c r="S676" s="414"/>
      <c r="U676" s="414"/>
      <c r="V676" s="390"/>
      <c r="Y676" s="419">
        <f t="shared" si="73"/>
        <v>1455350</v>
      </c>
      <c r="Z676" s="419"/>
    </row>
    <row r="677" spans="1:26" s="416" customFormat="1" ht="31.5" hidden="1" customHeight="1">
      <c r="A677" s="662">
        <f t="shared" si="76"/>
        <v>63</v>
      </c>
      <c r="B677" s="663" t="s">
        <v>3505</v>
      </c>
      <c r="C677" s="664" t="s">
        <v>240</v>
      </c>
      <c r="D677" s="671">
        <v>2986</v>
      </c>
      <c r="E677" s="667">
        <v>830</v>
      </c>
      <c r="F677" s="667" t="s">
        <v>223</v>
      </c>
      <c r="G677" s="667">
        <v>650</v>
      </c>
      <c r="H677" s="664">
        <v>3</v>
      </c>
      <c r="I677" s="664">
        <v>1</v>
      </c>
      <c r="J677" s="669">
        <v>12</v>
      </c>
      <c r="K677" s="642" t="s">
        <v>237</v>
      </c>
      <c r="L677" s="519">
        <f t="shared" si="74"/>
        <v>1326000</v>
      </c>
      <c r="M677" s="394">
        <v>1293500</v>
      </c>
      <c r="N677" s="388">
        <v>32500</v>
      </c>
      <c r="O677" s="643"/>
      <c r="P677" s="388"/>
      <c r="Q677" s="388"/>
      <c r="R677" s="446">
        <f>M677/E677</f>
        <v>1558.433734939759</v>
      </c>
      <c r="S677" s="414"/>
      <c r="U677" s="414"/>
      <c r="V677" s="390"/>
      <c r="Y677" s="419">
        <f t="shared" si="73"/>
        <v>1326000</v>
      </c>
      <c r="Z677" s="419"/>
    </row>
    <row r="678" spans="1:26" s="403" customFormat="1" ht="58.5" hidden="1" customHeight="1">
      <c r="A678" s="1112" t="s">
        <v>39</v>
      </c>
      <c r="B678" s="1112"/>
      <c r="C678" s="388" t="s">
        <v>28</v>
      </c>
      <c r="D678" s="641">
        <f>SUM(D605:D677)</f>
        <v>1215339.24</v>
      </c>
      <c r="E678" s="388">
        <f>SUM(E605:E677)</f>
        <v>179151.08000000002</v>
      </c>
      <c r="F678" s="388" t="s">
        <v>28</v>
      </c>
      <c r="G678" s="388">
        <f>SUM(G605:G677)</f>
        <v>73108.2</v>
      </c>
      <c r="H678" s="446" t="s">
        <v>28</v>
      </c>
      <c r="I678" s="446" t="s">
        <v>28</v>
      </c>
      <c r="J678" s="446">
        <f>SUM(J605:J677)</f>
        <v>5534</v>
      </c>
      <c r="K678" s="389" t="s">
        <v>28</v>
      </c>
      <c r="L678" s="519">
        <f t="shared" ref="L678:Q678" si="77">SUM(L605:L677)</f>
        <v>129773662.77999997</v>
      </c>
      <c r="M678" s="519">
        <f t="shared" si="77"/>
        <v>127695405.61999999</v>
      </c>
      <c r="N678" s="388">
        <f t="shared" si="77"/>
        <v>1848605</v>
      </c>
      <c r="O678" s="473">
        <f t="shared" si="77"/>
        <v>229652.16000000006</v>
      </c>
      <c r="P678" s="388">
        <f t="shared" si="77"/>
        <v>0</v>
      </c>
      <c r="Q678" s="388">
        <f t="shared" si="77"/>
        <v>0</v>
      </c>
      <c r="R678" s="446" t="s">
        <v>28</v>
      </c>
      <c r="S678" s="393">
        <f>L678-M678-N678-O678-P678-Q678</f>
        <v>-1.8539140000939369E-8</v>
      </c>
      <c r="T678" s="393"/>
      <c r="U678" s="404"/>
      <c r="V678" s="390"/>
      <c r="Y678" s="419">
        <f t="shared" si="73"/>
        <v>129773662.77999999</v>
      </c>
      <c r="Z678" s="419"/>
    </row>
    <row r="679" spans="1:26" s="403" customFormat="1" ht="58.5" hidden="1" customHeight="1">
      <c r="A679" s="1113" t="s">
        <v>42</v>
      </c>
      <c r="B679" s="1113"/>
      <c r="C679" s="1113"/>
      <c r="D679" s="1113"/>
      <c r="E679" s="1113"/>
      <c r="F679" s="1113"/>
      <c r="G679" s="1113"/>
      <c r="H679" s="1113"/>
      <c r="I679" s="1113"/>
      <c r="J679" s="1113"/>
      <c r="K679" s="1113"/>
      <c r="L679" s="1113"/>
      <c r="M679" s="1113"/>
      <c r="N679" s="1113"/>
      <c r="O679" s="1113"/>
      <c r="P679" s="1113"/>
      <c r="Q679" s="1113"/>
      <c r="R679" s="1113"/>
      <c r="T679" s="393"/>
      <c r="U679" s="404"/>
      <c r="V679" s="390"/>
      <c r="Y679" s="419">
        <f t="shared" si="73"/>
        <v>0</v>
      </c>
      <c r="Z679" s="419"/>
    </row>
    <row r="680" spans="1:26" s="420" customFormat="1" ht="93.75" hidden="1" customHeight="1">
      <c r="A680" s="458">
        <v>1</v>
      </c>
      <c r="B680" s="403" t="s">
        <v>902</v>
      </c>
      <c r="C680" s="487" t="s">
        <v>218</v>
      </c>
      <c r="D680" s="641">
        <f t="shared" ref="D680:D685" si="78">E680*3</f>
        <v>1728</v>
      </c>
      <c r="E680" s="391">
        <f>(36+12)*2*I680*3</f>
        <v>576</v>
      </c>
      <c r="F680" s="388" t="s">
        <v>242</v>
      </c>
      <c r="G680" s="391">
        <v>678</v>
      </c>
      <c r="H680" s="528">
        <v>2</v>
      </c>
      <c r="I680" s="528">
        <v>2</v>
      </c>
      <c r="J680" s="528">
        <v>16</v>
      </c>
      <c r="K680" s="458" t="s">
        <v>243</v>
      </c>
      <c r="L680" s="519">
        <f t="shared" ref="L680:L685" si="79">M680+N680+O680+P680+Q680</f>
        <v>1821379.95</v>
      </c>
      <c r="M680" s="519">
        <v>1787326.04</v>
      </c>
      <c r="N680" s="388">
        <v>34053.910000000003</v>
      </c>
      <c r="O680" s="473"/>
      <c r="P680" s="388"/>
      <c r="Q680" s="388"/>
      <c r="R680" s="446">
        <f>M680/G680</f>
        <v>2636.1741002949852</v>
      </c>
      <c r="U680" s="405"/>
      <c r="V680" s="390"/>
      <c r="Y680" s="419">
        <f t="shared" si="73"/>
        <v>1821379.95</v>
      </c>
      <c r="Z680" s="419"/>
    </row>
    <row r="681" spans="1:26" s="420" customFormat="1" ht="93.75" hidden="1" customHeight="1">
      <c r="A681" s="458">
        <v>2</v>
      </c>
      <c r="B681" s="403" t="s">
        <v>903</v>
      </c>
      <c r="C681" s="648" t="s">
        <v>222</v>
      </c>
      <c r="D681" s="641">
        <f t="shared" si="78"/>
        <v>1728</v>
      </c>
      <c r="E681" s="391">
        <f>(36+12)*2*I681*3</f>
        <v>576</v>
      </c>
      <c r="F681" s="388" t="s">
        <v>242</v>
      </c>
      <c r="G681" s="391">
        <v>667</v>
      </c>
      <c r="H681" s="528">
        <v>2</v>
      </c>
      <c r="I681" s="528">
        <v>2</v>
      </c>
      <c r="J681" s="528">
        <v>16</v>
      </c>
      <c r="K681" s="458" t="s">
        <v>243</v>
      </c>
      <c r="L681" s="519">
        <f t="shared" si="79"/>
        <v>1655030.51</v>
      </c>
      <c r="M681" s="394">
        <v>1621527.05</v>
      </c>
      <c r="N681" s="388">
        <v>33503.46</v>
      </c>
      <c r="O681" s="473"/>
      <c r="P681" s="388"/>
      <c r="Q681" s="388"/>
      <c r="R681" s="446">
        <f>M681/G681</f>
        <v>2431.0750374812596</v>
      </c>
      <c r="U681" s="405"/>
      <c r="V681" s="390"/>
      <c r="Y681" s="419">
        <f t="shared" si="73"/>
        <v>1655030.51</v>
      </c>
      <c r="Z681" s="419"/>
    </row>
    <row r="682" spans="1:26" s="420" customFormat="1" ht="112.5" hidden="1" customHeight="1">
      <c r="A682" s="458">
        <v>3</v>
      </c>
      <c r="B682" s="403" t="s">
        <v>904</v>
      </c>
      <c r="C682" s="648" t="s">
        <v>222</v>
      </c>
      <c r="D682" s="641">
        <v>1188</v>
      </c>
      <c r="E682" s="391">
        <v>396</v>
      </c>
      <c r="F682" s="388" t="s">
        <v>242</v>
      </c>
      <c r="G682" s="391">
        <v>428</v>
      </c>
      <c r="H682" s="528">
        <v>2</v>
      </c>
      <c r="I682" s="528">
        <v>1</v>
      </c>
      <c r="J682" s="528">
        <v>8</v>
      </c>
      <c r="K682" s="458" t="s">
        <v>244</v>
      </c>
      <c r="L682" s="519">
        <f t="shared" si="79"/>
        <v>95187.24</v>
      </c>
      <c r="M682" s="519">
        <v>94709.64</v>
      </c>
      <c r="N682" s="388"/>
      <c r="O682" s="643">
        <v>477.6</v>
      </c>
      <c r="P682" s="388"/>
      <c r="Q682" s="388"/>
      <c r="R682" s="446">
        <f>M682/J682</f>
        <v>11838.705</v>
      </c>
      <c r="U682" s="405"/>
      <c r="V682" s="390"/>
      <c r="Y682" s="419">
        <f t="shared" si="73"/>
        <v>95187.24</v>
      </c>
      <c r="Z682" s="419"/>
    </row>
    <row r="683" spans="1:26" s="420" customFormat="1" ht="112.5" hidden="1" customHeight="1">
      <c r="A683" s="458">
        <v>4</v>
      </c>
      <c r="B683" s="403" t="s">
        <v>905</v>
      </c>
      <c r="C683" s="648" t="s">
        <v>222</v>
      </c>
      <c r="D683" s="641">
        <v>864</v>
      </c>
      <c r="E683" s="391">
        <v>288</v>
      </c>
      <c r="F683" s="388" t="s">
        <v>242</v>
      </c>
      <c r="G683" s="391">
        <v>428</v>
      </c>
      <c r="H683" s="528">
        <v>2</v>
      </c>
      <c r="I683" s="528">
        <v>1</v>
      </c>
      <c r="J683" s="528">
        <v>8</v>
      </c>
      <c r="K683" s="458" t="s">
        <v>244</v>
      </c>
      <c r="L683" s="519">
        <f t="shared" si="79"/>
        <v>65658.490000000005</v>
      </c>
      <c r="M683" s="519">
        <v>65180.89</v>
      </c>
      <c r="N683" s="388"/>
      <c r="O683" s="643">
        <v>477.6</v>
      </c>
      <c r="P683" s="388"/>
      <c r="Q683" s="388"/>
      <c r="R683" s="446">
        <f>M683/J683</f>
        <v>8147.6112499999999</v>
      </c>
      <c r="U683" s="405"/>
      <c r="V683" s="390"/>
      <c r="Y683" s="419">
        <f t="shared" si="73"/>
        <v>65658.490000000005</v>
      </c>
      <c r="Z683" s="419"/>
    </row>
    <row r="684" spans="1:26" s="420" customFormat="1" ht="112.5" hidden="1" customHeight="1">
      <c r="A684" s="458">
        <v>5</v>
      </c>
      <c r="B684" s="403" t="s">
        <v>906</v>
      </c>
      <c r="C684" s="648" t="s">
        <v>222</v>
      </c>
      <c r="D684" s="641">
        <v>1188</v>
      </c>
      <c r="E684" s="391">
        <v>396</v>
      </c>
      <c r="F684" s="388" t="s">
        <v>242</v>
      </c>
      <c r="G684" s="391">
        <v>428</v>
      </c>
      <c r="H684" s="528">
        <v>2</v>
      </c>
      <c r="I684" s="528">
        <v>1</v>
      </c>
      <c r="J684" s="528">
        <v>8</v>
      </c>
      <c r="K684" s="458" t="s">
        <v>244</v>
      </c>
      <c r="L684" s="519">
        <f t="shared" si="79"/>
        <v>60911.67</v>
      </c>
      <c r="M684" s="519">
        <v>60434.07</v>
      </c>
      <c r="N684" s="388"/>
      <c r="O684" s="643">
        <v>477.6</v>
      </c>
      <c r="P684" s="388"/>
      <c r="Q684" s="388"/>
      <c r="R684" s="446">
        <f>M684/J684</f>
        <v>7554.25875</v>
      </c>
      <c r="U684" s="405"/>
      <c r="V684" s="390"/>
      <c r="Y684" s="419">
        <f t="shared" si="73"/>
        <v>60911.67</v>
      </c>
      <c r="Z684" s="419"/>
    </row>
    <row r="685" spans="1:26" s="420" customFormat="1" ht="37.5" hidden="1" customHeight="1">
      <c r="A685" s="458">
        <v>6</v>
      </c>
      <c r="B685" s="403" t="s">
        <v>907</v>
      </c>
      <c r="C685" s="487" t="s">
        <v>218</v>
      </c>
      <c r="D685" s="641">
        <f t="shared" si="78"/>
        <v>1908</v>
      </c>
      <c r="E685" s="388">
        <v>636</v>
      </c>
      <c r="F685" s="388" t="s">
        <v>242</v>
      </c>
      <c r="G685" s="388">
        <v>643</v>
      </c>
      <c r="H685" s="446">
        <v>2</v>
      </c>
      <c r="I685" s="446">
        <v>2</v>
      </c>
      <c r="J685" s="446">
        <v>12</v>
      </c>
      <c r="K685" s="458" t="s">
        <v>391</v>
      </c>
      <c r="L685" s="519">
        <f t="shared" si="79"/>
        <v>1548119.25</v>
      </c>
      <c r="M685" s="394">
        <v>1524293.1</v>
      </c>
      <c r="N685" s="388">
        <v>23826.15</v>
      </c>
      <c r="O685" s="473"/>
      <c r="P685" s="388"/>
      <c r="Q685" s="388"/>
      <c r="R685" s="528">
        <f>M685/E685</f>
        <v>2396.6872641509435</v>
      </c>
      <c r="S685" s="421"/>
      <c r="T685" s="422"/>
      <c r="U685" s="405"/>
      <c r="V685" s="390"/>
      <c r="Y685" s="419">
        <f t="shared" si="73"/>
        <v>1548119.25</v>
      </c>
      <c r="Z685" s="419"/>
    </row>
    <row r="686" spans="1:26" s="498" customFormat="1" ht="58.5" hidden="1" customHeight="1">
      <c r="A686" s="1137" t="s">
        <v>43</v>
      </c>
      <c r="B686" s="1137"/>
      <c r="C686" s="455" t="s">
        <v>28</v>
      </c>
      <c r="D686" s="674">
        <f>SUM(D680:D685)</f>
        <v>8604</v>
      </c>
      <c r="E686" s="675">
        <f>SUM(E680:E685)</f>
        <v>2868</v>
      </c>
      <c r="F686" s="388" t="s">
        <v>28</v>
      </c>
      <c r="G686" s="675">
        <f>SUM(G680:G685)</f>
        <v>3272</v>
      </c>
      <c r="H686" s="446" t="s">
        <v>28</v>
      </c>
      <c r="I686" s="446" t="s">
        <v>28</v>
      </c>
      <c r="J686" s="676">
        <f>SUM(J680:J685)</f>
        <v>68</v>
      </c>
      <c r="K686" s="458" t="s">
        <v>28</v>
      </c>
      <c r="L686" s="677">
        <f>SUM(L680:L685)</f>
        <v>5246287.1100000003</v>
      </c>
      <c r="M686" s="677">
        <f>SUM(M680:M685)</f>
        <v>5153470.79</v>
      </c>
      <c r="N686" s="675">
        <f>SUM(N680:N685)</f>
        <v>91383.51999999999</v>
      </c>
      <c r="O686" s="678">
        <f>SUM(O680:O685)</f>
        <v>1432.8000000000002</v>
      </c>
      <c r="P686" s="675"/>
      <c r="Q686" s="675">
        <f>SUM(Q680:Q685)</f>
        <v>0</v>
      </c>
      <c r="R686" s="446" t="s">
        <v>28</v>
      </c>
      <c r="S686" s="393">
        <f>L686-M686-N686-O686-P686-Q686</f>
        <v>3.0831870390102267E-10</v>
      </c>
      <c r="T686" s="393"/>
      <c r="U686" s="404"/>
      <c r="V686" s="390"/>
      <c r="Y686" s="419">
        <f t="shared" si="73"/>
        <v>5246287.1099999994</v>
      </c>
      <c r="Z686" s="419"/>
    </row>
    <row r="687" spans="1:26" s="403" customFormat="1" ht="58.5" hidden="1" customHeight="1">
      <c r="A687" s="1113" t="s">
        <v>44</v>
      </c>
      <c r="B687" s="1113"/>
      <c r="C687" s="1113"/>
      <c r="D687" s="1113"/>
      <c r="E687" s="1113"/>
      <c r="F687" s="1113"/>
      <c r="G687" s="1113"/>
      <c r="H687" s="1113"/>
      <c r="I687" s="1113"/>
      <c r="J687" s="1113"/>
      <c r="K687" s="1113"/>
      <c r="L687" s="1113"/>
      <c r="M687" s="1113"/>
      <c r="N687" s="1113"/>
      <c r="O687" s="1113"/>
      <c r="P687" s="1113"/>
      <c r="Q687" s="1113"/>
      <c r="R687" s="1113"/>
      <c r="T687" s="393"/>
      <c r="U687" s="404"/>
      <c r="V687" s="390"/>
      <c r="Y687" s="419">
        <f t="shared" si="73"/>
        <v>0</v>
      </c>
      <c r="Z687" s="419"/>
    </row>
    <row r="688" spans="1:26" s="403" customFormat="1" ht="37.5" hidden="1" customHeight="1">
      <c r="A688" s="458">
        <v>1</v>
      </c>
      <c r="B688" s="403" t="s">
        <v>908</v>
      </c>
      <c r="C688" s="455" t="s">
        <v>222</v>
      </c>
      <c r="D688" s="641">
        <v>2760</v>
      </c>
      <c r="E688" s="388">
        <v>586.47</v>
      </c>
      <c r="F688" s="388" t="s">
        <v>223</v>
      </c>
      <c r="G688" s="388">
        <v>688</v>
      </c>
      <c r="H688" s="446">
        <v>2</v>
      </c>
      <c r="I688" s="446">
        <v>2</v>
      </c>
      <c r="J688" s="446">
        <v>16</v>
      </c>
      <c r="K688" s="458" t="s">
        <v>33</v>
      </c>
      <c r="L688" s="529">
        <f>M688+N688+O688+P688+Q688</f>
        <v>866103.47000000009</v>
      </c>
      <c r="M688" s="519">
        <v>846811.41</v>
      </c>
      <c r="N688" s="388">
        <v>19292.060000000001</v>
      </c>
      <c r="O688" s="473"/>
      <c r="P688" s="388"/>
      <c r="Q688" s="388"/>
      <c r="R688" s="446">
        <f>M688/G688</f>
        <v>1230.8305377906977</v>
      </c>
      <c r="T688" s="393"/>
      <c r="U688" s="404"/>
      <c r="V688" s="390"/>
      <c r="Y688" s="419">
        <f t="shared" si="73"/>
        <v>866103.47000000009</v>
      </c>
      <c r="Z688" s="419"/>
    </row>
    <row r="689" spans="1:26" s="403" customFormat="1" ht="58.5" hidden="1" customHeight="1">
      <c r="A689" s="1112" t="s">
        <v>118</v>
      </c>
      <c r="B689" s="1112"/>
      <c r="C689" s="455" t="s">
        <v>28</v>
      </c>
      <c r="D689" s="641">
        <f>SUM(D688:D688)</f>
        <v>2760</v>
      </c>
      <c r="E689" s="388">
        <f>SUM(E688:E688)</f>
        <v>586.47</v>
      </c>
      <c r="F689" s="388" t="s">
        <v>28</v>
      </c>
      <c r="G689" s="388">
        <f>SUM(G688:G688)</f>
        <v>688</v>
      </c>
      <c r="H689" s="446" t="s">
        <v>28</v>
      </c>
      <c r="I689" s="446" t="s">
        <v>28</v>
      </c>
      <c r="J689" s="446">
        <f>SUM(J688:J688)</f>
        <v>16</v>
      </c>
      <c r="K689" s="458" t="s">
        <v>28</v>
      </c>
      <c r="L689" s="519">
        <f>SUM(L688:L688)</f>
        <v>866103.47000000009</v>
      </c>
      <c r="M689" s="519">
        <f>SUM(M688:M688)</f>
        <v>846811.41</v>
      </c>
      <c r="N689" s="388">
        <f>SUM(N688:N688)</f>
        <v>19292.060000000001</v>
      </c>
      <c r="O689" s="473"/>
      <c r="P689" s="388"/>
      <c r="Q689" s="388">
        <f>SUM(Q688:Q688)</f>
        <v>0</v>
      </c>
      <c r="R689" s="446" t="s">
        <v>28</v>
      </c>
      <c r="S689" s="393">
        <f>L689-M689-N689-O689-P689-Q689</f>
        <v>5.4569682106375694E-11</v>
      </c>
      <c r="T689" s="422"/>
      <c r="U689" s="423"/>
      <c r="V689" s="390"/>
      <c r="Y689" s="419">
        <f t="shared" si="73"/>
        <v>866103.47000000009</v>
      </c>
      <c r="Z689" s="419"/>
    </row>
    <row r="690" spans="1:26" s="403" customFormat="1" ht="58.5" hidden="1" customHeight="1">
      <c r="A690" s="1113" t="s">
        <v>45</v>
      </c>
      <c r="B690" s="1113"/>
      <c r="C690" s="1113"/>
      <c r="D690" s="1113"/>
      <c r="E690" s="1113"/>
      <c r="F690" s="1113"/>
      <c r="G690" s="1113"/>
      <c r="H690" s="1113"/>
      <c r="I690" s="1113"/>
      <c r="J690" s="1113"/>
      <c r="K690" s="1113"/>
      <c r="L690" s="1113"/>
      <c r="M690" s="1113"/>
      <c r="N690" s="1113"/>
      <c r="O690" s="1113"/>
      <c r="P690" s="1113"/>
      <c r="Q690" s="1113"/>
      <c r="R690" s="1113"/>
      <c r="T690" s="393"/>
      <c r="U690" s="404"/>
      <c r="V690" s="390"/>
      <c r="Y690" s="419">
        <f t="shared" si="73"/>
        <v>0</v>
      </c>
      <c r="Z690" s="419"/>
    </row>
    <row r="691" spans="1:26" s="403" customFormat="1" ht="37.5" hidden="1" customHeight="1">
      <c r="A691" s="458">
        <v>1</v>
      </c>
      <c r="B691" s="403" t="s">
        <v>909</v>
      </c>
      <c r="C691" s="455" t="s">
        <v>222</v>
      </c>
      <c r="D691" s="641">
        <f>E691*3</f>
        <v>2354.1000000000004</v>
      </c>
      <c r="E691" s="388">
        <v>784.7</v>
      </c>
      <c r="F691" s="388" t="s">
        <v>242</v>
      </c>
      <c r="G691" s="388">
        <v>667.86</v>
      </c>
      <c r="H691" s="446">
        <v>5</v>
      </c>
      <c r="I691" s="446">
        <v>8</v>
      </c>
      <c r="J691" s="446">
        <v>16</v>
      </c>
      <c r="K691" s="500" t="s">
        <v>33</v>
      </c>
      <c r="L691" s="529">
        <f>M691+N691+O691+P691+Q691</f>
        <v>1240437.5</v>
      </c>
      <c r="M691" s="519">
        <v>1215517.72</v>
      </c>
      <c r="N691" s="388">
        <v>24919.78</v>
      </c>
      <c r="O691" s="473"/>
      <c r="P691" s="388"/>
      <c r="Q691" s="388"/>
      <c r="R691" s="446">
        <f>M691/G691</f>
        <v>1820.0187464438654</v>
      </c>
      <c r="T691" s="393"/>
      <c r="U691" s="404"/>
      <c r="V691" s="390"/>
      <c r="Y691" s="419">
        <f t="shared" si="73"/>
        <v>1240437.5</v>
      </c>
      <c r="Z691" s="419"/>
    </row>
    <row r="692" spans="1:26" s="403" customFormat="1" ht="56.25" hidden="1" customHeight="1">
      <c r="A692" s="458">
        <v>2</v>
      </c>
      <c r="B692" s="403" t="s">
        <v>910</v>
      </c>
      <c r="C692" s="455" t="s">
        <v>222</v>
      </c>
      <c r="D692" s="641">
        <f>E692*3</f>
        <v>1856.0099999999998</v>
      </c>
      <c r="E692" s="388">
        <v>618.66999999999996</v>
      </c>
      <c r="F692" s="388" t="s">
        <v>242</v>
      </c>
      <c r="G692" s="388">
        <v>635</v>
      </c>
      <c r="H692" s="446">
        <v>2</v>
      </c>
      <c r="I692" s="446">
        <v>1</v>
      </c>
      <c r="J692" s="446">
        <v>16</v>
      </c>
      <c r="K692" s="458" t="s">
        <v>30</v>
      </c>
      <c r="L692" s="529">
        <f>M692+N692+O692+P692+Q692</f>
        <v>238433.32</v>
      </c>
      <c r="M692" s="519">
        <v>237478.12</v>
      </c>
      <c r="N692" s="388"/>
      <c r="O692" s="643">
        <v>955.2</v>
      </c>
      <c r="P692" s="388"/>
      <c r="Q692" s="388"/>
      <c r="R692" s="446">
        <f>M692/J692</f>
        <v>14842.3825</v>
      </c>
      <c r="T692" s="393"/>
      <c r="U692" s="388"/>
      <c r="V692" s="390"/>
      <c r="Y692" s="419">
        <f t="shared" si="73"/>
        <v>238433.32</v>
      </c>
      <c r="Z692" s="419"/>
    </row>
    <row r="693" spans="1:26" s="403" customFormat="1" ht="56.25" hidden="1" customHeight="1">
      <c r="A693" s="458">
        <v>3</v>
      </c>
      <c r="B693" s="403" t="s">
        <v>911</v>
      </c>
      <c r="C693" s="455" t="s">
        <v>222</v>
      </c>
      <c r="D693" s="641">
        <f>E693*3</f>
        <v>2389.1999999999998</v>
      </c>
      <c r="E693" s="388">
        <v>796.4</v>
      </c>
      <c r="F693" s="388" t="s">
        <v>242</v>
      </c>
      <c r="G693" s="388">
        <v>826.8</v>
      </c>
      <c r="H693" s="446">
        <v>5</v>
      </c>
      <c r="I693" s="446">
        <v>4</v>
      </c>
      <c r="J693" s="446">
        <v>21</v>
      </c>
      <c r="K693" s="458" t="s">
        <v>30</v>
      </c>
      <c r="L693" s="529">
        <f>M693+N693+O693+P693+Q693</f>
        <v>386487.46</v>
      </c>
      <c r="M693" s="519">
        <v>385233.76</v>
      </c>
      <c r="N693" s="388"/>
      <c r="O693" s="643">
        <v>1253.7</v>
      </c>
      <c r="P693" s="388"/>
      <c r="Q693" s="388"/>
      <c r="R693" s="446">
        <f>M693/J693</f>
        <v>18344.464761904761</v>
      </c>
      <c r="T693" s="393"/>
      <c r="U693" s="388"/>
      <c r="V693" s="390"/>
      <c r="Y693" s="419">
        <f t="shared" si="73"/>
        <v>386487.46</v>
      </c>
      <c r="Z693" s="419"/>
    </row>
    <row r="694" spans="1:26" s="403" customFormat="1" ht="58.5" hidden="1" customHeight="1">
      <c r="A694" s="1112" t="s">
        <v>47</v>
      </c>
      <c r="B694" s="1112"/>
      <c r="C694" s="679" t="s">
        <v>28</v>
      </c>
      <c r="D694" s="641">
        <f>SUM(D691:D693)</f>
        <v>6599.31</v>
      </c>
      <c r="E694" s="388">
        <f>SUM(E691:E693)</f>
        <v>2199.77</v>
      </c>
      <c r="F694" s="388" t="s">
        <v>28</v>
      </c>
      <c r="G694" s="388">
        <f>SUM(G691:G693)</f>
        <v>2129.66</v>
      </c>
      <c r="H694" s="446" t="s">
        <v>28</v>
      </c>
      <c r="I694" s="446" t="s">
        <v>28</v>
      </c>
      <c r="J694" s="446">
        <f>SUM(J691:J693)</f>
        <v>53</v>
      </c>
      <c r="K694" s="680" t="s">
        <v>28</v>
      </c>
      <c r="L694" s="519">
        <f>SUM(L691:L693)</f>
        <v>1865358.28</v>
      </c>
      <c r="M694" s="519">
        <f>SUM(M691:M693)</f>
        <v>1838229.5999999999</v>
      </c>
      <c r="N694" s="388">
        <f>SUM(N691:N693)</f>
        <v>24919.78</v>
      </c>
      <c r="O694" s="473">
        <f>SUM(O691:O693)</f>
        <v>2208.9</v>
      </c>
      <c r="P694" s="388"/>
      <c r="Q694" s="388">
        <f>SUM(Q691:Q693)</f>
        <v>0</v>
      </c>
      <c r="R694" s="446" t="s">
        <v>28</v>
      </c>
      <c r="S694" s="393">
        <f>L694-M694-N694-O694-P694-Q694</f>
        <v>1.6871126717887819E-10</v>
      </c>
      <c r="T694" s="393"/>
      <c r="U694" s="423"/>
      <c r="V694" s="390"/>
      <c r="Y694" s="419">
        <f t="shared" si="73"/>
        <v>1865358.2799999998</v>
      </c>
      <c r="Z694" s="419"/>
    </row>
    <row r="695" spans="1:26" s="403" customFormat="1" ht="58.5" hidden="1" customHeight="1">
      <c r="A695" s="1113" t="s">
        <v>48</v>
      </c>
      <c r="B695" s="1113"/>
      <c r="C695" s="1113"/>
      <c r="D695" s="1113"/>
      <c r="E695" s="1113"/>
      <c r="F695" s="1113"/>
      <c r="G695" s="1113"/>
      <c r="H695" s="1113"/>
      <c r="I695" s="1113"/>
      <c r="J695" s="1113"/>
      <c r="K695" s="1113"/>
      <c r="L695" s="1113"/>
      <c r="M695" s="1113"/>
      <c r="N695" s="1113"/>
      <c r="O695" s="1113"/>
      <c r="P695" s="1113"/>
      <c r="Q695" s="1113"/>
      <c r="R695" s="1113"/>
      <c r="T695" s="393"/>
      <c r="U695" s="404"/>
      <c r="V695" s="390"/>
      <c r="Y695" s="419">
        <f t="shared" si="73"/>
        <v>0</v>
      </c>
      <c r="Z695" s="419"/>
    </row>
    <row r="696" spans="1:26" s="403" customFormat="1" ht="37.5" hidden="1" customHeight="1">
      <c r="A696" s="458">
        <v>1</v>
      </c>
      <c r="B696" s="403" t="s">
        <v>912</v>
      </c>
      <c r="C696" s="455" t="s">
        <v>222</v>
      </c>
      <c r="D696" s="641">
        <v>3591</v>
      </c>
      <c r="E696" s="388">
        <v>707</v>
      </c>
      <c r="F696" s="388" t="s">
        <v>231</v>
      </c>
      <c r="G696" s="388">
        <v>619</v>
      </c>
      <c r="H696" s="446">
        <v>2</v>
      </c>
      <c r="I696" s="446">
        <v>2</v>
      </c>
      <c r="J696" s="446">
        <v>8</v>
      </c>
      <c r="K696" s="458" t="s">
        <v>225</v>
      </c>
      <c r="L696" s="519">
        <f>M696+N696+O696+P696+Q696</f>
        <v>177669.92</v>
      </c>
      <c r="M696" s="394">
        <v>153789.92000000001</v>
      </c>
      <c r="N696" s="388">
        <v>23880</v>
      </c>
      <c r="O696" s="473"/>
      <c r="P696" s="388"/>
      <c r="Q696" s="388"/>
      <c r="R696" s="446">
        <f>M696/J696</f>
        <v>19223.740000000002</v>
      </c>
      <c r="T696" s="393"/>
      <c r="U696" s="404"/>
      <c r="V696" s="390"/>
      <c r="Y696" s="419">
        <f t="shared" si="73"/>
        <v>177669.92</v>
      </c>
      <c r="Z696" s="419"/>
    </row>
    <row r="697" spans="1:26" s="403" customFormat="1" ht="37.5" hidden="1" customHeight="1">
      <c r="A697" s="458">
        <f>A696+1</f>
        <v>2</v>
      </c>
      <c r="B697" s="403" t="s">
        <v>913</v>
      </c>
      <c r="C697" s="455" t="s">
        <v>222</v>
      </c>
      <c r="D697" s="641">
        <v>2955</v>
      </c>
      <c r="E697" s="388">
        <v>611</v>
      </c>
      <c r="F697" s="388" t="s">
        <v>229</v>
      </c>
      <c r="G697" s="388">
        <v>509.44</v>
      </c>
      <c r="H697" s="446">
        <v>2</v>
      </c>
      <c r="I697" s="446">
        <v>2</v>
      </c>
      <c r="J697" s="446">
        <v>8</v>
      </c>
      <c r="K697" s="458" t="s">
        <v>225</v>
      </c>
      <c r="L697" s="519">
        <f>M697+N697+O697+P697+Q697</f>
        <v>158815.53</v>
      </c>
      <c r="M697" s="394">
        <v>134935.53</v>
      </c>
      <c r="N697" s="388">
        <v>23880</v>
      </c>
      <c r="O697" s="473"/>
      <c r="P697" s="391"/>
      <c r="Q697" s="388"/>
      <c r="R697" s="446">
        <f>M697/J697</f>
        <v>16866.94125</v>
      </c>
      <c r="T697" s="406"/>
      <c r="U697" s="404"/>
      <c r="V697" s="390"/>
      <c r="Y697" s="419">
        <f t="shared" si="73"/>
        <v>158815.53</v>
      </c>
      <c r="Z697" s="419"/>
    </row>
    <row r="698" spans="1:26" s="424" customFormat="1" ht="56.25" hidden="1" customHeight="1">
      <c r="A698" s="458">
        <f>A697+1</f>
        <v>3</v>
      </c>
      <c r="B698" s="424" t="s">
        <v>914</v>
      </c>
      <c r="C698" s="648" t="s">
        <v>222</v>
      </c>
      <c r="D698" s="681">
        <v>2132</v>
      </c>
      <c r="E698" s="646">
        <v>480.82</v>
      </c>
      <c r="F698" s="646" t="s">
        <v>231</v>
      </c>
      <c r="G698" s="646">
        <v>367.5</v>
      </c>
      <c r="H698" s="648">
        <v>2</v>
      </c>
      <c r="I698" s="648">
        <v>2</v>
      </c>
      <c r="J698" s="648">
        <v>8</v>
      </c>
      <c r="K698" s="458" t="s">
        <v>30</v>
      </c>
      <c r="L698" s="519">
        <f>M698+N698+O698+P698+Q698</f>
        <v>127283.65</v>
      </c>
      <c r="M698" s="394">
        <v>115567</v>
      </c>
      <c r="N698" s="646"/>
      <c r="O698" s="643">
        <v>642.51</v>
      </c>
      <c r="P698" s="652"/>
      <c r="Q698" s="388">
        <v>11074.14</v>
      </c>
      <c r="R698" s="648">
        <f>M698/J698</f>
        <v>14445.875</v>
      </c>
      <c r="T698" s="425"/>
      <c r="U698" s="426"/>
      <c r="V698" s="390"/>
      <c r="Y698" s="419">
        <f t="shared" si="73"/>
        <v>127283.65</v>
      </c>
      <c r="Z698" s="419"/>
    </row>
    <row r="699" spans="1:26" s="403" customFormat="1" ht="58.5" hidden="1" customHeight="1">
      <c r="A699" s="1112" t="s">
        <v>119</v>
      </c>
      <c r="B699" s="1112"/>
      <c r="C699" s="679" t="s">
        <v>28</v>
      </c>
      <c r="D699" s="641">
        <f>SUM(D696:D698)</f>
        <v>8678</v>
      </c>
      <c r="E699" s="388">
        <f>SUM(E696:E698)</f>
        <v>1798.82</v>
      </c>
      <c r="F699" s="388" t="s">
        <v>28</v>
      </c>
      <c r="G699" s="388">
        <f>SUM(G696:G698)</f>
        <v>1495.94</v>
      </c>
      <c r="H699" s="446" t="s">
        <v>28</v>
      </c>
      <c r="I699" s="446" t="s">
        <v>28</v>
      </c>
      <c r="J699" s="446">
        <f>SUM(J696:J698)</f>
        <v>24</v>
      </c>
      <c r="K699" s="680" t="s">
        <v>28</v>
      </c>
      <c r="L699" s="519">
        <f>SUM(L696:L698)</f>
        <v>463769.1</v>
      </c>
      <c r="M699" s="519">
        <f>SUM(M696:M698)</f>
        <v>404292.45</v>
      </c>
      <c r="N699" s="388">
        <f>SUM(N696:N698)</f>
        <v>47760</v>
      </c>
      <c r="O699" s="473">
        <f>SUM(O696:O698)</f>
        <v>642.51</v>
      </c>
      <c r="P699" s="388"/>
      <c r="Q699" s="388">
        <f>SUM(Q696:Q698)</f>
        <v>11074.14</v>
      </c>
      <c r="R699" s="446" t="s">
        <v>28</v>
      </c>
      <c r="S699" s="393">
        <f>L699-M699-N699-O699-P699-Q699</f>
        <v>-3.4560798667371273E-11</v>
      </c>
      <c r="T699" s="422"/>
      <c r="U699" s="423"/>
      <c r="V699" s="390"/>
      <c r="Y699" s="419">
        <f t="shared" si="73"/>
        <v>463769.10000000003</v>
      </c>
      <c r="Z699" s="419"/>
    </row>
    <row r="700" spans="1:26" s="403" customFormat="1" ht="58.5" hidden="1" customHeight="1">
      <c r="A700" s="1113" t="s">
        <v>49</v>
      </c>
      <c r="B700" s="1113"/>
      <c r="C700" s="1113"/>
      <c r="D700" s="1113"/>
      <c r="E700" s="1113"/>
      <c r="F700" s="1113"/>
      <c r="G700" s="1113"/>
      <c r="H700" s="1113"/>
      <c r="I700" s="1113"/>
      <c r="J700" s="1113"/>
      <c r="K700" s="1113"/>
      <c r="L700" s="1113"/>
      <c r="M700" s="1113"/>
      <c r="N700" s="1113"/>
      <c r="O700" s="1113"/>
      <c r="P700" s="1113"/>
      <c r="Q700" s="1113"/>
      <c r="R700" s="1113"/>
      <c r="T700" s="393"/>
      <c r="U700" s="404"/>
      <c r="V700" s="390"/>
      <c r="Y700" s="419">
        <f t="shared" si="73"/>
        <v>0</v>
      </c>
      <c r="Z700" s="419"/>
    </row>
    <row r="701" spans="1:26" s="404" customFormat="1" ht="37.5" hidden="1" customHeight="1">
      <c r="A701" s="504">
        <v>1</v>
      </c>
      <c r="B701" s="403" t="s">
        <v>915</v>
      </c>
      <c r="C701" s="455" t="s">
        <v>222</v>
      </c>
      <c r="D701" s="641">
        <v>3908</v>
      </c>
      <c r="E701" s="388">
        <v>1335.8</v>
      </c>
      <c r="F701" s="388" t="s">
        <v>231</v>
      </c>
      <c r="G701" s="388">
        <v>725.6</v>
      </c>
      <c r="H701" s="446">
        <v>3</v>
      </c>
      <c r="I701" s="446">
        <v>2</v>
      </c>
      <c r="J701" s="446">
        <v>24</v>
      </c>
      <c r="K701" s="682" t="s">
        <v>38</v>
      </c>
      <c r="L701" s="519">
        <f t="shared" ref="L701:L740" si="80">M701+N701+O701+Q701</f>
        <v>2636076.92</v>
      </c>
      <c r="M701" s="519">
        <v>2627305</v>
      </c>
      <c r="N701" s="388"/>
      <c r="O701" s="643">
        <v>8771.92</v>
      </c>
      <c r="P701" s="388"/>
      <c r="Q701" s="388"/>
      <c r="R701" s="528">
        <f>M701/E701</f>
        <v>1966.840095822728</v>
      </c>
      <c r="T701" s="427"/>
      <c r="U701" s="428"/>
      <c r="V701" s="390"/>
      <c r="Y701" s="419">
        <f t="shared" si="73"/>
        <v>2636076.92</v>
      </c>
      <c r="Z701" s="419"/>
    </row>
    <row r="702" spans="1:26" s="404" customFormat="1" ht="56.25" hidden="1" customHeight="1">
      <c r="A702" s="504">
        <f>A701+1</f>
        <v>2</v>
      </c>
      <c r="B702" s="403" t="s">
        <v>916</v>
      </c>
      <c r="C702" s="455" t="s">
        <v>218</v>
      </c>
      <c r="D702" s="641">
        <v>16531</v>
      </c>
      <c r="E702" s="388">
        <v>3266</v>
      </c>
      <c r="F702" s="388" t="s">
        <v>224</v>
      </c>
      <c r="G702" s="388">
        <v>1440</v>
      </c>
      <c r="H702" s="446">
        <v>5</v>
      </c>
      <c r="I702" s="446">
        <v>6</v>
      </c>
      <c r="J702" s="446">
        <v>90</v>
      </c>
      <c r="K702" s="458" t="s">
        <v>248</v>
      </c>
      <c r="L702" s="519">
        <f t="shared" si="80"/>
        <v>2458548.4999999995</v>
      </c>
      <c r="M702" s="519">
        <v>2448662.1799999997</v>
      </c>
      <c r="N702" s="388"/>
      <c r="O702" s="643">
        <v>9886.32</v>
      </c>
      <c r="P702" s="388"/>
      <c r="Q702" s="388"/>
      <c r="R702" s="446">
        <f>M702/G702</f>
        <v>1700.4598472222219</v>
      </c>
      <c r="T702" s="427"/>
      <c r="U702" s="428"/>
      <c r="V702" s="390"/>
      <c r="Y702" s="419">
        <f t="shared" si="73"/>
        <v>2458548.4999999995</v>
      </c>
      <c r="Z702" s="419"/>
    </row>
    <row r="703" spans="1:26" s="404" customFormat="1" ht="75" hidden="1" customHeight="1">
      <c r="A703" s="504">
        <f t="shared" ref="A703:A740" si="81">A702+1</f>
        <v>3</v>
      </c>
      <c r="B703" s="403" t="s">
        <v>917</v>
      </c>
      <c r="C703" s="455" t="s">
        <v>222</v>
      </c>
      <c r="D703" s="641">
        <v>12790</v>
      </c>
      <c r="E703" s="388">
        <v>2367</v>
      </c>
      <c r="F703" s="388" t="s">
        <v>223</v>
      </c>
      <c r="G703" s="388">
        <v>1229</v>
      </c>
      <c r="H703" s="446">
        <v>5</v>
      </c>
      <c r="I703" s="446">
        <v>4</v>
      </c>
      <c r="J703" s="446">
        <v>70</v>
      </c>
      <c r="K703" s="458" t="s">
        <v>249</v>
      </c>
      <c r="L703" s="519">
        <f t="shared" si="80"/>
        <v>3867107.78</v>
      </c>
      <c r="M703" s="519">
        <v>3827976.42</v>
      </c>
      <c r="N703" s="388">
        <v>39131.360000000001</v>
      </c>
      <c r="O703" s="473"/>
      <c r="P703" s="388"/>
      <c r="Q703" s="388"/>
      <c r="R703" s="446">
        <f>M703/G703</f>
        <v>3114.7082343368593</v>
      </c>
      <c r="T703" s="427"/>
      <c r="U703" s="428"/>
      <c r="V703" s="390"/>
      <c r="Y703" s="419">
        <f t="shared" si="73"/>
        <v>3867107.78</v>
      </c>
      <c r="Z703" s="419"/>
    </row>
    <row r="704" spans="1:26" s="429" customFormat="1" ht="75" hidden="1" customHeight="1">
      <c r="A704" s="504">
        <f t="shared" si="81"/>
        <v>4</v>
      </c>
      <c r="B704" s="543" t="s">
        <v>918</v>
      </c>
      <c r="C704" s="455" t="s">
        <v>222</v>
      </c>
      <c r="D704" s="681">
        <v>10524</v>
      </c>
      <c r="E704" s="646">
        <v>1945.4</v>
      </c>
      <c r="F704" s="388" t="s">
        <v>223</v>
      </c>
      <c r="G704" s="646">
        <v>1183</v>
      </c>
      <c r="H704" s="446">
        <v>5</v>
      </c>
      <c r="I704" s="446">
        <v>4</v>
      </c>
      <c r="J704" s="648">
        <v>52</v>
      </c>
      <c r="K704" s="683" t="s">
        <v>418</v>
      </c>
      <c r="L704" s="519">
        <f t="shared" si="80"/>
        <v>775675.70000000007</v>
      </c>
      <c r="M704" s="519">
        <v>773347.4</v>
      </c>
      <c r="N704" s="388"/>
      <c r="O704" s="643">
        <v>2328.3000000000002</v>
      </c>
      <c r="P704" s="388"/>
      <c r="Q704" s="388"/>
      <c r="R704" s="446">
        <f>M704/J704</f>
        <v>14872.065384615385</v>
      </c>
      <c r="T704" s="427"/>
      <c r="U704" s="428"/>
      <c r="V704" s="390"/>
      <c r="Y704" s="419">
        <f t="shared" si="73"/>
        <v>775675.70000000007</v>
      </c>
      <c r="Z704" s="419"/>
    </row>
    <row r="705" spans="1:26" s="404" customFormat="1" ht="150" hidden="1" customHeight="1">
      <c r="A705" s="504">
        <f t="shared" si="81"/>
        <v>5</v>
      </c>
      <c r="B705" s="403" t="s">
        <v>919</v>
      </c>
      <c r="C705" s="684" t="s">
        <v>222</v>
      </c>
      <c r="D705" s="641">
        <v>9014</v>
      </c>
      <c r="E705" s="388">
        <v>1929</v>
      </c>
      <c r="F705" s="388" t="s">
        <v>250</v>
      </c>
      <c r="G705" s="388">
        <v>913</v>
      </c>
      <c r="H705" s="446">
        <v>2</v>
      </c>
      <c r="I705" s="446">
        <v>1</v>
      </c>
      <c r="J705" s="446">
        <v>17</v>
      </c>
      <c r="K705" s="458" t="s">
        <v>249</v>
      </c>
      <c r="L705" s="519">
        <f t="shared" si="80"/>
        <v>2892196.69</v>
      </c>
      <c r="M705" s="519">
        <v>2863126.77</v>
      </c>
      <c r="N705" s="388">
        <v>29069.919999999998</v>
      </c>
      <c r="O705" s="473"/>
      <c r="P705" s="388"/>
      <c r="Q705" s="388"/>
      <c r="R705" s="446">
        <f t="shared" ref="R705:R713" si="82">M705/G705</f>
        <v>3135.9548411829137</v>
      </c>
      <c r="T705" s="427"/>
      <c r="U705" s="428"/>
      <c r="V705" s="390"/>
      <c r="Y705" s="419">
        <f t="shared" si="73"/>
        <v>2892196.69</v>
      </c>
      <c r="Z705" s="419"/>
    </row>
    <row r="706" spans="1:26" s="404" customFormat="1" ht="56.25" hidden="1" customHeight="1">
      <c r="A706" s="504">
        <f t="shared" si="81"/>
        <v>6</v>
      </c>
      <c r="B706" s="403" t="s">
        <v>920</v>
      </c>
      <c r="C706" s="455" t="s">
        <v>222</v>
      </c>
      <c r="D706" s="641">
        <v>11811</v>
      </c>
      <c r="E706" s="388">
        <v>2330.9</v>
      </c>
      <c r="F706" s="388" t="s">
        <v>224</v>
      </c>
      <c r="G706" s="388">
        <v>980</v>
      </c>
      <c r="H706" s="446">
        <v>5</v>
      </c>
      <c r="I706" s="446">
        <v>3</v>
      </c>
      <c r="J706" s="446">
        <v>60</v>
      </c>
      <c r="K706" s="458" t="s">
        <v>248</v>
      </c>
      <c r="L706" s="519">
        <f t="shared" si="80"/>
        <v>1776530.52</v>
      </c>
      <c r="M706" s="519">
        <v>1769802.33</v>
      </c>
      <c r="N706" s="388"/>
      <c r="O706" s="643">
        <v>6728.19</v>
      </c>
      <c r="P706" s="388"/>
      <c r="Q706" s="388"/>
      <c r="R706" s="446">
        <f t="shared" si="82"/>
        <v>1805.9207448979594</v>
      </c>
      <c r="T706" s="427"/>
      <c r="U706" s="428"/>
      <c r="V706" s="390"/>
      <c r="Y706" s="419">
        <f t="shared" si="73"/>
        <v>1776530.52</v>
      </c>
      <c r="Z706" s="419"/>
    </row>
    <row r="707" spans="1:26" s="404" customFormat="1" ht="56.25" hidden="1" customHeight="1">
      <c r="A707" s="504">
        <f t="shared" si="81"/>
        <v>7</v>
      </c>
      <c r="B707" s="543" t="s">
        <v>921</v>
      </c>
      <c r="C707" s="684" t="s">
        <v>222</v>
      </c>
      <c r="D707" s="681">
        <v>30432</v>
      </c>
      <c r="E707" s="646">
        <v>5437.4</v>
      </c>
      <c r="F707" s="388" t="s">
        <v>224</v>
      </c>
      <c r="G707" s="646">
        <v>2101</v>
      </c>
      <c r="H707" s="446">
        <v>5</v>
      </c>
      <c r="I707" s="446">
        <v>9</v>
      </c>
      <c r="J707" s="648">
        <v>105</v>
      </c>
      <c r="K707" s="458" t="s">
        <v>248</v>
      </c>
      <c r="L707" s="519">
        <f t="shared" si="80"/>
        <v>3858969.51</v>
      </c>
      <c r="M707" s="519">
        <v>3844545</v>
      </c>
      <c r="N707" s="388"/>
      <c r="O707" s="643">
        <v>14424.51</v>
      </c>
      <c r="P707" s="388"/>
      <c r="Q707" s="388"/>
      <c r="R707" s="446">
        <f t="shared" si="82"/>
        <v>1829.8643503093765</v>
      </c>
      <c r="T707" s="427"/>
      <c r="U707" s="428"/>
      <c r="V707" s="390"/>
      <c r="Y707" s="419">
        <f t="shared" si="73"/>
        <v>3858969.51</v>
      </c>
      <c r="Z707" s="419"/>
    </row>
    <row r="708" spans="1:26" s="404" customFormat="1" ht="37.5" hidden="1">
      <c r="A708" s="504">
        <f t="shared" si="81"/>
        <v>8</v>
      </c>
      <c r="B708" s="403" t="s">
        <v>922</v>
      </c>
      <c r="C708" s="455" t="s">
        <v>218</v>
      </c>
      <c r="D708" s="681">
        <v>19035</v>
      </c>
      <c r="E708" s="646">
        <v>3349.5</v>
      </c>
      <c r="F708" s="388" t="s">
        <v>224</v>
      </c>
      <c r="G708" s="646">
        <v>1306</v>
      </c>
      <c r="H708" s="446">
        <v>5</v>
      </c>
      <c r="I708" s="446">
        <v>5</v>
      </c>
      <c r="J708" s="648">
        <v>100</v>
      </c>
      <c r="K708" s="458" t="s">
        <v>248</v>
      </c>
      <c r="L708" s="519">
        <f t="shared" si="80"/>
        <v>2922651.94</v>
      </c>
      <c r="M708" s="519">
        <v>2913686</v>
      </c>
      <c r="N708" s="388"/>
      <c r="O708" s="643">
        <v>8965.94</v>
      </c>
      <c r="P708" s="388"/>
      <c r="Q708" s="388"/>
      <c r="R708" s="446">
        <f t="shared" si="82"/>
        <v>2231</v>
      </c>
      <c r="T708" s="427"/>
      <c r="U708" s="430"/>
      <c r="V708" s="390"/>
      <c r="Y708" s="419">
        <f t="shared" si="73"/>
        <v>2922651.94</v>
      </c>
      <c r="Z708" s="419"/>
    </row>
    <row r="709" spans="1:26" s="404" customFormat="1" ht="75" hidden="1" customHeight="1">
      <c r="A709" s="504">
        <f>A708+1</f>
        <v>9</v>
      </c>
      <c r="B709" s="403" t="s">
        <v>923</v>
      </c>
      <c r="C709" s="455" t="s">
        <v>222</v>
      </c>
      <c r="D709" s="641">
        <v>2421.3000000000002</v>
      </c>
      <c r="E709" s="388">
        <v>2421.3000000000002</v>
      </c>
      <c r="F709" s="388" t="s">
        <v>223</v>
      </c>
      <c r="G709" s="388">
        <v>1193</v>
      </c>
      <c r="H709" s="446">
        <v>5</v>
      </c>
      <c r="I709" s="446">
        <v>4</v>
      </c>
      <c r="J709" s="446">
        <v>80</v>
      </c>
      <c r="K709" s="458" t="s">
        <v>249</v>
      </c>
      <c r="L709" s="519">
        <f t="shared" si="80"/>
        <v>3771764.3600000003</v>
      </c>
      <c r="M709" s="519">
        <v>3733779.24</v>
      </c>
      <c r="N709" s="388">
        <v>37985.120000000003</v>
      </c>
      <c r="O709" s="473"/>
      <c r="P709" s="388"/>
      <c r="Q709" s="388"/>
      <c r="R709" s="446">
        <f t="shared" si="82"/>
        <v>3129.7395138306792</v>
      </c>
      <c r="T709" s="427"/>
      <c r="U709" s="428"/>
      <c r="V709" s="390"/>
      <c r="Y709" s="419">
        <f t="shared" si="73"/>
        <v>3771764.3600000003</v>
      </c>
      <c r="Z709" s="419"/>
    </row>
    <row r="710" spans="1:26" s="404" customFormat="1" ht="75" hidden="1" customHeight="1">
      <c r="A710" s="504">
        <f t="shared" si="81"/>
        <v>10</v>
      </c>
      <c r="B710" s="403" t="s">
        <v>924</v>
      </c>
      <c r="C710" s="455" t="s">
        <v>230</v>
      </c>
      <c r="D710" s="641">
        <v>1369</v>
      </c>
      <c r="E710" s="388">
        <v>428.9</v>
      </c>
      <c r="F710" s="388" t="s">
        <v>223</v>
      </c>
      <c r="G710" s="388">
        <v>473.2</v>
      </c>
      <c r="H710" s="446">
        <v>2</v>
      </c>
      <c r="I710" s="446">
        <v>2</v>
      </c>
      <c r="J710" s="446">
        <v>8</v>
      </c>
      <c r="K710" s="458" t="s">
        <v>249</v>
      </c>
      <c r="L710" s="519">
        <f t="shared" si="80"/>
        <v>985694.51</v>
      </c>
      <c r="M710" s="519">
        <v>963094.08</v>
      </c>
      <c r="N710" s="388">
        <v>22600.43</v>
      </c>
      <c r="O710" s="473"/>
      <c r="P710" s="388"/>
      <c r="Q710" s="388"/>
      <c r="R710" s="446">
        <f t="shared" si="82"/>
        <v>2035.2791208791209</v>
      </c>
      <c r="T710" s="427"/>
      <c r="U710" s="428"/>
      <c r="V710" s="390"/>
      <c r="Y710" s="419">
        <f t="shared" si="73"/>
        <v>985694.51</v>
      </c>
      <c r="Z710" s="419"/>
    </row>
    <row r="711" spans="1:26" s="404" customFormat="1" ht="56.25" hidden="1" customHeight="1">
      <c r="A711" s="504">
        <f t="shared" si="81"/>
        <v>11</v>
      </c>
      <c r="B711" s="543" t="s">
        <v>925</v>
      </c>
      <c r="C711" s="684" t="s">
        <v>222</v>
      </c>
      <c r="D711" s="641">
        <v>1185.4000000000001</v>
      </c>
      <c r="E711" s="388">
        <v>1222.5999999999999</v>
      </c>
      <c r="F711" s="388" t="s">
        <v>224</v>
      </c>
      <c r="G711" s="388">
        <v>1036</v>
      </c>
      <c r="H711" s="446">
        <v>2</v>
      </c>
      <c r="I711" s="446">
        <v>4</v>
      </c>
      <c r="J711" s="446">
        <v>24</v>
      </c>
      <c r="K711" s="682" t="s">
        <v>241</v>
      </c>
      <c r="L711" s="519">
        <f t="shared" si="80"/>
        <v>2511290.98</v>
      </c>
      <c r="M711" s="519">
        <v>2471089</v>
      </c>
      <c r="N711" s="388">
        <v>40201.980000000003</v>
      </c>
      <c r="O711" s="473"/>
      <c r="P711" s="388"/>
      <c r="Q711" s="388"/>
      <c r="R711" s="446">
        <f t="shared" si="82"/>
        <v>2385.2210424710424</v>
      </c>
      <c r="T711" s="427"/>
      <c r="U711" s="428"/>
      <c r="V711" s="390"/>
      <c r="Y711" s="419">
        <f t="shared" si="73"/>
        <v>2511290.98</v>
      </c>
      <c r="Z711" s="419"/>
    </row>
    <row r="712" spans="1:26" s="404" customFormat="1" ht="93.75" hidden="1" customHeight="1">
      <c r="A712" s="504">
        <f t="shared" si="81"/>
        <v>12</v>
      </c>
      <c r="B712" s="403" t="s">
        <v>926</v>
      </c>
      <c r="C712" s="684" t="s">
        <v>222</v>
      </c>
      <c r="D712" s="641">
        <v>1165.5</v>
      </c>
      <c r="E712" s="388">
        <v>1344.3</v>
      </c>
      <c r="F712" s="388" t="s">
        <v>224</v>
      </c>
      <c r="G712" s="388">
        <v>729.7</v>
      </c>
      <c r="H712" s="446">
        <v>3</v>
      </c>
      <c r="I712" s="446">
        <v>2</v>
      </c>
      <c r="J712" s="446">
        <v>29</v>
      </c>
      <c r="K712" s="682" t="s">
        <v>251</v>
      </c>
      <c r="L712" s="519">
        <f t="shared" si="80"/>
        <v>2080958.42</v>
      </c>
      <c r="M712" s="519">
        <v>2038484.8599999999</v>
      </c>
      <c r="N712" s="388">
        <v>42473.56</v>
      </c>
      <c r="O712" s="473"/>
      <c r="P712" s="388"/>
      <c r="Q712" s="388"/>
      <c r="R712" s="446">
        <f t="shared" si="82"/>
        <v>2793.5930656434148</v>
      </c>
      <c r="T712" s="403"/>
      <c r="U712" s="428"/>
      <c r="V712" s="390"/>
      <c r="Y712" s="419">
        <f t="shared" ref="Y712:Y775" si="83">M712+N712+O712+Q712</f>
        <v>2080958.42</v>
      </c>
      <c r="Z712" s="419"/>
    </row>
    <row r="713" spans="1:26" s="404" customFormat="1" ht="56.25" hidden="1" customHeight="1">
      <c r="A713" s="504">
        <f t="shared" si="81"/>
        <v>13</v>
      </c>
      <c r="B713" s="403" t="s">
        <v>927</v>
      </c>
      <c r="C713" s="455" t="s">
        <v>222</v>
      </c>
      <c r="D713" s="641">
        <v>26318</v>
      </c>
      <c r="E713" s="388">
        <v>4158.2</v>
      </c>
      <c r="F713" s="388" t="s">
        <v>228</v>
      </c>
      <c r="G713" s="388">
        <v>1694</v>
      </c>
      <c r="H713" s="446">
        <v>5</v>
      </c>
      <c r="I713" s="446">
        <v>7</v>
      </c>
      <c r="J713" s="446">
        <v>105</v>
      </c>
      <c r="K713" s="682" t="s">
        <v>241</v>
      </c>
      <c r="L713" s="519">
        <f t="shared" si="80"/>
        <v>3680296.5599999996</v>
      </c>
      <c r="M713" s="519">
        <v>3647428.7199999997</v>
      </c>
      <c r="N713" s="388">
        <v>32867.839999999997</v>
      </c>
      <c r="O713" s="473"/>
      <c r="P713" s="388"/>
      <c r="Q713" s="388"/>
      <c r="R713" s="446">
        <f t="shared" si="82"/>
        <v>2153.1456434474617</v>
      </c>
      <c r="T713" s="427"/>
      <c r="U713" s="428"/>
      <c r="V713" s="390"/>
      <c r="Y713" s="419">
        <f t="shared" si="83"/>
        <v>3680296.5599999996</v>
      </c>
      <c r="Z713" s="419"/>
    </row>
    <row r="714" spans="1:26" s="404" customFormat="1" ht="37.5" hidden="1" customHeight="1">
      <c r="A714" s="504">
        <f t="shared" si="81"/>
        <v>14</v>
      </c>
      <c r="B714" s="543" t="s">
        <v>928</v>
      </c>
      <c r="C714" s="455" t="s">
        <v>222</v>
      </c>
      <c r="D714" s="641">
        <v>5360</v>
      </c>
      <c r="E714" s="388">
        <v>1139.3</v>
      </c>
      <c r="F714" s="388" t="s">
        <v>223</v>
      </c>
      <c r="G714" s="388">
        <v>585</v>
      </c>
      <c r="H714" s="446">
        <v>4</v>
      </c>
      <c r="I714" s="446">
        <v>2</v>
      </c>
      <c r="J714" s="446">
        <v>32</v>
      </c>
      <c r="K714" s="683" t="s">
        <v>225</v>
      </c>
      <c r="L714" s="519">
        <f t="shared" si="80"/>
        <v>279594.45</v>
      </c>
      <c r="M714" s="645">
        <v>254122.45</v>
      </c>
      <c r="N714" s="388">
        <v>25472</v>
      </c>
      <c r="O714" s="473"/>
      <c r="P714" s="388"/>
      <c r="Q714" s="388"/>
      <c r="R714" s="446">
        <f>M714/J714</f>
        <v>7941.3265625000004</v>
      </c>
      <c r="T714" s="425"/>
      <c r="V714" s="390"/>
      <c r="Y714" s="419">
        <f t="shared" si="83"/>
        <v>279594.45</v>
      </c>
      <c r="Z714" s="419"/>
    </row>
    <row r="715" spans="1:26" s="404" customFormat="1" ht="75" hidden="1" customHeight="1">
      <c r="A715" s="504">
        <f t="shared" si="81"/>
        <v>15</v>
      </c>
      <c r="B715" s="424" t="s">
        <v>3977</v>
      </c>
      <c r="C715" s="455" t="s">
        <v>222</v>
      </c>
      <c r="D715" s="681">
        <v>5860</v>
      </c>
      <c r="E715" s="646">
        <v>1198.8</v>
      </c>
      <c r="F715" s="388" t="s">
        <v>223</v>
      </c>
      <c r="G715" s="646">
        <v>896</v>
      </c>
      <c r="H715" s="648">
        <v>3</v>
      </c>
      <c r="I715" s="648">
        <v>3</v>
      </c>
      <c r="J715" s="648">
        <v>36</v>
      </c>
      <c r="K715" s="458" t="s">
        <v>249</v>
      </c>
      <c r="L715" s="519">
        <f t="shared" si="80"/>
        <v>2812246.52</v>
      </c>
      <c r="M715" s="519">
        <v>2783717.88</v>
      </c>
      <c r="N715" s="388">
        <v>28528.639999999999</v>
      </c>
      <c r="O715" s="473"/>
      <c r="P715" s="388"/>
      <c r="Q715" s="388"/>
      <c r="R715" s="446">
        <f>M715/G715</f>
        <v>3106.8279910714286</v>
      </c>
      <c r="T715" s="403"/>
      <c r="U715" s="428"/>
      <c r="V715" s="390"/>
      <c r="Y715" s="419">
        <f t="shared" si="83"/>
        <v>2812246.52</v>
      </c>
      <c r="Z715" s="419"/>
    </row>
    <row r="716" spans="1:26" s="404" customFormat="1" ht="75" hidden="1" customHeight="1">
      <c r="A716" s="504">
        <f t="shared" si="81"/>
        <v>16</v>
      </c>
      <c r="B716" s="403" t="s">
        <v>3978</v>
      </c>
      <c r="C716" s="455" t="s">
        <v>222</v>
      </c>
      <c r="D716" s="641">
        <v>2396</v>
      </c>
      <c r="E716" s="388">
        <v>560</v>
      </c>
      <c r="F716" s="388" t="s">
        <v>223</v>
      </c>
      <c r="G716" s="388">
        <v>432</v>
      </c>
      <c r="H716" s="446">
        <v>2</v>
      </c>
      <c r="I716" s="446">
        <v>2</v>
      </c>
      <c r="J716" s="446">
        <v>8</v>
      </c>
      <c r="K716" s="458" t="s">
        <v>249</v>
      </c>
      <c r="L716" s="519">
        <f t="shared" si="80"/>
        <v>1112971.23</v>
      </c>
      <c r="M716" s="519">
        <v>1085461.47</v>
      </c>
      <c r="N716" s="388">
        <v>27509.759999999998</v>
      </c>
      <c r="O716" s="473"/>
      <c r="P716" s="388"/>
      <c r="Q716" s="388"/>
      <c r="R716" s="446">
        <f>M716/G716</f>
        <v>2512.6422916666666</v>
      </c>
      <c r="T716" s="427"/>
      <c r="U716" s="428"/>
      <c r="V716" s="390"/>
      <c r="Y716" s="419">
        <f t="shared" si="83"/>
        <v>1112971.23</v>
      </c>
      <c r="Z716" s="419"/>
    </row>
    <row r="717" spans="1:26" s="404" customFormat="1" ht="75" hidden="1" customHeight="1">
      <c r="A717" s="504">
        <f t="shared" si="81"/>
        <v>17</v>
      </c>
      <c r="B717" s="403" t="s">
        <v>3979</v>
      </c>
      <c r="C717" s="455" t="s">
        <v>222</v>
      </c>
      <c r="D717" s="685">
        <v>10440</v>
      </c>
      <c r="E717" s="686">
        <v>1948</v>
      </c>
      <c r="F717" s="388" t="s">
        <v>223</v>
      </c>
      <c r="G717" s="388">
        <v>1131</v>
      </c>
      <c r="H717" s="446">
        <v>4</v>
      </c>
      <c r="I717" s="446">
        <v>4</v>
      </c>
      <c r="J717" s="446">
        <v>63</v>
      </c>
      <c r="K717" s="683" t="s">
        <v>418</v>
      </c>
      <c r="L717" s="519">
        <f t="shared" si="80"/>
        <v>902277.55999999994</v>
      </c>
      <c r="M717" s="519">
        <v>899456.73</v>
      </c>
      <c r="N717" s="388"/>
      <c r="O717" s="643">
        <v>2820.83</v>
      </c>
      <c r="P717" s="388"/>
      <c r="Q717" s="388"/>
      <c r="R717" s="446">
        <f>M717/J717</f>
        <v>14277.090952380951</v>
      </c>
      <c r="T717" s="427"/>
      <c r="U717" s="428"/>
      <c r="V717" s="390"/>
      <c r="Y717" s="419">
        <f t="shared" si="83"/>
        <v>902277.55999999994</v>
      </c>
      <c r="Z717" s="419"/>
    </row>
    <row r="718" spans="1:26" s="404" customFormat="1" ht="56.25" hidden="1" customHeight="1">
      <c r="A718" s="504">
        <f t="shared" si="81"/>
        <v>18</v>
      </c>
      <c r="B718" s="403" t="s">
        <v>3980</v>
      </c>
      <c r="C718" s="455" t="s">
        <v>222</v>
      </c>
      <c r="D718" s="685">
        <v>15261</v>
      </c>
      <c r="E718" s="686">
        <v>3069.2</v>
      </c>
      <c r="F718" s="388" t="s">
        <v>224</v>
      </c>
      <c r="G718" s="388">
        <v>1200.4000000000001</v>
      </c>
      <c r="H718" s="446">
        <v>5</v>
      </c>
      <c r="I718" s="446">
        <v>4</v>
      </c>
      <c r="J718" s="446">
        <v>48</v>
      </c>
      <c r="K718" s="458" t="s">
        <v>248</v>
      </c>
      <c r="L718" s="519">
        <f t="shared" si="80"/>
        <v>1583722.07</v>
      </c>
      <c r="M718" s="519">
        <v>1575480.49</v>
      </c>
      <c r="N718" s="388"/>
      <c r="O718" s="643">
        <v>8241.58</v>
      </c>
      <c r="P718" s="388"/>
      <c r="Q718" s="388"/>
      <c r="R718" s="446">
        <f>M718/G718</f>
        <v>1312.4629206931022</v>
      </c>
      <c r="T718" s="427"/>
      <c r="U718" s="428"/>
      <c r="V718" s="390"/>
      <c r="Y718" s="419">
        <f t="shared" si="83"/>
        <v>1583722.07</v>
      </c>
      <c r="Z718" s="419"/>
    </row>
    <row r="719" spans="1:26" s="404" customFormat="1" ht="56.25" hidden="1" customHeight="1">
      <c r="A719" s="504">
        <f t="shared" si="81"/>
        <v>19</v>
      </c>
      <c r="B719" s="403" t="s">
        <v>3981</v>
      </c>
      <c r="C719" s="455" t="s">
        <v>218</v>
      </c>
      <c r="D719" s="641">
        <v>14027</v>
      </c>
      <c r="E719" s="388">
        <v>3075.6</v>
      </c>
      <c r="F719" s="388" t="s">
        <v>224</v>
      </c>
      <c r="G719" s="388">
        <v>1212.8</v>
      </c>
      <c r="H719" s="446">
        <v>5</v>
      </c>
      <c r="I719" s="446">
        <v>4</v>
      </c>
      <c r="J719" s="446">
        <v>80</v>
      </c>
      <c r="K719" s="458" t="s">
        <v>248</v>
      </c>
      <c r="L719" s="519">
        <f t="shared" si="80"/>
        <v>2133028.8000000003</v>
      </c>
      <c r="M719" s="519">
        <v>2124702.64</v>
      </c>
      <c r="N719" s="388"/>
      <c r="O719" s="643">
        <v>8326.16</v>
      </c>
      <c r="P719" s="388"/>
      <c r="Q719" s="388"/>
      <c r="R719" s="446">
        <f>M719/G719</f>
        <v>1751.8986147757257</v>
      </c>
      <c r="T719" s="427"/>
      <c r="U719" s="428"/>
      <c r="V719" s="390"/>
      <c r="Y719" s="419">
        <f t="shared" si="83"/>
        <v>2133028.8000000003</v>
      </c>
      <c r="Z719" s="419"/>
    </row>
    <row r="720" spans="1:26" s="404" customFormat="1" ht="75" hidden="1" customHeight="1">
      <c r="A720" s="504">
        <f t="shared" si="81"/>
        <v>20</v>
      </c>
      <c r="B720" s="403" t="s">
        <v>3982</v>
      </c>
      <c r="C720" s="455" t="s">
        <v>222</v>
      </c>
      <c r="D720" s="641">
        <v>4570</v>
      </c>
      <c r="E720" s="388">
        <v>1072.7</v>
      </c>
      <c r="F720" s="388" t="s">
        <v>223</v>
      </c>
      <c r="G720" s="388">
        <v>873.6</v>
      </c>
      <c r="H720" s="446">
        <v>2</v>
      </c>
      <c r="I720" s="446">
        <v>3</v>
      </c>
      <c r="J720" s="446">
        <v>14</v>
      </c>
      <c r="K720" s="683" t="s">
        <v>418</v>
      </c>
      <c r="L720" s="519">
        <f t="shared" si="80"/>
        <v>164765.04</v>
      </c>
      <c r="M720" s="519">
        <v>164138.19</v>
      </c>
      <c r="N720" s="388"/>
      <c r="O720" s="643">
        <v>626.85</v>
      </c>
      <c r="P720" s="388"/>
      <c r="Q720" s="388"/>
      <c r="R720" s="446">
        <f>M720/J720</f>
        <v>11724.156428571428</v>
      </c>
      <c r="T720" s="403"/>
      <c r="U720" s="428"/>
      <c r="V720" s="390"/>
      <c r="Y720" s="419">
        <f t="shared" si="83"/>
        <v>164765.04</v>
      </c>
      <c r="Z720" s="419"/>
    </row>
    <row r="721" spans="1:26" s="404" customFormat="1" ht="56.25" hidden="1" customHeight="1">
      <c r="A721" s="504">
        <f t="shared" si="81"/>
        <v>21</v>
      </c>
      <c r="B721" s="403" t="s">
        <v>3983</v>
      </c>
      <c r="C721" s="446" t="s">
        <v>222</v>
      </c>
      <c r="D721" s="641">
        <v>2965.25</v>
      </c>
      <c r="E721" s="388">
        <v>1186.0999999999999</v>
      </c>
      <c r="F721" s="388" t="s">
        <v>224</v>
      </c>
      <c r="G721" s="388">
        <v>783.8</v>
      </c>
      <c r="H721" s="446">
        <v>3</v>
      </c>
      <c r="I721" s="446">
        <v>3</v>
      </c>
      <c r="J721" s="446">
        <v>27</v>
      </c>
      <c r="K721" s="458" t="s">
        <v>248</v>
      </c>
      <c r="L721" s="519">
        <f t="shared" si="80"/>
        <v>1754008.94</v>
      </c>
      <c r="M721" s="519">
        <v>1748627.98</v>
      </c>
      <c r="N721" s="388"/>
      <c r="O721" s="643">
        <v>5380.96</v>
      </c>
      <c r="P721" s="388"/>
      <c r="Q721" s="388"/>
      <c r="R721" s="446">
        <f>M721/G721</f>
        <v>2230.9619545802502</v>
      </c>
      <c r="T721" s="403"/>
      <c r="U721" s="428"/>
      <c r="V721" s="390"/>
      <c r="Y721" s="419">
        <f t="shared" si="83"/>
        <v>1754008.94</v>
      </c>
      <c r="Z721" s="419"/>
    </row>
    <row r="722" spans="1:26" s="404" customFormat="1" ht="75" hidden="1" customHeight="1">
      <c r="A722" s="504">
        <f t="shared" si="81"/>
        <v>22</v>
      </c>
      <c r="B722" s="424" t="s">
        <v>3984</v>
      </c>
      <c r="C722" s="455" t="s">
        <v>222</v>
      </c>
      <c r="D722" s="681">
        <v>2060</v>
      </c>
      <c r="E722" s="646">
        <v>683.2</v>
      </c>
      <c r="F722" s="646" t="s">
        <v>252</v>
      </c>
      <c r="G722" s="646">
        <v>382.6</v>
      </c>
      <c r="H722" s="648">
        <v>2</v>
      </c>
      <c r="I722" s="648">
        <v>2</v>
      </c>
      <c r="J722" s="648">
        <v>8</v>
      </c>
      <c r="K722" s="683" t="s">
        <v>418</v>
      </c>
      <c r="L722" s="519">
        <f t="shared" si="80"/>
        <v>119742.09</v>
      </c>
      <c r="M722" s="394">
        <v>119383.89</v>
      </c>
      <c r="N722" s="388"/>
      <c r="O722" s="643">
        <v>358.2</v>
      </c>
      <c r="P722" s="388"/>
      <c r="Q722" s="388"/>
      <c r="R722" s="446">
        <f>M722/J722</f>
        <v>14922.98625</v>
      </c>
      <c r="T722" s="403"/>
      <c r="U722" s="428"/>
      <c r="V722" s="390"/>
      <c r="Y722" s="419">
        <f t="shared" si="83"/>
        <v>119742.09</v>
      </c>
      <c r="Z722" s="419"/>
    </row>
    <row r="723" spans="1:26" s="404" customFormat="1" ht="75" hidden="1" customHeight="1">
      <c r="A723" s="504">
        <f t="shared" si="81"/>
        <v>23</v>
      </c>
      <c r="B723" s="403" t="s">
        <v>3985</v>
      </c>
      <c r="C723" s="455" t="s">
        <v>222</v>
      </c>
      <c r="D723" s="685">
        <v>2001</v>
      </c>
      <c r="E723" s="686">
        <v>515.5</v>
      </c>
      <c r="F723" s="388" t="s">
        <v>223</v>
      </c>
      <c r="G723" s="388">
        <v>382.6</v>
      </c>
      <c r="H723" s="446">
        <v>2</v>
      </c>
      <c r="I723" s="446">
        <v>2</v>
      </c>
      <c r="J723" s="446">
        <v>8</v>
      </c>
      <c r="K723" s="458" t="s">
        <v>249</v>
      </c>
      <c r="L723" s="519">
        <f t="shared" si="80"/>
        <v>1009867.3099999999</v>
      </c>
      <c r="M723" s="519">
        <v>985503.74</v>
      </c>
      <c r="N723" s="388">
        <v>24363.57</v>
      </c>
      <c r="O723" s="473"/>
      <c r="P723" s="388"/>
      <c r="Q723" s="388"/>
      <c r="R723" s="446">
        <f>M723/G723</f>
        <v>2575.8069524307371</v>
      </c>
      <c r="T723" s="403"/>
      <c r="U723" s="428"/>
      <c r="V723" s="390"/>
      <c r="Y723" s="419">
        <f t="shared" si="83"/>
        <v>1009867.3099999999</v>
      </c>
      <c r="Z723" s="419"/>
    </row>
    <row r="724" spans="1:26" s="404" customFormat="1" ht="75" hidden="1" customHeight="1">
      <c r="A724" s="504">
        <f t="shared" si="81"/>
        <v>24</v>
      </c>
      <c r="B724" s="403" t="s">
        <v>3986</v>
      </c>
      <c r="C724" s="455" t="s">
        <v>222</v>
      </c>
      <c r="D724" s="641">
        <v>5330</v>
      </c>
      <c r="E724" s="388">
        <v>1105.3</v>
      </c>
      <c r="F724" s="388" t="s">
        <v>223</v>
      </c>
      <c r="G724" s="388">
        <v>923.7</v>
      </c>
      <c r="H724" s="446">
        <v>2</v>
      </c>
      <c r="I724" s="446">
        <v>3</v>
      </c>
      <c r="J724" s="446">
        <v>18</v>
      </c>
      <c r="K724" s="458" t="s">
        <v>249</v>
      </c>
      <c r="L724" s="519">
        <f t="shared" si="80"/>
        <v>2925210.1399999997</v>
      </c>
      <c r="M724" s="519">
        <v>2895799.9299999997</v>
      </c>
      <c r="N724" s="388">
        <v>29410.21</v>
      </c>
      <c r="O724" s="473"/>
      <c r="P724" s="388"/>
      <c r="Q724" s="388"/>
      <c r="R724" s="446">
        <f>M724/G724</f>
        <v>3135.0004655191074</v>
      </c>
      <c r="T724" s="403"/>
      <c r="U724" s="428"/>
      <c r="V724" s="390"/>
      <c r="Y724" s="419">
        <f t="shared" si="83"/>
        <v>2925210.1399999997</v>
      </c>
      <c r="Z724" s="419"/>
    </row>
    <row r="725" spans="1:26" s="404" customFormat="1" ht="75" hidden="1" customHeight="1">
      <c r="A725" s="504">
        <f t="shared" si="81"/>
        <v>25</v>
      </c>
      <c r="B725" s="403" t="s">
        <v>3987</v>
      </c>
      <c r="C725" s="455" t="s">
        <v>222</v>
      </c>
      <c r="D725" s="641">
        <v>2352</v>
      </c>
      <c r="E725" s="388">
        <v>645.4</v>
      </c>
      <c r="F725" s="388" t="s">
        <v>223</v>
      </c>
      <c r="G725" s="388">
        <v>436.8</v>
      </c>
      <c r="H725" s="446">
        <v>2</v>
      </c>
      <c r="I725" s="446">
        <v>2</v>
      </c>
      <c r="J725" s="446">
        <v>8</v>
      </c>
      <c r="K725" s="683" t="s">
        <v>418</v>
      </c>
      <c r="L725" s="519">
        <f t="shared" si="80"/>
        <v>120238.2</v>
      </c>
      <c r="M725" s="519">
        <v>119880</v>
      </c>
      <c r="N725" s="388"/>
      <c r="O725" s="643">
        <v>358.2</v>
      </c>
      <c r="P725" s="388"/>
      <c r="Q725" s="388"/>
      <c r="R725" s="446">
        <f>M725/J725</f>
        <v>14985</v>
      </c>
      <c r="T725" s="403"/>
      <c r="U725" s="428"/>
      <c r="V725" s="390"/>
      <c r="Y725" s="419">
        <f t="shared" si="83"/>
        <v>120238.2</v>
      </c>
      <c r="Z725" s="419"/>
    </row>
    <row r="726" spans="1:26" s="404" customFormat="1" ht="75" hidden="1" customHeight="1">
      <c r="A726" s="504">
        <f t="shared" si="81"/>
        <v>26</v>
      </c>
      <c r="B726" s="403" t="s">
        <v>3988</v>
      </c>
      <c r="C726" s="455" t="s">
        <v>222</v>
      </c>
      <c r="D726" s="641">
        <v>2052</v>
      </c>
      <c r="E726" s="388">
        <v>529.20000000000005</v>
      </c>
      <c r="F726" s="388" t="s">
        <v>231</v>
      </c>
      <c r="G726" s="388">
        <v>381.1</v>
      </c>
      <c r="H726" s="446">
        <v>2</v>
      </c>
      <c r="I726" s="446">
        <v>2</v>
      </c>
      <c r="J726" s="446">
        <v>8</v>
      </c>
      <c r="K726" s="683" t="s">
        <v>418</v>
      </c>
      <c r="L726" s="519">
        <f t="shared" si="80"/>
        <v>119811.2</v>
      </c>
      <c r="M726" s="519">
        <v>119453</v>
      </c>
      <c r="N726" s="388"/>
      <c r="O726" s="643">
        <v>358.2</v>
      </c>
      <c r="P726" s="388"/>
      <c r="Q726" s="388"/>
      <c r="R726" s="446">
        <f>M726/J726</f>
        <v>14931.625</v>
      </c>
      <c r="T726" s="403"/>
      <c r="U726" s="428"/>
      <c r="V726" s="390"/>
      <c r="Y726" s="419">
        <f t="shared" si="83"/>
        <v>119811.2</v>
      </c>
      <c r="Z726" s="419"/>
    </row>
    <row r="727" spans="1:26" s="404" customFormat="1" ht="75" hidden="1" customHeight="1">
      <c r="A727" s="504">
        <f t="shared" si="81"/>
        <v>27</v>
      </c>
      <c r="B727" s="403" t="s">
        <v>3989</v>
      </c>
      <c r="C727" s="455" t="s">
        <v>222</v>
      </c>
      <c r="D727" s="641">
        <v>2078</v>
      </c>
      <c r="E727" s="388">
        <v>537.20000000000005</v>
      </c>
      <c r="F727" s="388" t="s">
        <v>223</v>
      </c>
      <c r="G727" s="388">
        <v>380.5</v>
      </c>
      <c r="H727" s="446">
        <v>2</v>
      </c>
      <c r="I727" s="446">
        <v>2</v>
      </c>
      <c r="J727" s="446">
        <v>8</v>
      </c>
      <c r="K727" s="458" t="s">
        <v>249</v>
      </c>
      <c r="L727" s="519">
        <f t="shared" si="80"/>
        <v>1151215.0900000001</v>
      </c>
      <c r="M727" s="519">
        <v>1126984.8500000001</v>
      </c>
      <c r="N727" s="388">
        <v>24230.240000000002</v>
      </c>
      <c r="O727" s="473"/>
      <c r="P727" s="388"/>
      <c r="Q727" s="388"/>
      <c r="R727" s="446">
        <f>M727/G727</f>
        <v>2961.8524310118269</v>
      </c>
      <c r="T727" s="403"/>
      <c r="U727" s="428"/>
      <c r="V727" s="390"/>
      <c r="Y727" s="419">
        <f t="shared" si="83"/>
        <v>1151215.0900000001</v>
      </c>
      <c r="Z727" s="419"/>
    </row>
    <row r="728" spans="1:26" s="404" customFormat="1" ht="56.25" hidden="1" customHeight="1">
      <c r="A728" s="504">
        <f t="shared" si="81"/>
        <v>28</v>
      </c>
      <c r="B728" s="403" t="s">
        <v>3990</v>
      </c>
      <c r="C728" s="455" t="s">
        <v>218</v>
      </c>
      <c r="D728" s="641">
        <v>19503</v>
      </c>
      <c r="E728" s="388">
        <v>3783.1</v>
      </c>
      <c r="F728" s="388" t="s">
        <v>224</v>
      </c>
      <c r="G728" s="388">
        <v>1403.1</v>
      </c>
      <c r="H728" s="446">
        <v>5</v>
      </c>
      <c r="I728" s="446">
        <v>7</v>
      </c>
      <c r="J728" s="446">
        <v>103</v>
      </c>
      <c r="K728" s="458" t="s">
        <v>248</v>
      </c>
      <c r="L728" s="519">
        <f t="shared" si="80"/>
        <v>3691974.9</v>
      </c>
      <c r="M728" s="519">
        <v>3678572.25</v>
      </c>
      <c r="N728" s="388"/>
      <c r="O728" s="643">
        <v>13402.65</v>
      </c>
      <c r="P728" s="388"/>
      <c r="Q728" s="388"/>
      <c r="R728" s="446">
        <f>M728/G728</f>
        <v>2621.746311738294</v>
      </c>
      <c r="T728" s="403"/>
      <c r="U728" s="428"/>
      <c r="V728" s="390"/>
      <c r="Y728" s="419">
        <f t="shared" si="83"/>
        <v>3691974.9</v>
      </c>
      <c r="Z728" s="419"/>
    </row>
    <row r="729" spans="1:26" s="404" customFormat="1" ht="75" hidden="1" customHeight="1">
      <c r="A729" s="504">
        <f t="shared" si="81"/>
        <v>29</v>
      </c>
      <c r="B729" s="403" t="s">
        <v>3991</v>
      </c>
      <c r="C729" s="455" t="s">
        <v>222</v>
      </c>
      <c r="D729" s="641">
        <v>2500</v>
      </c>
      <c r="E729" s="388">
        <v>607.20000000000005</v>
      </c>
      <c r="F729" s="388" t="s">
        <v>223</v>
      </c>
      <c r="G729" s="388">
        <v>542</v>
      </c>
      <c r="H729" s="446">
        <v>2</v>
      </c>
      <c r="I729" s="446">
        <v>2</v>
      </c>
      <c r="J729" s="446">
        <v>12</v>
      </c>
      <c r="K729" s="458" t="s">
        <v>249</v>
      </c>
      <c r="L729" s="519">
        <f t="shared" si="80"/>
        <v>1426248.74</v>
      </c>
      <c r="M729" s="519">
        <v>1391734.18</v>
      </c>
      <c r="N729" s="388">
        <v>34514.559999999998</v>
      </c>
      <c r="O729" s="473"/>
      <c r="P729" s="388"/>
      <c r="Q729" s="388"/>
      <c r="R729" s="446">
        <f>M729/G729</f>
        <v>2567.7752398523985</v>
      </c>
      <c r="T729" s="403"/>
      <c r="U729" s="428"/>
      <c r="V729" s="390"/>
      <c r="Y729" s="419">
        <f t="shared" si="83"/>
        <v>1426248.74</v>
      </c>
      <c r="Z729" s="419"/>
    </row>
    <row r="730" spans="1:26" s="404" customFormat="1" ht="56.25" hidden="1" customHeight="1">
      <c r="A730" s="504">
        <f t="shared" si="81"/>
        <v>30</v>
      </c>
      <c r="B730" s="403" t="s">
        <v>3992</v>
      </c>
      <c r="C730" s="455" t="s">
        <v>222</v>
      </c>
      <c r="D730" s="641">
        <v>6455</v>
      </c>
      <c r="E730" s="388">
        <v>1697.13</v>
      </c>
      <c r="F730" s="388" t="s">
        <v>224</v>
      </c>
      <c r="G730" s="388">
        <v>982.4</v>
      </c>
      <c r="H730" s="446">
        <v>3</v>
      </c>
      <c r="I730" s="446">
        <v>3</v>
      </c>
      <c r="J730" s="446">
        <v>36</v>
      </c>
      <c r="K730" s="458" t="s">
        <v>248</v>
      </c>
      <c r="L730" s="519">
        <f t="shared" si="80"/>
        <v>2022769.6500000001</v>
      </c>
      <c r="M730" s="519">
        <v>2016024.54</v>
      </c>
      <c r="N730" s="388"/>
      <c r="O730" s="643">
        <v>6745.11</v>
      </c>
      <c r="P730" s="388"/>
      <c r="Q730" s="388"/>
      <c r="R730" s="446">
        <f>M730/G730</f>
        <v>2052.1422434853421</v>
      </c>
      <c r="T730" s="403"/>
      <c r="U730" s="428"/>
      <c r="V730" s="390"/>
      <c r="Y730" s="419">
        <f t="shared" si="83"/>
        <v>2022769.6500000001</v>
      </c>
      <c r="Z730" s="419"/>
    </row>
    <row r="731" spans="1:26" s="404" customFormat="1" ht="75" hidden="1" customHeight="1">
      <c r="A731" s="504">
        <f t="shared" si="81"/>
        <v>31</v>
      </c>
      <c r="B731" s="424" t="s">
        <v>3993</v>
      </c>
      <c r="C731" s="455" t="s">
        <v>222</v>
      </c>
      <c r="D731" s="681">
        <v>2363</v>
      </c>
      <c r="E731" s="646">
        <v>572.4</v>
      </c>
      <c r="F731" s="388" t="s">
        <v>223</v>
      </c>
      <c r="G731" s="646">
        <v>424</v>
      </c>
      <c r="H731" s="648">
        <v>2</v>
      </c>
      <c r="I731" s="648">
        <v>2</v>
      </c>
      <c r="J731" s="648">
        <v>8</v>
      </c>
      <c r="K731" s="683" t="s">
        <v>418</v>
      </c>
      <c r="L731" s="519">
        <f t="shared" si="80"/>
        <v>119758.2</v>
      </c>
      <c r="M731" s="519">
        <v>119400</v>
      </c>
      <c r="N731" s="388"/>
      <c r="O731" s="643">
        <v>358.2</v>
      </c>
      <c r="P731" s="388"/>
      <c r="Q731" s="388"/>
      <c r="R731" s="446">
        <f>M731/J731</f>
        <v>14925</v>
      </c>
      <c r="T731" s="403"/>
      <c r="U731" s="428"/>
      <c r="V731" s="390"/>
      <c r="Y731" s="419">
        <f t="shared" si="83"/>
        <v>119758.2</v>
      </c>
      <c r="Z731" s="419"/>
    </row>
    <row r="732" spans="1:26" s="404" customFormat="1" ht="75" hidden="1" customHeight="1">
      <c r="A732" s="504">
        <f t="shared" si="81"/>
        <v>32</v>
      </c>
      <c r="B732" s="403" t="s">
        <v>3994</v>
      </c>
      <c r="C732" s="455" t="s">
        <v>222</v>
      </c>
      <c r="D732" s="641">
        <v>2684</v>
      </c>
      <c r="E732" s="388">
        <v>582.6</v>
      </c>
      <c r="F732" s="388" t="s">
        <v>223</v>
      </c>
      <c r="G732" s="388">
        <v>562.5</v>
      </c>
      <c r="H732" s="446">
        <v>2</v>
      </c>
      <c r="I732" s="446">
        <v>2</v>
      </c>
      <c r="J732" s="446">
        <v>16</v>
      </c>
      <c r="K732" s="683" t="s">
        <v>418</v>
      </c>
      <c r="L732" s="519">
        <f t="shared" si="80"/>
        <v>239577.25</v>
      </c>
      <c r="M732" s="519">
        <v>238860.85</v>
      </c>
      <c r="N732" s="388"/>
      <c r="O732" s="643">
        <v>716.4</v>
      </c>
      <c r="P732" s="388"/>
      <c r="Q732" s="388"/>
      <c r="R732" s="446">
        <f>M732/J732</f>
        <v>14928.803125</v>
      </c>
      <c r="T732" s="403"/>
      <c r="U732" s="428"/>
      <c r="V732" s="390"/>
      <c r="Y732" s="419">
        <f t="shared" si="83"/>
        <v>239577.25</v>
      </c>
      <c r="Z732" s="419"/>
    </row>
    <row r="733" spans="1:26" s="404" customFormat="1" ht="56.25" hidden="1" customHeight="1">
      <c r="A733" s="504">
        <f t="shared" si="81"/>
        <v>33</v>
      </c>
      <c r="B733" s="424" t="s">
        <v>3995</v>
      </c>
      <c r="C733" s="455" t="s">
        <v>222</v>
      </c>
      <c r="D733" s="681">
        <v>2462</v>
      </c>
      <c r="E733" s="646">
        <v>516.20000000000005</v>
      </c>
      <c r="F733" s="646" t="s">
        <v>224</v>
      </c>
      <c r="G733" s="646">
        <v>471.9</v>
      </c>
      <c r="H733" s="648">
        <v>2</v>
      </c>
      <c r="I733" s="648">
        <v>2</v>
      </c>
      <c r="J733" s="648">
        <v>12</v>
      </c>
      <c r="K733" s="682" t="s">
        <v>241</v>
      </c>
      <c r="L733" s="519">
        <f t="shared" si="80"/>
        <v>1162706.3699999999</v>
      </c>
      <c r="M733" s="519">
        <v>1135238.3999999999</v>
      </c>
      <c r="N733" s="388">
        <v>27467.97</v>
      </c>
      <c r="O733" s="473"/>
      <c r="P733" s="646"/>
      <c r="Q733" s="388"/>
      <c r="R733" s="446">
        <f>M733/G733</f>
        <v>2405.6757787666879</v>
      </c>
      <c r="T733" s="403"/>
      <c r="U733" s="428"/>
      <c r="V733" s="390"/>
      <c r="Y733" s="419">
        <f t="shared" si="83"/>
        <v>1162706.3699999999</v>
      </c>
      <c r="Z733" s="419"/>
    </row>
    <row r="734" spans="1:26" s="404" customFormat="1" ht="75" hidden="1" customHeight="1">
      <c r="A734" s="504">
        <f t="shared" si="81"/>
        <v>34</v>
      </c>
      <c r="B734" s="424" t="s">
        <v>3996</v>
      </c>
      <c r="C734" s="455" t="s">
        <v>222</v>
      </c>
      <c r="D734" s="681">
        <v>2160</v>
      </c>
      <c r="E734" s="646">
        <v>586.1</v>
      </c>
      <c r="F734" s="388" t="s">
        <v>223</v>
      </c>
      <c r="G734" s="646">
        <v>422.2</v>
      </c>
      <c r="H734" s="648">
        <v>2</v>
      </c>
      <c r="I734" s="648">
        <v>2</v>
      </c>
      <c r="J734" s="648">
        <v>8</v>
      </c>
      <c r="K734" s="683" t="s">
        <v>418</v>
      </c>
      <c r="L734" s="519">
        <f t="shared" si="80"/>
        <v>120018.64</v>
      </c>
      <c r="M734" s="519">
        <v>119660.44</v>
      </c>
      <c r="N734" s="388"/>
      <c r="O734" s="643">
        <v>358.2</v>
      </c>
      <c r="P734" s="388"/>
      <c r="Q734" s="388"/>
      <c r="R734" s="446">
        <f>M734/J734</f>
        <v>14957.555</v>
      </c>
      <c r="T734" s="403"/>
      <c r="U734" s="428"/>
      <c r="V734" s="390"/>
      <c r="Y734" s="419">
        <f t="shared" si="83"/>
        <v>120018.64</v>
      </c>
      <c r="Z734" s="419"/>
    </row>
    <row r="735" spans="1:26" s="404" customFormat="1" ht="75" hidden="1" customHeight="1">
      <c r="A735" s="504">
        <f t="shared" si="81"/>
        <v>35</v>
      </c>
      <c r="B735" s="403" t="s">
        <v>929</v>
      </c>
      <c r="C735" s="455" t="s">
        <v>222</v>
      </c>
      <c r="D735" s="641">
        <v>1446</v>
      </c>
      <c r="E735" s="388">
        <v>380</v>
      </c>
      <c r="F735" s="388" t="s">
        <v>223</v>
      </c>
      <c r="G735" s="388">
        <v>680</v>
      </c>
      <c r="H735" s="446">
        <v>2</v>
      </c>
      <c r="I735" s="446">
        <v>2</v>
      </c>
      <c r="J735" s="446">
        <v>8</v>
      </c>
      <c r="K735" s="458" t="s">
        <v>249</v>
      </c>
      <c r="L735" s="519">
        <f t="shared" si="80"/>
        <v>941918.3899999999</v>
      </c>
      <c r="M735" s="519">
        <v>909949.03999999992</v>
      </c>
      <c r="N735" s="388">
        <v>31969.35</v>
      </c>
      <c r="O735" s="473"/>
      <c r="P735" s="388"/>
      <c r="Q735" s="388"/>
      <c r="R735" s="446">
        <f>M735/G735</f>
        <v>1338.1603529411764</v>
      </c>
      <c r="T735" s="403"/>
      <c r="U735" s="428"/>
      <c r="V735" s="390"/>
      <c r="Y735" s="419">
        <f t="shared" si="83"/>
        <v>941918.3899999999</v>
      </c>
      <c r="Z735" s="419"/>
    </row>
    <row r="736" spans="1:26" s="404" customFormat="1" ht="75" hidden="1" customHeight="1">
      <c r="A736" s="504">
        <f t="shared" si="81"/>
        <v>36</v>
      </c>
      <c r="B736" s="403" t="s">
        <v>930</v>
      </c>
      <c r="C736" s="455" t="s">
        <v>222</v>
      </c>
      <c r="D736" s="641">
        <v>2550</v>
      </c>
      <c r="E736" s="388">
        <v>480</v>
      </c>
      <c r="F736" s="388" t="s">
        <v>223</v>
      </c>
      <c r="G736" s="388">
        <v>720</v>
      </c>
      <c r="H736" s="446">
        <v>2</v>
      </c>
      <c r="I736" s="446">
        <v>2</v>
      </c>
      <c r="J736" s="446">
        <v>16</v>
      </c>
      <c r="K736" s="458" t="s">
        <v>249</v>
      </c>
      <c r="L736" s="519">
        <f t="shared" si="80"/>
        <v>2161364.58</v>
      </c>
      <c r="M736" s="519">
        <v>2128036.06</v>
      </c>
      <c r="N736" s="388">
        <v>33328.519999999997</v>
      </c>
      <c r="O736" s="473"/>
      <c r="P736" s="388"/>
      <c r="Q736" s="388"/>
      <c r="R736" s="446">
        <f>M736/G736</f>
        <v>2955.6056388888892</v>
      </c>
      <c r="T736" s="403"/>
      <c r="U736" s="428"/>
      <c r="V736" s="390"/>
      <c r="Y736" s="419">
        <f t="shared" si="83"/>
        <v>2161364.58</v>
      </c>
      <c r="Z736" s="419"/>
    </row>
    <row r="737" spans="1:26" s="404" customFormat="1" ht="75" hidden="1" customHeight="1">
      <c r="A737" s="504">
        <f t="shared" si="81"/>
        <v>37</v>
      </c>
      <c r="B737" s="403" t="s">
        <v>931</v>
      </c>
      <c r="C737" s="455" t="s">
        <v>222</v>
      </c>
      <c r="D737" s="641">
        <v>2832</v>
      </c>
      <c r="E737" s="388">
        <v>1000</v>
      </c>
      <c r="F737" s="388" t="s">
        <v>223</v>
      </c>
      <c r="G737" s="388">
        <v>884</v>
      </c>
      <c r="H737" s="446">
        <v>2</v>
      </c>
      <c r="I737" s="446">
        <v>2</v>
      </c>
      <c r="J737" s="446">
        <v>16</v>
      </c>
      <c r="K737" s="458" t="s">
        <v>249</v>
      </c>
      <c r="L737" s="519">
        <f t="shared" si="80"/>
        <v>2579756.98</v>
      </c>
      <c r="M737" s="519">
        <v>2552490</v>
      </c>
      <c r="N737" s="388">
        <v>27266.98</v>
      </c>
      <c r="O737" s="473"/>
      <c r="P737" s="388"/>
      <c r="Q737" s="388"/>
      <c r="R737" s="446">
        <f>M737/G737</f>
        <v>2887.4321266968327</v>
      </c>
      <c r="T737" s="403"/>
      <c r="U737" s="428"/>
      <c r="V737" s="390"/>
      <c r="Y737" s="419">
        <f t="shared" si="83"/>
        <v>2579756.98</v>
      </c>
      <c r="Z737" s="419"/>
    </row>
    <row r="738" spans="1:26" s="404" customFormat="1" ht="37.5" hidden="1" customHeight="1">
      <c r="A738" s="504">
        <f t="shared" si="81"/>
        <v>38</v>
      </c>
      <c r="B738" s="403" t="s">
        <v>3550</v>
      </c>
      <c r="C738" s="455" t="s">
        <v>222</v>
      </c>
      <c r="D738" s="641">
        <v>14096</v>
      </c>
      <c r="E738" s="388">
        <v>2118</v>
      </c>
      <c r="F738" s="388" t="s">
        <v>224</v>
      </c>
      <c r="G738" s="388">
        <v>680</v>
      </c>
      <c r="H738" s="446">
        <v>5</v>
      </c>
      <c r="I738" s="446">
        <v>4</v>
      </c>
      <c r="J738" s="446">
        <v>71</v>
      </c>
      <c r="K738" s="458" t="s">
        <v>225</v>
      </c>
      <c r="L738" s="519">
        <f t="shared" si="80"/>
        <v>926337.43</v>
      </c>
      <c r="M738" s="394">
        <v>891527.05</v>
      </c>
      <c r="N738" s="388">
        <v>22399.74</v>
      </c>
      <c r="O738" s="473"/>
      <c r="P738" s="388"/>
      <c r="Q738" s="388">
        <v>12410.64</v>
      </c>
      <c r="R738" s="446">
        <f>M738/J738</f>
        <v>12556.719014084507</v>
      </c>
      <c r="T738" s="403"/>
      <c r="U738" s="428"/>
      <c r="V738" s="390"/>
      <c r="Y738" s="419">
        <f t="shared" si="83"/>
        <v>926337.43</v>
      </c>
      <c r="Z738" s="419"/>
    </row>
    <row r="739" spans="1:26" s="404" customFormat="1" ht="37.5" hidden="1" customHeight="1">
      <c r="A739" s="504">
        <f t="shared" si="81"/>
        <v>39</v>
      </c>
      <c r="B739" s="403" t="s">
        <v>3552</v>
      </c>
      <c r="C739" s="455" t="s">
        <v>222</v>
      </c>
      <c r="D739" s="641">
        <v>7020</v>
      </c>
      <c r="E739" s="388">
        <v>1619.4</v>
      </c>
      <c r="F739" s="388" t="s">
        <v>229</v>
      </c>
      <c r="G739" s="388">
        <v>1756</v>
      </c>
      <c r="H739" s="446">
        <v>3</v>
      </c>
      <c r="I739" s="446">
        <v>3</v>
      </c>
      <c r="J739" s="446">
        <v>25</v>
      </c>
      <c r="K739" s="458" t="s">
        <v>225</v>
      </c>
      <c r="L739" s="519">
        <f t="shared" si="80"/>
        <v>414050.97000000003</v>
      </c>
      <c r="M739" s="394">
        <v>395887.44</v>
      </c>
      <c r="N739" s="388">
        <v>12782.88</v>
      </c>
      <c r="O739" s="473"/>
      <c r="P739" s="388"/>
      <c r="Q739" s="388">
        <v>5380.65</v>
      </c>
      <c r="R739" s="446">
        <f>M739/J739</f>
        <v>15835.497600000001</v>
      </c>
      <c r="T739" s="403"/>
      <c r="U739" s="428"/>
      <c r="V739" s="390"/>
      <c r="Y739" s="419">
        <f t="shared" si="83"/>
        <v>414050.97000000003</v>
      </c>
      <c r="Z739" s="419"/>
    </row>
    <row r="740" spans="1:26" s="404" customFormat="1" ht="37.5" hidden="1" customHeight="1">
      <c r="A740" s="504">
        <f t="shared" si="81"/>
        <v>40</v>
      </c>
      <c r="B740" s="403" t="s">
        <v>3553</v>
      </c>
      <c r="C740" s="455" t="s">
        <v>222</v>
      </c>
      <c r="D740" s="641">
        <v>5980</v>
      </c>
      <c r="E740" s="388">
        <v>1290.5999999999999</v>
      </c>
      <c r="F740" s="388" t="s">
        <v>229</v>
      </c>
      <c r="G740" s="388">
        <v>928</v>
      </c>
      <c r="H740" s="446">
        <v>4</v>
      </c>
      <c r="I740" s="446">
        <v>2</v>
      </c>
      <c r="J740" s="446">
        <v>32</v>
      </c>
      <c r="K740" s="458" t="s">
        <v>225</v>
      </c>
      <c r="L740" s="519">
        <f t="shared" si="80"/>
        <v>373722.74000000005</v>
      </c>
      <c r="M740" s="394">
        <v>354576.14</v>
      </c>
      <c r="N740" s="388">
        <v>14693.58</v>
      </c>
      <c r="O740" s="553"/>
      <c r="P740" s="388"/>
      <c r="Q740" s="388">
        <v>4453.0200000000004</v>
      </c>
      <c r="R740" s="446">
        <f>M740/J740</f>
        <v>11080.504375</v>
      </c>
      <c r="T740" s="403"/>
      <c r="U740" s="428"/>
      <c r="V740" s="390"/>
      <c r="Y740" s="419">
        <f t="shared" si="83"/>
        <v>373722.74000000005</v>
      </c>
      <c r="Z740" s="419"/>
    </row>
    <row r="741" spans="1:26" s="403" customFormat="1" ht="58.5" hidden="1" customHeight="1">
      <c r="A741" s="1115" t="s">
        <v>50</v>
      </c>
      <c r="B741" s="1115"/>
      <c r="C741" s="531" t="s">
        <v>28</v>
      </c>
      <c r="D741" s="641">
        <f>SUM(D701:D740)</f>
        <v>295307.45</v>
      </c>
      <c r="E741" s="388">
        <f>SUM(E701:E740)</f>
        <v>64034.529999999977</v>
      </c>
      <c r="F741" s="388" t="s">
        <v>28</v>
      </c>
      <c r="G741" s="388">
        <f>SUM(G701:G740)</f>
        <v>35461.5</v>
      </c>
      <c r="H741" s="446" t="s">
        <v>28</v>
      </c>
      <c r="I741" s="446" t="s">
        <v>28</v>
      </c>
      <c r="J741" s="446">
        <f>SUM(J701:J740)</f>
        <v>1493</v>
      </c>
      <c r="K741" s="504" t="s">
        <v>28</v>
      </c>
      <c r="L741" s="519">
        <f>SUM(L701:L740)</f>
        <v>66586665.870000012</v>
      </c>
      <c r="M741" s="519">
        <f>SUM(M701:M740)</f>
        <v>65856996.629999995</v>
      </c>
      <c r="N741" s="388">
        <f>SUM(N701:N740)</f>
        <v>608268.21</v>
      </c>
      <c r="O741" s="473">
        <f>SUM(O701:O740)</f>
        <v>99156.719999999987</v>
      </c>
      <c r="P741" s="388"/>
      <c r="Q741" s="388">
        <f>SUM(Q701:Q740)</f>
        <v>22244.31</v>
      </c>
      <c r="R741" s="446" t="s">
        <v>28</v>
      </c>
      <c r="S741" s="388">
        <f>L741-M741-N741-O741-P741-Q741</f>
        <v>1.7036654753610492E-8</v>
      </c>
      <c r="T741" s="393"/>
      <c r="U741" s="423"/>
      <c r="V741" s="390"/>
      <c r="Y741" s="419">
        <f t="shared" si="83"/>
        <v>66586665.869999997</v>
      </c>
      <c r="Z741" s="419"/>
    </row>
    <row r="742" spans="1:26" s="403" customFormat="1" ht="58.5" hidden="1" customHeight="1">
      <c r="A742" s="1113" t="s">
        <v>51</v>
      </c>
      <c r="B742" s="1113"/>
      <c r="C742" s="1113"/>
      <c r="D742" s="1113"/>
      <c r="E742" s="1113"/>
      <c r="F742" s="1113"/>
      <c r="G742" s="1113"/>
      <c r="H742" s="1113"/>
      <c r="I742" s="1113"/>
      <c r="J742" s="1113"/>
      <c r="K742" s="1113"/>
      <c r="L742" s="1113"/>
      <c r="M742" s="1113"/>
      <c r="N742" s="1113"/>
      <c r="O742" s="1113"/>
      <c r="P742" s="1113"/>
      <c r="Q742" s="1113"/>
      <c r="R742" s="1113"/>
      <c r="T742" s="393"/>
      <c r="U742" s="404"/>
      <c r="V742" s="390"/>
      <c r="Y742" s="419">
        <f t="shared" si="83"/>
        <v>0</v>
      </c>
      <c r="Z742" s="419"/>
    </row>
    <row r="743" spans="1:26" s="403" customFormat="1" ht="39" hidden="1" customHeight="1">
      <c r="A743" s="458">
        <v>1</v>
      </c>
      <c r="B743" s="403" t="s">
        <v>932</v>
      </c>
      <c r="C743" s="455" t="s">
        <v>240</v>
      </c>
      <c r="D743" s="641">
        <v>2229</v>
      </c>
      <c r="E743" s="388">
        <v>588</v>
      </c>
      <c r="F743" s="388" t="s">
        <v>223</v>
      </c>
      <c r="G743" s="391">
        <v>551</v>
      </c>
      <c r="H743" s="446">
        <v>2</v>
      </c>
      <c r="I743" s="446">
        <v>2</v>
      </c>
      <c r="J743" s="446">
        <v>16</v>
      </c>
      <c r="K743" s="458" t="s">
        <v>33</v>
      </c>
      <c r="L743" s="529">
        <f>M743+N743+O743+P743+Q743</f>
        <v>1093980.22</v>
      </c>
      <c r="M743" s="394">
        <v>1073726</v>
      </c>
      <c r="N743" s="388">
        <v>20254.22</v>
      </c>
      <c r="O743" s="473"/>
      <c r="P743" s="388"/>
      <c r="Q743" s="388"/>
      <c r="R743" s="446">
        <f>M743/G743</f>
        <v>1948.6860254083485</v>
      </c>
      <c r="T743" s="393"/>
      <c r="U743" s="404"/>
      <c r="V743" s="390"/>
      <c r="Y743" s="419">
        <f t="shared" si="83"/>
        <v>1093980.22</v>
      </c>
      <c r="Z743" s="419"/>
    </row>
    <row r="744" spans="1:26" s="403" customFormat="1" ht="58.5" hidden="1" customHeight="1">
      <c r="A744" s="1112" t="s">
        <v>120</v>
      </c>
      <c r="B744" s="1112"/>
      <c r="C744" s="531" t="s">
        <v>28</v>
      </c>
      <c r="D744" s="641">
        <f>SUM(D743:D743)</f>
        <v>2229</v>
      </c>
      <c r="E744" s="388">
        <f>SUM(E743:E743)</f>
        <v>588</v>
      </c>
      <c r="F744" s="388" t="s">
        <v>28</v>
      </c>
      <c r="G744" s="388">
        <f>SUM(G743:G743)</f>
        <v>551</v>
      </c>
      <c r="H744" s="446" t="s">
        <v>28</v>
      </c>
      <c r="I744" s="446" t="s">
        <v>28</v>
      </c>
      <c r="J744" s="446">
        <f>SUM(J743:J743)</f>
        <v>16</v>
      </c>
      <c r="K744" s="504" t="s">
        <v>28</v>
      </c>
      <c r="L744" s="519">
        <f>SUM(L743:L743)</f>
        <v>1093980.22</v>
      </c>
      <c r="M744" s="519">
        <f>SUM(M743:M743)</f>
        <v>1073726</v>
      </c>
      <c r="N744" s="388">
        <f>SUM(N743:N743)</f>
        <v>20254.22</v>
      </c>
      <c r="O744" s="473"/>
      <c r="P744" s="388"/>
      <c r="Q744" s="388">
        <f>SUM(Q743:Q743)</f>
        <v>0</v>
      </c>
      <c r="R744" s="446" t="s">
        <v>28</v>
      </c>
      <c r="S744" s="388">
        <f>L744-M744-N744-O744-P744-Q744</f>
        <v>-2.9103830456733704E-11</v>
      </c>
      <c r="T744" s="422"/>
      <c r="U744" s="423"/>
      <c r="V744" s="390"/>
      <c r="Y744" s="419">
        <f t="shared" si="83"/>
        <v>1093980.22</v>
      </c>
      <c r="Z744" s="419"/>
    </row>
    <row r="745" spans="1:26" s="403" customFormat="1" ht="58.5" hidden="1" customHeight="1">
      <c r="A745" s="1113" t="s">
        <v>52</v>
      </c>
      <c r="B745" s="1113"/>
      <c r="C745" s="1113"/>
      <c r="D745" s="1113"/>
      <c r="E745" s="1113"/>
      <c r="F745" s="1113"/>
      <c r="G745" s="1113"/>
      <c r="H745" s="1113"/>
      <c r="I745" s="1113"/>
      <c r="J745" s="1113"/>
      <c r="K745" s="1113"/>
      <c r="L745" s="1113"/>
      <c r="M745" s="1113"/>
      <c r="N745" s="1113"/>
      <c r="O745" s="1113"/>
      <c r="P745" s="1113"/>
      <c r="Q745" s="1113"/>
      <c r="R745" s="1113"/>
      <c r="T745" s="393"/>
      <c r="U745" s="404"/>
      <c r="V745" s="390"/>
      <c r="Y745" s="419">
        <f t="shared" si="83"/>
        <v>0</v>
      </c>
      <c r="Z745" s="419"/>
    </row>
    <row r="746" spans="1:26" s="431" customFormat="1" ht="75" hidden="1" customHeight="1">
      <c r="A746" s="458">
        <v>1</v>
      </c>
      <c r="B746" s="403" t="s">
        <v>933</v>
      </c>
      <c r="C746" s="455" t="s">
        <v>222</v>
      </c>
      <c r="D746" s="606">
        <v>2635</v>
      </c>
      <c r="E746" s="391">
        <v>864</v>
      </c>
      <c r="F746" s="388" t="s">
        <v>223</v>
      </c>
      <c r="G746" s="391">
        <v>700</v>
      </c>
      <c r="H746" s="528">
        <v>2</v>
      </c>
      <c r="I746" s="528">
        <v>2</v>
      </c>
      <c r="J746" s="528">
        <v>16</v>
      </c>
      <c r="K746" s="458" t="s">
        <v>275</v>
      </c>
      <c r="L746" s="529">
        <f>M746+N746+O746+P746+Q746</f>
        <v>1229479.33</v>
      </c>
      <c r="M746" s="394">
        <v>1200572.5900000001</v>
      </c>
      <c r="N746" s="388">
        <v>28906.74</v>
      </c>
      <c r="O746" s="473"/>
      <c r="P746" s="388"/>
      <c r="Q746" s="388"/>
      <c r="R746" s="446">
        <f>M746/G746</f>
        <v>1715.1037000000001</v>
      </c>
      <c r="U746" s="432"/>
      <c r="V746" s="390"/>
      <c r="Y746" s="419">
        <f t="shared" si="83"/>
        <v>1229479.33</v>
      </c>
      <c r="Z746" s="419"/>
    </row>
    <row r="747" spans="1:26" s="431" customFormat="1" ht="45" hidden="1" customHeight="1">
      <c r="A747" s="458">
        <v>2</v>
      </c>
      <c r="B747" s="403" t="s">
        <v>934</v>
      </c>
      <c r="C747" s="487" t="s">
        <v>240</v>
      </c>
      <c r="D747" s="606">
        <v>2693</v>
      </c>
      <c r="E747" s="391">
        <v>810</v>
      </c>
      <c r="F747" s="388" t="s">
        <v>223</v>
      </c>
      <c r="G747" s="391">
        <v>677.7</v>
      </c>
      <c r="H747" s="528">
        <v>2</v>
      </c>
      <c r="I747" s="528">
        <v>2</v>
      </c>
      <c r="J747" s="528">
        <v>16</v>
      </c>
      <c r="K747" s="458" t="s">
        <v>33</v>
      </c>
      <c r="L747" s="519">
        <f>M747+N747+O747+Q747</f>
        <v>1507383.6500000001</v>
      </c>
      <c r="M747" s="553">
        <v>1480411.1900000002</v>
      </c>
      <c r="N747" s="388">
        <v>26972.46</v>
      </c>
      <c r="O747" s="473"/>
      <c r="P747" s="388"/>
      <c r="Q747" s="388"/>
      <c r="R747" s="446">
        <f>M747/G747</f>
        <v>2184.4639073336284</v>
      </c>
      <c r="U747" s="432"/>
      <c r="V747" s="390"/>
      <c r="Y747" s="419">
        <f t="shared" si="83"/>
        <v>1507383.6500000001</v>
      </c>
      <c r="Z747" s="419"/>
    </row>
    <row r="748" spans="1:26" s="403" customFormat="1" ht="58.5" hidden="1" customHeight="1">
      <c r="A748" s="1112" t="s">
        <v>53</v>
      </c>
      <c r="B748" s="1112"/>
      <c r="C748" s="531" t="s">
        <v>28</v>
      </c>
      <c r="D748" s="641">
        <f>SUM(D746:D747)</f>
        <v>5328</v>
      </c>
      <c r="E748" s="388">
        <f>SUM(E746:E747)</f>
        <v>1674</v>
      </c>
      <c r="F748" s="388" t="s">
        <v>28</v>
      </c>
      <c r="G748" s="388">
        <f>SUM(G746:G747)</f>
        <v>1377.7</v>
      </c>
      <c r="H748" s="446" t="s">
        <v>28</v>
      </c>
      <c r="I748" s="446" t="s">
        <v>28</v>
      </c>
      <c r="J748" s="446">
        <f>SUM(J746:J747)</f>
        <v>32</v>
      </c>
      <c r="K748" s="504" t="s">
        <v>28</v>
      </c>
      <c r="L748" s="519">
        <f>SUM(L746:L747)</f>
        <v>2736862.9800000004</v>
      </c>
      <c r="M748" s="519">
        <f>SUM(M746:M747)</f>
        <v>2680983.7800000003</v>
      </c>
      <c r="N748" s="388">
        <f>SUM(N746:N747)</f>
        <v>55879.199999999997</v>
      </c>
      <c r="O748" s="473"/>
      <c r="P748" s="388"/>
      <c r="Q748" s="388">
        <f>SUM(Q746:Q747)</f>
        <v>0</v>
      </c>
      <c r="R748" s="446" t="s">
        <v>28</v>
      </c>
      <c r="S748" s="388">
        <f>L748-M748-N748-O748-P748-Q748</f>
        <v>1.8917489796876907E-10</v>
      </c>
      <c r="T748" s="393"/>
      <c r="U748" s="423"/>
      <c r="V748" s="390"/>
      <c r="Y748" s="419">
        <f t="shared" si="83"/>
        <v>2736862.9800000004</v>
      </c>
      <c r="Z748" s="419"/>
    </row>
    <row r="749" spans="1:26" s="403" customFormat="1" ht="58.5" hidden="1" customHeight="1">
      <c r="A749" s="1113" t="s">
        <v>54</v>
      </c>
      <c r="B749" s="1113"/>
      <c r="C749" s="1113"/>
      <c r="D749" s="1113"/>
      <c r="E749" s="1113"/>
      <c r="F749" s="1113"/>
      <c r="G749" s="1113"/>
      <c r="H749" s="1113"/>
      <c r="I749" s="1113"/>
      <c r="J749" s="1113"/>
      <c r="K749" s="1113"/>
      <c r="L749" s="1113"/>
      <c r="M749" s="1113"/>
      <c r="N749" s="1113"/>
      <c r="O749" s="1113"/>
      <c r="P749" s="1113"/>
      <c r="Q749" s="1113"/>
      <c r="R749" s="1113"/>
      <c r="T749" s="393"/>
      <c r="U749" s="404"/>
      <c r="V749" s="390"/>
      <c r="Y749" s="419">
        <f t="shared" si="83"/>
        <v>0</v>
      </c>
      <c r="Z749" s="419"/>
    </row>
    <row r="750" spans="1:26" s="403" customFormat="1" ht="56.25" hidden="1" customHeight="1">
      <c r="A750" s="458">
        <v>1</v>
      </c>
      <c r="B750" s="403" t="s">
        <v>935</v>
      </c>
      <c r="C750" s="455" t="s">
        <v>222</v>
      </c>
      <c r="D750" s="641">
        <v>4118</v>
      </c>
      <c r="E750" s="388">
        <v>776</v>
      </c>
      <c r="F750" s="388" t="s">
        <v>231</v>
      </c>
      <c r="G750" s="388">
        <v>886</v>
      </c>
      <c r="H750" s="446">
        <v>2</v>
      </c>
      <c r="I750" s="446">
        <v>3</v>
      </c>
      <c r="J750" s="446">
        <v>23</v>
      </c>
      <c r="K750" s="458" t="s">
        <v>30</v>
      </c>
      <c r="L750" s="519">
        <f>M750+N750+O750+Q750</f>
        <v>486281.56999999995</v>
      </c>
      <c r="M750" s="394">
        <v>484908.47</v>
      </c>
      <c r="N750" s="388"/>
      <c r="O750" s="643">
        <v>1373.1</v>
      </c>
      <c r="P750" s="388"/>
      <c r="Q750" s="388"/>
      <c r="R750" s="446">
        <f>M750/J750</f>
        <v>21082.976956521739</v>
      </c>
      <c r="T750" s="393"/>
      <c r="U750" s="404"/>
      <c r="V750" s="390"/>
      <c r="Y750" s="419">
        <f t="shared" si="83"/>
        <v>486281.56999999995</v>
      </c>
      <c r="Z750" s="419"/>
    </row>
    <row r="751" spans="1:26" s="403" customFormat="1" ht="37.5" hidden="1">
      <c r="A751" s="458">
        <f>A750+1</f>
        <v>2</v>
      </c>
      <c r="B751" s="403" t="s">
        <v>936</v>
      </c>
      <c r="C751" s="455" t="s">
        <v>222</v>
      </c>
      <c r="D751" s="641">
        <v>2861</v>
      </c>
      <c r="E751" s="388">
        <v>593</v>
      </c>
      <c r="F751" s="388" t="s">
        <v>223</v>
      </c>
      <c r="G751" s="388">
        <v>674</v>
      </c>
      <c r="H751" s="446">
        <v>2</v>
      </c>
      <c r="I751" s="446">
        <v>2</v>
      </c>
      <c r="J751" s="446">
        <v>16</v>
      </c>
      <c r="K751" s="458" t="s">
        <v>33</v>
      </c>
      <c r="L751" s="529">
        <f>M751+N751+O751+P751+Q751</f>
        <v>1419203.8399999999</v>
      </c>
      <c r="M751" s="519">
        <v>1385672.3399999999</v>
      </c>
      <c r="N751" s="388">
        <v>33531.5</v>
      </c>
      <c r="O751" s="473"/>
      <c r="P751" s="388"/>
      <c r="Q751" s="388"/>
      <c r="R751" s="446">
        <f>M751/G751</f>
        <v>2055.8936795252225</v>
      </c>
      <c r="T751" s="393"/>
      <c r="U751" s="388"/>
      <c r="V751" s="390"/>
      <c r="Y751" s="419">
        <f t="shared" si="83"/>
        <v>1419203.8399999999</v>
      </c>
      <c r="Z751" s="419"/>
    </row>
    <row r="752" spans="1:26" s="405" customFormat="1" ht="37.5" hidden="1">
      <c r="A752" s="458">
        <f t="shared" ref="A752:A770" si="84">A751+1</f>
        <v>3</v>
      </c>
      <c r="B752" s="543" t="s">
        <v>937</v>
      </c>
      <c r="C752" s="455" t="s">
        <v>222</v>
      </c>
      <c r="D752" s="641">
        <v>3652</v>
      </c>
      <c r="E752" s="388">
        <v>712</v>
      </c>
      <c r="F752" s="388" t="s">
        <v>223</v>
      </c>
      <c r="G752" s="388">
        <v>840</v>
      </c>
      <c r="H752" s="446">
        <v>2</v>
      </c>
      <c r="I752" s="446">
        <v>3</v>
      </c>
      <c r="J752" s="446">
        <v>18</v>
      </c>
      <c r="K752" s="458" t="s">
        <v>33</v>
      </c>
      <c r="L752" s="529">
        <f>M752+N752+O752+P752+Q752</f>
        <v>1615544.92</v>
      </c>
      <c r="M752" s="519">
        <v>1584202.42</v>
      </c>
      <c r="N752" s="388">
        <v>31342.5</v>
      </c>
      <c r="O752" s="473"/>
      <c r="P752" s="388"/>
      <c r="Q752" s="388"/>
      <c r="R752" s="446">
        <f>M752/G752</f>
        <v>1885.9552619047618</v>
      </c>
      <c r="S752" s="404"/>
      <c r="U752" s="388"/>
      <c r="V752" s="390"/>
      <c r="Y752" s="419">
        <f t="shared" si="83"/>
        <v>1615544.92</v>
      </c>
      <c r="Z752" s="419"/>
    </row>
    <row r="753" spans="1:26" s="403" customFormat="1" ht="37.5" hidden="1">
      <c r="A753" s="458">
        <f t="shared" si="84"/>
        <v>4</v>
      </c>
      <c r="B753" s="403" t="s">
        <v>938</v>
      </c>
      <c r="C753" s="455" t="s">
        <v>222</v>
      </c>
      <c r="D753" s="641">
        <v>16964</v>
      </c>
      <c r="E753" s="388">
        <v>2811</v>
      </c>
      <c r="F753" s="388" t="s">
        <v>228</v>
      </c>
      <c r="G753" s="388">
        <v>1330</v>
      </c>
      <c r="H753" s="446">
        <v>5</v>
      </c>
      <c r="I753" s="446">
        <v>2</v>
      </c>
      <c r="J753" s="446">
        <v>79</v>
      </c>
      <c r="K753" s="458" t="s">
        <v>225</v>
      </c>
      <c r="L753" s="645">
        <f>M753+N753+O753+P753+Q753</f>
        <v>699328.32</v>
      </c>
      <c r="M753" s="652">
        <v>675746.82</v>
      </c>
      <c r="N753" s="646">
        <v>23581.5</v>
      </c>
      <c r="O753" s="647"/>
      <c r="P753" s="646"/>
      <c r="Q753" s="388"/>
      <c r="R753" s="648">
        <f>M753/J753</f>
        <v>8553.757215189873</v>
      </c>
      <c r="T753" s="393"/>
      <c r="U753" s="404"/>
      <c r="V753" s="390"/>
      <c r="Y753" s="419">
        <f t="shared" si="83"/>
        <v>699328.32</v>
      </c>
      <c r="Z753" s="419"/>
    </row>
    <row r="754" spans="1:26" s="403" customFormat="1" ht="37.5" hidden="1">
      <c r="A754" s="458">
        <f t="shared" si="84"/>
        <v>5</v>
      </c>
      <c r="B754" s="403" t="s">
        <v>939</v>
      </c>
      <c r="C754" s="455" t="s">
        <v>300</v>
      </c>
      <c r="D754" s="641">
        <v>2336</v>
      </c>
      <c r="E754" s="388">
        <v>544</v>
      </c>
      <c r="F754" s="388" t="s">
        <v>223</v>
      </c>
      <c r="G754" s="687">
        <v>680</v>
      </c>
      <c r="H754" s="446">
        <v>2</v>
      </c>
      <c r="I754" s="446">
        <v>2</v>
      </c>
      <c r="J754" s="446">
        <v>15</v>
      </c>
      <c r="K754" s="458" t="s">
        <v>33</v>
      </c>
      <c r="L754" s="529">
        <f>M754+N754+O754+P754+Q754</f>
        <v>1333050.46</v>
      </c>
      <c r="M754" s="519">
        <v>1307677.96</v>
      </c>
      <c r="N754" s="388">
        <v>25372.5</v>
      </c>
      <c r="O754" s="473"/>
      <c r="P754" s="388"/>
      <c r="Q754" s="388"/>
      <c r="R754" s="446">
        <f>M754/G754</f>
        <v>1923.0558235294118</v>
      </c>
      <c r="T754" s="393"/>
      <c r="U754" s="388"/>
      <c r="V754" s="390"/>
      <c r="Y754" s="419">
        <f t="shared" si="83"/>
        <v>1333050.46</v>
      </c>
      <c r="Z754" s="419"/>
    </row>
    <row r="755" spans="1:26" s="403" customFormat="1" ht="37.5" hidden="1">
      <c r="A755" s="458">
        <f t="shared" si="84"/>
        <v>6</v>
      </c>
      <c r="B755" s="403" t="s">
        <v>940</v>
      </c>
      <c r="C755" s="455" t="s">
        <v>222</v>
      </c>
      <c r="D755" s="641">
        <v>12246</v>
      </c>
      <c r="E755" s="388">
        <v>2362</v>
      </c>
      <c r="F755" s="388" t="s">
        <v>228</v>
      </c>
      <c r="G755" s="388">
        <v>860</v>
      </c>
      <c r="H755" s="446">
        <v>5</v>
      </c>
      <c r="I755" s="446">
        <v>4</v>
      </c>
      <c r="J755" s="446">
        <v>60</v>
      </c>
      <c r="K755" s="458" t="s">
        <v>33</v>
      </c>
      <c r="L755" s="650">
        <f>M755+N755+O755+P755+Q755</f>
        <v>1897448.62</v>
      </c>
      <c r="M755" s="650">
        <v>1891801</v>
      </c>
      <c r="N755" s="688"/>
      <c r="O755" s="643">
        <v>5647.62</v>
      </c>
      <c r="P755" s="688"/>
      <c r="Q755" s="388"/>
      <c r="R755" s="689">
        <f>M755/G755</f>
        <v>2199.7686046511626</v>
      </c>
      <c r="T755" s="393"/>
      <c r="U755" s="404"/>
      <c r="V755" s="390"/>
      <c r="Y755" s="419">
        <f t="shared" si="83"/>
        <v>1897448.62</v>
      </c>
      <c r="Z755" s="419"/>
    </row>
    <row r="756" spans="1:26" s="403" customFormat="1" ht="37.5" hidden="1">
      <c r="A756" s="458">
        <f t="shared" si="84"/>
        <v>7</v>
      </c>
      <c r="B756" s="403" t="s">
        <v>941</v>
      </c>
      <c r="C756" s="455" t="s">
        <v>222</v>
      </c>
      <c r="D756" s="641">
        <v>4325</v>
      </c>
      <c r="E756" s="388">
        <v>895</v>
      </c>
      <c r="F756" s="388" t="s">
        <v>231</v>
      </c>
      <c r="G756" s="388">
        <v>650</v>
      </c>
      <c r="H756" s="446">
        <v>4</v>
      </c>
      <c r="I756" s="446">
        <v>2</v>
      </c>
      <c r="J756" s="446">
        <v>24</v>
      </c>
      <c r="K756" s="458" t="s">
        <v>239</v>
      </c>
      <c r="L756" s="519">
        <f>M756+N756+O756+Q756</f>
        <v>488539.44</v>
      </c>
      <c r="M756" s="519">
        <v>463465.44</v>
      </c>
      <c r="N756" s="388">
        <v>25074</v>
      </c>
      <c r="O756" s="473"/>
      <c r="P756" s="388"/>
      <c r="Q756" s="388"/>
      <c r="R756" s="446">
        <f>M756/J756</f>
        <v>19311.060000000001</v>
      </c>
      <c r="T756" s="393"/>
      <c r="U756" s="404"/>
      <c r="V756" s="390"/>
      <c r="Y756" s="419">
        <f t="shared" si="83"/>
        <v>488539.44</v>
      </c>
      <c r="Z756" s="419"/>
    </row>
    <row r="757" spans="1:26" s="403" customFormat="1" ht="37.5" hidden="1">
      <c r="A757" s="458">
        <f t="shared" si="84"/>
        <v>8</v>
      </c>
      <c r="B757" s="543" t="s">
        <v>942</v>
      </c>
      <c r="C757" s="455" t="s">
        <v>222</v>
      </c>
      <c r="D757" s="641">
        <v>17517</v>
      </c>
      <c r="E757" s="388">
        <v>3050</v>
      </c>
      <c r="F757" s="388" t="s">
        <v>228</v>
      </c>
      <c r="G757" s="388">
        <v>998.3</v>
      </c>
      <c r="H757" s="446">
        <v>5</v>
      </c>
      <c r="I757" s="446">
        <v>6</v>
      </c>
      <c r="J757" s="446">
        <v>77</v>
      </c>
      <c r="K757" s="458" t="s">
        <v>33</v>
      </c>
      <c r="L757" s="650">
        <f t="shared" ref="L757:L770" si="85">M757+N757+O757+P757+Q757</f>
        <v>2201930.2399999998</v>
      </c>
      <c r="M757" s="649">
        <v>2195970.19</v>
      </c>
      <c r="N757" s="688"/>
      <c r="O757" s="643">
        <v>5960.05</v>
      </c>
      <c r="P757" s="688"/>
      <c r="Q757" s="388"/>
      <c r="R757" s="689">
        <f t="shared" ref="R757:R763" si="86">M757/G757</f>
        <v>2199.709696484023</v>
      </c>
      <c r="T757" s="393"/>
      <c r="U757" s="404"/>
      <c r="V757" s="390"/>
      <c r="Y757" s="419">
        <f t="shared" si="83"/>
        <v>2201930.2399999998</v>
      </c>
      <c r="Z757" s="419"/>
    </row>
    <row r="758" spans="1:26" s="403" customFormat="1" ht="37.5" hidden="1">
      <c r="A758" s="458">
        <f t="shared" si="84"/>
        <v>9</v>
      </c>
      <c r="B758" s="403" t="s">
        <v>943</v>
      </c>
      <c r="C758" s="455" t="s">
        <v>222</v>
      </c>
      <c r="D758" s="641">
        <v>2875</v>
      </c>
      <c r="E758" s="388">
        <v>598</v>
      </c>
      <c r="F758" s="388" t="s">
        <v>223</v>
      </c>
      <c r="G758" s="388">
        <v>660</v>
      </c>
      <c r="H758" s="446">
        <v>2</v>
      </c>
      <c r="I758" s="446">
        <v>2</v>
      </c>
      <c r="J758" s="446">
        <v>16</v>
      </c>
      <c r="K758" s="458" t="s">
        <v>33</v>
      </c>
      <c r="L758" s="529">
        <f t="shared" si="85"/>
        <v>1552390.17</v>
      </c>
      <c r="M758" s="519">
        <v>1519555.17</v>
      </c>
      <c r="N758" s="388">
        <v>32835</v>
      </c>
      <c r="O758" s="473"/>
      <c r="P758" s="388"/>
      <c r="Q758" s="388"/>
      <c r="R758" s="446">
        <f t="shared" si="86"/>
        <v>2302.3563181818181</v>
      </c>
      <c r="T758" s="393"/>
      <c r="U758" s="388"/>
      <c r="V758" s="390"/>
      <c r="Y758" s="419">
        <f t="shared" si="83"/>
        <v>1552390.17</v>
      </c>
      <c r="Z758" s="419"/>
    </row>
    <row r="759" spans="1:26" s="403" customFormat="1" ht="37.5" hidden="1">
      <c r="A759" s="458">
        <f t="shared" si="84"/>
        <v>10</v>
      </c>
      <c r="B759" s="403" t="s">
        <v>944</v>
      </c>
      <c r="C759" s="455" t="s">
        <v>222</v>
      </c>
      <c r="D759" s="641">
        <v>2849</v>
      </c>
      <c r="E759" s="388">
        <v>590</v>
      </c>
      <c r="F759" s="388" t="s">
        <v>223</v>
      </c>
      <c r="G759" s="388">
        <v>676</v>
      </c>
      <c r="H759" s="446">
        <v>2</v>
      </c>
      <c r="I759" s="446">
        <v>2</v>
      </c>
      <c r="J759" s="446">
        <v>16</v>
      </c>
      <c r="K759" s="458" t="s">
        <v>33</v>
      </c>
      <c r="L759" s="529">
        <f t="shared" si="85"/>
        <v>1419089.1700000002</v>
      </c>
      <c r="M759" s="519">
        <v>1385458.1700000002</v>
      </c>
      <c r="N759" s="388">
        <v>33631</v>
      </c>
      <c r="O759" s="473"/>
      <c r="P759" s="388"/>
      <c r="Q759" s="388"/>
      <c r="R759" s="446">
        <f t="shared" si="86"/>
        <v>2049.4943343195268</v>
      </c>
      <c r="T759" s="393"/>
      <c r="U759" s="404"/>
      <c r="V759" s="390"/>
      <c r="Y759" s="419">
        <f t="shared" si="83"/>
        <v>1419089.1700000002</v>
      </c>
      <c r="Z759" s="419"/>
    </row>
    <row r="760" spans="1:26" s="403" customFormat="1" ht="37.5" hidden="1">
      <c r="A760" s="458">
        <f t="shared" si="84"/>
        <v>11</v>
      </c>
      <c r="B760" s="403" t="s">
        <v>945</v>
      </c>
      <c r="C760" s="455" t="s">
        <v>222</v>
      </c>
      <c r="D760" s="641">
        <v>3056</v>
      </c>
      <c r="E760" s="388">
        <v>618</v>
      </c>
      <c r="F760" s="388" t="s">
        <v>223</v>
      </c>
      <c r="G760" s="388">
        <v>710</v>
      </c>
      <c r="H760" s="446">
        <v>2</v>
      </c>
      <c r="I760" s="446">
        <v>2</v>
      </c>
      <c r="J760" s="446">
        <v>24</v>
      </c>
      <c r="K760" s="458" t="s">
        <v>33</v>
      </c>
      <c r="L760" s="529">
        <f t="shared" si="85"/>
        <v>1360705.4</v>
      </c>
      <c r="M760" s="519">
        <v>1334213.52</v>
      </c>
      <c r="N760" s="388">
        <v>26491.88</v>
      </c>
      <c r="O760" s="473"/>
      <c r="P760" s="388"/>
      <c r="Q760" s="388"/>
      <c r="R760" s="446">
        <f t="shared" si="86"/>
        <v>1879.1739718309859</v>
      </c>
      <c r="T760" s="393"/>
      <c r="U760" s="388"/>
      <c r="V760" s="390"/>
      <c r="Y760" s="419">
        <f t="shared" si="83"/>
        <v>1360705.4</v>
      </c>
      <c r="Z760" s="419"/>
    </row>
    <row r="761" spans="1:26" s="403" customFormat="1" ht="37.5" hidden="1">
      <c r="A761" s="458">
        <f t="shared" si="84"/>
        <v>12</v>
      </c>
      <c r="B761" s="403" t="s">
        <v>947</v>
      </c>
      <c r="C761" s="455" t="s">
        <v>222</v>
      </c>
      <c r="D761" s="641">
        <v>2761</v>
      </c>
      <c r="E761" s="388">
        <v>959</v>
      </c>
      <c r="F761" s="388" t="s">
        <v>223</v>
      </c>
      <c r="G761" s="388">
        <v>574</v>
      </c>
      <c r="H761" s="446">
        <v>2</v>
      </c>
      <c r="I761" s="446">
        <v>2</v>
      </c>
      <c r="J761" s="446">
        <v>16</v>
      </c>
      <c r="K761" s="458" t="s">
        <v>33</v>
      </c>
      <c r="L761" s="529">
        <f t="shared" si="85"/>
        <v>1177032.6300000001</v>
      </c>
      <c r="M761" s="519">
        <v>1141337.01</v>
      </c>
      <c r="N761" s="388">
        <v>35695.620000000003</v>
      </c>
      <c r="O761" s="473"/>
      <c r="P761" s="388"/>
      <c r="Q761" s="388"/>
      <c r="R761" s="446">
        <f t="shared" si="86"/>
        <v>1988.3920034843206</v>
      </c>
      <c r="T761" s="393"/>
      <c r="U761" s="404"/>
      <c r="V761" s="390"/>
      <c r="Y761" s="419">
        <f t="shared" si="83"/>
        <v>1177032.6300000001</v>
      </c>
      <c r="Z761" s="419"/>
    </row>
    <row r="762" spans="1:26" s="403" customFormat="1" ht="37.5" hidden="1">
      <c r="A762" s="458">
        <f t="shared" si="84"/>
        <v>13</v>
      </c>
      <c r="B762" s="403" t="s">
        <v>948</v>
      </c>
      <c r="C762" s="455" t="s">
        <v>222</v>
      </c>
      <c r="D762" s="641">
        <v>1693</v>
      </c>
      <c r="E762" s="388">
        <v>436</v>
      </c>
      <c r="F762" s="388" t="s">
        <v>223</v>
      </c>
      <c r="G762" s="388">
        <v>380</v>
      </c>
      <c r="H762" s="446">
        <v>2</v>
      </c>
      <c r="I762" s="446">
        <v>2</v>
      </c>
      <c r="J762" s="446">
        <v>8</v>
      </c>
      <c r="K762" s="458" t="s">
        <v>33</v>
      </c>
      <c r="L762" s="529">
        <f t="shared" si="85"/>
        <v>1048733.5</v>
      </c>
      <c r="M762" s="547">
        <f>931000+89376</f>
        <v>1020376</v>
      </c>
      <c r="N762" s="388">
        <v>28357.5</v>
      </c>
      <c r="O762" s="473"/>
      <c r="P762" s="388"/>
      <c r="Q762" s="388"/>
      <c r="R762" s="446">
        <f t="shared" si="86"/>
        <v>2685.2</v>
      </c>
      <c r="T762" s="393"/>
      <c r="U762" s="404"/>
      <c r="V762" s="390"/>
      <c r="Y762" s="419">
        <f t="shared" si="83"/>
        <v>1048733.5</v>
      </c>
      <c r="Z762" s="419"/>
    </row>
    <row r="763" spans="1:26" s="403" customFormat="1" ht="37.5" hidden="1">
      <c r="A763" s="458">
        <f t="shared" si="84"/>
        <v>14</v>
      </c>
      <c r="B763" s="403" t="s">
        <v>949</v>
      </c>
      <c r="C763" s="455" t="s">
        <v>222</v>
      </c>
      <c r="D763" s="641">
        <v>5301</v>
      </c>
      <c r="E763" s="388">
        <v>1524</v>
      </c>
      <c r="F763" s="388" t="s">
        <v>228</v>
      </c>
      <c r="G763" s="388">
        <v>700</v>
      </c>
      <c r="H763" s="446">
        <v>2</v>
      </c>
      <c r="I763" s="446">
        <v>3</v>
      </c>
      <c r="J763" s="446">
        <v>24</v>
      </c>
      <c r="K763" s="458" t="s">
        <v>33</v>
      </c>
      <c r="L763" s="650">
        <f t="shared" si="85"/>
        <v>1544438.2899999998</v>
      </c>
      <c r="M763" s="649">
        <v>1539841.39</v>
      </c>
      <c r="N763" s="688"/>
      <c r="O763" s="643">
        <v>4596.8999999999996</v>
      </c>
      <c r="P763" s="688"/>
      <c r="Q763" s="388"/>
      <c r="R763" s="689">
        <f t="shared" si="86"/>
        <v>2199.7734142857144</v>
      </c>
      <c r="T763" s="393"/>
      <c r="U763" s="404"/>
      <c r="V763" s="390"/>
      <c r="Y763" s="419">
        <f t="shared" si="83"/>
        <v>1544438.2899999998</v>
      </c>
      <c r="Z763" s="419"/>
    </row>
    <row r="764" spans="1:26" s="403" customFormat="1" ht="37.5" hidden="1">
      <c r="A764" s="458">
        <f t="shared" si="84"/>
        <v>15</v>
      </c>
      <c r="B764" s="403" t="s">
        <v>950</v>
      </c>
      <c r="C764" s="455" t="s">
        <v>222</v>
      </c>
      <c r="D764" s="641">
        <v>6296</v>
      </c>
      <c r="E764" s="388">
        <f>1736/2</f>
        <v>868</v>
      </c>
      <c r="F764" s="388" t="s">
        <v>228</v>
      </c>
      <c r="G764" s="388">
        <v>620</v>
      </c>
      <c r="H764" s="446">
        <v>4</v>
      </c>
      <c r="I764" s="446">
        <v>2</v>
      </c>
      <c r="J764" s="446">
        <v>32</v>
      </c>
      <c r="K764" s="458" t="s">
        <v>227</v>
      </c>
      <c r="L764" s="645">
        <f t="shared" si="85"/>
        <v>3878036.04</v>
      </c>
      <c r="M764" s="690">
        <v>3852126.24</v>
      </c>
      <c r="N764" s="651">
        <v>25909.8</v>
      </c>
      <c r="O764" s="647"/>
      <c r="P764" s="651"/>
      <c r="Q764" s="388"/>
      <c r="R764" s="528">
        <f>M764/E764</f>
        <v>4437.9334562211989</v>
      </c>
      <c r="T764" s="393"/>
      <c r="U764" s="404"/>
      <c r="V764" s="390"/>
      <c r="Y764" s="419">
        <f t="shared" si="83"/>
        <v>3878036.04</v>
      </c>
      <c r="Z764" s="419"/>
    </row>
    <row r="765" spans="1:26" s="403" customFormat="1" ht="37.5" hidden="1">
      <c r="A765" s="458">
        <f t="shared" si="84"/>
        <v>16</v>
      </c>
      <c r="B765" s="403" t="s">
        <v>951</v>
      </c>
      <c r="C765" s="455" t="s">
        <v>222</v>
      </c>
      <c r="D765" s="641">
        <v>2560</v>
      </c>
      <c r="E765" s="388">
        <v>743</v>
      </c>
      <c r="F765" s="388" t="s">
        <v>223</v>
      </c>
      <c r="G765" s="388">
        <v>570</v>
      </c>
      <c r="H765" s="446">
        <v>2</v>
      </c>
      <c r="I765" s="446">
        <v>2</v>
      </c>
      <c r="J765" s="446">
        <v>12</v>
      </c>
      <c r="K765" s="458" t="s">
        <v>33</v>
      </c>
      <c r="L765" s="529">
        <f t="shared" si="85"/>
        <v>1170340.53</v>
      </c>
      <c r="M765" s="394">
        <v>1141983.03</v>
      </c>
      <c r="N765" s="388">
        <v>28357.5</v>
      </c>
      <c r="O765" s="473"/>
      <c r="P765" s="388"/>
      <c r="Q765" s="388"/>
      <c r="R765" s="446">
        <f>M765/G765</f>
        <v>2003.479</v>
      </c>
      <c r="T765" s="393"/>
      <c r="U765" s="404"/>
      <c r="V765" s="390"/>
      <c r="Y765" s="419">
        <f t="shared" si="83"/>
        <v>1170340.53</v>
      </c>
      <c r="Z765" s="419"/>
    </row>
    <row r="766" spans="1:26" s="403" customFormat="1" ht="37.5" hidden="1">
      <c r="A766" s="458">
        <f t="shared" si="84"/>
        <v>17</v>
      </c>
      <c r="B766" s="403" t="s">
        <v>952</v>
      </c>
      <c r="C766" s="455" t="s">
        <v>222</v>
      </c>
      <c r="D766" s="641">
        <v>2673</v>
      </c>
      <c r="E766" s="388">
        <v>615</v>
      </c>
      <c r="F766" s="388" t="s">
        <v>223</v>
      </c>
      <c r="G766" s="388">
        <v>660</v>
      </c>
      <c r="H766" s="446">
        <v>2</v>
      </c>
      <c r="I766" s="446">
        <v>2</v>
      </c>
      <c r="J766" s="446">
        <v>16</v>
      </c>
      <c r="K766" s="458" t="s">
        <v>33</v>
      </c>
      <c r="L766" s="529">
        <f t="shared" si="85"/>
        <v>1789964.15</v>
      </c>
      <c r="M766" s="519">
        <v>1763034.48</v>
      </c>
      <c r="N766" s="388">
        <v>26929.67</v>
      </c>
      <c r="O766" s="473"/>
      <c r="P766" s="388"/>
      <c r="Q766" s="388"/>
      <c r="R766" s="446">
        <f>M766/G766</f>
        <v>2671.2643636363637</v>
      </c>
      <c r="T766" s="393"/>
      <c r="U766" s="388"/>
      <c r="V766" s="390"/>
      <c r="Y766" s="419">
        <f t="shared" si="83"/>
        <v>1789964.15</v>
      </c>
      <c r="Z766" s="419"/>
    </row>
    <row r="767" spans="1:26" s="403" customFormat="1" ht="37.5" hidden="1">
      <c r="A767" s="458">
        <f t="shared" si="84"/>
        <v>18</v>
      </c>
      <c r="B767" s="403" t="s">
        <v>953</v>
      </c>
      <c r="C767" s="455" t="s">
        <v>222</v>
      </c>
      <c r="D767" s="641">
        <v>1947.96</v>
      </c>
      <c r="E767" s="388">
        <v>649.32000000000005</v>
      </c>
      <c r="F767" s="388" t="s">
        <v>223</v>
      </c>
      <c r="G767" s="388">
        <v>670</v>
      </c>
      <c r="H767" s="446">
        <v>2</v>
      </c>
      <c r="I767" s="446">
        <v>2</v>
      </c>
      <c r="J767" s="446">
        <v>16</v>
      </c>
      <c r="K767" s="458" t="s">
        <v>33</v>
      </c>
      <c r="L767" s="529">
        <f t="shared" si="85"/>
        <v>1477571.6800000002</v>
      </c>
      <c r="M767" s="519">
        <v>1450232.06</v>
      </c>
      <c r="N767" s="388">
        <v>27339.62</v>
      </c>
      <c r="O767" s="473"/>
      <c r="P767" s="388"/>
      <c r="Q767" s="388"/>
      <c r="R767" s="446">
        <f>M767/G767</f>
        <v>2164.5254626865672</v>
      </c>
      <c r="T767" s="393"/>
      <c r="U767" s="404"/>
      <c r="V767" s="390"/>
      <c r="Y767" s="419">
        <f t="shared" si="83"/>
        <v>1477571.6800000002</v>
      </c>
      <c r="Z767" s="419"/>
    </row>
    <row r="768" spans="1:26" s="403" customFormat="1" ht="37.5" hidden="1">
      <c r="A768" s="458">
        <f t="shared" si="84"/>
        <v>19</v>
      </c>
      <c r="B768" s="403" t="s">
        <v>954</v>
      </c>
      <c r="C768" s="455" t="s">
        <v>222</v>
      </c>
      <c r="D768" s="641">
        <v>2680</v>
      </c>
      <c r="E768" s="388">
        <v>924</v>
      </c>
      <c r="F768" s="388" t="s">
        <v>223</v>
      </c>
      <c r="G768" s="388">
        <v>722.17</v>
      </c>
      <c r="H768" s="446">
        <v>2</v>
      </c>
      <c r="I768" s="446">
        <v>2</v>
      </c>
      <c r="J768" s="446">
        <v>16</v>
      </c>
      <c r="K768" s="458" t="s">
        <v>33</v>
      </c>
      <c r="L768" s="529">
        <f t="shared" si="85"/>
        <v>1421039.27</v>
      </c>
      <c r="M768" s="519">
        <v>1394093.67</v>
      </c>
      <c r="N768" s="388">
        <v>26945.599999999999</v>
      </c>
      <c r="O768" s="473"/>
      <c r="P768" s="388"/>
      <c r="Q768" s="388"/>
      <c r="R768" s="446">
        <f>M768/G768</f>
        <v>1930.4231275184513</v>
      </c>
      <c r="T768" s="393"/>
      <c r="U768" s="404"/>
      <c r="V768" s="390"/>
      <c r="Y768" s="419">
        <f t="shared" si="83"/>
        <v>1421039.27</v>
      </c>
      <c r="Z768" s="419"/>
    </row>
    <row r="769" spans="1:210" s="403" customFormat="1" ht="37.5" hidden="1" customHeight="1">
      <c r="A769" s="458">
        <f t="shared" si="84"/>
        <v>20</v>
      </c>
      <c r="B769" s="403" t="s">
        <v>3506</v>
      </c>
      <c r="C769" s="382" t="s">
        <v>222</v>
      </c>
      <c r="D769" s="691">
        <v>12810</v>
      </c>
      <c r="E769" s="383">
        <v>2460</v>
      </c>
      <c r="F769" s="383" t="s">
        <v>223</v>
      </c>
      <c r="G769" s="383">
        <v>980</v>
      </c>
      <c r="H769" s="382">
        <v>5</v>
      </c>
      <c r="I769" s="382">
        <v>4</v>
      </c>
      <c r="J769" s="382">
        <v>63</v>
      </c>
      <c r="K769" s="458" t="s">
        <v>225</v>
      </c>
      <c r="L769" s="529">
        <f t="shared" si="85"/>
        <v>787334.05</v>
      </c>
      <c r="M769" s="519">
        <v>755000.65</v>
      </c>
      <c r="N769" s="388">
        <v>21918.6</v>
      </c>
      <c r="O769" s="473"/>
      <c r="P769" s="388"/>
      <c r="Q769" s="388">
        <v>10414.799999999999</v>
      </c>
      <c r="R769" s="446">
        <f>M769/J769</f>
        <v>11984.137301587301</v>
      </c>
      <c r="T769" s="393"/>
      <c r="U769" s="404"/>
      <c r="V769" s="390"/>
      <c r="Y769" s="419">
        <f t="shared" si="83"/>
        <v>787334.05</v>
      </c>
      <c r="Z769" s="419"/>
    </row>
    <row r="770" spans="1:210" s="403" customFormat="1" ht="37.5" hidden="1" customHeight="1">
      <c r="A770" s="458">
        <f t="shared" si="84"/>
        <v>21</v>
      </c>
      <c r="B770" s="403" t="s">
        <v>3507</v>
      </c>
      <c r="C770" s="455" t="s">
        <v>222</v>
      </c>
      <c r="D770" s="641">
        <v>2736</v>
      </c>
      <c r="E770" s="388">
        <v>575</v>
      </c>
      <c r="F770" s="388" t="s">
        <v>223</v>
      </c>
      <c r="G770" s="388">
        <v>680.4</v>
      </c>
      <c r="H770" s="446">
        <v>2</v>
      </c>
      <c r="I770" s="446">
        <v>2</v>
      </c>
      <c r="J770" s="446">
        <v>16</v>
      </c>
      <c r="K770" s="458" t="s">
        <v>33</v>
      </c>
      <c r="L770" s="529">
        <f t="shared" si="85"/>
        <v>1845527.8499999999</v>
      </c>
      <c r="M770" s="519">
        <v>1819389.5999999999</v>
      </c>
      <c r="N770" s="388">
        <v>26138.25</v>
      </c>
      <c r="O770" s="473"/>
      <c r="P770" s="388"/>
      <c r="Q770" s="388"/>
      <c r="R770" s="446">
        <f>M770/E770</f>
        <v>3164.1558260869565</v>
      </c>
      <c r="T770" s="393"/>
      <c r="U770" s="388"/>
      <c r="V770" s="390"/>
      <c r="Y770" s="419">
        <f t="shared" si="83"/>
        <v>1845527.8499999999</v>
      </c>
      <c r="Z770" s="419"/>
    </row>
    <row r="771" spans="1:210" s="403" customFormat="1" ht="58.5" hidden="1" customHeight="1">
      <c r="A771" s="1123" t="s">
        <v>121</v>
      </c>
      <c r="B771" s="1123"/>
      <c r="C771" s="388" t="s">
        <v>28</v>
      </c>
      <c r="D771" s="641">
        <f>SUM(D750:D770)</f>
        <v>114256.96000000001</v>
      </c>
      <c r="E771" s="388">
        <f>SUM(E750:E770)</f>
        <v>23302.32</v>
      </c>
      <c r="F771" s="388" t="s">
        <v>28</v>
      </c>
      <c r="G771" s="388">
        <f>SUM(G750:G770)</f>
        <v>15520.869999999999</v>
      </c>
      <c r="H771" s="446" t="s">
        <v>28</v>
      </c>
      <c r="I771" s="446" t="s">
        <v>28</v>
      </c>
      <c r="J771" s="446">
        <f>SUM(J750:J770)</f>
        <v>587</v>
      </c>
      <c r="K771" s="389" t="s">
        <v>28</v>
      </c>
      <c r="L771" s="519">
        <f>SUM(L750:L770)</f>
        <v>30613530.140000001</v>
      </c>
      <c r="M771" s="519">
        <f>SUM(M750:M770)</f>
        <v>30106085.630000003</v>
      </c>
      <c r="N771" s="388">
        <f>SUM(N750:N770)</f>
        <v>479452.03999999992</v>
      </c>
      <c r="O771" s="473">
        <f>SUM(O750:O770)</f>
        <v>17577.669999999998</v>
      </c>
      <c r="P771" s="388"/>
      <c r="Q771" s="388">
        <f>SUM(Q750:Q770)</f>
        <v>10414.799999999999</v>
      </c>
      <c r="R771" s="446" t="s">
        <v>28</v>
      </c>
      <c r="S771" s="388">
        <f>L771-M771-N771-O771-P771-Q771</f>
        <v>-2.0045263227075338E-9</v>
      </c>
      <c r="T771" s="393"/>
      <c r="U771" s="423"/>
      <c r="V771" s="390"/>
      <c r="Y771" s="419">
        <f t="shared" si="83"/>
        <v>30613530.140000004</v>
      </c>
      <c r="Z771" s="419"/>
    </row>
    <row r="772" spans="1:210" s="403" customFormat="1" ht="58.5" hidden="1" customHeight="1">
      <c r="A772" s="1113" t="s">
        <v>55</v>
      </c>
      <c r="B772" s="1113"/>
      <c r="C772" s="1113"/>
      <c r="D772" s="1113"/>
      <c r="E772" s="1113"/>
      <c r="F772" s="1113"/>
      <c r="G772" s="1113"/>
      <c r="H772" s="1113"/>
      <c r="I772" s="1113"/>
      <c r="J772" s="1113"/>
      <c r="K772" s="1113"/>
      <c r="L772" s="1113"/>
      <c r="M772" s="1113"/>
      <c r="N772" s="1113"/>
      <c r="O772" s="1113"/>
      <c r="P772" s="1113"/>
      <c r="Q772" s="1113"/>
      <c r="R772" s="1113"/>
      <c r="T772" s="393"/>
      <c r="U772" s="404"/>
      <c r="V772" s="390"/>
      <c r="Y772" s="419">
        <f t="shared" si="83"/>
        <v>0</v>
      </c>
      <c r="Z772" s="419"/>
    </row>
    <row r="773" spans="1:210" s="433" customFormat="1" ht="75" hidden="1" customHeight="1">
      <c r="A773" s="682">
        <v>1</v>
      </c>
      <c r="B773" s="692" t="s">
        <v>955</v>
      </c>
      <c r="C773" s="648" t="s">
        <v>222</v>
      </c>
      <c r="D773" s="693">
        <v>2622</v>
      </c>
      <c r="E773" s="694">
        <v>560</v>
      </c>
      <c r="F773" s="694" t="s">
        <v>223</v>
      </c>
      <c r="G773" s="694">
        <v>581</v>
      </c>
      <c r="H773" s="695">
        <v>2</v>
      </c>
      <c r="I773" s="695">
        <v>2</v>
      </c>
      <c r="J773" s="695">
        <v>16</v>
      </c>
      <c r="K773" s="458" t="s">
        <v>275</v>
      </c>
      <c r="L773" s="650">
        <f>M773+N773+O773+P773+Q773</f>
        <v>1194073.52</v>
      </c>
      <c r="M773" s="650">
        <v>1167734.8700000001</v>
      </c>
      <c r="N773" s="688">
        <v>26338.65</v>
      </c>
      <c r="O773" s="696"/>
      <c r="P773" s="651"/>
      <c r="Q773" s="388"/>
      <c r="R773" s="689">
        <f>M773/G773</f>
        <v>2009.8706884681585</v>
      </c>
      <c r="U773" s="434"/>
      <c r="V773" s="390"/>
      <c r="Y773" s="419">
        <f t="shared" si="83"/>
        <v>1194073.52</v>
      </c>
      <c r="Z773" s="419"/>
    </row>
    <row r="774" spans="1:210" s="433" customFormat="1" ht="75" hidden="1" customHeight="1">
      <c r="A774" s="682">
        <v>2</v>
      </c>
      <c r="B774" s="692" t="s">
        <v>956</v>
      </c>
      <c r="C774" s="648" t="s">
        <v>222</v>
      </c>
      <c r="D774" s="693">
        <v>2503</v>
      </c>
      <c r="E774" s="694">
        <v>546</v>
      </c>
      <c r="F774" s="694" t="s">
        <v>223</v>
      </c>
      <c r="G774" s="694">
        <v>768</v>
      </c>
      <c r="H774" s="695">
        <v>2</v>
      </c>
      <c r="I774" s="695">
        <v>2</v>
      </c>
      <c r="J774" s="695">
        <v>16</v>
      </c>
      <c r="K774" s="458" t="s">
        <v>275</v>
      </c>
      <c r="L774" s="650">
        <f>M774+N774+O774+P774+Q774</f>
        <v>1175770.19</v>
      </c>
      <c r="M774" s="649">
        <v>1149658.3999999999</v>
      </c>
      <c r="N774" s="688">
        <v>26111.79</v>
      </c>
      <c r="O774" s="696"/>
      <c r="P774" s="651"/>
      <c r="Q774" s="388"/>
      <c r="R774" s="689">
        <f>M774/G774</f>
        <v>1496.9510416666665</v>
      </c>
      <c r="U774" s="434"/>
      <c r="V774" s="390"/>
      <c r="Y774" s="419">
        <f t="shared" si="83"/>
        <v>1175770.19</v>
      </c>
      <c r="Z774" s="419"/>
    </row>
    <row r="775" spans="1:210" s="403" customFormat="1" ht="58.5" hidden="1" customHeight="1">
      <c r="A775" s="1112" t="s">
        <v>56</v>
      </c>
      <c r="B775" s="1112"/>
      <c r="C775" s="388" t="s">
        <v>28</v>
      </c>
      <c r="D775" s="641">
        <f>SUM(D773:D774)</f>
        <v>5125</v>
      </c>
      <c r="E775" s="388">
        <f>SUM(E773:E774)</f>
        <v>1106</v>
      </c>
      <c r="F775" s="388" t="s">
        <v>28</v>
      </c>
      <c r="G775" s="388">
        <f>SUM(G773:G774)</f>
        <v>1349</v>
      </c>
      <c r="H775" s="446" t="s">
        <v>28</v>
      </c>
      <c r="I775" s="446" t="s">
        <v>28</v>
      </c>
      <c r="J775" s="446">
        <f>SUM(J773:J774)</f>
        <v>32</v>
      </c>
      <c r="K775" s="389" t="s">
        <v>28</v>
      </c>
      <c r="L775" s="519">
        <f>SUM(L773:L774)</f>
        <v>2369843.71</v>
      </c>
      <c r="M775" s="519">
        <f>SUM(M773:M774)</f>
        <v>2317393.27</v>
      </c>
      <c r="N775" s="388">
        <f>SUM(N773:N774)</f>
        <v>52450.44</v>
      </c>
      <c r="O775" s="473"/>
      <c r="P775" s="388"/>
      <c r="Q775" s="388">
        <f>SUM(Q773:Q774)</f>
        <v>0</v>
      </c>
      <c r="R775" s="446" t="s">
        <v>28</v>
      </c>
      <c r="S775" s="393"/>
      <c r="T775" s="393"/>
      <c r="U775" s="423"/>
      <c r="V775" s="390"/>
      <c r="Y775" s="419">
        <f t="shared" si="83"/>
        <v>2369843.71</v>
      </c>
      <c r="Z775" s="419"/>
    </row>
    <row r="776" spans="1:210" s="403" customFormat="1" ht="58.5" hidden="1" customHeight="1">
      <c r="A776" s="1113" t="s">
        <v>32</v>
      </c>
      <c r="B776" s="1113"/>
      <c r="C776" s="1113"/>
      <c r="D776" s="1113"/>
      <c r="E776" s="1113"/>
      <c r="F776" s="1113"/>
      <c r="G776" s="1113"/>
      <c r="H776" s="1113"/>
      <c r="I776" s="1113"/>
      <c r="J776" s="1113"/>
      <c r="K776" s="1113"/>
      <c r="L776" s="1113"/>
      <c r="M776" s="1113"/>
      <c r="N776" s="1113"/>
      <c r="O776" s="1113"/>
      <c r="P776" s="1113"/>
      <c r="Q776" s="1113"/>
      <c r="R776" s="1113"/>
      <c r="T776" s="393"/>
      <c r="U776" s="404"/>
      <c r="V776" s="390"/>
      <c r="Y776" s="419">
        <f t="shared" ref="Y776:Y839" si="87">M776+N776+O776+Q776</f>
        <v>0</v>
      </c>
      <c r="Z776" s="419"/>
    </row>
    <row r="777" spans="1:210" s="420" customFormat="1" ht="37.5" hidden="1" customHeight="1">
      <c r="A777" s="697">
        <v>1</v>
      </c>
      <c r="B777" s="698" t="s">
        <v>957</v>
      </c>
      <c r="C777" s="699" t="s">
        <v>218</v>
      </c>
      <c r="D777" s="700">
        <f t="shared" ref="D777:D789" si="88">E777*2.5</f>
        <v>1330</v>
      </c>
      <c r="E777" s="688">
        <v>532</v>
      </c>
      <c r="F777" s="651" t="s">
        <v>228</v>
      </c>
      <c r="G777" s="644">
        <v>700</v>
      </c>
      <c r="H777" s="689">
        <v>2</v>
      </c>
      <c r="I777" s="689">
        <v>3</v>
      </c>
      <c r="J777" s="689">
        <v>22</v>
      </c>
      <c r="K777" s="697" t="s">
        <v>33</v>
      </c>
      <c r="L777" s="650">
        <f t="shared" ref="L777:L792" si="89">M777+N777+O777+P777+Q777</f>
        <v>1182382.04</v>
      </c>
      <c r="M777" s="650">
        <v>1177806.04</v>
      </c>
      <c r="N777" s="688"/>
      <c r="O777" s="643">
        <v>4576</v>
      </c>
      <c r="P777" s="688"/>
      <c r="Q777" s="388"/>
      <c r="R777" s="689">
        <f>M777/G777</f>
        <v>1682.5800571428572</v>
      </c>
      <c r="S777" s="435"/>
      <c r="T777" s="435"/>
      <c r="U777" s="436"/>
      <c r="V777" s="390"/>
      <c r="W777" s="435"/>
      <c r="X777" s="435"/>
      <c r="Y777" s="419">
        <f t="shared" si="87"/>
        <v>1182382.04</v>
      </c>
      <c r="Z777" s="419"/>
      <c r="AA777" s="435"/>
      <c r="AB777" s="435"/>
      <c r="AC777" s="435"/>
      <c r="AD777" s="435"/>
      <c r="AE777" s="435"/>
      <c r="AF777" s="435"/>
      <c r="AG777" s="435"/>
      <c r="AH777" s="435"/>
      <c r="AI777" s="435"/>
      <c r="AJ777" s="435"/>
      <c r="AK777" s="435"/>
      <c r="AL777" s="435"/>
      <c r="AM777" s="435"/>
      <c r="AN777" s="435"/>
      <c r="AO777" s="435"/>
      <c r="AP777" s="435"/>
      <c r="AQ777" s="435"/>
      <c r="AR777" s="435"/>
      <c r="AS777" s="435"/>
      <c r="AT777" s="435"/>
      <c r="AU777" s="435"/>
      <c r="AV777" s="435"/>
      <c r="AW777" s="435"/>
      <c r="AX777" s="435"/>
      <c r="AY777" s="435"/>
      <c r="AZ777" s="435"/>
      <c r="BA777" s="435"/>
      <c r="BB777" s="435"/>
      <c r="BC777" s="435"/>
      <c r="BD777" s="435"/>
      <c r="BE777" s="435"/>
      <c r="BF777" s="435"/>
      <c r="BG777" s="435"/>
      <c r="BH777" s="435"/>
      <c r="BI777" s="435"/>
      <c r="BJ777" s="435"/>
      <c r="BK777" s="435"/>
      <c r="BL777" s="435"/>
      <c r="BM777" s="435"/>
      <c r="BN777" s="435"/>
      <c r="BO777" s="435"/>
      <c r="BP777" s="435"/>
      <c r="BQ777" s="435"/>
      <c r="BR777" s="435"/>
      <c r="BS777" s="435"/>
      <c r="BT777" s="435"/>
      <c r="BU777" s="435"/>
      <c r="BV777" s="435"/>
      <c r="BW777" s="435"/>
      <c r="BX777" s="435"/>
      <c r="BY777" s="435"/>
      <c r="BZ777" s="435"/>
      <c r="CA777" s="435"/>
      <c r="CB777" s="435"/>
      <c r="CC777" s="435"/>
      <c r="CD777" s="435"/>
      <c r="CE777" s="435"/>
      <c r="CF777" s="435"/>
      <c r="CG777" s="435"/>
      <c r="CH777" s="435"/>
      <c r="CI777" s="435"/>
      <c r="CJ777" s="435"/>
      <c r="CK777" s="435"/>
      <c r="CL777" s="435"/>
      <c r="CM777" s="435"/>
      <c r="CN777" s="435"/>
      <c r="CO777" s="435"/>
      <c r="CP777" s="435"/>
      <c r="CQ777" s="435"/>
      <c r="CR777" s="435"/>
      <c r="CS777" s="435"/>
      <c r="CT777" s="435"/>
      <c r="CU777" s="435"/>
      <c r="CV777" s="435"/>
      <c r="CW777" s="435"/>
      <c r="CX777" s="435"/>
      <c r="CY777" s="435"/>
      <c r="CZ777" s="435"/>
      <c r="DA777" s="435"/>
      <c r="DB777" s="435"/>
      <c r="DC777" s="435"/>
      <c r="DD777" s="435"/>
      <c r="DE777" s="435"/>
      <c r="DF777" s="435"/>
      <c r="DG777" s="435"/>
      <c r="DH777" s="435"/>
      <c r="DI777" s="435"/>
      <c r="DJ777" s="435"/>
      <c r="DK777" s="435"/>
      <c r="DL777" s="435"/>
      <c r="DM777" s="435"/>
      <c r="DN777" s="435"/>
      <c r="DO777" s="435"/>
      <c r="DP777" s="435"/>
      <c r="DQ777" s="435"/>
      <c r="DR777" s="435"/>
      <c r="DS777" s="435"/>
      <c r="DT777" s="435"/>
      <c r="DU777" s="435"/>
      <c r="DV777" s="435"/>
      <c r="DW777" s="435"/>
      <c r="DX777" s="435"/>
      <c r="DY777" s="435"/>
      <c r="DZ777" s="435"/>
      <c r="EA777" s="435"/>
      <c r="EB777" s="435"/>
      <c r="EC777" s="435"/>
      <c r="ED777" s="435"/>
      <c r="EE777" s="435"/>
      <c r="EF777" s="435"/>
      <c r="EG777" s="435"/>
      <c r="EH777" s="435"/>
      <c r="EI777" s="435"/>
      <c r="EJ777" s="435"/>
      <c r="EK777" s="435"/>
      <c r="EL777" s="435"/>
      <c r="EM777" s="435"/>
      <c r="EN777" s="435"/>
      <c r="EO777" s="435"/>
      <c r="EP777" s="435"/>
      <c r="EQ777" s="435"/>
      <c r="ER777" s="435"/>
      <c r="ES777" s="435"/>
      <c r="ET777" s="435"/>
      <c r="EU777" s="435"/>
      <c r="EV777" s="435"/>
      <c r="EW777" s="435"/>
      <c r="EX777" s="435"/>
      <c r="EY777" s="435"/>
      <c r="EZ777" s="435"/>
      <c r="FA777" s="435"/>
      <c r="FB777" s="435"/>
      <c r="FC777" s="435"/>
      <c r="FD777" s="435"/>
      <c r="FE777" s="435"/>
      <c r="FF777" s="435"/>
      <c r="FG777" s="435"/>
      <c r="FH777" s="435"/>
      <c r="FI777" s="435"/>
      <c r="FJ777" s="435"/>
      <c r="FK777" s="435"/>
      <c r="FL777" s="435"/>
      <c r="FM777" s="435"/>
      <c r="FN777" s="435"/>
      <c r="FO777" s="435"/>
      <c r="FP777" s="435"/>
      <c r="FQ777" s="435"/>
      <c r="FR777" s="435"/>
      <c r="FS777" s="435"/>
      <c r="FT777" s="435"/>
      <c r="FU777" s="435"/>
      <c r="FV777" s="435"/>
      <c r="FW777" s="435"/>
      <c r="FX777" s="435"/>
      <c r="FY777" s="435"/>
      <c r="FZ777" s="435"/>
      <c r="GA777" s="435"/>
      <c r="GB777" s="435"/>
      <c r="GC777" s="435"/>
      <c r="GD777" s="435"/>
      <c r="GE777" s="435"/>
      <c r="GF777" s="435"/>
      <c r="GG777" s="435"/>
      <c r="GH777" s="435"/>
      <c r="GI777" s="435"/>
      <c r="GJ777" s="435"/>
      <c r="GK777" s="435"/>
      <c r="GL777" s="435"/>
      <c r="GM777" s="435"/>
      <c r="GN777" s="435"/>
      <c r="GO777" s="435"/>
      <c r="GP777" s="435"/>
      <c r="GQ777" s="435"/>
      <c r="GR777" s="435"/>
      <c r="GS777" s="435"/>
      <c r="GT777" s="435"/>
      <c r="GU777" s="435"/>
      <c r="GV777" s="435"/>
      <c r="GW777" s="435"/>
      <c r="GX777" s="435"/>
      <c r="GY777" s="435"/>
      <c r="GZ777" s="435"/>
      <c r="HA777" s="435"/>
      <c r="HB777" s="435"/>
    </row>
    <row r="778" spans="1:210" s="420" customFormat="1" ht="37.5" hidden="1" customHeight="1">
      <c r="A778" s="697">
        <f t="shared" ref="A778:A792" si="90">A777+1</f>
        <v>2</v>
      </c>
      <c r="B778" s="698" t="s">
        <v>958</v>
      </c>
      <c r="C778" s="699" t="s">
        <v>218</v>
      </c>
      <c r="D778" s="700">
        <f t="shared" si="88"/>
        <v>6375</v>
      </c>
      <c r="E778" s="688">
        <v>2550</v>
      </c>
      <c r="F778" s="651" t="s">
        <v>228</v>
      </c>
      <c r="G778" s="644">
        <v>1286</v>
      </c>
      <c r="H778" s="689">
        <v>5</v>
      </c>
      <c r="I778" s="689">
        <v>2</v>
      </c>
      <c r="J778" s="689">
        <v>144</v>
      </c>
      <c r="K778" s="697" t="s">
        <v>33</v>
      </c>
      <c r="L778" s="650">
        <f t="shared" si="89"/>
        <v>2780591.5</v>
      </c>
      <c r="M778" s="649">
        <v>2772184.74</v>
      </c>
      <c r="N778" s="688"/>
      <c r="O778" s="643">
        <v>8406.76</v>
      </c>
      <c r="P778" s="688"/>
      <c r="Q778" s="388"/>
      <c r="R778" s="689">
        <f>M778/G778</f>
        <v>2155.6646500777606</v>
      </c>
      <c r="S778" s="435"/>
      <c r="T778" s="435"/>
      <c r="U778" s="436"/>
      <c r="V778" s="390"/>
      <c r="W778" s="435"/>
      <c r="X778" s="435"/>
      <c r="Y778" s="419">
        <f t="shared" si="87"/>
        <v>2780591.5</v>
      </c>
      <c r="Z778" s="419"/>
      <c r="AA778" s="435"/>
      <c r="AB778" s="435"/>
      <c r="AC778" s="435"/>
      <c r="AD778" s="435"/>
      <c r="AE778" s="435"/>
      <c r="AF778" s="435"/>
      <c r="AG778" s="435"/>
      <c r="AH778" s="435"/>
      <c r="AI778" s="435"/>
      <c r="AJ778" s="435"/>
      <c r="AK778" s="435"/>
      <c r="AL778" s="435"/>
      <c r="AM778" s="435"/>
      <c r="AN778" s="435"/>
      <c r="AO778" s="435"/>
      <c r="AP778" s="435"/>
      <c r="AQ778" s="435"/>
      <c r="AR778" s="435"/>
      <c r="AS778" s="435"/>
      <c r="AT778" s="435"/>
      <c r="AU778" s="435"/>
      <c r="AV778" s="435"/>
      <c r="AW778" s="435"/>
      <c r="AX778" s="435"/>
      <c r="AY778" s="435"/>
      <c r="AZ778" s="435"/>
      <c r="BA778" s="435"/>
      <c r="BB778" s="435"/>
      <c r="BC778" s="435"/>
      <c r="BD778" s="435"/>
      <c r="BE778" s="435"/>
      <c r="BF778" s="435"/>
      <c r="BG778" s="435"/>
      <c r="BH778" s="435"/>
      <c r="BI778" s="435"/>
      <c r="BJ778" s="435"/>
      <c r="BK778" s="435"/>
      <c r="BL778" s="435"/>
      <c r="BM778" s="435"/>
      <c r="BN778" s="435"/>
      <c r="BO778" s="435"/>
      <c r="BP778" s="435"/>
      <c r="BQ778" s="435"/>
      <c r="BR778" s="435"/>
      <c r="BS778" s="435"/>
      <c r="BT778" s="435"/>
      <c r="BU778" s="435"/>
      <c r="BV778" s="435"/>
      <c r="BW778" s="435"/>
      <c r="BX778" s="435"/>
      <c r="BY778" s="435"/>
      <c r="BZ778" s="435"/>
      <c r="CA778" s="435"/>
      <c r="CB778" s="435"/>
      <c r="CC778" s="435"/>
      <c r="CD778" s="435"/>
      <c r="CE778" s="435"/>
      <c r="CF778" s="435"/>
      <c r="CG778" s="435"/>
      <c r="CH778" s="435"/>
      <c r="CI778" s="435"/>
      <c r="CJ778" s="435"/>
      <c r="CK778" s="435"/>
      <c r="CL778" s="435"/>
      <c r="CM778" s="435"/>
      <c r="CN778" s="435"/>
      <c r="CO778" s="435"/>
      <c r="CP778" s="435"/>
      <c r="CQ778" s="435"/>
      <c r="CR778" s="435"/>
      <c r="CS778" s="435"/>
      <c r="CT778" s="435"/>
      <c r="CU778" s="435"/>
      <c r="CV778" s="435"/>
      <c r="CW778" s="435"/>
      <c r="CX778" s="435"/>
      <c r="CY778" s="435"/>
      <c r="CZ778" s="435"/>
      <c r="DA778" s="435"/>
      <c r="DB778" s="435"/>
      <c r="DC778" s="435"/>
      <c r="DD778" s="435"/>
      <c r="DE778" s="435"/>
      <c r="DF778" s="435"/>
      <c r="DG778" s="435"/>
      <c r="DH778" s="435"/>
      <c r="DI778" s="435"/>
      <c r="DJ778" s="435"/>
      <c r="DK778" s="435"/>
      <c r="DL778" s="435"/>
      <c r="DM778" s="435"/>
      <c r="DN778" s="435"/>
      <c r="DO778" s="435"/>
      <c r="DP778" s="435"/>
      <c r="DQ778" s="435"/>
      <c r="DR778" s="435"/>
      <c r="DS778" s="435"/>
      <c r="DT778" s="435"/>
      <c r="DU778" s="435"/>
      <c r="DV778" s="435"/>
      <c r="DW778" s="435"/>
      <c r="DX778" s="435"/>
      <c r="DY778" s="435"/>
      <c r="DZ778" s="435"/>
      <c r="EA778" s="435"/>
      <c r="EB778" s="435"/>
      <c r="EC778" s="435"/>
      <c r="ED778" s="435"/>
      <c r="EE778" s="435"/>
      <c r="EF778" s="435"/>
      <c r="EG778" s="435"/>
      <c r="EH778" s="435"/>
      <c r="EI778" s="435"/>
      <c r="EJ778" s="435"/>
      <c r="EK778" s="435"/>
      <c r="EL778" s="435"/>
      <c r="EM778" s="435"/>
      <c r="EN778" s="435"/>
      <c r="EO778" s="435"/>
      <c r="EP778" s="435"/>
      <c r="EQ778" s="435"/>
      <c r="ER778" s="435"/>
      <c r="ES778" s="435"/>
      <c r="ET778" s="435"/>
      <c r="EU778" s="435"/>
      <c r="EV778" s="435"/>
      <c r="EW778" s="435"/>
      <c r="EX778" s="435"/>
      <c r="EY778" s="435"/>
      <c r="EZ778" s="435"/>
      <c r="FA778" s="435"/>
      <c r="FB778" s="435"/>
      <c r="FC778" s="435"/>
      <c r="FD778" s="435"/>
      <c r="FE778" s="435"/>
      <c r="FF778" s="435"/>
      <c r="FG778" s="435"/>
      <c r="FH778" s="435"/>
      <c r="FI778" s="435"/>
      <c r="FJ778" s="435"/>
      <c r="FK778" s="435"/>
      <c r="FL778" s="435"/>
      <c r="FM778" s="435"/>
      <c r="FN778" s="435"/>
      <c r="FO778" s="435"/>
      <c r="FP778" s="435"/>
      <c r="FQ778" s="435"/>
      <c r="FR778" s="435"/>
      <c r="FS778" s="435"/>
      <c r="FT778" s="435"/>
      <c r="FU778" s="435"/>
      <c r="FV778" s="435"/>
      <c r="FW778" s="435"/>
      <c r="FX778" s="435"/>
      <c r="FY778" s="435"/>
      <c r="FZ778" s="435"/>
      <c r="GA778" s="435"/>
      <c r="GB778" s="435"/>
      <c r="GC778" s="435"/>
      <c r="GD778" s="435"/>
      <c r="GE778" s="435"/>
      <c r="GF778" s="435"/>
      <c r="GG778" s="435"/>
      <c r="GH778" s="435"/>
      <c r="GI778" s="435"/>
      <c r="GJ778" s="435"/>
      <c r="GK778" s="435"/>
      <c r="GL778" s="435"/>
      <c r="GM778" s="435"/>
      <c r="GN778" s="435"/>
      <c r="GO778" s="435"/>
      <c r="GP778" s="435"/>
      <c r="GQ778" s="435"/>
      <c r="GR778" s="435"/>
      <c r="GS778" s="435"/>
      <c r="GT778" s="435"/>
      <c r="GU778" s="435"/>
      <c r="GV778" s="435"/>
      <c r="GW778" s="435"/>
      <c r="GX778" s="435"/>
      <c r="GY778" s="435"/>
      <c r="GZ778" s="435"/>
      <c r="HA778" s="435"/>
      <c r="HB778" s="435"/>
    </row>
    <row r="779" spans="1:210" s="420" customFormat="1" ht="37.5" hidden="1" customHeight="1">
      <c r="A779" s="697">
        <f t="shared" si="90"/>
        <v>3</v>
      </c>
      <c r="B779" s="698" t="s">
        <v>959</v>
      </c>
      <c r="C779" s="699" t="s">
        <v>218</v>
      </c>
      <c r="D779" s="700">
        <f t="shared" si="88"/>
        <v>5332.5</v>
      </c>
      <c r="E779" s="391">
        <f>(26.5+13)*2*3*9</f>
        <v>2133</v>
      </c>
      <c r="F779" s="651" t="s">
        <v>254</v>
      </c>
      <c r="G779" s="651">
        <v>924.8</v>
      </c>
      <c r="H779" s="701">
        <v>9</v>
      </c>
      <c r="I779" s="701">
        <v>2</v>
      </c>
      <c r="J779" s="701">
        <v>108</v>
      </c>
      <c r="K779" s="458" t="s">
        <v>220</v>
      </c>
      <c r="L779" s="650">
        <f t="shared" si="89"/>
        <v>1973169.77</v>
      </c>
      <c r="M779" s="396">
        <v>1973169.77</v>
      </c>
      <c r="N779" s="702"/>
      <c r="O779" s="473"/>
      <c r="P779" s="388"/>
      <c r="Q779" s="388"/>
      <c r="R779" s="446">
        <f>M779</f>
        <v>1973169.77</v>
      </c>
      <c r="S779" s="391">
        <v>85000</v>
      </c>
      <c r="T779" s="437" t="s">
        <v>255</v>
      </c>
      <c r="U779" s="436"/>
      <c r="V779" s="390"/>
      <c r="W779" s="435"/>
      <c r="X779" s="435"/>
      <c r="Y779" s="419">
        <f t="shared" si="87"/>
        <v>1973169.77</v>
      </c>
      <c r="Z779" s="419"/>
      <c r="AA779" s="435"/>
      <c r="AB779" s="435"/>
      <c r="AC779" s="435"/>
      <c r="AD779" s="435"/>
      <c r="AE779" s="435"/>
      <c r="AF779" s="435"/>
      <c r="AG779" s="435"/>
      <c r="AH779" s="435"/>
      <c r="AI779" s="435"/>
      <c r="AJ779" s="435"/>
      <c r="AK779" s="435"/>
      <c r="AL779" s="435"/>
      <c r="AM779" s="435"/>
      <c r="AN779" s="435"/>
      <c r="AO779" s="435"/>
      <c r="AP779" s="435"/>
      <c r="AQ779" s="435"/>
      <c r="AR779" s="435"/>
      <c r="AS779" s="435"/>
      <c r="AT779" s="435"/>
      <c r="AU779" s="435"/>
      <c r="AV779" s="435"/>
      <c r="AW779" s="435"/>
      <c r="AX779" s="435"/>
      <c r="AY779" s="435"/>
      <c r="AZ779" s="435"/>
      <c r="BA779" s="435"/>
      <c r="BB779" s="435"/>
      <c r="BC779" s="435"/>
      <c r="BD779" s="435"/>
      <c r="BE779" s="435"/>
      <c r="BF779" s="435"/>
      <c r="BG779" s="435"/>
      <c r="BH779" s="435"/>
      <c r="BI779" s="435"/>
      <c r="BJ779" s="435"/>
      <c r="BK779" s="435"/>
      <c r="BL779" s="435"/>
      <c r="BM779" s="435"/>
      <c r="BN779" s="435"/>
      <c r="BO779" s="435"/>
      <c r="BP779" s="435"/>
      <c r="BQ779" s="435"/>
      <c r="BR779" s="435"/>
      <c r="BS779" s="435"/>
      <c r="BT779" s="435"/>
      <c r="BU779" s="435"/>
      <c r="BV779" s="435"/>
      <c r="BW779" s="435"/>
      <c r="BX779" s="435"/>
      <c r="BY779" s="435"/>
      <c r="BZ779" s="435"/>
      <c r="CA779" s="435"/>
      <c r="CB779" s="435"/>
      <c r="CC779" s="435"/>
      <c r="CD779" s="435"/>
      <c r="CE779" s="435"/>
      <c r="CF779" s="435"/>
      <c r="CG779" s="435"/>
      <c r="CH779" s="435"/>
      <c r="CI779" s="435"/>
      <c r="CJ779" s="435"/>
      <c r="CK779" s="435"/>
      <c r="CL779" s="435"/>
      <c r="CM779" s="435"/>
      <c r="CN779" s="435"/>
      <c r="CO779" s="435"/>
      <c r="CP779" s="435"/>
      <c r="CQ779" s="435"/>
      <c r="CR779" s="435"/>
      <c r="CS779" s="435"/>
      <c r="CT779" s="435"/>
      <c r="CU779" s="435"/>
      <c r="CV779" s="435"/>
      <c r="CW779" s="435"/>
      <c r="CX779" s="435"/>
      <c r="CY779" s="435"/>
      <c r="CZ779" s="435"/>
      <c r="DA779" s="435"/>
      <c r="DB779" s="435"/>
      <c r="DC779" s="435"/>
      <c r="DD779" s="435"/>
      <c r="DE779" s="435"/>
      <c r="DF779" s="435"/>
      <c r="DG779" s="435"/>
      <c r="DH779" s="435"/>
      <c r="DI779" s="435"/>
      <c r="DJ779" s="435"/>
      <c r="DK779" s="435"/>
      <c r="DL779" s="435"/>
      <c r="DM779" s="435"/>
      <c r="DN779" s="435"/>
      <c r="DO779" s="435"/>
      <c r="DP779" s="435"/>
      <c r="DQ779" s="435"/>
      <c r="DR779" s="435"/>
      <c r="DS779" s="435"/>
      <c r="DT779" s="435"/>
      <c r="DU779" s="435"/>
      <c r="DV779" s="435"/>
      <c r="DW779" s="435"/>
      <c r="DX779" s="435"/>
      <c r="DY779" s="435"/>
      <c r="DZ779" s="435"/>
      <c r="EA779" s="435"/>
      <c r="EB779" s="435"/>
      <c r="EC779" s="435"/>
      <c r="ED779" s="435"/>
      <c r="EE779" s="435"/>
      <c r="EF779" s="435"/>
      <c r="EG779" s="435"/>
      <c r="EH779" s="435"/>
      <c r="EI779" s="435"/>
      <c r="EJ779" s="435"/>
      <c r="EK779" s="435"/>
      <c r="EL779" s="435"/>
      <c r="EM779" s="435"/>
      <c r="EN779" s="435"/>
      <c r="EO779" s="435"/>
      <c r="EP779" s="435"/>
      <c r="EQ779" s="435"/>
      <c r="ER779" s="435"/>
      <c r="ES779" s="435"/>
      <c r="ET779" s="435"/>
      <c r="EU779" s="435"/>
      <c r="EV779" s="435"/>
      <c r="EW779" s="435"/>
      <c r="EX779" s="435"/>
      <c r="EY779" s="435"/>
      <c r="EZ779" s="435"/>
      <c r="FA779" s="435"/>
      <c r="FB779" s="435"/>
      <c r="FC779" s="435"/>
      <c r="FD779" s="435"/>
      <c r="FE779" s="435"/>
      <c r="FF779" s="435"/>
      <c r="FG779" s="435"/>
      <c r="FH779" s="435"/>
      <c r="FI779" s="435"/>
      <c r="FJ779" s="435"/>
      <c r="FK779" s="435"/>
      <c r="FL779" s="435"/>
      <c r="FM779" s="435"/>
      <c r="FN779" s="435"/>
      <c r="FO779" s="435"/>
      <c r="FP779" s="435"/>
      <c r="FQ779" s="435"/>
      <c r="FR779" s="435"/>
      <c r="FS779" s="435"/>
      <c r="FT779" s="435"/>
      <c r="FU779" s="435"/>
      <c r="FV779" s="435"/>
      <c r="FW779" s="435"/>
      <c r="FX779" s="435"/>
      <c r="FY779" s="435"/>
      <c r="FZ779" s="435"/>
      <c r="GA779" s="435"/>
      <c r="GB779" s="435"/>
      <c r="GC779" s="435"/>
      <c r="GD779" s="435"/>
      <c r="GE779" s="435"/>
      <c r="GF779" s="435"/>
      <c r="GG779" s="435"/>
      <c r="GH779" s="435"/>
      <c r="GI779" s="435"/>
      <c r="GJ779" s="435"/>
      <c r="GK779" s="435"/>
      <c r="GL779" s="435"/>
      <c r="GM779" s="435"/>
      <c r="GN779" s="435"/>
      <c r="GO779" s="435"/>
      <c r="GP779" s="435"/>
      <c r="GQ779" s="435"/>
      <c r="GR779" s="435"/>
      <c r="GS779" s="435"/>
      <c r="GT779" s="435"/>
      <c r="GU779" s="435"/>
      <c r="GV779" s="435"/>
      <c r="GW779" s="435"/>
      <c r="GX779" s="435"/>
      <c r="GY779" s="435"/>
      <c r="GZ779" s="435"/>
      <c r="HA779" s="435"/>
      <c r="HB779" s="435"/>
    </row>
    <row r="780" spans="1:210" s="420" customFormat="1" ht="37.5" hidden="1" customHeight="1">
      <c r="A780" s="697">
        <f t="shared" si="90"/>
        <v>4</v>
      </c>
      <c r="B780" s="698" t="s">
        <v>960</v>
      </c>
      <c r="C780" s="699" t="s">
        <v>222</v>
      </c>
      <c r="D780" s="700">
        <f t="shared" si="88"/>
        <v>6547.5</v>
      </c>
      <c r="E780" s="688">
        <v>2619</v>
      </c>
      <c r="F780" s="651" t="s">
        <v>228</v>
      </c>
      <c r="G780" s="644">
        <v>690</v>
      </c>
      <c r="H780" s="689">
        <v>9</v>
      </c>
      <c r="I780" s="689">
        <v>2</v>
      </c>
      <c r="J780" s="689">
        <v>108</v>
      </c>
      <c r="K780" s="697" t="s">
        <v>33</v>
      </c>
      <c r="L780" s="650">
        <f t="shared" si="89"/>
        <v>1305861.72</v>
      </c>
      <c r="M780" s="649">
        <v>1301330.49</v>
      </c>
      <c r="N780" s="688"/>
      <c r="O780" s="643">
        <v>4531.2299999999996</v>
      </c>
      <c r="P780" s="688"/>
      <c r="Q780" s="388"/>
      <c r="R780" s="689">
        <f>M780/G780</f>
        <v>1885.9862173913043</v>
      </c>
      <c r="S780" s="435"/>
      <c r="T780" s="435"/>
      <c r="U780" s="436"/>
      <c r="V780" s="390"/>
      <c r="W780" s="435"/>
      <c r="X780" s="435"/>
      <c r="Y780" s="419">
        <f t="shared" si="87"/>
        <v>1305861.72</v>
      </c>
      <c r="Z780" s="419"/>
      <c r="AA780" s="435"/>
      <c r="AB780" s="435"/>
      <c r="AC780" s="435"/>
      <c r="AD780" s="435"/>
      <c r="AE780" s="435"/>
      <c r="AF780" s="435"/>
      <c r="AG780" s="435"/>
      <c r="AH780" s="435"/>
      <c r="AI780" s="435"/>
      <c r="AJ780" s="435"/>
      <c r="AK780" s="435"/>
      <c r="AL780" s="435"/>
      <c r="AM780" s="435"/>
      <c r="AN780" s="435"/>
      <c r="AO780" s="435"/>
      <c r="AP780" s="435"/>
      <c r="AQ780" s="435"/>
      <c r="AR780" s="435"/>
      <c r="AS780" s="435"/>
      <c r="AT780" s="435"/>
      <c r="AU780" s="435"/>
      <c r="AV780" s="435"/>
      <c r="AW780" s="435"/>
      <c r="AX780" s="435"/>
      <c r="AY780" s="435"/>
      <c r="AZ780" s="435"/>
      <c r="BA780" s="435"/>
      <c r="BB780" s="435"/>
      <c r="BC780" s="435"/>
      <c r="BD780" s="435"/>
      <c r="BE780" s="435"/>
      <c r="BF780" s="435"/>
      <c r="BG780" s="435"/>
      <c r="BH780" s="435"/>
      <c r="BI780" s="435"/>
      <c r="BJ780" s="435"/>
      <c r="BK780" s="435"/>
      <c r="BL780" s="435"/>
      <c r="BM780" s="435"/>
      <c r="BN780" s="435"/>
      <c r="BO780" s="435"/>
      <c r="BP780" s="435"/>
      <c r="BQ780" s="435"/>
      <c r="BR780" s="435"/>
      <c r="BS780" s="435"/>
      <c r="BT780" s="435"/>
      <c r="BU780" s="435"/>
      <c r="BV780" s="435"/>
      <c r="BW780" s="435"/>
      <c r="BX780" s="435"/>
      <c r="BY780" s="435"/>
      <c r="BZ780" s="435"/>
      <c r="CA780" s="435"/>
      <c r="CB780" s="435"/>
      <c r="CC780" s="435"/>
      <c r="CD780" s="435"/>
      <c r="CE780" s="435"/>
      <c r="CF780" s="435"/>
      <c r="CG780" s="435"/>
      <c r="CH780" s="435"/>
      <c r="CI780" s="435"/>
      <c r="CJ780" s="435"/>
      <c r="CK780" s="435"/>
      <c r="CL780" s="435"/>
      <c r="CM780" s="435"/>
      <c r="CN780" s="435"/>
      <c r="CO780" s="435"/>
      <c r="CP780" s="435"/>
      <c r="CQ780" s="435"/>
      <c r="CR780" s="435"/>
      <c r="CS780" s="435"/>
      <c r="CT780" s="435"/>
      <c r="CU780" s="435"/>
      <c r="CV780" s="435"/>
      <c r="CW780" s="435"/>
      <c r="CX780" s="435"/>
      <c r="CY780" s="435"/>
      <c r="CZ780" s="435"/>
      <c r="DA780" s="435"/>
      <c r="DB780" s="435"/>
      <c r="DC780" s="435"/>
      <c r="DD780" s="435"/>
      <c r="DE780" s="435"/>
      <c r="DF780" s="435"/>
      <c r="DG780" s="435"/>
      <c r="DH780" s="435"/>
      <c r="DI780" s="435"/>
      <c r="DJ780" s="435"/>
      <c r="DK780" s="435"/>
      <c r="DL780" s="435"/>
      <c r="DM780" s="435"/>
      <c r="DN780" s="435"/>
      <c r="DO780" s="435"/>
      <c r="DP780" s="435"/>
      <c r="DQ780" s="435"/>
      <c r="DR780" s="435"/>
      <c r="DS780" s="435"/>
      <c r="DT780" s="435"/>
      <c r="DU780" s="435"/>
      <c r="DV780" s="435"/>
      <c r="DW780" s="435"/>
      <c r="DX780" s="435"/>
      <c r="DY780" s="435"/>
      <c r="DZ780" s="435"/>
      <c r="EA780" s="435"/>
      <c r="EB780" s="435"/>
      <c r="EC780" s="435"/>
      <c r="ED780" s="435"/>
      <c r="EE780" s="435"/>
      <c r="EF780" s="435"/>
      <c r="EG780" s="435"/>
      <c r="EH780" s="435"/>
      <c r="EI780" s="435"/>
      <c r="EJ780" s="435"/>
      <c r="EK780" s="435"/>
      <c r="EL780" s="435"/>
      <c r="EM780" s="435"/>
      <c r="EN780" s="435"/>
      <c r="EO780" s="435"/>
      <c r="EP780" s="435"/>
      <c r="EQ780" s="435"/>
      <c r="ER780" s="435"/>
      <c r="ES780" s="435"/>
      <c r="ET780" s="435"/>
      <c r="EU780" s="435"/>
      <c r="EV780" s="435"/>
      <c r="EW780" s="435"/>
      <c r="EX780" s="435"/>
      <c r="EY780" s="435"/>
      <c r="EZ780" s="435"/>
      <c r="FA780" s="435"/>
      <c r="FB780" s="435"/>
      <c r="FC780" s="435"/>
      <c r="FD780" s="435"/>
      <c r="FE780" s="435"/>
      <c r="FF780" s="435"/>
      <c r="FG780" s="435"/>
      <c r="FH780" s="435"/>
      <c r="FI780" s="435"/>
      <c r="FJ780" s="435"/>
      <c r="FK780" s="435"/>
      <c r="FL780" s="435"/>
      <c r="FM780" s="435"/>
      <c r="FN780" s="435"/>
      <c r="FO780" s="435"/>
      <c r="FP780" s="435"/>
      <c r="FQ780" s="435"/>
      <c r="FR780" s="435"/>
      <c r="FS780" s="435"/>
      <c r="FT780" s="435"/>
      <c r="FU780" s="435"/>
      <c r="FV780" s="435"/>
      <c r="FW780" s="435"/>
      <c r="FX780" s="435"/>
      <c r="FY780" s="435"/>
      <c r="FZ780" s="435"/>
      <c r="GA780" s="435"/>
      <c r="GB780" s="435"/>
      <c r="GC780" s="435"/>
      <c r="GD780" s="435"/>
      <c r="GE780" s="435"/>
      <c r="GF780" s="435"/>
      <c r="GG780" s="435"/>
      <c r="GH780" s="435"/>
      <c r="GI780" s="435"/>
      <c r="GJ780" s="435"/>
      <c r="GK780" s="435"/>
      <c r="GL780" s="435"/>
      <c r="GM780" s="435"/>
      <c r="GN780" s="435"/>
      <c r="GO780" s="435"/>
      <c r="GP780" s="435"/>
      <c r="GQ780" s="435"/>
      <c r="GR780" s="435"/>
      <c r="GS780" s="435"/>
      <c r="GT780" s="435"/>
      <c r="GU780" s="435"/>
      <c r="GV780" s="435"/>
      <c r="GW780" s="435"/>
      <c r="GX780" s="435"/>
      <c r="GY780" s="435"/>
      <c r="GZ780" s="435"/>
      <c r="HA780" s="435"/>
      <c r="HB780" s="435"/>
    </row>
    <row r="781" spans="1:210" s="420" customFormat="1" ht="37.5" hidden="1" customHeight="1">
      <c r="A781" s="697">
        <f t="shared" si="90"/>
        <v>5</v>
      </c>
      <c r="B781" s="698" t="s">
        <v>961</v>
      </c>
      <c r="C781" s="699" t="s">
        <v>218</v>
      </c>
      <c r="D781" s="700">
        <f t="shared" si="88"/>
        <v>5400</v>
      </c>
      <c r="E781" s="391">
        <f>(27+13)*2*3*9</f>
        <v>2160</v>
      </c>
      <c r="F781" s="651" t="s">
        <v>254</v>
      </c>
      <c r="G781" s="651">
        <v>938.7</v>
      </c>
      <c r="H781" s="701">
        <v>9</v>
      </c>
      <c r="I781" s="701">
        <v>2</v>
      </c>
      <c r="J781" s="701">
        <v>144</v>
      </c>
      <c r="K781" s="458" t="s">
        <v>220</v>
      </c>
      <c r="L781" s="519">
        <f t="shared" si="89"/>
        <v>3936249.56</v>
      </c>
      <c r="M781" s="388">
        <f>1973169.77+1963079.79</f>
        <v>3936249.56</v>
      </c>
      <c r="N781" s="391"/>
      <c r="O781" s="473"/>
      <c r="P781" s="388"/>
      <c r="Q781" s="388"/>
      <c r="R781" s="446">
        <f>M781/I781</f>
        <v>1968124.78</v>
      </c>
      <c r="S781" s="391">
        <v>85000</v>
      </c>
      <c r="T781" s="437" t="s">
        <v>255</v>
      </c>
      <c r="U781" s="436"/>
      <c r="V781" s="390"/>
      <c r="W781" s="435"/>
      <c r="X781" s="435"/>
      <c r="Y781" s="419">
        <f t="shared" si="87"/>
        <v>3936249.56</v>
      </c>
      <c r="Z781" s="419"/>
      <c r="AA781" s="435"/>
      <c r="AB781" s="435"/>
      <c r="AC781" s="435"/>
      <c r="AD781" s="435"/>
      <c r="AE781" s="435"/>
      <c r="AF781" s="435"/>
      <c r="AG781" s="435"/>
      <c r="AH781" s="435"/>
      <c r="AI781" s="435"/>
      <c r="AJ781" s="435"/>
      <c r="AK781" s="435"/>
      <c r="AL781" s="435"/>
      <c r="AM781" s="435"/>
      <c r="AN781" s="435"/>
      <c r="AO781" s="435"/>
      <c r="AP781" s="435"/>
      <c r="AQ781" s="435"/>
      <c r="AR781" s="435"/>
      <c r="AS781" s="435"/>
      <c r="AT781" s="435"/>
      <c r="AU781" s="435"/>
      <c r="AV781" s="435"/>
      <c r="AW781" s="435"/>
      <c r="AX781" s="435"/>
      <c r="AY781" s="435"/>
      <c r="AZ781" s="435"/>
      <c r="BA781" s="435"/>
      <c r="BB781" s="435"/>
      <c r="BC781" s="435"/>
      <c r="BD781" s="435"/>
      <c r="BE781" s="435"/>
      <c r="BF781" s="435"/>
      <c r="BG781" s="435"/>
      <c r="BH781" s="435"/>
      <c r="BI781" s="435"/>
      <c r="BJ781" s="435"/>
      <c r="BK781" s="435"/>
      <c r="BL781" s="435"/>
      <c r="BM781" s="435"/>
      <c r="BN781" s="435"/>
      <c r="BO781" s="435"/>
      <c r="BP781" s="435"/>
      <c r="BQ781" s="435"/>
      <c r="BR781" s="435"/>
      <c r="BS781" s="435"/>
      <c r="BT781" s="435"/>
      <c r="BU781" s="435"/>
      <c r="BV781" s="435"/>
      <c r="BW781" s="435"/>
      <c r="BX781" s="435"/>
      <c r="BY781" s="435"/>
      <c r="BZ781" s="435"/>
      <c r="CA781" s="435"/>
      <c r="CB781" s="435"/>
      <c r="CC781" s="435"/>
      <c r="CD781" s="435"/>
      <c r="CE781" s="435"/>
      <c r="CF781" s="435"/>
      <c r="CG781" s="435"/>
      <c r="CH781" s="435"/>
      <c r="CI781" s="435"/>
      <c r="CJ781" s="435"/>
      <c r="CK781" s="435"/>
      <c r="CL781" s="435"/>
      <c r="CM781" s="435"/>
      <c r="CN781" s="435"/>
      <c r="CO781" s="435"/>
      <c r="CP781" s="435"/>
      <c r="CQ781" s="435"/>
      <c r="CR781" s="435"/>
      <c r="CS781" s="435"/>
      <c r="CT781" s="435"/>
      <c r="CU781" s="435"/>
      <c r="CV781" s="435"/>
      <c r="CW781" s="435"/>
      <c r="CX781" s="435"/>
      <c r="CY781" s="435"/>
      <c r="CZ781" s="435"/>
      <c r="DA781" s="435"/>
      <c r="DB781" s="435"/>
      <c r="DC781" s="435"/>
      <c r="DD781" s="435"/>
      <c r="DE781" s="435"/>
      <c r="DF781" s="435"/>
      <c r="DG781" s="435"/>
      <c r="DH781" s="435"/>
      <c r="DI781" s="435"/>
      <c r="DJ781" s="435"/>
      <c r="DK781" s="435"/>
      <c r="DL781" s="435"/>
      <c r="DM781" s="435"/>
      <c r="DN781" s="435"/>
      <c r="DO781" s="435"/>
      <c r="DP781" s="435"/>
      <c r="DQ781" s="435"/>
      <c r="DR781" s="435"/>
      <c r="DS781" s="435"/>
      <c r="DT781" s="435"/>
      <c r="DU781" s="435"/>
      <c r="DV781" s="435"/>
      <c r="DW781" s="435"/>
      <c r="DX781" s="435"/>
      <c r="DY781" s="435"/>
      <c r="DZ781" s="435"/>
      <c r="EA781" s="435"/>
      <c r="EB781" s="435"/>
      <c r="EC781" s="435"/>
      <c r="ED781" s="435"/>
      <c r="EE781" s="435"/>
      <c r="EF781" s="435"/>
      <c r="EG781" s="435"/>
      <c r="EH781" s="435"/>
      <c r="EI781" s="435"/>
      <c r="EJ781" s="435"/>
      <c r="EK781" s="435"/>
      <c r="EL781" s="435"/>
      <c r="EM781" s="435"/>
      <c r="EN781" s="435"/>
      <c r="EO781" s="435"/>
      <c r="EP781" s="435"/>
      <c r="EQ781" s="435"/>
      <c r="ER781" s="435"/>
      <c r="ES781" s="435"/>
      <c r="ET781" s="435"/>
      <c r="EU781" s="435"/>
      <c r="EV781" s="435"/>
      <c r="EW781" s="435"/>
      <c r="EX781" s="435"/>
      <c r="EY781" s="435"/>
      <c r="EZ781" s="435"/>
      <c r="FA781" s="435"/>
      <c r="FB781" s="435"/>
      <c r="FC781" s="435"/>
      <c r="FD781" s="435"/>
      <c r="FE781" s="435"/>
      <c r="FF781" s="435"/>
      <c r="FG781" s="435"/>
      <c r="FH781" s="435"/>
      <c r="FI781" s="435"/>
      <c r="FJ781" s="435"/>
      <c r="FK781" s="435"/>
      <c r="FL781" s="435"/>
      <c r="FM781" s="435"/>
      <c r="FN781" s="435"/>
      <c r="FO781" s="435"/>
      <c r="FP781" s="435"/>
      <c r="FQ781" s="435"/>
      <c r="FR781" s="435"/>
      <c r="FS781" s="435"/>
      <c r="FT781" s="435"/>
      <c r="FU781" s="435"/>
      <c r="FV781" s="435"/>
      <c r="FW781" s="435"/>
      <c r="FX781" s="435"/>
      <c r="FY781" s="435"/>
      <c r="FZ781" s="435"/>
      <c r="GA781" s="435"/>
      <c r="GB781" s="435"/>
      <c r="GC781" s="435"/>
      <c r="GD781" s="435"/>
      <c r="GE781" s="435"/>
      <c r="GF781" s="435"/>
      <c r="GG781" s="435"/>
      <c r="GH781" s="435"/>
      <c r="GI781" s="435"/>
      <c r="GJ781" s="435"/>
      <c r="GK781" s="435"/>
      <c r="GL781" s="435"/>
      <c r="GM781" s="435"/>
      <c r="GN781" s="435"/>
      <c r="GO781" s="435"/>
      <c r="GP781" s="435"/>
      <c r="GQ781" s="435"/>
      <c r="GR781" s="435"/>
      <c r="GS781" s="435"/>
      <c r="GT781" s="435"/>
      <c r="GU781" s="435"/>
      <c r="GV781" s="435"/>
      <c r="GW781" s="435"/>
      <c r="GX781" s="435"/>
      <c r="GY781" s="435"/>
      <c r="GZ781" s="435"/>
      <c r="HA781" s="435"/>
      <c r="HB781" s="435"/>
    </row>
    <row r="782" spans="1:210" s="420" customFormat="1" ht="37.5" hidden="1" customHeight="1">
      <c r="A782" s="697">
        <f t="shared" si="90"/>
        <v>6</v>
      </c>
      <c r="B782" s="698" t="s">
        <v>962</v>
      </c>
      <c r="C782" s="699" t="s">
        <v>222</v>
      </c>
      <c r="D782" s="700">
        <f t="shared" si="88"/>
        <v>1130</v>
      </c>
      <c r="E782" s="688">
        <v>452</v>
      </c>
      <c r="F782" s="651" t="s">
        <v>223</v>
      </c>
      <c r="G782" s="644">
        <v>650</v>
      </c>
      <c r="H782" s="689">
        <v>2</v>
      </c>
      <c r="I782" s="689">
        <v>2</v>
      </c>
      <c r="J782" s="689">
        <v>16</v>
      </c>
      <c r="K782" s="697" t="s">
        <v>33</v>
      </c>
      <c r="L782" s="650">
        <f t="shared" si="89"/>
        <v>1661901.55</v>
      </c>
      <c r="M782" s="649">
        <v>1639498.97</v>
      </c>
      <c r="N782" s="688">
        <v>22402.58</v>
      </c>
      <c r="O782" s="703"/>
      <c r="P782" s="688"/>
      <c r="Q782" s="388"/>
      <c r="R782" s="689">
        <f t="shared" ref="R782:R790" si="91">M782/G782</f>
        <v>2522.3061076923077</v>
      </c>
      <c r="S782" s="435"/>
      <c r="T782" s="435"/>
      <c r="U782" s="436"/>
      <c r="V782" s="390"/>
      <c r="W782" s="435"/>
      <c r="X782" s="435"/>
      <c r="Y782" s="419">
        <f t="shared" si="87"/>
        <v>1661901.55</v>
      </c>
      <c r="Z782" s="419"/>
      <c r="AA782" s="435"/>
      <c r="AB782" s="435"/>
      <c r="AC782" s="435"/>
      <c r="AD782" s="435"/>
      <c r="AE782" s="435"/>
      <c r="AF782" s="435"/>
      <c r="AG782" s="435"/>
      <c r="AH782" s="435"/>
      <c r="AI782" s="435"/>
      <c r="AJ782" s="435"/>
      <c r="AK782" s="435"/>
      <c r="AL782" s="435"/>
      <c r="AM782" s="435"/>
      <c r="AN782" s="435"/>
      <c r="AO782" s="435"/>
      <c r="AP782" s="435"/>
      <c r="AQ782" s="435"/>
      <c r="AR782" s="435"/>
      <c r="AS782" s="435"/>
      <c r="AT782" s="435"/>
      <c r="AU782" s="435"/>
      <c r="AV782" s="435"/>
      <c r="AW782" s="435"/>
      <c r="AX782" s="435"/>
      <c r="AY782" s="435"/>
      <c r="AZ782" s="435"/>
      <c r="BA782" s="435"/>
      <c r="BB782" s="435"/>
      <c r="BC782" s="435"/>
      <c r="BD782" s="435"/>
      <c r="BE782" s="435"/>
      <c r="BF782" s="435"/>
      <c r="BG782" s="435"/>
      <c r="BH782" s="435"/>
      <c r="BI782" s="435"/>
      <c r="BJ782" s="435"/>
      <c r="BK782" s="435"/>
      <c r="BL782" s="435"/>
      <c r="BM782" s="435"/>
      <c r="BN782" s="435"/>
      <c r="BO782" s="435"/>
      <c r="BP782" s="435"/>
      <c r="BQ782" s="435"/>
      <c r="BR782" s="435"/>
      <c r="BS782" s="435"/>
      <c r="BT782" s="435"/>
      <c r="BU782" s="435"/>
      <c r="BV782" s="435"/>
      <c r="BW782" s="435"/>
      <c r="BX782" s="435"/>
      <c r="BY782" s="435"/>
      <c r="BZ782" s="435"/>
      <c r="CA782" s="435"/>
      <c r="CB782" s="435"/>
      <c r="CC782" s="435"/>
      <c r="CD782" s="435"/>
      <c r="CE782" s="435"/>
      <c r="CF782" s="435"/>
      <c r="CG782" s="435"/>
      <c r="CH782" s="435"/>
      <c r="CI782" s="435"/>
      <c r="CJ782" s="435"/>
      <c r="CK782" s="435"/>
      <c r="CL782" s="435"/>
      <c r="CM782" s="435"/>
      <c r="CN782" s="435"/>
      <c r="CO782" s="435"/>
      <c r="CP782" s="435"/>
      <c r="CQ782" s="435"/>
      <c r="CR782" s="435"/>
      <c r="CS782" s="435"/>
      <c r="CT782" s="435"/>
      <c r="CU782" s="435"/>
      <c r="CV782" s="435"/>
      <c r="CW782" s="435"/>
      <c r="CX782" s="435"/>
      <c r="CY782" s="435"/>
      <c r="CZ782" s="435"/>
      <c r="DA782" s="435"/>
      <c r="DB782" s="435"/>
      <c r="DC782" s="435"/>
      <c r="DD782" s="435"/>
      <c r="DE782" s="435"/>
      <c r="DF782" s="435"/>
      <c r="DG782" s="435"/>
      <c r="DH782" s="435"/>
      <c r="DI782" s="435"/>
      <c r="DJ782" s="435"/>
      <c r="DK782" s="435"/>
      <c r="DL782" s="435"/>
      <c r="DM782" s="435"/>
      <c r="DN782" s="435"/>
      <c r="DO782" s="435"/>
      <c r="DP782" s="435"/>
      <c r="DQ782" s="435"/>
      <c r="DR782" s="435"/>
      <c r="DS782" s="435"/>
      <c r="DT782" s="435"/>
      <c r="DU782" s="435"/>
      <c r="DV782" s="435"/>
      <c r="DW782" s="435"/>
      <c r="DX782" s="435"/>
      <c r="DY782" s="435"/>
      <c r="DZ782" s="435"/>
      <c r="EA782" s="435"/>
      <c r="EB782" s="435"/>
      <c r="EC782" s="435"/>
      <c r="ED782" s="435"/>
      <c r="EE782" s="435"/>
      <c r="EF782" s="435"/>
      <c r="EG782" s="435"/>
      <c r="EH782" s="435"/>
      <c r="EI782" s="435"/>
      <c r="EJ782" s="435"/>
      <c r="EK782" s="435"/>
      <c r="EL782" s="435"/>
      <c r="EM782" s="435"/>
      <c r="EN782" s="435"/>
      <c r="EO782" s="435"/>
      <c r="EP782" s="435"/>
      <c r="EQ782" s="435"/>
      <c r="ER782" s="435"/>
      <c r="ES782" s="435"/>
      <c r="ET782" s="435"/>
      <c r="EU782" s="435"/>
      <c r="EV782" s="435"/>
      <c r="EW782" s="435"/>
      <c r="EX782" s="435"/>
      <c r="EY782" s="435"/>
      <c r="EZ782" s="435"/>
      <c r="FA782" s="435"/>
      <c r="FB782" s="435"/>
      <c r="FC782" s="435"/>
      <c r="FD782" s="435"/>
      <c r="FE782" s="435"/>
      <c r="FF782" s="435"/>
      <c r="FG782" s="435"/>
      <c r="FH782" s="435"/>
      <c r="FI782" s="435"/>
      <c r="FJ782" s="435"/>
      <c r="FK782" s="435"/>
      <c r="FL782" s="435"/>
      <c r="FM782" s="435"/>
      <c r="FN782" s="435"/>
      <c r="FO782" s="435"/>
      <c r="FP782" s="435"/>
      <c r="FQ782" s="435"/>
      <c r="FR782" s="435"/>
      <c r="FS782" s="435"/>
      <c r="FT782" s="435"/>
      <c r="FU782" s="435"/>
      <c r="FV782" s="435"/>
      <c r="FW782" s="435"/>
      <c r="FX782" s="435"/>
      <c r="FY782" s="435"/>
      <c r="FZ782" s="435"/>
      <c r="GA782" s="435"/>
      <c r="GB782" s="435"/>
      <c r="GC782" s="435"/>
      <c r="GD782" s="435"/>
      <c r="GE782" s="435"/>
      <c r="GF782" s="435"/>
      <c r="GG782" s="435"/>
      <c r="GH782" s="435"/>
      <c r="GI782" s="435"/>
      <c r="GJ782" s="435"/>
      <c r="GK782" s="435"/>
      <c r="GL782" s="435"/>
      <c r="GM782" s="435"/>
      <c r="GN782" s="435"/>
      <c r="GO782" s="435"/>
      <c r="GP782" s="435"/>
      <c r="GQ782" s="435"/>
      <c r="GR782" s="435"/>
      <c r="GS782" s="435"/>
      <c r="GT782" s="435"/>
      <c r="GU782" s="435"/>
      <c r="GV782" s="435"/>
      <c r="GW782" s="435"/>
      <c r="GX782" s="435"/>
      <c r="GY782" s="435"/>
      <c r="GZ782" s="435"/>
      <c r="HA782" s="435"/>
      <c r="HB782" s="435"/>
    </row>
    <row r="783" spans="1:210" s="420" customFormat="1" ht="37.5" hidden="1" customHeight="1">
      <c r="A783" s="697">
        <f t="shared" si="90"/>
        <v>7</v>
      </c>
      <c r="B783" s="698" t="s">
        <v>963</v>
      </c>
      <c r="C783" s="699" t="s">
        <v>222</v>
      </c>
      <c r="D783" s="700">
        <f t="shared" si="88"/>
        <v>1650</v>
      </c>
      <c r="E783" s="651">
        <v>660</v>
      </c>
      <c r="F783" s="651" t="s">
        <v>223</v>
      </c>
      <c r="G783" s="651">
        <v>730</v>
      </c>
      <c r="H783" s="701">
        <v>2</v>
      </c>
      <c r="I783" s="701">
        <v>2</v>
      </c>
      <c r="J783" s="701">
        <v>12</v>
      </c>
      <c r="K783" s="697" t="s">
        <v>33</v>
      </c>
      <c r="L783" s="650">
        <f t="shared" si="89"/>
        <v>1387014.04</v>
      </c>
      <c r="M783" s="650">
        <v>1361854.22</v>
      </c>
      <c r="N783" s="688">
        <v>25159.82</v>
      </c>
      <c r="O783" s="696"/>
      <c r="P783" s="651"/>
      <c r="Q783" s="388"/>
      <c r="R783" s="689">
        <f t="shared" si="91"/>
        <v>1865.5537260273973</v>
      </c>
      <c r="S783" s="435"/>
      <c r="T783" s="435"/>
      <c r="U783" s="436"/>
      <c r="V783" s="390"/>
      <c r="W783" s="435"/>
      <c r="X783" s="435"/>
      <c r="Y783" s="419">
        <f t="shared" si="87"/>
        <v>1387014.04</v>
      </c>
      <c r="Z783" s="419"/>
      <c r="AA783" s="435"/>
      <c r="AB783" s="435"/>
      <c r="AC783" s="435"/>
      <c r="AD783" s="435"/>
      <c r="AE783" s="435"/>
      <c r="AF783" s="435"/>
      <c r="AG783" s="435"/>
      <c r="AH783" s="435"/>
      <c r="AI783" s="435"/>
      <c r="AJ783" s="435"/>
      <c r="AK783" s="435"/>
      <c r="AL783" s="435"/>
      <c r="AM783" s="435"/>
      <c r="AN783" s="435"/>
      <c r="AO783" s="435"/>
      <c r="AP783" s="435"/>
      <c r="AQ783" s="435"/>
      <c r="AR783" s="435"/>
      <c r="AS783" s="435"/>
      <c r="AT783" s="435"/>
      <c r="AU783" s="435"/>
      <c r="AV783" s="435"/>
      <c r="AW783" s="435"/>
      <c r="AX783" s="435"/>
      <c r="AY783" s="435"/>
      <c r="AZ783" s="435"/>
      <c r="BA783" s="435"/>
      <c r="BB783" s="435"/>
      <c r="BC783" s="435"/>
      <c r="BD783" s="435"/>
      <c r="BE783" s="435"/>
      <c r="BF783" s="435"/>
      <c r="BG783" s="435"/>
      <c r="BH783" s="435"/>
      <c r="BI783" s="435"/>
      <c r="BJ783" s="435"/>
      <c r="BK783" s="435"/>
      <c r="BL783" s="435"/>
      <c r="BM783" s="435"/>
      <c r="BN783" s="435"/>
      <c r="BO783" s="435"/>
      <c r="BP783" s="435"/>
      <c r="BQ783" s="435"/>
      <c r="BR783" s="435"/>
      <c r="BS783" s="435"/>
      <c r="BT783" s="435"/>
      <c r="BU783" s="435"/>
      <c r="BV783" s="435"/>
      <c r="BW783" s="435"/>
      <c r="BX783" s="435"/>
      <c r="BY783" s="435"/>
      <c r="BZ783" s="435"/>
      <c r="CA783" s="435"/>
      <c r="CB783" s="435"/>
      <c r="CC783" s="435"/>
      <c r="CD783" s="435"/>
      <c r="CE783" s="435"/>
      <c r="CF783" s="435"/>
      <c r="CG783" s="435"/>
      <c r="CH783" s="435"/>
      <c r="CI783" s="435"/>
      <c r="CJ783" s="435"/>
      <c r="CK783" s="435"/>
      <c r="CL783" s="435"/>
      <c r="CM783" s="435"/>
      <c r="CN783" s="435"/>
      <c r="CO783" s="435"/>
      <c r="CP783" s="435"/>
      <c r="CQ783" s="435"/>
      <c r="CR783" s="435"/>
      <c r="CS783" s="435"/>
      <c r="CT783" s="435"/>
      <c r="CU783" s="435"/>
      <c r="CV783" s="435"/>
      <c r="CW783" s="435"/>
      <c r="CX783" s="435"/>
      <c r="CY783" s="435"/>
      <c r="CZ783" s="435"/>
      <c r="DA783" s="435"/>
      <c r="DB783" s="435"/>
      <c r="DC783" s="435"/>
      <c r="DD783" s="435"/>
      <c r="DE783" s="435"/>
      <c r="DF783" s="435"/>
      <c r="DG783" s="435"/>
      <c r="DH783" s="435"/>
      <c r="DI783" s="435"/>
      <c r="DJ783" s="435"/>
      <c r="DK783" s="435"/>
      <c r="DL783" s="435"/>
      <c r="DM783" s="435"/>
      <c r="DN783" s="435"/>
      <c r="DO783" s="435"/>
      <c r="DP783" s="435"/>
      <c r="DQ783" s="435"/>
      <c r="DR783" s="435"/>
      <c r="DS783" s="435"/>
      <c r="DT783" s="435"/>
      <c r="DU783" s="435"/>
      <c r="DV783" s="435"/>
      <c r="DW783" s="435"/>
      <c r="DX783" s="435"/>
      <c r="DY783" s="435"/>
      <c r="DZ783" s="435"/>
      <c r="EA783" s="435"/>
      <c r="EB783" s="435"/>
      <c r="EC783" s="435"/>
      <c r="ED783" s="435"/>
      <c r="EE783" s="435"/>
      <c r="EF783" s="435"/>
      <c r="EG783" s="435"/>
      <c r="EH783" s="435"/>
      <c r="EI783" s="435"/>
      <c r="EJ783" s="435"/>
      <c r="EK783" s="435"/>
      <c r="EL783" s="435"/>
      <c r="EM783" s="435"/>
      <c r="EN783" s="435"/>
      <c r="EO783" s="435"/>
      <c r="EP783" s="435"/>
      <c r="EQ783" s="435"/>
      <c r="ER783" s="435"/>
      <c r="ES783" s="435"/>
      <c r="ET783" s="435"/>
      <c r="EU783" s="435"/>
      <c r="EV783" s="435"/>
      <c r="EW783" s="435"/>
      <c r="EX783" s="435"/>
      <c r="EY783" s="435"/>
      <c r="EZ783" s="435"/>
      <c r="FA783" s="435"/>
      <c r="FB783" s="435"/>
      <c r="FC783" s="435"/>
      <c r="FD783" s="435"/>
      <c r="FE783" s="435"/>
      <c r="FF783" s="435"/>
      <c r="FG783" s="435"/>
      <c r="FH783" s="435"/>
      <c r="FI783" s="435"/>
      <c r="FJ783" s="435"/>
      <c r="FK783" s="435"/>
      <c r="FL783" s="435"/>
      <c r="FM783" s="435"/>
      <c r="FN783" s="435"/>
      <c r="FO783" s="435"/>
      <c r="FP783" s="435"/>
      <c r="FQ783" s="435"/>
      <c r="FR783" s="435"/>
      <c r="FS783" s="435"/>
      <c r="FT783" s="435"/>
      <c r="FU783" s="435"/>
      <c r="FV783" s="435"/>
      <c r="FW783" s="435"/>
      <c r="FX783" s="435"/>
      <c r="FY783" s="435"/>
      <c r="FZ783" s="435"/>
      <c r="GA783" s="435"/>
      <c r="GB783" s="435"/>
      <c r="GC783" s="435"/>
      <c r="GD783" s="435"/>
      <c r="GE783" s="435"/>
      <c r="GF783" s="435"/>
      <c r="GG783" s="435"/>
      <c r="GH783" s="435"/>
      <c r="GI783" s="435"/>
      <c r="GJ783" s="435"/>
      <c r="GK783" s="435"/>
      <c r="GL783" s="435"/>
      <c r="GM783" s="435"/>
      <c r="GN783" s="435"/>
      <c r="GO783" s="435"/>
      <c r="GP783" s="435"/>
      <c r="GQ783" s="435"/>
      <c r="GR783" s="435"/>
      <c r="GS783" s="435"/>
      <c r="GT783" s="435"/>
      <c r="GU783" s="435"/>
      <c r="GV783" s="435"/>
      <c r="GW783" s="435"/>
      <c r="GX783" s="435"/>
      <c r="GY783" s="435"/>
      <c r="GZ783" s="435"/>
      <c r="HA783" s="435"/>
      <c r="HB783" s="435"/>
    </row>
    <row r="784" spans="1:210" s="420" customFormat="1" ht="37.5" hidden="1" customHeight="1">
      <c r="A784" s="697">
        <f t="shared" si="90"/>
        <v>8</v>
      </c>
      <c r="B784" s="698" t="s">
        <v>964</v>
      </c>
      <c r="C784" s="699" t="s">
        <v>222</v>
      </c>
      <c r="D784" s="700">
        <f t="shared" si="88"/>
        <v>1650</v>
      </c>
      <c r="E784" s="651">
        <v>660</v>
      </c>
      <c r="F784" s="651" t="s">
        <v>223</v>
      </c>
      <c r="G784" s="651">
        <v>730</v>
      </c>
      <c r="H784" s="701">
        <v>2</v>
      </c>
      <c r="I784" s="701">
        <v>2</v>
      </c>
      <c r="J784" s="701">
        <v>18</v>
      </c>
      <c r="K784" s="697" t="s">
        <v>33</v>
      </c>
      <c r="L784" s="650">
        <f t="shared" si="89"/>
        <v>1603897.9400000002</v>
      </c>
      <c r="M784" s="650">
        <v>1578738.12</v>
      </c>
      <c r="N784" s="688">
        <v>25159.82</v>
      </c>
      <c r="O784" s="696"/>
      <c r="P784" s="651"/>
      <c r="Q784" s="388"/>
      <c r="R784" s="689">
        <f t="shared" si="91"/>
        <v>2162.6549589041097</v>
      </c>
      <c r="S784" s="435"/>
      <c r="T784" s="435"/>
      <c r="U784" s="436"/>
      <c r="V784" s="390"/>
      <c r="W784" s="435"/>
      <c r="X784" s="435"/>
      <c r="Y784" s="419">
        <f t="shared" si="87"/>
        <v>1603897.9400000002</v>
      </c>
      <c r="Z784" s="419"/>
      <c r="AA784" s="435"/>
      <c r="AB784" s="435"/>
      <c r="AC784" s="435"/>
      <c r="AD784" s="435"/>
      <c r="AE784" s="435"/>
      <c r="AF784" s="435"/>
      <c r="AG784" s="435"/>
      <c r="AH784" s="435"/>
      <c r="AI784" s="435"/>
      <c r="AJ784" s="435"/>
      <c r="AK784" s="435"/>
      <c r="AL784" s="435"/>
      <c r="AM784" s="435"/>
      <c r="AN784" s="435"/>
      <c r="AO784" s="435"/>
      <c r="AP784" s="435"/>
      <c r="AQ784" s="435"/>
      <c r="AR784" s="435"/>
      <c r="AS784" s="435"/>
      <c r="AT784" s="435"/>
      <c r="AU784" s="435"/>
      <c r="AV784" s="435"/>
      <c r="AW784" s="435"/>
      <c r="AX784" s="435"/>
      <c r="AY784" s="435"/>
      <c r="AZ784" s="435"/>
      <c r="BA784" s="435"/>
      <c r="BB784" s="435"/>
      <c r="BC784" s="435"/>
      <c r="BD784" s="435"/>
      <c r="BE784" s="435"/>
      <c r="BF784" s="435"/>
      <c r="BG784" s="435"/>
      <c r="BH784" s="435"/>
      <c r="BI784" s="435"/>
      <c r="BJ784" s="435"/>
      <c r="BK784" s="435"/>
      <c r="BL784" s="435"/>
      <c r="BM784" s="435"/>
      <c r="BN784" s="435"/>
      <c r="BO784" s="435"/>
      <c r="BP784" s="435"/>
      <c r="BQ784" s="435"/>
      <c r="BR784" s="435"/>
      <c r="BS784" s="435"/>
      <c r="BT784" s="435"/>
      <c r="BU784" s="435"/>
      <c r="BV784" s="435"/>
      <c r="BW784" s="435"/>
      <c r="BX784" s="435"/>
      <c r="BY784" s="435"/>
      <c r="BZ784" s="435"/>
      <c r="CA784" s="435"/>
      <c r="CB784" s="435"/>
      <c r="CC784" s="435"/>
      <c r="CD784" s="435"/>
      <c r="CE784" s="435"/>
      <c r="CF784" s="435"/>
      <c r="CG784" s="435"/>
      <c r="CH784" s="435"/>
      <c r="CI784" s="435"/>
      <c r="CJ784" s="435"/>
      <c r="CK784" s="435"/>
      <c r="CL784" s="435"/>
      <c r="CM784" s="435"/>
      <c r="CN784" s="435"/>
      <c r="CO784" s="435"/>
      <c r="CP784" s="435"/>
      <c r="CQ784" s="435"/>
      <c r="CR784" s="435"/>
      <c r="CS784" s="435"/>
      <c r="CT784" s="435"/>
      <c r="CU784" s="435"/>
      <c r="CV784" s="435"/>
      <c r="CW784" s="435"/>
      <c r="CX784" s="435"/>
      <c r="CY784" s="435"/>
      <c r="CZ784" s="435"/>
      <c r="DA784" s="435"/>
      <c r="DB784" s="435"/>
      <c r="DC784" s="435"/>
      <c r="DD784" s="435"/>
      <c r="DE784" s="435"/>
      <c r="DF784" s="435"/>
      <c r="DG784" s="435"/>
      <c r="DH784" s="435"/>
      <c r="DI784" s="435"/>
      <c r="DJ784" s="435"/>
      <c r="DK784" s="435"/>
      <c r="DL784" s="435"/>
      <c r="DM784" s="435"/>
      <c r="DN784" s="435"/>
      <c r="DO784" s="435"/>
      <c r="DP784" s="435"/>
      <c r="DQ784" s="435"/>
      <c r="DR784" s="435"/>
      <c r="DS784" s="435"/>
      <c r="DT784" s="435"/>
      <c r="DU784" s="435"/>
      <c r="DV784" s="435"/>
      <c r="DW784" s="435"/>
      <c r="DX784" s="435"/>
      <c r="DY784" s="435"/>
      <c r="DZ784" s="435"/>
      <c r="EA784" s="435"/>
      <c r="EB784" s="435"/>
      <c r="EC784" s="435"/>
      <c r="ED784" s="435"/>
      <c r="EE784" s="435"/>
      <c r="EF784" s="435"/>
      <c r="EG784" s="435"/>
      <c r="EH784" s="435"/>
      <c r="EI784" s="435"/>
      <c r="EJ784" s="435"/>
      <c r="EK784" s="435"/>
      <c r="EL784" s="435"/>
      <c r="EM784" s="435"/>
      <c r="EN784" s="435"/>
      <c r="EO784" s="435"/>
      <c r="EP784" s="435"/>
      <c r="EQ784" s="435"/>
      <c r="ER784" s="435"/>
      <c r="ES784" s="435"/>
      <c r="ET784" s="435"/>
      <c r="EU784" s="435"/>
      <c r="EV784" s="435"/>
      <c r="EW784" s="435"/>
      <c r="EX784" s="435"/>
      <c r="EY784" s="435"/>
      <c r="EZ784" s="435"/>
      <c r="FA784" s="435"/>
      <c r="FB784" s="435"/>
      <c r="FC784" s="435"/>
      <c r="FD784" s="435"/>
      <c r="FE784" s="435"/>
      <c r="FF784" s="435"/>
      <c r="FG784" s="435"/>
      <c r="FH784" s="435"/>
      <c r="FI784" s="435"/>
      <c r="FJ784" s="435"/>
      <c r="FK784" s="435"/>
      <c r="FL784" s="435"/>
      <c r="FM784" s="435"/>
      <c r="FN784" s="435"/>
      <c r="FO784" s="435"/>
      <c r="FP784" s="435"/>
      <c r="FQ784" s="435"/>
      <c r="FR784" s="435"/>
      <c r="FS784" s="435"/>
      <c r="FT784" s="435"/>
      <c r="FU784" s="435"/>
      <c r="FV784" s="435"/>
      <c r="FW784" s="435"/>
      <c r="FX784" s="435"/>
      <c r="FY784" s="435"/>
      <c r="FZ784" s="435"/>
      <c r="GA784" s="435"/>
      <c r="GB784" s="435"/>
      <c r="GC784" s="435"/>
      <c r="GD784" s="435"/>
      <c r="GE784" s="435"/>
      <c r="GF784" s="435"/>
      <c r="GG784" s="435"/>
      <c r="GH784" s="435"/>
      <c r="GI784" s="435"/>
      <c r="GJ784" s="435"/>
      <c r="GK784" s="435"/>
      <c r="GL784" s="435"/>
      <c r="GM784" s="435"/>
      <c r="GN784" s="435"/>
      <c r="GO784" s="435"/>
      <c r="GP784" s="435"/>
      <c r="GQ784" s="435"/>
      <c r="GR784" s="435"/>
      <c r="GS784" s="435"/>
      <c r="GT784" s="435"/>
      <c r="GU784" s="435"/>
      <c r="GV784" s="435"/>
      <c r="GW784" s="435"/>
      <c r="GX784" s="435"/>
      <c r="GY784" s="435"/>
      <c r="GZ784" s="435"/>
      <c r="HA784" s="435"/>
      <c r="HB784" s="435"/>
    </row>
    <row r="785" spans="1:210" s="420" customFormat="1" ht="37.5" hidden="1" customHeight="1">
      <c r="A785" s="697">
        <f t="shared" si="90"/>
        <v>9</v>
      </c>
      <c r="B785" s="698" t="s">
        <v>965</v>
      </c>
      <c r="C785" s="699" t="s">
        <v>218</v>
      </c>
      <c r="D785" s="700">
        <f t="shared" si="88"/>
        <v>5615</v>
      </c>
      <c r="E785" s="688">
        <v>2246</v>
      </c>
      <c r="F785" s="651" t="s">
        <v>228</v>
      </c>
      <c r="G785" s="644">
        <v>800</v>
      </c>
      <c r="H785" s="689">
        <v>5</v>
      </c>
      <c r="I785" s="689">
        <v>4</v>
      </c>
      <c r="J785" s="689">
        <v>60</v>
      </c>
      <c r="K785" s="697" t="s">
        <v>33</v>
      </c>
      <c r="L785" s="650">
        <f t="shared" si="89"/>
        <v>1373080.6600000001</v>
      </c>
      <c r="M785" s="650">
        <v>1367827.06</v>
      </c>
      <c r="N785" s="688"/>
      <c r="O785" s="643">
        <v>5253.6</v>
      </c>
      <c r="P785" s="688"/>
      <c r="Q785" s="388"/>
      <c r="R785" s="689">
        <f t="shared" si="91"/>
        <v>1709.783825</v>
      </c>
      <c r="S785" s="435"/>
      <c r="T785" s="435"/>
      <c r="U785" s="436"/>
      <c r="V785" s="390"/>
      <c r="W785" s="435"/>
      <c r="X785" s="435"/>
      <c r="Y785" s="419">
        <f t="shared" si="87"/>
        <v>1373080.6600000001</v>
      </c>
      <c r="Z785" s="419"/>
      <c r="AA785" s="435"/>
      <c r="AB785" s="435"/>
      <c r="AC785" s="435"/>
      <c r="AD785" s="435"/>
      <c r="AE785" s="435"/>
      <c r="AF785" s="435"/>
      <c r="AG785" s="435"/>
      <c r="AH785" s="435"/>
      <c r="AI785" s="435"/>
      <c r="AJ785" s="435"/>
      <c r="AK785" s="435"/>
      <c r="AL785" s="435"/>
      <c r="AM785" s="435"/>
      <c r="AN785" s="435"/>
      <c r="AO785" s="435"/>
      <c r="AP785" s="435"/>
      <c r="AQ785" s="435"/>
      <c r="AR785" s="435"/>
      <c r="AS785" s="435"/>
      <c r="AT785" s="435"/>
      <c r="AU785" s="435"/>
      <c r="AV785" s="435"/>
      <c r="AW785" s="435"/>
      <c r="AX785" s="435"/>
      <c r="AY785" s="435"/>
      <c r="AZ785" s="435"/>
      <c r="BA785" s="435"/>
      <c r="BB785" s="435"/>
      <c r="BC785" s="435"/>
      <c r="BD785" s="435"/>
      <c r="BE785" s="435"/>
      <c r="BF785" s="435"/>
      <c r="BG785" s="435"/>
      <c r="BH785" s="435"/>
      <c r="BI785" s="435"/>
      <c r="BJ785" s="435"/>
      <c r="BK785" s="435"/>
      <c r="BL785" s="435"/>
      <c r="BM785" s="435"/>
      <c r="BN785" s="435"/>
      <c r="BO785" s="435"/>
      <c r="BP785" s="435"/>
      <c r="BQ785" s="435"/>
      <c r="BR785" s="435"/>
      <c r="BS785" s="435"/>
      <c r="BT785" s="435"/>
      <c r="BU785" s="435"/>
      <c r="BV785" s="435"/>
      <c r="BW785" s="435"/>
      <c r="BX785" s="435"/>
      <c r="BY785" s="435"/>
      <c r="BZ785" s="435"/>
      <c r="CA785" s="435"/>
      <c r="CB785" s="435"/>
      <c r="CC785" s="435"/>
      <c r="CD785" s="435"/>
      <c r="CE785" s="435"/>
      <c r="CF785" s="435"/>
      <c r="CG785" s="435"/>
      <c r="CH785" s="435"/>
      <c r="CI785" s="435"/>
      <c r="CJ785" s="435"/>
      <c r="CK785" s="435"/>
      <c r="CL785" s="435"/>
      <c r="CM785" s="435"/>
      <c r="CN785" s="435"/>
      <c r="CO785" s="435"/>
      <c r="CP785" s="435"/>
      <c r="CQ785" s="435"/>
      <c r="CR785" s="435"/>
      <c r="CS785" s="435"/>
      <c r="CT785" s="435"/>
      <c r="CU785" s="435"/>
      <c r="CV785" s="435"/>
      <c r="CW785" s="435"/>
      <c r="CX785" s="435"/>
      <c r="CY785" s="435"/>
      <c r="CZ785" s="435"/>
      <c r="DA785" s="435"/>
      <c r="DB785" s="435"/>
      <c r="DC785" s="435"/>
      <c r="DD785" s="435"/>
      <c r="DE785" s="435"/>
      <c r="DF785" s="435"/>
      <c r="DG785" s="435"/>
      <c r="DH785" s="435"/>
      <c r="DI785" s="435"/>
      <c r="DJ785" s="435"/>
      <c r="DK785" s="435"/>
      <c r="DL785" s="435"/>
      <c r="DM785" s="435"/>
      <c r="DN785" s="435"/>
      <c r="DO785" s="435"/>
      <c r="DP785" s="435"/>
      <c r="DQ785" s="435"/>
      <c r="DR785" s="435"/>
      <c r="DS785" s="435"/>
      <c r="DT785" s="435"/>
      <c r="DU785" s="435"/>
      <c r="DV785" s="435"/>
      <c r="DW785" s="435"/>
      <c r="DX785" s="435"/>
      <c r="DY785" s="435"/>
      <c r="DZ785" s="435"/>
      <c r="EA785" s="435"/>
      <c r="EB785" s="435"/>
      <c r="EC785" s="435"/>
      <c r="ED785" s="435"/>
      <c r="EE785" s="435"/>
      <c r="EF785" s="435"/>
      <c r="EG785" s="435"/>
      <c r="EH785" s="435"/>
      <c r="EI785" s="435"/>
      <c r="EJ785" s="435"/>
      <c r="EK785" s="435"/>
      <c r="EL785" s="435"/>
      <c r="EM785" s="435"/>
      <c r="EN785" s="435"/>
      <c r="EO785" s="435"/>
      <c r="EP785" s="435"/>
      <c r="EQ785" s="435"/>
      <c r="ER785" s="435"/>
      <c r="ES785" s="435"/>
      <c r="ET785" s="435"/>
      <c r="EU785" s="435"/>
      <c r="EV785" s="435"/>
      <c r="EW785" s="435"/>
      <c r="EX785" s="435"/>
      <c r="EY785" s="435"/>
      <c r="EZ785" s="435"/>
      <c r="FA785" s="435"/>
      <c r="FB785" s="435"/>
      <c r="FC785" s="435"/>
      <c r="FD785" s="435"/>
      <c r="FE785" s="435"/>
      <c r="FF785" s="435"/>
      <c r="FG785" s="435"/>
      <c r="FH785" s="435"/>
      <c r="FI785" s="435"/>
      <c r="FJ785" s="435"/>
      <c r="FK785" s="435"/>
      <c r="FL785" s="435"/>
      <c r="FM785" s="435"/>
      <c r="FN785" s="435"/>
      <c r="FO785" s="435"/>
      <c r="FP785" s="435"/>
      <c r="FQ785" s="435"/>
      <c r="FR785" s="435"/>
      <c r="FS785" s="435"/>
      <c r="FT785" s="435"/>
      <c r="FU785" s="435"/>
      <c r="FV785" s="435"/>
      <c r="FW785" s="435"/>
      <c r="FX785" s="435"/>
      <c r="FY785" s="435"/>
      <c r="FZ785" s="435"/>
      <c r="GA785" s="435"/>
      <c r="GB785" s="435"/>
      <c r="GC785" s="435"/>
      <c r="GD785" s="435"/>
      <c r="GE785" s="435"/>
      <c r="GF785" s="435"/>
      <c r="GG785" s="435"/>
      <c r="GH785" s="435"/>
      <c r="GI785" s="435"/>
      <c r="GJ785" s="435"/>
      <c r="GK785" s="435"/>
      <c r="GL785" s="435"/>
      <c r="GM785" s="435"/>
      <c r="GN785" s="435"/>
      <c r="GO785" s="435"/>
      <c r="GP785" s="435"/>
      <c r="GQ785" s="435"/>
      <c r="GR785" s="435"/>
      <c r="GS785" s="435"/>
      <c r="GT785" s="435"/>
      <c r="GU785" s="435"/>
      <c r="GV785" s="435"/>
      <c r="GW785" s="435"/>
      <c r="GX785" s="435"/>
      <c r="GY785" s="435"/>
      <c r="GZ785" s="435"/>
      <c r="HA785" s="435"/>
      <c r="HB785" s="435"/>
    </row>
    <row r="786" spans="1:210" s="438" customFormat="1" ht="37.5" hidden="1" customHeight="1">
      <c r="A786" s="697">
        <f t="shared" si="90"/>
        <v>10</v>
      </c>
      <c r="B786" s="698" t="s">
        <v>966</v>
      </c>
      <c r="C786" s="699" t="s">
        <v>218</v>
      </c>
      <c r="D786" s="700">
        <f t="shared" si="88"/>
        <v>6300</v>
      </c>
      <c r="E786" s="688">
        <v>2520</v>
      </c>
      <c r="F786" s="651" t="s">
        <v>228</v>
      </c>
      <c r="G786" s="644">
        <v>1130</v>
      </c>
      <c r="H786" s="689">
        <v>5</v>
      </c>
      <c r="I786" s="689">
        <v>6</v>
      </c>
      <c r="J786" s="689">
        <v>90</v>
      </c>
      <c r="K786" s="697" t="s">
        <v>33</v>
      </c>
      <c r="L786" s="650">
        <f t="shared" si="89"/>
        <v>2356296.84</v>
      </c>
      <c r="M786" s="650">
        <v>2348895.04</v>
      </c>
      <c r="N786" s="688"/>
      <c r="O786" s="643">
        <v>7401.8</v>
      </c>
      <c r="P786" s="688"/>
      <c r="Q786" s="388"/>
      <c r="R786" s="689">
        <f t="shared" si="91"/>
        <v>2078.6681769911506</v>
      </c>
      <c r="U786" s="439"/>
      <c r="V786" s="390"/>
      <c r="Y786" s="419">
        <f t="shared" si="87"/>
        <v>2356296.84</v>
      </c>
      <c r="Z786" s="419"/>
    </row>
    <row r="787" spans="1:210" s="438" customFormat="1" ht="37.5" hidden="1" customHeight="1">
      <c r="A787" s="697">
        <f t="shared" si="90"/>
        <v>11</v>
      </c>
      <c r="B787" s="698" t="s">
        <v>967</v>
      </c>
      <c r="C787" s="699" t="s">
        <v>222</v>
      </c>
      <c r="D787" s="700">
        <f t="shared" si="88"/>
        <v>1650</v>
      </c>
      <c r="E787" s="651">
        <v>660</v>
      </c>
      <c r="F787" s="651" t="s">
        <v>223</v>
      </c>
      <c r="G787" s="651">
        <v>820</v>
      </c>
      <c r="H787" s="701">
        <v>3</v>
      </c>
      <c r="I787" s="701">
        <v>2</v>
      </c>
      <c r="J787" s="701">
        <v>18</v>
      </c>
      <c r="K787" s="697" t="s">
        <v>33</v>
      </c>
      <c r="L787" s="650">
        <f t="shared" si="89"/>
        <v>2019589.16</v>
      </c>
      <c r="M787" s="649">
        <v>1991327.45</v>
      </c>
      <c r="N787" s="688">
        <v>28261.71</v>
      </c>
      <c r="O787" s="696"/>
      <c r="P787" s="651"/>
      <c r="Q787" s="388"/>
      <c r="R787" s="689">
        <f t="shared" si="91"/>
        <v>2428.4481097560974</v>
      </c>
      <c r="U787" s="439"/>
      <c r="V787" s="390"/>
      <c r="Y787" s="419">
        <f t="shared" si="87"/>
        <v>2019589.16</v>
      </c>
      <c r="Z787" s="419"/>
    </row>
    <row r="788" spans="1:210" s="438" customFormat="1" ht="37.5" hidden="1" customHeight="1">
      <c r="A788" s="697">
        <f t="shared" si="90"/>
        <v>12</v>
      </c>
      <c r="B788" s="698" t="s">
        <v>968</v>
      </c>
      <c r="C788" s="699" t="s">
        <v>218</v>
      </c>
      <c r="D788" s="700">
        <f t="shared" si="88"/>
        <v>1620</v>
      </c>
      <c r="E788" s="688">
        <v>648</v>
      </c>
      <c r="F788" s="651" t="s">
        <v>223</v>
      </c>
      <c r="G788" s="688">
        <v>903</v>
      </c>
      <c r="H788" s="689">
        <v>3</v>
      </c>
      <c r="I788" s="689">
        <v>2</v>
      </c>
      <c r="J788" s="689">
        <v>56</v>
      </c>
      <c r="K788" s="697" t="s">
        <v>33</v>
      </c>
      <c r="L788" s="650">
        <f t="shared" si="89"/>
        <v>2105945.94</v>
      </c>
      <c r="M788" s="650">
        <v>2074823.1</v>
      </c>
      <c r="N788" s="688">
        <v>31122.84</v>
      </c>
      <c r="O788" s="703"/>
      <c r="P788" s="688"/>
      <c r="Q788" s="388"/>
      <c r="R788" s="689">
        <f t="shared" si="91"/>
        <v>2297.7000000000003</v>
      </c>
      <c r="U788" s="439"/>
      <c r="V788" s="390"/>
      <c r="Y788" s="419">
        <f t="shared" si="87"/>
        <v>2105945.94</v>
      </c>
      <c r="Z788" s="419"/>
    </row>
    <row r="789" spans="1:210" s="438" customFormat="1" ht="37.5" hidden="1" customHeight="1">
      <c r="A789" s="697">
        <f t="shared" si="90"/>
        <v>13</v>
      </c>
      <c r="B789" s="698" t="s">
        <v>969</v>
      </c>
      <c r="C789" s="699" t="s">
        <v>218</v>
      </c>
      <c r="D789" s="700">
        <f t="shared" si="88"/>
        <v>1600</v>
      </c>
      <c r="E789" s="688">
        <v>640</v>
      </c>
      <c r="F789" s="651" t="s">
        <v>223</v>
      </c>
      <c r="G789" s="688">
        <v>620</v>
      </c>
      <c r="H789" s="689">
        <v>2</v>
      </c>
      <c r="I789" s="689">
        <v>2</v>
      </c>
      <c r="J789" s="689">
        <v>16</v>
      </c>
      <c r="K789" s="697" t="s">
        <v>33</v>
      </c>
      <c r="L789" s="650">
        <f t="shared" si="89"/>
        <v>1591731.66</v>
      </c>
      <c r="M789" s="649">
        <v>1563240.18</v>
      </c>
      <c r="N789" s="688">
        <v>28491.48</v>
      </c>
      <c r="O789" s="703"/>
      <c r="P789" s="688"/>
      <c r="Q789" s="388"/>
      <c r="R789" s="689">
        <f t="shared" si="91"/>
        <v>2521.355129032258</v>
      </c>
      <c r="U789" s="439"/>
      <c r="V789" s="390"/>
      <c r="Y789" s="419">
        <f t="shared" si="87"/>
        <v>1591731.66</v>
      </c>
      <c r="Z789" s="419"/>
    </row>
    <row r="790" spans="1:210" s="438" customFormat="1" ht="37.5" hidden="1" customHeight="1">
      <c r="A790" s="697">
        <f t="shared" si="90"/>
        <v>14</v>
      </c>
      <c r="B790" s="698" t="s">
        <v>970</v>
      </c>
      <c r="C790" s="699" t="s">
        <v>222</v>
      </c>
      <c r="D790" s="700">
        <f>E790*2.5</f>
        <v>933.6</v>
      </c>
      <c r="E790" s="651">
        <v>373.44</v>
      </c>
      <c r="F790" s="651" t="s">
        <v>223</v>
      </c>
      <c r="G790" s="651">
        <v>352.2</v>
      </c>
      <c r="H790" s="701">
        <v>2</v>
      </c>
      <c r="I790" s="701">
        <v>1</v>
      </c>
      <c r="J790" s="701">
        <v>8</v>
      </c>
      <c r="K790" s="697" t="s">
        <v>33</v>
      </c>
      <c r="L790" s="650">
        <f t="shared" si="89"/>
        <v>830287.39999999991</v>
      </c>
      <c r="M790" s="649">
        <v>806009.7</v>
      </c>
      <c r="N790" s="688">
        <v>24277.7</v>
      </c>
      <c r="O790" s="696"/>
      <c r="P790" s="651"/>
      <c r="Q790" s="388"/>
      <c r="R790" s="689">
        <f t="shared" si="91"/>
        <v>2288.5</v>
      </c>
      <c r="U790" s="439"/>
      <c r="V790" s="390"/>
      <c r="Y790" s="419">
        <f t="shared" si="87"/>
        <v>830287.39999999991</v>
      </c>
      <c r="Z790" s="419"/>
    </row>
    <row r="791" spans="1:210" s="438" customFormat="1" ht="37.5" hidden="1" customHeight="1">
      <c r="A791" s="697">
        <f t="shared" si="90"/>
        <v>15</v>
      </c>
      <c r="B791" s="427" t="s">
        <v>1944</v>
      </c>
      <c r="C791" s="699" t="s">
        <v>218</v>
      </c>
      <c r="D791" s="700">
        <f>E791*2.5</f>
        <v>5332.5</v>
      </c>
      <c r="E791" s="391">
        <f>(26.5+13)*2*3*9</f>
        <v>2133</v>
      </c>
      <c r="F791" s="651" t="s">
        <v>254</v>
      </c>
      <c r="G791" s="651">
        <v>625.70000000000005</v>
      </c>
      <c r="H791" s="701">
        <v>9</v>
      </c>
      <c r="I791" s="701">
        <v>2</v>
      </c>
      <c r="J791" s="701">
        <v>72</v>
      </c>
      <c r="K791" s="697" t="s">
        <v>220</v>
      </c>
      <c r="L791" s="650">
        <f t="shared" si="89"/>
        <v>1973169.77</v>
      </c>
      <c r="M791" s="396">
        <v>1973169.77</v>
      </c>
      <c r="N791" s="391"/>
      <c r="O791" s="473"/>
      <c r="P791" s="388"/>
      <c r="Q791" s="388"/>
      <c r="R791" s="446">
        <f>M791</f>
        <v>1973169.77</v>
      </c>
      <c r="T791" s="438" t="s">
        <v>3508</v>
      </c>
      <c r="U791" s="439"/>
      <c r="V791" s="390"/>
      <c r="Y791" s="419">
        <f t="shared" si="87"/>
        <v>1973169.77</v>
      </c>
      <c r="Z791" s="419"/>
    </row>
    <row r="792" spans="1:210" s="438" customFormat="1" ht="37.5" hidden="1" customHeight="1">
      <c r="A792" s="697">
        <f t="shared" si="90"/>
        <v>16</v>
      </c>
      <c r="B792" s="427" t="s">
        <v>3512</v>
      </c>
      <c r="C792" s="699" t="s">
        <v>218</v>
      </c>
      <c r="D792" s="700">
        <v>6844.9500000000007</v>
      </c>
      <c r="E792" s="391">
        <v>2281.65</v>
      </c>
      <c r="F792" s="651" t="s">
        <v>228</v>
      </c>
      <c r="G792" s="651">
        <v>1440</v>
      </c>
      <c r="H792" s="701">
        <v>5</v>
      </c>
      <c r="I792" s="701">
        <v>6</v>
      </c>
      <c r="J792" s="701">
        <v>90</v>
      </c>
      <c r="K792" s="697" t="s">
        <v>33</v>
      </c>
      <c r="L792" s="650">
        <f t="shared" si="89"/>
        <v>2228630.87</v>
      </c>
      <c r="M792" s="649">
        <v>2201595.9500000002</v>
      </c>
      <c r="N792" s="391"/>
      <c r="O792" s="473">
        <v>7234.92</v>
      </c>
      <c r="P792" s="388"/>
      <c r="Q792" s="388">
        <v>19800</v>
      </c>
      <c r="R792" s="446">
        <f>M792/G792</f>
        <v>1528.886076388889</v>
      </c>
      <c r="T792" s="440"/>
      <c r="U792" s="439"/>
      <c r="V792" s="390"/>
      <c r="Y792" s="419">
        <f t="shared" si="87"/>
        <v>2228630.87</v>
      </c>
      <c r="Z792" s="419"/>
    </row>
    <row r="793" spans="1:210" s="403" customFormat="1" ht="58.5" hidden="1" customHeight="1">
      <c r="A793" s="1155" t="s">
        <v>34</v>
      </c>
      <c r="B793" s="1155"/>
      <c r="C793" s="388" t="s">
        <v>28</v>
      </c>
      <c r="D793" s="641">
        <f>SUM(D777:D792)</f>
        <v>59311.05</v>
      </c>
      <c r="E793" s="388">
        <f>SUM(E777:E792)</f>
        <v>23268.09</v>
      </c>
      <c r="F793" s="388" t="s">
        <v>28</v>
      </c>
      <c r="G793" s="388">
        <f>SUM(G777:G792)</f>
        <v>13340.400000000001</v>
      </c>
      <c r="H793" s="446" t="s">
        <v>28</v>
      </c>
      <c r="I793" s="446" t="s">
        <v>28</v>
      </c>
      <c r="J793" s="446">
        <f>SUM(J777:J792)</f>
        <v>982</v>
      </c>
      <c r="K793" s="389" t="s">
        <v>28</v>
      </c>
      <c r="L793" s="519">
        <f>SUM(L777:L792)</f>
        <v>30309800.420000002</v>
      </c>
      <c r="M793" s="519">
        <f>SUM(M777:M792)</f>
        <v>30067720.16</v>
      </c>
      <c r="N793" s="388">
        <f>SUM(N777:N792)</f>
        <v>184875.95</v>
      </c>
      <c r="O793" s="473">
        <f>SUM(O777:O792)</f>
        <v>37404.31</v>
      </c>
      <c r="P793" s="388"/>
      <c r="Q793" s="388">
        <f>SUM(Q777:Q792)</f>
        <v>19800</v>
      </c>
      <c r="R793" s="446" t="s">
        <v>28</v>
      </c>
      <c r="S793" s="388">
        <f>L793-M793-N793-O793-P793-Q793</f>
        <v>1.6298145055770874E-9</v>
      </c>
      <c r="T793" s="393"/>
      <c r="U793" s="423"/>
      <c r="V793" s="390"/>
      <c r="Y793" s="419">
        <f t="shared" si="87"/>
        <v>30309800.419999998</v>
      </c>
      <c r="Z793" s="419"/>
    </row>
    <row r="794" spans="1:210" s="403" customFormat="1" ht="58.5" hidden="1" customHeight="1">
      <c r="A794" s="1113" t="s">
        <v>57</v>
      </c>
      <c r="B794" s="1113"/>
      <c r="C794" s="1113"/>
      <c r="D794" s="1113"/>
      <c r="E794" s="1113"/>
      <c r="F794" s="1113"/>
      <c r="G794" s="1113"/>
      <c r="H794" s="1113"/>
      <c r="I794" s="1113"/>
      <c r="J794" s="1113"/>
      <c r="K794" s="1113"/>
      <c r="L794" s="1113"/>
      <c r="M794" s="1113"/>
      <c r="N794" s="1113"/>
      <c r="O794" s="1113"/>
      <c r="P794" s="1113"/>
      <c r="Q794" s="1113"/>
      <c r="R794" s="1113"/>
      <c r="T794" s="393"/>
      <c r="U794" s="404"/>
      <c r="V794" s="390"/>
      <c r="Y794" s="419">
        <f t="shared" si="87"/>
        <v>0</v>
      </c>
      <c r="Z794" s="419"/>
    </row>
    <row r="795" spans="1:210" s="403" customFormat="1" ht="75" hidden="1" customHeight="1">
      <c r="A795" s="458">
        <v>1</v>
      </c>
      <c r="B795" s="403" t="s">
        <v>971</v>
      </c>
      <c r="C795" s="455" t="s">
        <v>222</v>
      </c>
      <c r="D795" s="641">
        <v>1432</v>
      </c>
      <c r="E795" s="388">
        <v>358</v>
      </c>
      <c r="F795" s="388" t="s">
        <v>223</v>
      </c>
      <c r="G795" s="388">
        <v>340</v>
      </c>
      <c r="H795" s="446">
        <v>2</v>
      </c>
      <c r="I795" s="446">
        <v>1</v>
      </c>
      <c r="J795" s="446">
        <v>8</v>
      </c>
      <c r="K795" s="458" t="s">
        <v>256</v>
      </c>
      <c r="L795" s="519">
        <f>M795+N795+O795+P795+Q795</f>
        <v>770156.53</v>
      </c>
      <c r="M795" s="394">
        <v>745334.27</v>
      </c>
      <c r="N795" s="388">
        <v>24822.26</v>
      </c>
      <c r="O795" s="473"/>
      <c r="P795" s="388"/>
      <c r="Q795" s="388"/>
      <c r="R795" s="446">
        <f>M795/G795</f>
        <v>2192.1596176470589</v>
      </c>
      <c r="T795" s="393"/>
      <c r="U795" s="404"/>
      <c r="V795" s="390"/>
      <c r="Y795" s="419">
        <f t="shared" si="87"/>
        <v>770156.53</v>
      </c>
      <c r="Z795" s="419"/>
    </row>
    <row r="796" spans="1:210" s="403" customFormat="1" ht="75" hidden="1" customHeight="1">
      <c r="A796" s="458">
        <v>2</v>
      </c>
      <c r="B796" s="403" t="s">
        <v>972</v>
      </c>
      <c r="C796" s="455" t="s">
        <v>222</v>
      </c>
      <c r="D796" s="641">
        <v>973.6</v>
      </c>
      <c r="E796" s="388">
        <v>256.2</v>
      </c>
      <c r="F796" s="388" t="s">
        <v>223</v>
      </c>
      <c r="G796" s="388">
        <v>338</v>
      </c>
      <c r="H796" s="446">
        <v>2</v>
      </c>
      <c r="I796" s="446">
        <v>1</v>
      </c>
      <c r="J796" s="446">
        <v>8</v>
      </c>
      <c r="K796" s="458" t="s">
        <v>256</v>
      </c>
      <c r="L796" s="519">
        <f>M796+N796+O796+P796+Q796</f>
        <v>576527.19000000006</v>
      </c>
      <c r="M796" s="394">
        <v>548325.9</v>
      </c>
      <c r="N796" s="388">
        <v>28201.29</v>
      </c>
      <c r="O796" s="473"/>
      <c r="P796" s="388"/>
      <c r="Q796" s="388"/>
      <c r="R796" s="446">
        <f>M796/G796</f>
        <v>1622.2659763313611</v>
      </c>
      <c r="T796" s="393"/>
      <c r="U796" s="404"/>
      <c r="V796" s="390"/>
      <c r="Y796" s="419">
        <f t="shared" si="87"/>
        <v>576527.19000000006</v>
      </c>
      <c r="Z796" s="419"/>
    </row>
    <row r="797" spans="1:210" s="403" customFormat="1" ht="75" hidden="1" customHeight="1">
      <c r="A797" s="458">
        <v>3</v>
      </c>
      <c r="B797" s="403" t="s">
        <v>973</v>
      </c>
      <c r="C797" s="455" t="s">
        <v>222</v>
      </c>
      <c r="D797" s="641">
        <v>1524.9</v>
      </c>
      <c r="E797" s="388">
        <v>391</v>
      </c>
      <c r="F797" s="388" t="s">
        <v>223</v>
      </c>
      <c r="G797" s="388">
        <v>676</v>
      </c>
      <c r="H797" s="446">
        <v>2</v>
      </c>
      <c r="I797" s="446">
        <v>2</v>
      </c>
      <c r="J797" s="446">
        <v>18</v>
      </c>
      <c r="K797" s="458" t="s">
        <v>256</v>
      </c>
      <c r="L797" s="519">
        <f>M797+N797+O797+P797+Q797</f>
        <v>1041175.78</v>
      </c>
      <c r="M797" s="394">
        <v>1013017.28</v>
      </c>
      <c r="N797" s="388">
        <v>28158.5</v>
      </c>
      <c r="O797" s="473"/>
      <c r="P797" s="388"/>
      <c r="Q797" s="388"/>
      <c r="R797" s="446">
        <f>M797/G797</f>
        <v>1498.5462721893491</v>
      </c>
      <c r="T797" s="393"/>
      <c r="U797" s="404"/>
      <c r="V797" s="390"/>
      <c r="Y797" s="419">
        <f t="shared" si="87"/>
        <v>1041175.78</v>
      </c>
      <c r="Z797" s="419"/>
    </row>
    <row r="798" spans="1:210" s="403" customFormat="1" ht="58.5" hidden="1" customHeight="1">
      <c r="A798" s="1112" t="s">
        <v>58</v>
      </c>
      <c r="B798" s="1112"/>
      <c r="C798" s="388" t="s">
        <v>28</v>
      </c>
      <c r="D798" s="641">
        <f>SUM(D795:D797)</f>
        <v>3930.5</v>
      </c>
      <c r="E798" s="388">
        <f>SUM(E795:E797)</f>
        <v>1005.2</v>
      </c>
      <c r="F798" s="388" t="s">
        <v>28</v>
      </c>
      <c r="G798" s="388">
        <f>SUM(G795:G797)</f>
        <v>1354</v>
      </c>
      <c r="H798" s="446" t="s">
        <v>28</v>
      </c>
      <c r="I798" s="446" t="s">
        <v>28</v>
      </c>
      <c r="J798" s="446">
        <f>SUM(J795:J797)</f>
        <v>34</v>
      </c>
      <c r="K798" s="389" t="s">
        <v>28</v>
      </c>
      <c r="L798" s="519">
        <f>SUM(L795:L797)</f>
        <v>2387859.5</v>
      </c>
      <c r="M798" s="519">
        <f>SUM(M795:M797)</f>
        <v>2306677.4500000002</v>
      </c>
      <c r="N798" s="388">
        <f>SUM(N795:N797)</f>
        <v>81182.05</v>
      </c>
      <c r="O798" s="473"/>
      <c r="P798" s="388"/>
      <c r="Q798" s="388">
        <f>SUM(Q795:Q797)</f>
        <v>0</v>
      </c>
      <c r="R798" s="446" t="s">
        <v>28</v>
      </c>
      <c r="S798" s="388">
        <f>L798-M798-N798-O798-P798-Q798</f>
        <v>-1.8917489796876907E-10</v>
      </c>
      <c r="T798" s="393"/>
      <c r="U798" s="423"/>
      <c r="V798" s="390"/>
      <c r="Y798" s="419">
        <f t="shared" si="87"/>
        <v>2387859.5</v>
      </c>
      <c r="Z798" s="419"/>
    </row>
    <row r="799" spans="1:210" s="403" customFormat="1" ht="58.5" hidden="1" customHeight="1">
      <c r="A799" s="1113" t="s">
        <v>59</v>
      </c>
      <c r="B799" s="1113"/>
      <c r="C799" s="1113"/>
      <c r="D799" s="1113"/>
      <c r="E799" s="1113"/>
      <c r="F799" s="1113"/>
      <c r="G799" s="1113"/>
      <c r="H799" s="1113"/>
      <c r="I799" s="1113"/>
      <c r="J799" s="1113"/>
      <c r="K799" s="1113"/>
      <c r="L799" s="1113"/>
      <c r="M799" s="1113"/>
      <c r="N799" s="1113"/>
      <c r="O799" s="1113"/>
      <c r="P799" s="1113"/>
      <c r="Q799" s="1113"/>
      <c r="R799" s="1113"/>
      <c r="T799" s="393"/>
      <c r="U799" s="404"/>
      <c r="V799" s="390"/>
      <c r="Y799" s="419">
        <f t="shared" si="87"/>
        <v>0</v>
      </c>
      <c r="Z799" s="419"/>
    </row>
    <row r="800" spans="1:210" s="403" customFormat="1" ht="75" hidden="1" customHeight="1">
      <c r="A800" s="704">
        <v>1</v>
      </c>
      <c r="B800" s="705" t="s">
        <v>974</v>
      </c>
      <c r="C800" s="706" t="s">
        <v>222</v>
      </c>
      <c r="D800" s="707">
        <f>E800*3</f>
        <v>1227.6000000000001</v>
      </c>
      <c r="E800" s="388">
        <f>((21.7+12.4)*2)*3*H800</f>
        <v>409.20000000000005</v>
      </c>
      <c r="F800" s="388" t="s">
        <v>223</v>
      </c>
      <c r="G800" s="644">
        <v>810</v>
      </c>
      <c r="H800" s="708">
        <v>2</v>
      </c>
      <c r="I800" s="708">
        <v>3</v>
      </c>
      <c r="J800" s="708">
        <v>22</v>
      </c>
      <c r="K800" s="709" t="s">
        <v>3767</v>
      </c>
      <c r="L800" s="650">
        <f>M800+N800+O800+P800+Q800</f>
        <v>2428674.2200000002</v>
      </c>
      <c r="M800" s="649">
        <v>2395615.35</v>
      </c>
      <c r="N800" s="688">
        <v>33058.870000000003</v>
      </c>
      <c r="O800" s="696"/>
      <c r="P800" s="651"/>
      <c r="Q800" s="388"/>
      <c r="R800" s="689">
        <f>M800/G800</f>
        <v>2957.5498148148149</v>
      </c>
      <c r="T800" s="393"/>
      <c r="U800" s="404"/>
      <c r="V800" s="390"/>
      <c r="Y800" s="419">
        <f t="shared" si="87"/>
        <v>2428674.2200000002</v>
      </c>
      <c r="Z800" s="419"/>
    </row>
    <row r="801" spans="1:26" s="403" customFormat="1" ht="58.5" hidden="1" customHeight="1">
      <c r="A801" s="1112" t="s">
        <v>60</v>
      </c>
      <c r="B801" s="1112"/>
      <c r="C801" s="388" t="s">
        <v>28</v>
      </c>
      <c r="D801" s="641">
        <f>SUM(D800:D800)</f>
        <v>1227.6000000000001</v>
      </c>
      <c r="E801" s="388">
        <f>SUM(E800:E800)</f>
        <v>409.20000000000005</v>
      </c>
      <c r="F801" s="388" t="s">
        <v>28</v>
      </c>
      <c r="G801" s="388">
        <f>SUM(G800:G800)</f>
        <v>810</v>
      </c>
      <c r="H801" s="446" t="s">
        <v>28</v>
      </c>
      <c r="I801" s="446" t="s">
        <v>28</v>
      </c>
      <c r="J801" s="446">
        <f>SUM(J800:J800)</f>
        <v>22</v>
      </c>
      <c r="K801" s="389" t="s">
        <v>28</v>
      </c>
      <c r="L801" s="519">
        <f>SUM(L800:L800)</f>
        <v>2428674.2200000002</v>
      </c>
      <c r="M801" s="519">
        <f>SUM(M800:M800)</f>
        <v>2395615.35</v>
      </c>
      <c r="N801" s="388">
        <f>SUM(N800:N800)</f>
        <v>33058.870000000003</v>
      </c>
      <c r="O801" s="473"/>
      <c r="P801" s="388"/>
      <c r="Q801" s="388">
        <f>SUM(Q800:Q800)</f>
        <v>0</v>
      </c>
      <c r="R801" s="446" t="s">
        <v>28</v>
      </c>
      <c r="S801" s="388">
        <f>L801-M801-N801-O801-P801-Q801</f>
        <v>1.0913936421275139E-10</v>
      </c>
      <c r="T801" s="393"/>
      <c r="U801" s="423"/>
      <c r="V801" s="390"/>
      <c r="Y801" s="419">
        <f t="shared" si="87"/>
        <v>2428674.2200000002</v>
      </c>
      <c r="Z801" s="419"/>
    </row>
    <row r="802" spans="1:26" s="403" customFormat="1" ht="58.5" hidden="1" customHeight="1">
      <c r="A802" s="1113" t="s">
        <v>61</v>
      </c>
      <c r="B802" s="1113"/>
      <c r="C802" s="1113"/>
      <c r="D802" s="1113"/>
      <c r="E802" s="1113"/>
      <c r="F802" s="1113"/>
      <c r="G802" s="1113"/>
      <c r="H802" s="1113"/>
      <c r="I802" s="1113"/>
      <c r="J802" s="1113"/>
      <c r="K802" s="1113"/>
      <c r="L802" s="1113"/>
      <c r="M802" s="1113"/>
      <c r="N802" s="1113"/>
      <c r="O802" s="1113"/>
      <c r="P802" s="1113"/>
      <c r="Q802" s="1113"/>
      <c r="R802" s="1113"/>
      <c r="T802" s="393"/>
      <c r="U802" s="404"/>
      <c r="V802" s="390"/>
      <c r="Y802" s="419">
        <f t="shared" si="87"/>
        <v>0</v>
      </c>
      <c r="Z802" s="419"/>
    </row>
    <row r="803" spans="1:26" s="405" customFormat="1" ht="75" hidden="1" customHeight="1">
      <c r="A803" s="500">
        <v>1</v>
      </c>
      <c r="B803" s="403" t="s">
        <v>975</v>
      </c>
      <c r="C803" s="455" t="s">
        <v>240</v>
      </c>
      <c r="D803" s="606">
        <f>E803*2.8</f>
        <v>935.19999999999993</v>
      </c>
      <c r="E803" s="391">
        <v>334</v>
      </c>
      <c r="F803" s="388" t="s">
        <v>223</v>
      </c>
      <c r="G803" s="391">
        <f>(20*I803)*13*1.3</f>
        <v>1014</v>
      </c>
      <c r="H803" s="528">
        <v>2</v>
      </c>
      <c r="I803" s="528">
        <v>3</v>
      </c>
      <c r="J803" s="528">
        <v>20</v>
      </c>
      <c r="K803" s="458" t="s">
        <v>257</v>
      </c>
      <c r="L803" s="519">
        <f t="shared" ref="L803:L808" si="92">M803+N803+O803+P803+Q803</f>
        <v>2262353.1100000003</v>
      </c>
      <c r="M803" s="519">
        <v>2224518.2400000002</v>
      </c>
      <c r="N803" s="646">
        <v>37834.870000000003</v>
      </c>
      <c r="O803" s="473"/>
      <c r="P803" s="388"/>
      <c r="Q803" s="388"/>
      <c r="R803" s="528">
        <f t="shared" ref="R803:R808" si="93">M803/G803</f>
        <v>2193.8049704142013</v>
      </c>
      <c r="U803" s="388"/>
      <c r="V803" s="390"/>
      <c r="Y803" s="419">
        <f t="shared" si="87"/>
        <v>2262353.1100000003</v>
      </c>
      <c r="Z803" s="419"/>
    </row>
    <row r="804" spans="1:26" s="405" customFormat="1" ht="75" hidden="1" customHeight="1">
      <c r="A804" s="500">
        <v>2</v>
      </c>
      <c r="B804" s="403" t="s">
        <v>976</v>
      </c>
      <c r="C804" s="455" t="s">
        <v>222</v>
      </c>
      <c r="D804" s="606">
        <v>2816</v>
      </c>
      <c r="E804" s="391">
        <v>586</v>
      </c>
      <c r="F804" s="388" t="s">
        <v>223</v>
      </c>
      <c r="G804" s="391">
        <f>(20*I804)*13*1.3</f>
        <v>676</v>
      </c>
      <c r="H804" s="528">
        <v>2</v>
      </c>
      <c r="I804" s="528">
        <v>2</v>
      </c>
      <c r="J804" s="528">
        <v>16</v>
      </c>
      <c r="K804" s="458" t="s">
        <v>258</v>
      </c>
      <c r="L804" s="519">
        <f t="shared" si="92"/>
        <v>1611594.78</v>
      </c>
      <c r="M804" s="519">
        <v>1586371.53</v>
      </c>
      <c r="N804" s="646">
        <v>25223.25</v>
      </c>
      <c r="O804" s="530"/>
      <c r="P804" s="391"/>
      <c r="Q804" s="388"/>
      <c r="R804" s="528">
        <f t="shared" si="93"/>
        <v>2346.7034467455624</v>
      </c>
      <c r="V804" s="390"/>
      <c r="Y804" s="419">
        <f t="shared" si="87"/>
        <v>1611594.78</v>
      </c>
      <c r="Z804" s="419"/>
    </row>
    <row r="805" spans="1:26" s="405" customFormat="1" ht="75" hidden="1" customHeight="1">
      <c r="A805" s="500">
        <v>3</v>
      </c>
      <c r="B805" s="403" t="s">
        <v>977</v>
      </c>
      <c r="C805" s="455" t="s">
        <v>222</v>
      </c>
      <c r="D805" s="606">
        <v>2263</v>
      </c>
      <c r="E805" s="391">
        <v>660</v>
      </c>
      <c r="F805" s="388" t="s">
        <v>223</v>
      </c>
      <c r="G805" s="391">
        <v>810</v>
      </c>
      <c r="H805" s="528">
        <v>2</v>
      </c>
      <c r="I805" s="528">
        <v>2</v>
      </c>
      <c r="J805" s="528">
        <v>16</v>
      </c>
      <c r="K805" s="458" t="s">
        <v>257</v>
      </c>
      <c r="L805" s="519">
        <f t="shared" si="92"/>
        <v>1063468.19</v>
      </c>
      <c r="M805" s="519">
        <v>1033245.06</v>
      </c>
      <c r="N805" s="646">
        <v>30223.13</v>
      </c>
      <c r="O805" s="530"/>
      <c r="P805" s="391"/>
      <c r="Q805" s="388"/>
      <c r="R805" s="528">
        <f t="shared" si="93"/>
        <v>1275.6111851851851</v>
      </c>
      <c r="V805" s="390"/>
      <c r="Y805" s="419">
        <f t="shared" si="87"/>
        <v>1063468.19</v>
      </c>
      <c r="Z805" s="419"/>
    </row>
    <row r="806" spans="1:26" s="405" customFormat="1" ht="75" hidden="1" customHeight="1">
      <c r="A806" s="500">
        <v>4</v>
      </c>
      <c r="B806" s="403" t="s">
        <v>978</v>
      </c>
      <c r="C806" s="455" t="s">
        <v>222</v>
      </c>
      <c r="D806" s="606">
        <v>1162</v>
      </c>
      <c r="E806" s="391">
        <v>333</v>
      </c>
      <c r="F806" s="388" t="s">
        <v>223</v>
      </c>
      <c r="G806" s="391">
        <f>(20*I806)*13*1.3</f>
        <v>338</v>
      </c>
      <c r="H806" s="528">
        <v>2</v>
      </c>
      <c r="I806" s="528">
        <v>1</v>
      </c>
      <c r="J806" s="528">
        <v>8</v>
      </c>
      <c r="K806" s="458" t="s">
        <v>257</v>
      </c>
      <c r="L806" s="519">
        <f t="shared" si="92"/>
        <v>724946.6</v>
      </c>
      <c r="M806" s="519">
        <v>699723.35</v>
      </c>
      <c r="N806" s="646">
        <v>25223.25</v>
      </c>
      <c r="O806" s="530"/>
      <c r="P806" s="391"/>
      <c r="Q806" s="388"/>
      <c r="R806" s="528">
        <f t="shared" si="93"/>
        <v>2070.187426035503</v>
      </c>
      <c r="V806" s="390"/>
      <c r="Y806" s="419">
        <f t="shared" si="87"/>
        <v>724946.6</v>
      </c>
      <c r="Z806" s="419"/>
    </row>
    <row r="807" spans="1:26" s="405" customFormat="1" ht="75" hidden="1" customHeight="1">
      <c r="A807" s="500">
        <v>5</v>
      </c>
      <c r="B807" s="403" t="s">
        <v>979</v>
      </c>
      <c r="C807" s="455" t="s">
        <v>222</v>
      </c>
      <c r="D807" s="606">
        <v>2262</v>
      </c>
      <c r="E807" s="391">
        <v>519</v>
      </c>
      <c r="F807" s="388" t="s">
        <v>223</v>
      </c>
      <c r="G807" s="391">
        <f>(20*I807)*13*1.3</f>
        <v>676</v>
      </c>
      <c r="H807" s="528">
        <v>2</v>
      </c>
      <c r="I807" s="528">
        <v>2</v>
      </c>
      <c r="J807" s="528">
        <v>11</v>
      </c>
      <c r="K807" s="458" t="s">
        <v>257</v>
      </c>
      <c r="L807" s="519">
        <f t="shared" si="92"/>
        <v>1509788.0599999998</v>
      </c>
      <c r="M807" s="519">
        <v>1484564.8099999998</v>
      </c>
      <c r="N807" s="646">
        <v>25223.25</v>
      </c>
      <c r="O807" s="530"/>
      <c r="P807" s="391"/>
      <c r="Q807" s="388"/>
      <c r="R807" s="528">
        <f t="shared" si="93"/>
        <v>2196.101789940828</v>
      </c>
      <c r="U807" s="388"/>
      <c r="V807" s="390"/>
      <c r="Y807" s="419">
        <f t="shared" si="87"/>
        <v>1509788.0599999998</v>
      </c>
      <c r="Z807" s="419"/>
    </row>
    <row r="808" spans="1:26" s="405" customFormat="1" ht="75" hidden="1" customHeight="1">
      <c r="A808" s="458">
        <v>6</v>
      </c>
      <c r="B808" s="403" t="s">
        <v>980</v>
      </c>
      <c r="C808" s="455" t="s">
        <v>222</v>
      </c>
      <c r="D808" s="606">
        <v>3658</v>
      </c>
      <c r="E808" s="391">
        <v>736</v>
      </c>
      <c r="F808" s="388" t="s">
        <v>223</v>
      </c>
      <c r="G808" s="391">
        <f>(20*I808)*13*1.3</f>
        <v>1014</v>
      </c>
      <c r="H808" s="528">
        <v>2</v>
      </c>
      <c r="I808" s="528">
        <v>3</v>
      </c>
      <c r="J808" s="528">
        <v>22</v>
      </c>
      <c r="K808" s="458" t="s">
        <v>257</v>
      </c>
      <c r="L808" s="519">
        <f t="shared" si="92"/>
        <v>1918728.2000000004</v>
      </c>
      <c r="M808" s="519">
        <v>1880893.3300000003</v>
      </c>
      <c r="N808" s="646">
        <v>37834.870000000003</v>
      </c>
      <c r="O808" s="530"/>
      <c r="P808" s="391"/>
      <c r="Q808" s="388"/>
      <c r="R808" s="528">
        <f t="shared" si="93"/>
        <v>1854.9243885601581</v>
      </c>
      <c r="U808" s="388"/>
      <c r="V808" s="390"/>
      <c r="Y808" s="419">
        <f t="shared" si="87"/>
        <v>1918728.2000000004</v>
      </c>
      <c r="Z808" s="419"/>
    </row>
    <row r="809" spans="1:26" s="403" customFormat="1" ht="58.5" hidden="1" customHeight="1">
      <c r="A809" s="1112" t="s">
        <v>62</v>
      </c>
      <c r="B809" s="1112"/>
      <c r="C809" s="455" t="s">
        <v>28</v>
      </c>
      <c r="D809" s="641">
        <f>SUM(D803:D808)</f>
        <v>13096.2</v>
      </c>
      <c r="E809" s="388">
        <f>SUM(E803:E808)</f>
        <v>3168</v>
      </c>
      <c r="F809" s="388" t="s">
        <v>28</v>
      </c>
      <c r="G809" s="388">
        <f>SUM(G803:G808)</f>
        <v>4528</v>
      </c>
      <c r="H809" s="446" t="s">
        <v>28</v>
      </c>
      <c r="I809" s="446" t="s">
        <v>28</v>
      </c>
      <c r="J809" s="446">
        <f>SUM(J803:J808)</f>
        <v>93</v>
      </c>
      <c r="K809" s="458" t="s">
        <v>28</v>
      </c>
      <c r="L809" s="519">
        <f>SUM(L803:L808)</f>
        <v>9090878.9399999995</v>
      </c>
      <c r="M809" s="519">
        <f>SUM(M803:M808)</f>
        <v>8909316.3200000003</v>
      </c>
      <c r="N809" s="388">
        <f>SUM(N803:N808)</f>
        <v>181562.62</v>
      </c>
      <c r="O809" s="473"/>
      <c r="P809" s="388"/>
      <c r="Q809" s="388">
        <f>SUM(Q803:Q808)</f>
        <v>0</v>
      </c>
      <c r="R809" s="446" t="s">
        <v>28</v>
      </c>
      <c r="S809" s="388">
        <f>L809-M809-N809-O809-P809-Q809</f>
        <v>-8.149072527885437E-10</v>
      </c>
      <c r="T809" s="393"/>
      <c r="U809" s="423"/>
      <c r="V809" s="390"/>
      <c r="Y809" s="419">
        <f t="shared" si="87"/>
        <v>9090878.9399999995</v>
      </c>
      <c r="Z809" s="419"/>
    </row>
    <row r="810" spans="1:26" s="403" customFormat="1" ht="58.5" hidden="1" customHeight="1">
      <c r="A810" s="1113" t="s">
        <v>63</v>
      </c>
      <c r="B810" s="1113"/>
      <c r="C810" s="1113"/>
      <c r="D810" s="1113"/>
      <c r="E810" s="1113"/>
      <c r="F810" s="1113"/>
      <c r="G810" s="1113"/>
      <c r="H810" s="1113"/>
      <c r="I810" s="1113"/>
      <c r="J810" s="1113"/>
      <c r="K810" s="1113"/>
      <c r="L810" s="1113"/>
      <c r="M810" s="1113"/>
      <c r="N810" s="1113"/>
      <c r="O810" s="1113"/>
      <c r="P810" s="1113"/>
      <c r="Q810" s="1113"/>
      <c r="R810" s="1113"/>
      <c r="T810" s="393"/>
      <c r="U810" s="404"/>
      <c r="V810" s="390"/>
      <c r="Y810" s="419">
        <f t="shared" si="87"/>
        <v>0</v>
      </c>
      <c r="Z810" s="419"/>
    </row>
    <row r="811" spans="1:26" s="441" customFormat="1" ht="37.5" hidden="1">
      <c r="A811" s="682">
        <v>1</v>
      </c>
      <c r="B811" s="424" t="s">
        <v>981</v>
      </c>
      <c r="C811" s="648" t="s">
        <v>222</v>
      </c>
      <c r="D811" s="681">
        <f>E811*2.6</f>
        <v>1841.45</v>
      </c>
      <c r="E811" s="646">
        <v>708.25</v>
      </c>
      <c r="F811" s="646" t="s">
        <v>223</v>
      </c>
      <c r="G811" s="644">
        <f>(20*I811)*12*1.2</f>
        <v>864</v>
      </c>
      <c r="H811" s="648">
        <v>2</v>
      </c>
      <c r="I811" s="648">
        <v>3</v>
      </c>
      <c r="J811" s="648">
        <v>22</v>
      </c>
      <c r="K811" s="682" t="s">
        <v>33</v>
      </c>
      <c r="L811" s="519">
        <f>M811+N811+O811+P811+Q811</f>
        <v>1313690.78</v>
      </c>
      <c r="M811" s="645">
        <v>1289459.54</v>
      </c>
      <c r="N811" s="646">
        <v>24231.24</v>
      </c>
      <c r="O811" s="647"/>
      <c r="P811" s="646"/>
      <c r="Q811" s="388"/>
      <c r="R811" s="648">
        <f>M811/G811</f>
        <v>1492.4300231481482</v>
      </c>
      <c r="U811" s="388"/>
      <c r="V811" s="390"/>
      <c r="Y811" s="419">
        <f t="shared" si="87"/>
        <v>1313690.78</v>
      </c>
      <c r="Z811" s="419"/>
    </row>
    <row r="812" spans="1:26" s="441" customFormat="1" ht="56.25" hidden="1" customHeight="1">
      <c r="A812" s="682">
        <v>2</v>
      </c>
      <c r="B812" s="424" t="s">
        <v>3390</v>
      </c>
      <c r="C812" s="648" t="s">
        <v>222</v>
      </c>
      <c r="D812" s="681">
        <v>3462.6</v>
      </c>
      <c r="E812" s="646">
        <v>624.30999999999995</v>
      </c>
      <c r="F812" s="646" t="s">
        <v>223</v>
      </c>
      <c r="G812" s="644">
        <v>864</v>
      </c>
      <c r="H812" s="648">
        <v>2</v>
      </c>
      <c r="I812" s="648">
        <v>3</v>
      </c>
      <c r="J812" s="648">
        <v>18</v>
      </c>
      <c r="K812" s="682" t="s">
        <v>30</v>
      </c>
      <c r="L812" s="519">
        <f>M812+N812+O812+P812+Q812</f>
        <v>342160.19999999995</v>
      </c>
      <c r="M812" s="645">
        <v>341085.6</v>
      </c>
      <c r="N812" s="646"/>
      <c r="O812" s="647">
        <v>1074.5999999999999</v>
      </c>
      <c r="P812" s="646"/>
      <c r="Q812" s="388"/>
      <c r="R812" s="648">
        <f>M812/J812</f>
        <v>18949.199999999997</v>
      </c>
      <c r="U812" s="388"/>
      <c r="V812" s="390"/>
      <c r="Y812" s="419">
        <f t="shared" si="87"/>
        <v>342160.19999999995</v>
      </c>
      <c r="Z812" s="419"/>
    </row>
    <row r="813" spans="1:26" s="403" customFormat="1" ht="58.5" hidden="1" customHeight="1">
      <c r="A813" s="1112" t="s">
        <v>122</v>
      </c>
      <c r="B813" s="1112"/>
      <c r="C813" s="455" t="s">
        <v>28</v>
      </c>
      <c r="D813" s="641">
        <f>SUM(D811:D812)</f>
        <v>5304.05</v>
      </c>
      <c r="E813" s="388">
        <f>SUM(E811:E812)</f>
        <v>1332.56</v>
      </c>
      <c r="F813" s="388" t="s">
        <v>28</v>
      </c>
      <c r="G813" s="388">
        <f>SUM(G811:G812)</f>
        <v>1728</v>
      </c>
      <c r="H813" s="446" t="s">
        <v>28</v>
      </c>
      <c r="I813" s="446" t="s">
        <v>28</v>
      </c>
      <c r="J813" s="446">
        <f>SUM(J811:J812)</f>
        <v>40</v>
      </c>
      <c r="K813" s="458" t="s">
        <v>28</v>
      </c>
      <c r="L813" s="519">
        <f t="shared" ref="L813:Q813" si="94">SUM(L811:L812)</f>
        <v>1655850.98</v>
      </c>
      <c r="M813" s="519">
        <f t="shared" si="94"/>
        <v>1630545.1400000001</v>
      </c>
      <c r="N813" s="388">
        <f t="shared" si="94"/>
        <v>24231.24</v>
      </c>
      <c r="O813" s="473">
        <f t="shared" si="94"/>
        <v>1074.5999999999999</v>
      </c>
      <c r="P813" s="641">
        <f t="shared" si="94"/>
        <v>0</v>
      </c>
      <c r="Q813" s="388">
        <f t="shared" si="94"/>
        <v>0</v>
      </c>
      <c r="R813" s="446" t="s">
        <v>28</v>
      </c>
      <c r="S813" s="388">
        <f>L813-M813-N813-O813-P813-Q813</f>
        <v>-1.5052137314341962E-10</v>
      </c>
      <c r="T813" s="393"/>
      <c r="U813" s="423"/>
      <c r="V813" s="390"/>
      <c r="Y813" s="419">
        <f t="shared" si="87"/>
        <v>1655850.9800000002</v>
      </c>
      <c r="Z813" s="419"/>
    </row>
    <row r="814" spans="1:26" s="403" customFormat="1" ht="58.5" hidden="1" customHeight="1">
      <c r="A814" s="1113" t="s">
        <v>65</v>
      </c>
      <c r="B814" s="1113"/>
      <c r="C814" s="1113"/>
      <c r="D814" s="1113"/>
      <c r="E814" s="1113"/>
      <c r="F814" s="1113"/>
      <c r="G814" s="1113"/>
      <c r="H814" s="1113"/>
      <c r="I814" s="1113"/>
      <c r="J814" s="1113"/>
      <c r="K814" s="1113"/>
      <c r="L814" s="1113"/>
      <c r="M814" s="1113"/>
      <c r="N814" s="1113"/>
      <c r="O814" s="1113"/>
      <c r="P814" s="1113"/>
      <c r="Q814" s="1113"/>
      <c r="R814" s="1113"/>
      <c r="T814" s="393"/>
      <c r="U814" s="404"/>
      <c r="V814" s="390"/>
      <c r="Y814" s="419">
        <f t="shared" si="87"/>
        <v>0</v>
      </c>
      <c r="Z814" s="419"/>
    </row>
    <row r="815" spans="1:26" s="442" customFormat="1" ht="37.5" hidden="1" customHeight="1">
      <c r="A815" s="710">
        <v>1</v>
      </c>
      <c r="B815" s="711" t="s">
        <v>982</v>
      </c>
      <c r="C815" s="648" t="s">
        <v>222</v>
      </c>
      <c r="D815" s="712">
        <v>9478</v>
      </c>
      <c r="E815" s="644">
        <v>1732.2</v>
      </c>
      <c r="F815" s="388" t="s">
        <v>234</v>
      </c>
      <c r="G815" s="644">
        <v>615</v>
      </c>
      <c r="H815" s="713">
        <v>5</v>
      </c>
      <c r="I815" s="713">
        <v>4</v>
      </c>
      <c r="J815" s="713">
        <v>45</v>
      </c>
      <c r="K815" s="682" t="s">
        <v>239</v>
      </c>
      <c r="L815" s="645">
        <f t="shared" ref="L815:L827" si="95">M815+N815+O815+P815+Q815</f>
        <v>1495233.35</v>
      </c>
      <c r="M815" s="652">
        <v>1468368.35</v>
      </c>
      <c r="N815" s="646">
        <v>26865</v>
      </c>
      <c r="O815" s="647"/>
      <c r="P815" s="646"/>
      <c r="Q815" s="388"/>
      <c r="R815" s="648">
        <f>M815/J815</f>
        <v>32630.407777777778</v>
      </c>
      <c r="T815" s="443"/>
      <c r="V815" s="390"/>
      <c r="Y815" s="419">
        <f t="shared" si="87"/>
        <v>1495233.35</v>
      </c>
      <c r="Z815" s="419"/>
    </row>
    <row r="816" spans="1:26" s="442" customFormat="1" ht="37.5" hidden="1" customHeight="1">
      <c r="A816" s="710">
        <f>A815+1</f>
        <v>2</v>
      </c>
      <c r="B816" s="403" t="s">
        <v>983</v>
      </c>
      <c r="C816" s="648" t="s">
        <v>222</v>
      </c>
      <c r="D816" s="641">
        <v>13045</v>
      </c>
      <c r="E816" s="388">
        <v>2552</v>
      </c>
      <c r="F816" s="388" t="s">
        <v>234</v>
      </c>
      <c r="G816" s="388">
        <v>880.7</v>
      </c>
      <c r="H816" s="713">
        <v>5</v>
      </c>
      <c r="I816" s="713">
        <v>4</v>
      </c>
      <c r="J816" s="446">
        <v>64</v>
      </c>
      <c r="K816" s="682" t="s">
        <v>33</v>
      </c>
      <c r="L816" s="645">
        <f t="shared" si="95"/>
        <v>1933636.24</v>
      </c>
      <c r="M816" s="652">
        <v>1927852.3</v>
      </c>
      <c r="N816" s="646"/>
      <c r="O816" s="643">
        <v>5783.94</v>
      </c>
      <c r="P816" s="646"/>
      <c r="Q816" s="388"/>
      <c r="R816" s="648">
        <f t="shared" ref="R816:R823" si="96">M816/G816</f>
        <v>2189</v>
      </c>
      <c r="T816" s="443"/>
      <c r="V816" s="390"/>
      <c r="Y816" s="419">
        <f t="shared" si="87"/>
        <v>1933636.24</v>
      </c>
      <c r="Z816" s="419"/>
    </row>
    <row r="817" spans="1:26" s="442" customFormat="1" ht="37.5" hidden="1" customHeight="1">
      <c r="A817" s="710">
        <f t="shared" ref="A817:A840" si="97">A816+1</f>
        <v>3</v>
      </c>
      <c r="B817" s="711" t="s">
        <v>984</v>
      </c>
      <c r="C817" s="648" t="s">
        <v>222</v>
      </c>
      <c r="D817" s="681">
        <v>2779</v>
      </c>
      <c r="E817" s="646">
        <v>624.4</v>
      </c>
      <c r="F817" s="646" t="s">
        <v>223</v>
      </c>
      <c r="G817" s="646">
        <v>576</v>
      </c>
      <c r="H817" s="648">
        <v>2</v>
      </c>
      <c r="I817" s="648">
        <v>2</v>
      </c>
      <c r="J817" s="648">
        <v>16</v>
      </c>
      <c r="K817" s="458" t="s">
        <v>237</v>
      </c>
      <c r="L817" s="519">
        <f t="shared" si="95"/>
        <v>1467216</v>
      </c>
      <c r="M817" s="645">
        <v>1438560</v>
      </c>
      <c r="N817" s="388">
        <v>28656</v>
      </c>
      <c r="O817" s="647"/>
      <c r="P817" s="646"/>
      <c r="Q817" s="388"/>
      <c r="R817" s="648">
        <f t="shared" si="96"/>
        <v>2497.5</v>
      </c>
      <c r="S817" s="442" t="s">
        <v>3547</v>
      </c>
      <c r="T817" s="443"/>
      <c r="U817" s="388"/>
      <c r="V817" s="390"/>
      <c r="Y817" s="419">
        <f t="shared" si="87"/>
        <v>1467216</v>
      </c>
      <c r="Z817" s="419"/>
    </row>
    <row r="818" spans="1:26" s="442" customFormat="1" ht="37.5" hidden="1" customHeight="1">
      <c r="A818" s="710">
        <f t="shared" si="97"/>
        <v>4</v>
      </c>
      <c r="B818" s="711" t="s">
        <v>985</v>
      </c>
      <c r="C818" s="648" t="s">
        <v>222</v>
      </c>
      <c r="D818" s="712">
        <v>1457</v>
      </c>
      <c r="E818" s="644">
        <v>372.96</v>
      </c>
      <c r="F818" s="694" t="s">
        <v>223</v>
      </c>
      <c r="G818" s="644">
        <v>340.8</v>
      </c>
      <c r="H818" s="713">
        <v>2</v>
      </c>
      <c r="I818" s="713">
        <v>1</v>
      </c>
      <c r="J818" s="713">
        <v>6</v>
      </c>
      <c r="K818" s="682" t="s">
        <v>33</v>
      </c>
      <c r="L818" s="645">
        <f t="shared" si="95"/>
        <v>986516.77</v>
      </c>
      <c r="M818" s="645">
        <v>953285.76</v>
      </c>
      <c r="N818" s="646">
        <v>33231.01</v>
      </c>
      <c r="O818" s="647"/>
      <c r="P818" s="646"/>
      <c r="Q818" s="388"/>
      <c r="R818" s="648">
        <f t="shared" si="96"/>
        <v>2797.2</v>
      </c>
      <c r="S818" s="442" t="s">
        <v>3547</v>
      </c>
      <c r="T818" s="443"/>
      <c r="U818" s="388"/>
      <c r="V818" s="390"/>
      <c r="Y818" s="419">
        <f t="shared" si="87"/>
        <v>986516.77</v>
      </c>
      <c r="Z818" s="419"/>
    </row>
    <row r="819" spans="1:26" s="442" customFormat="1" ht="37.5" hidden="1" customHeight="1">
      <c r="A819" s="710">
        <f t="shared" si="97"/>
        <v>5</v>
      </c>
      <c r="B819" s="711" t="s">
        <v>986</v>
      </c>
      <c r="C819" s="648" t="s">
        <v>222</v>
      </c>
      <c r="D819" s="712">
        <v>4081</v>
      </c>
      <c r="E819" s="644">
        <v>1019.1</v>
      </c>
      <c r="F819" s="388" t="s">
        <v>234</v>
      </c>
      <c r="G819" s="644">
        <v>324.48</v>
      </c>
      <c r="H819" s="713">
        <v>5</v>
      </c>
      <c r="I819" s="713">
        <v>1</v>
      </c>
      <c r="J819" s="713">
        <v>15</v>
      </c>
      <c r="K819" s="714" t="s">
        <v>253</v>
      </c>
      <c r="L819" s="645">
        <f t="shared" si="95"/>
        <v>1010520.27</v>
      </c>
      <c r="M819" s="645">
        <v>978234.51</v>
      </c>
      <c r="N819" s="646">
        <v>32285.759999999998</v>
      </c>
      <c r="O819" s="647"/>
      <c r="P819" s="646"/>
      <c r="Q819" s="388"/>
      <c r="R819" s="446">
        <f t="shared" si="96"/>
        <v>3014.7759800295858</v>
      </c>
      <c r="T819" s="443"/>
      <c r="V819" s="390"/>
      <c r="Y819" s="419">
        <f t="shared" si="87"/>
        <v>1010520.27</v>
      </c>
      <c r="Z819" s="419"/>
    </row>
    <row r="820" spans="1:26" s="442" customFormat="1" ht="37.5" hidden="1" customHeight="1">
      <c r="A820" s="710">
        <f t="shared" si="97"/>
        <v>6</v>
      </c>
      <c r="B820" s="403" t="s">
        <v>987</v>
      </c>
      <c r="C820" s="648" t="s">
        <v>222</v>
      </c>
      <c r="D820" s="641">
        <v>12258</v>
      </c>
      <c r="E820" s="388">
        <v>2487</v>
      </c>
      <c r="F820" s="694" t="s">
        <v>223</v>
      </c>
      <c r="G820" s="388">
        <v>1683</v>
      </c>
      <c r="H820" s="713">
        <v>5</v>
      </c>
      <c r="I820" s="713">
        <v>4</v>
      </c>
      <c r="J820" s="446">
        <v>76</v>
      </c>
      <c r="K820" s="682" t="s">
        <v>33</v>
      </c>
      <c r="L820" s="645">
        <f t="shared" si="95"/>
        <v>4633176.59</v>
      </c>
      <c r="M820" s="645">
        <v>4595666.08</v>
      </c>
      <c r="N820" s="646">
        <v>37510.51</v>
      </c>
      <c r="O820" s="647"/>
      <c r="P820" s="646"/>
      <c r="Q820" s="388"/>
      <c r="R820" s="648">
        <f t="shared" si="96"/>
        <v>2730.6393820558528</v>
      </c>
      <c r="T820" s="443"/>
      <c r="V820" s="390"/>
      <c r="Y820" s="419">
        <f t="shared" si="87"/>
        <v>4633176.59</v>
      </c>
      <c r="Z820" s="419"/>
    </row>
    <row r="821" spans="1:26" s="442" customFormat="1" ht="37.5" hidden="1" customHeight="1">
      <c r="A821" s="710">
        <f t="shared" si="97"/>
        <v>7</v>
      </c>
      <c r="B821" s="715" t="s">
        <v>988</v>
      </c>
      <c r="C821" s="648" t="s">
        <v>222</v>
      </c>
      <c r="D821" s="712">
        <v>27006</v>
      </c>
      <c r="E821" s="644">
        <v>3937.8</v>
      </c>
      <c r="F821" s="388" t="s">
        <v>234</v>
      </c>
      <c r="G821" s="644">
        <v>1731</v>
      </c>
      <c r="H821" s="713">
        <v>5</v>
      </c>
      <c r="I821" s="713">
        <v>7</v>
      </c>
      <c r="J821" s="713">
        <v>105</v>
      </c>
      <c r="K821" s="682" t="s">
        <v>33</v>
      </c>
      <c r="L821" s="645">
        <f t="shared" si="95"/>
        <v>3250333.39</v>
      </c>
      <c r="M821" s="645">
        <v>3238965.52</v>
      </c>
      <c r="N821" s="646"/>
      <c r="O821" s="643">
        <v>11367.87</v>
      </c>
      <c r="P821" s="646"/>
      <c r="Q821" s="388"/>
      <c r="R821" s="648">
        <f t="shared" si="96"/>
        <v>1871.1528134026573</v>
      </c>
      <c r="T821" s="443"/>
      <c r="U821" s="388"/>
      <c r="V821" s="390"/>
      <c r="Y821" s="419">
        <f t="shared" si="87"/>
        <v>3250333.39</v>
      </c>
      <c r="Z821" s="419"/>
    </row>
    <row r="822" spans="1:26" s="442" customFormat="1" ht="37.5" hidden="1" customHeight="1">
      <c r="A822" s="710">
        <f t="shared" si="97"/>
        <v>8</v>
      </c>
      <c r="B822" s="715" t="s">
        <v>989</v>
      </c>
      <c r="C822" s="648" t="s">
        <v>222</v>
      </c>
      <c r="D822" s="712">
        <v>7894</v>
      </c>
      <c r="E822" s="644">
        <v>1341.6</v>
      </c>
      <c r="F822" s="388" t="s">
        <v>234</v>
      </c>
      <c r="G822" s="644">
        <v>558</v>
      </c>
      <c r="H822" s="713">
        <v>5</v>
      </c>
      <c r="I822" s="713">
        <v>2</v>
      </c>
      <c r="J822" s="713">
        <v>30</v>
      </c>
      <c r="K822" s="682" t="s">
        <v>33</v>
      </c>
      <c r="L822" s="645">
        <f t="shared" si="95"/>
        <v>1090407.9600000002</v>
      </c>
      <c r="M822" s="652">
        <v>1086743.3800000001</v>
      </c>
      <c r="N822" s="646"/>
      <c r="O822" s="643">
        <v>3664.58</v>
      </c>
      <c r="P822" s="646"/>
      <c r="Q822" s="388"/>
      <c r="R822" s="648">
        <f t="shared" si="96"/>
        <v>1947.5687813620075</v>
      </c>
      <c r="T822" s="443"/>
      <c r="V822" s="390"/>
      <c r="Y822" s="419">
        <f t="shared" si="87"/>
        <v>1090407.9600000002</v>
      </c>
      <c r="Z822" s="419"/>
    </row>
    <row r="823" spans="1:26" s="442" customFormat="1" ht="37.5" hidden="1" customHeight="1">
      <c r="A823" s="710">
        <f t="shared" si="97"/>
        <v>9</v>
      </c>
      <c r="B823" s="711" t="s">
        <v>990</v>
      </c>
      <c r="C823" s="648" t="s">
        <v>222</v>
      </c>
      <c r="D823" s="712">
        <v>1085</v>
      </c>
      <c r="E823" s="644">
        <v>329.52</v>
      </c>
      <c r="F823" s="694" t="s">
        <v>223</v>
      </c>
      <c r="G823" s="644">
        <v>312</v>
      </c>
      <c r="H823" s="713">
        <v>2</v>
      </c>
      <c r="I823" s="713">
        <v>1</v>
      </c>
      <c r="J823" s="713">
        <v>4</v>
      </c>
      <c r="K823" s="682" t="s">
        <v>33</v>
      </c>
      <c r="L823" s="645">
        <f t="shared" si="95"/>
        <v>783705.11</v>
      </c>
      <c r="M823" s="652">
        <v>748935.83</v>
      </c>
      <c r="N823" s="646">
        <v>34769.279999999999</v>
      </c>
      <c r="O823" s="647"/>
      <c r="P823" s="646"/>
      <c r="Q823" s="388"/>
      <c r="R823" s="648">
        <f t="shared" si="96"/>
        <v>2400.4353525641022</v>
      </c>
      <c r="T823" s="443"/>
      <c r="V823" s="390"/>
      <c r="Y823" s="419">
        <f t="shared" si="87"/>
        <v>783705.11</v>
      </c>
      <c r="Z823" s="419"/>
    </row>
    <row r="824" spans="1:26" s="442" customFormat="1" ht="37.5" hidden="1" customHeight="1">
      <c r="A824" s="710">
        <f t="shared" si="97"/>
        <v>10</v>
      </c>
      <c r="B824" s="711" t="s">
        <v>991</v>
      </c>
      <c r="C824" s="648" t="s">
        <v>222</v>
      </c>
      <c r="D824" s="712">
        <v>2331</v>
      </c>
      <c r="E824" s="644">
        <v>584.52</v>
      </c>
      <c r="F824" s="694" t="s">
        <v>223</v>
      </c>
      <c r="G824" s="644">
        <v>842.4</v>
      </c>
      <c r="H824" s="713">
        <v>2</v>
      </c>
      <c r="I824" s="713">
        <v>3</v>
      </c>
      <c r="J824" s="713">
        <v>12</v>
      </c>
      <c r="K824" s="458" t="s">
        <v>246</v>
      </c>
      <c r="L824" s="645">
        <f t="shared" si="95"/>
        <v>140746.51</v>
      </c>
      <c r="M824" s="652">
        <v>140245.03</v>
      </c>
      <c r="N824" s="646"/>
      <c r="O824" s="643">
        <v>501.48</v>
      </c>
      <c r="P824" s="646"/>
      <c r="Q824" s="388"/>
      <c r="R824" s="648">
        <f>M824/J824</f>
        <v>11687.085833333333</v>
      </c>
      <c r="T824" s="443"/>
      <c r="V824" s="390"/>
      <c r="Y824" s="419">
        <f t="shared" si="87"/>
        <v>140746.51</v>
      </c>
      <c r="Z824" s="419"/>
    </row>
    <row r="825" spans="1:26" s="442" customFormat="1" ht="37.5" hidden="1" customHeight="1">
      <c r="A825" s="710">
        <f t="shared" si="97"/>
        <v>11</v>
      </c>
      <c r="B825" s="715" t="s">
        <v>992</v>
      </c>
      <c r="C825" s="648" t="s">
        <v>222</v>
      </c>
      <c r="D825" s="712">
        <v>15969</v>
      </c>
      <c r="E825" s="644">
        <v>2123.4</v>
      </c>
      <c r="F825" s="388" t="s">
        <v>234</v>
      </c>
      <c r="G825" s="644">
        <v>1006</v>
      </c>
      <c r="H825" s="713">
        <v>5</v>
      </c>
      <c r="I825" s="713">
        <v>4</v>
      </c>
      <c r="J825" s="713">
        <v>60</v>
      </c>
      <c r="K825" s="682" t="s">
        <v>33</v>
      </c>
      <c r="L825" s="645">
        <f t="shared" si="95"/>
        <v>2154376.2799999998</v>
      </c>
      <c r="M825" s="652">
        <v>2147769.48</v>
      </c>
      <c r="N825" s="646"/>
      <c r="O825" s="643">
        <v>6606.8</v>
      </c>
      <c r="P825" s="646"/>
      <c r="Q825" s="388"/>
      <c r="R825" s="648">
        <f>M825/G825</f>
        <v>2134.9597216699799</v>
      </c>
      <c r="T825" s="443"/>
      <c r="V825" s="390"/>
      <c r="Y825" s="419">
        <f t="shared" si="87"/>
        <v>2154376.2799999998</v>
      </c>
      <c r="Z825" s="419"/>
    </row>
    <row r="826" spans="1:26" s="442" customFormat="1" ht="37.5" hidden="1" customHeight="1">
      <c r="A826" s="710">
        <f t="shared" si="97"/>
        <v>12</v>
      </c>
      <c r="B826" s="403" t="s">
        <v>993</v>
      </c>
      <c r="C826" s="648" t="s">
        <v>222</v>
      </c>
      <c r="D826" s="606">
        <v>13150</v>
      </c>
      <c r="E826" s="646">
        <v>2575.9999999999995</v>
      </c>
      <c r="F826" s="694" t="s">
        <v>223</v>
      </c>
      <c r="G826" s="646">
        <v>1217.8</v>
      </c>
      <c r="H826" s="713">
        <v>5</v>
      </c>
      <c r="I826" s="713">
        <v>4</v>
      </c>
      <c r="J826" s="528">
        <v>65</v>
      </c>
      <c r="K826" s="682" t="s">
        <v>33</v>
      </c>
      <c r="L826" s="645">
        <f t="shared" si="95"/>
        <v>3440357.6699999995</v>
      </c>
      <c r="M826" s="645">
        <v>3406430.1599999997</v>
      </c>
      <c r="N826" s="646">
        <v>33927.51</v>
      </c>
      <c r="O826" s="647"/>
      <c r="P826" s="646"/>
      <c r="Q826" s="388"/>
      <c r="R826" s="648">
        <f>M826/G826</f>
        <v>2797.2</v>
      </c>
      <c r="T826" s="443"/>
      <c r="U826" s="388"/>
      <c r="V826" s="390"/>
      <c r="Y826" s="419">
        <f t="shared" si="87"/>
        <v>3440357.6699999995</v>
      </c>
      <c r="Z826" s="419"/>
    </row>
    <row r="827" spans="1:26" s="442" customFormat="1" ht="37.5" hidden="1" customHeight="1">
      <c r="A827" s="710">
        <f t="shared" si="97"/>
        <v>13</v>
      </c>
      <c r="B827" s="403" t="s">
        <v>994</v>
      </c>
      <c r="C827" s="648" t="s">
        <v>222</v>
      </c>
      <c r="D827" s="606">
        <v>12791</v>
      </c>
      <c r="E827" s="646">
        <v>2575.9999999999995</v>
      </c>
      <c r="F827" s="694" t="s">
        <v>223</v>
      </c>
      <c r="G827" s="646">
        <v>1162.4000000000001</v>
      </c>
      <c r="H827" s="713">
        <v>5</v>
      </c>
      <c r="I827" s="713">
        <v>4</v>
      </c>
      <c r="J827" s="528">
        <v>70</v>
      </c>
      <c r="K827" s="682" t="s">
        <v>33</v>
      </c>
      <c r="L827" s="645">
        <f t="shared" si="95"/>
        <v>3608346.1399999997</v>
      </c>
      <c r="M827" s="645">
        <f>3251465.28+324496.6</f>
        <v>3575961.88</v>
      </c>
      <c r="N827" s="646">
        <v>32384.26</v>
      </c>
      <c r="O827" s="647"/>
      <c r="P827" s="646"/>
      <c r="Q827" s="388"/>
      <c r="R827" s="648">
        <f>M827/G827</f>
        <v>3076.3608740536815</v>
      </c>
      <c r="T827" s="443"/>
      <c r="V827" s="390"/>
      <c r="Y827" s="419">
        <f t="shared" si="87"/>
        <v>3608346.1399999997</v>
      </c>
      <c r="Z827" s="419"/>
    </row>
    <row r="828" spans="1:26" s="442" customFormat="1" ht="37.5" hidden="1" customHeight="1">
      <c r="A828" s="710">
        <f t="shared" si="97"/>
        <v>14</v>
      </c>
      <c r="B828" s="711" t="s">
        <v>995</v>
      </c>
      <c r="C828" s="648" t="s">
        <v>222</v>
      </c>
      <c r="D828" s="712">
        <v>13037</v>
      </c>
      <c r="E828" s="644">
        <v>1018.2</v>
      </c>
      <c r="F828" s="388" t="s">
        <v>223</v>
      </c>
      <c r="G828" s="644">
        <v>1162.24</v>
      </c>
      <c r="H828" s="713">
        <v>5</v>
      </c>
      <c r="I828" s="713">
        <v>4</v>
      </c>
      <c r="J828" s="713">
        <v>60</v>
      </c>
      <c r="K828" s="682" t="s">
        <v>239</v>
      </c>
      <c r="L828" s="1118">
        <f>M828+N828+O828+P828+Q828+M829+N829+O829+P829+Q829</f>
        <v>1332875.98</v>
      </c>
      <c r="M828" s="652">
        <v>863036.73</v>
      </c>
      <c r="N828" s="646">
        <v>26865</v>
      </c>
      <c r="O828" s="647"/>
      <c r="P828" s="646"/>
      <c r="Q828" s="388"/>
      <c r="R828" s="648">
        <f>M828/J828</f>
        <v>14383.9455</v>
      </c>
      <c r="T828" s="443"/>
      <c r="V828" s="390"/>
      <c r="Y828" s="419">
        <f t="shared" si="87"/>
        <v>889901.73</v>
      </c>
      <c r="Z828" s="419"/>
    </row>
    <row r="829" spans="1:26" s="442" customFormat="1" ht="37.5" hidden="1" customHeight="1">
      <c r="A829" s="710"/>
      <c r="B829" s="711"/>
      <c r="C829" s="648"/>
      <c r="D829" s="712"/>
      <c r="E829" s="644"/>
      <c r="F829" s="388"/>
      <c r="G829" s="644"/>
      <c r="H829" s="713"/>
      <c r="I829" s="713"/>
      <c r="J829" s="713"/>
      <c r="K829" s="682" t="s">
        <v>246</v>
      </c>
      <c r="L829" s="1118"/>
      <c r="M829" s="652">
        <v>441649.25</v>
      </c>
      <c r="N829" s="646"/>
      <c r="O829" s="656">
        <v>1325</v>
      </c>
      <c r="P829" s="646"/>
      <c r="Q829" s="388"/>
      <c r="R829" s="648">
        <f>M829/J828</f>
        <v>7360.8208333333332</v>
      </c>
      <c r="T829" s="443"/>
      <c r="V829" s="390"/>
      <c r="Y829" s="419">
        <f t="shared" si="87"/>
        <v>442974.25</v>
      </c>
      <c r="Z829" s="419"/>
    </row>
    <row r="830" spans="1:26" s="442" customFormat="1" ht="37.5" hidden="1" customHeight="1">
      <c r="A830" s="710">
        <f>A828+1</f>
        <v>15</v>
      </c>
      <c r="B830" s="403" t="s">
        <v>996</v>
      </c>
      <c r="C830" s="648" t="s">
        <v>222</v>
      </c>
      <c r="D830" s="641">
        <v>15236</v>
      </c>
      <c r="E830" s="388">
        <v>2805</v>
      </c>
      <c r="F830" s="694" t="s">
        <v>234</v>
      </c>
      <c r="G830" s="388">
        <v>1165</v>
      </c>
      <c r="H830" s="713">
        <v>5</v>
      </c>
      <c r="I830" s="713">
        <v>5</v>
      </c>
      <c r="J830" s="446">
        <v>75</v>
      </c>
      <c r="K830" s="682" t="s">
        <v>33</v>
      </c>
      <c r="L830" s="645">
        <f t="shared" ref="L830:L840" si="98">M830+N830+O830+P830+Q830</f>
        <v>2254364.4200000004</v>
      </c>
      <c r="M830" s="645">
        <v>2246713.8600000003</v>
      </c>
      <c r="N830" s="646"/>
      <c r="O830" s="643">
        <v>7650.56</v>
      </c>
      <c r="P830" s="646"/>
      <c r="Q830" s="388"/>
      <c r="R830" s="648">
        <f>M830/G830</f>
        <v>1928.5097510729618</v>
      </c>
      <c r="T830" s="443"/>
      <c r="V830" s="390"/>
      <c r="Y830" s="419">
        <f t="shared" si="87"/>
        <v>2254364.4200000004</v>
      </c>
      <c r="Z830" s="419"/>
    </row>
    <row r="831" spans="1:26" s="442" customFormat="1" ht="37.5" hidden="1" customHeight="1">
      <c r="A831" s="710">
        <f t="shared" si="97"/>
        <v>16</v>
      </c>
      <c r="B831" s="716" t="s">
        <v>997</v>
      </c>
      <c r="C831" s="648" t="s">
        <v>222</v>
      </c>
      <c r="D831" s="717">
        <v>7162</v>
      </c>
      <c r="E831" s="718">
        <v>1234</v>
      </c>
      <c r="F831" s="694" t="s">
        <v>223</v>
      </c>
      <c r="G831" s="391">
        <v>965</v>
      </c>
      <c r="H831" s="648">
        <v>3</v>
      </c>
      <c r="I831" s="648">
        <v>3</v>
      </c>
      <c r="J831" s="648">
        <v>33</v>
      </c>
      <c r="K831" s="682" t="s">
        <v>33</v>
      </c>
      <c r="L831" s="645">
        <f t="shared" si="98"/>
        <v>2726182.9</v>
      </c>
      <c r="M831" s="645">
        <v>2699298</v>
      </c>
      <c r="N831" s="646">
        <v>26884.9</v>
      </c>
      <c r="O831" s="647"/>
      <c r="P831" s="646"/>
      <c r="Q831" s="388"/>
      <c r="R831" s="648">
        <f>M831/G831</f>
        <v>2797.2</v>
      </c>
      <c r="T831" s="443"/>
      <c r="U831" s="388"/>
      <c r="V831" s="390"/>
      <c r="Y831" s="419">
        <f t="shared" si="87"/>
        <v>2726182.9</v>
      </c>
      <c r="Z831" s="419"/>
    </row>
    <row r="832" spans="1:26" s="442" customFormat="1" ht="37.5" hidden="1" customHeight="1">
      <c r="A832" s="710">
        <f t="shared" si="97"/>
        <v>17</v>
      </c>
      <c r="B832" s="716" t="s">
        <v>998</v>
      </c>
      <c r="C832" s="648" t="s">
        <v>222</v>
      </c>
      <c r="D832" s="717">
        <v>2662</v>
      </c>
      <c r="E832" s="718">
        <v>602</v>
      </c>
      <c r="F832" s="694" t="s">
        <v>223</v>
      </c>
      <c r="G832" s="391">
        <v>576</v>
      </c>
      <c r="H832" s="648">
        <v>2</v>
      </c>
      <c r="I832" s="648">
        <v>2</v>
      </c>
      <c r="J832" s="648">
        <v>16</v>
      </c>
      <c r="K832" s="682" t="s">
        <v>33</v>
      </c>
      <c r="L832" s="645">
        <f t="shared" si="98"/>
        <v>1742709.3</v>
      </c>
      <c r="M832" s="645">
        <f>1611187.2+99427.38</f>
        <v>1710614.58</v>
      </c>
      <c r="N832" s="646">
        <v>32094.720000000001</v>
      </c>
      <c r="O832" s="647"/>
      <c r="P832" s="646"/>
      <c r="Q832" s="388"/>
      <c r="R832" s="648">
        <f>M832/G832</f>
        <v>2969.8169791666669</v>
      </c>
      <c r="T832" s="443"/>
      <c r="U832" s="388"/>
      <c r="V832" s="390"/>
      <c r="Y832" s="419">
        <f t="shared" si="87"/>
        <v>1742709.3</v>
      </c>
      <c r="Z832" s="419"/>
    </row>
    <row r="833" spans="1:26" s="442" customFormat="1" ht="37.5" hidden="1" customHeight="1">
      <c r="A833" s="710">
        <f t="shared" si="97"/>
        <v>18</v>
      </c>
      <c r="B833" s="403" t="s">
        <v>999</v>
      </c>
      <c r="C833" s="648" t="s">
        <v>222</v>
      </c>
      <c r="D833" s="712">
        <v>1752</v>
      </c>
      <c r="E833" s="644">
        <v>760.2</v>
      </c>
      <c r="F833" s="694" t="s">
        <v>223</v>
      </c>
      <c r="G833" s="646">
        <v>802</v>
      </c>
      <c r="H833" s="648">
        <v>2</v>
      </c>
      <c r="I833" s="648">
        <v>3</v>
      </c>
      <c r="J833" s="648">
        <v>24</v>
      </c>
      <c r="K833" s="682" t="s">
        <v>239</v>
      </c>
      <c r="L833" s="645">
        <f t="shared" si="98"/>
        <v>767863.81</v>
      </c>
      <c r="M833" s="652">
        <v>742789.81</v>
      </c>
      <c r="N833" s="646">
        <v>25074</v>
      </c>
      <c r="O833" s="647"/>
      <c r="P833" s="646"/>
      <c r="Q833" s="388"/>
      <c r="R833" s="648">
        <f>M833/J833</f>
        <v>30949.57541666667</v>
      </c>
      <c r="T833" s="443"/>
      <c r="V833" s="390"/>
      <c r="Y833" s="419">
        <f t="shared" si="87"/>
        <v>767863.81</v>
      </c>
      <c r="Z833" s="419"/>
    </row>
    <row r="834" spans="1:26" s="442" customFormat="1" ht="37.5" hidden="1" customHeight="1">
      <c r="A834" s="710">
        <f t="shared" si="97"/>
        <v>19</v>
      </c>
      <c r="B834" s="403" t="s">
        <v>1000</v>
      </c>
      <c r="C834" s="648" t="s">
        <v>222</v>
      </c>
      <c r="D834" s="712">
        <v>1066</v>
      </c>
      <c r="E834" s="644">
        <v>240</v>
      </c>
      <c r="F834" s="694" t="s">
        <v>223</v>
      </c>
      <c r="G834" s="646">
        <v>320</v>
      </c>
      <c r="H834" s="648">
        <v>2</v>
      </c>
      <c r="I834" s="648">
        <v>1</v>
      </c>
      <c r="J834" s="648">
        <v>4</v>
      </c>
      <c r="K834" s="682" t="s">
        <v>33</v>
      </c>
      <c r="L834" s="645">
        <f t="shared" si="98"/>
        <v>731315.19999999995</v>
      </c>
      <c r="M834" s="645">
        <v>703296</v>
      </c>
      <c r="N834" s="646">
        <v>28019.200000000001</v>
      </c>
      <c r="O834" s="647"/>
      <c r="P834" s="646"/>
      <c r="Q834" s="388"/>
      <c r="R834" s="648">
        <f>M834/G834</f>
        <v>2197.8000000000002</v>
      </c>
      <c r="T834" s="443"/>
      <c r="V834" s="390"/>
      <c r="Y834" s="419">
        <f t="shared" si="87"/>
        <v>731315.19999999995</v>
      </c>
      <c r="Z834" s="419"/>
    </row>
    <row r="835" spans="1:26" s="442" customFormat="1" ht="45" hidden="1" customHeight="1">
      <c r="A835" s="710">
        <f t="shared" si="97"/>
        <v>20</v>
      </c>
      <c r="B835" s="403" t="s">
        <v>1001</v>
      </c>
      <c r="C835" s="648"/>
      <c r="D835" s="712">
        <v>936</v>
      </c>
      <c r="E835" s="644">
        <v>312</v>
      </c>
      <c r="F835" s="694" t="s">
        <v>223</v>
      </c>
      <c r="G835" s="646">
        <v>527</v>
      </c>
      <c r="H835" s="648">
        <v>2</v>
      </c>
      <c r="I835" s="648">
        <v>1</v>
      </c>
      <c r="J835" s="648">
        <v>15</v>
      </c>
      <c r="K835" s="682" t="s">
        <v>33</v>
      </c>
      <c r="L835" s="645">
        <f t="shared" si="98"/>
        <v>1302666.4999999998</v>
      </c>
      <c r="M835" s="645">
        <v>1281260.0699999998</v>
      </c>
      <c r="N835" s="646">
        <v>21406.43</v>
      </c>
      <c r="O835" s="647"/>
      <c r="P835" s="646"/>
      <c r="Q835" s="388"/>
      <c r="R835" s="648">
        <f>M835/G848</f>
        <v>2053.3013942307689</v>
      </c>
      <c r="T835" s="443"/>
      <c r="U835" s="388"/>
      <c r="V835" s="390"/>
      <c r="Y835" s="419">
        <f t="shared" si="87"/>
        <v>1302666.4999999998</v>
      </c>
      <c r="Z835" s="419"/>
    </row>
    <row r="836" spans="1:26" s="404" customFormat="1" ht="37.5" hidden="1" customHeight="1">
      <c r="A836" s="710">
        <f t="shared" si="97"/>
        <v>21</v>
      </c>
      <c r="B836" s="403" t="s">
        <v>3975</v>
      </c>
      <c r="C836" s="648" t="s">
        <v>222</v>
      </c>
      <c r="D836" s="606">
        <v>2404</v>
      </c>
      <c r="E836" s="391">
        <v>480</v>
      </c>
      <c r="F836" s="694" t="s">
        <v>223</v>
      </c>
      <c r="G836" s="644">
        <v>561.6</v>
      </c>
      <c r="H836" s="446">
        <v>2</v>
      </c>
      <c r="I836" s="446">
        <v>2</v>
      </c>
      <c r="J836" s="446">
        <v>16</v>
      </c>
      <c r="K836" s="682" t="s">
        <v>33</v>
      </c>
      <c r="L836" s="645">
        <f t="shared" si="98"/>
        <v>1287396.1599999999</v>
      </c>
      <c r="M836" s="645">
        <v>1262250.52</v>
      </c>
      <c r="N836" s="646">
        <v>25145.64</v>
      </c>
      <c r="O836" s="473"/>
      <c r="P836" s="388"/>
      <c r="Q836" s="388"/>
      <c r="R836" s="648">
        <f>M836/G836</f>
        <v>2247.5970797720797</v>
      </c>
      <c r="T836" s="443"/>
      <c r="U836" s="388"/>
      <c r="V836" s="390"/>
      <c r="Y836" s="419">
        <f t="shared" si="87"/>
        <v>1287396.1599999999</v>
      </c>
      <c r="Z836" s="419"/>
    </row>
    <row r="837" spans="1:26" s="404" customFormat="1" ht="37.5" hidden="1" customHeight="1">
      <c r="A837" s="710">
        <f t="shared" si="97"/>
        <v>22</v>
      </c>
      <c r="B837" s="403" t="s">
        <v>1002</v>
      </c>
      <c r="C837" s="648" t="s">
        <v>222</v>
      </c>
      <c r="D837" s="606">
        <v>1440</v>
      </c>
      <c r="E837" s="391">
        <v>480</v>
      </c>
      <c r="F837" s="694" t="s">
        <v>223</v>
      </c>
      <c r="G837" s="644">
        <v>528</v>
      </c>
      <c r="H837" s="446">
        <v>2</v>
      </c>
      <c r="I837" s="446">
        <v>2</v>
      </c>
      <c r="J837" s="446">
        <v>16</v>
      </c>
      <c r="K837" s="458" t="s">
        <v>225</v>
      </c>
      <c r="L837" s="645">
        <f t="shared" si="98"/>
        <v>268720.28999999998</v>
      </c>
      <c r="M837" s="645">
        <v>247069.09</v>
      </c>
      <c r="N837" s="646">
        <v>21651.200000000001</v>
      </c>
      <c r="O837" s="647"/>
      <c r="P837" s="646"/>
      <c r="Q837" s="388"/>
      <c r="R837" s="648">
        <f>M837/J837</f>
        <v>15441.818125</v>
      </c>
      <c r="T837" s="443"/>
      <c r="V837" s="390"/>
      <c r="Y837" s="419">
        <f t="shared" si="87"/>
        <v>268720.28999999998</v>
      </c>
      <c r="Z837" s="419"/>
    </row>
    <row r="838" spans="1:26" s="404" customFormat="1" ht="37.5" hidden="1" customHeight="1">
      <c r="A838" s="710">
        <f t="shared" si="97"/>
        <v>23</v>
      </c>
      <c r="B838" s="403" t="s">
        <v>3554</v>
      </c>
      <c r="C838" s="648" t="s">
        <v>222</v>
      </c>
      <c r="D838" s="606">
        <v>2890</v>
      </c>
      <c r="E838" s="391">
        <v>627</v>
      </c>
      <c r="F838" s="694" t="s">
        <v>223</v>
      </c>
      <c r="G838" s="644">
        <v>723</v>
      </c>
      <c r="H838" s="446">
        <v>2</v>
      </c>
      <c r="I838" s="446">
        <v>2</v>
      </c>
      <c r="J838" s="446">
        <v>16</v>
      </c>
      <c r="K838" s="458" t="s">
        <v>237</v>
      </c>
      <c r="L838" s="645">
        <f t="shared" si="98"/>
        <v>1724142.61</v>
      </c>
      <c r="M838" s="645">
        <v>1690655.86</v>
      </c>
      <c r="N838" s="646">
        <v>19477.259999999998</v>
      </c>
      <c r="O838" s="647"/>
      <c r="P838" s="646"/>
      <c r="Q838" s="388">
        <v>14009.49</v>
      </c>
      <c r="R838" s="648">
        <f>M838/G838</f>
        <v>2338.389847856155</v>
      </c>
      <c r="T838" s="443"/>
      <c r="V838" s="390"/>
      <c r="Y838" s="419">
        <f t="shared" si="87"/>
        <v>1724142.61</v>
      </c>
      <c r="Z838" s="419"/>
    </row>
    <row r="839" spans="1:26" s="404" customFormat="1" ht="37.5" hidden="1" customHeight="1">
      <c r="A839" s="710">
        <f t="shared" si="97"/>
        <v>24</v>
      </c>
      <c r="B839" s="403" t="s">
        <v>4088</v>
      </c>
      <c r="C839" s="648" t="s">
        <v>222</v>
      </c>
      <c r="D839" s="606">
        <v>2856</v>
      </c>
      <c r="E839" s="391">
        <v>625</v>
      </c>
      <c r="F839" s="694" t="s">
        <v>223</v>
      </c>
      <c r="G839" s="644">
        <v>748.8</v>
      </c>
      <c r="H839" s="446">
        <v>2</v>
      </c>
      <c r="I839" s="446">
        <v>2</v>
      </c>
      <c r="J839" s="446">
        <v>16</v>
      </c>
      <c r="K839" s="458" t="s">
        <v>237</v>
      </c>
      <c r="L839" s="645">
        <f t="shared" si="98"/>
        <v>1874826.38</v>
      </c>
      <c r="M839" s="652">
        <v>1841559.41</v>
      </c>
      <c r="N839" s="646">
        <v>19421.82</v>
      </c>
      <c r="O839" s="647"/>
      <c r="P839" s="646"/>
      <c r="Q839" s="388">
        <v>13845.15</v>
      </c>
      <c r="R839" s="648">
        <f>M839/G839</f>
        <v>2459.3475026709402</v>
      </c>
      <c r="T839" s="443"/>
      <c r="V839" s="390"/>
      <c r="Y839" s="419">
        <f t="shared" si="87"/>
        <v>1874826.38</v>
      </c>
      <c r="Z839" s="419"/>
    </row>
    <row r="840" spans="1:26" s="404" customFormat="1" ht="37.5" hidden="1" customHeight="1">
      <c r="A840" s="710">
        <f t="shared" si="97"/>
        <v>25</v>
      </c>
      <c r="B840" s="403" t="s">
        <v>3555</v>
      </c>
      <c r="C840" s="648" t="s">
        <v>222</v>
      </c>
      <c r="D840" s="606">
        <v>1082.4000000000001</v>
      </c>
      <c r="E840" s="391">
        <v>541.20000000000005</v>
      </c>
      <c r="F840" s="694" t="s">
        <v>223</v>
      </c>
      <c r="G840" s="644">
        <v>690</v>
      </c>
      <c r="H840" s="446">
        <v>2</v>
      </c>
      <c r="I840" s="446">
        <v>2</v>
      </c>
      <c r="J840" s="446">
        <v>16</v>
      </c>
      <c r="K840" s="458" t="s">
        <v>237</v>
      </c>
      <c r="L840" s="645">
        <f t="shared" si="98"/>
        <v>1484368.89</v>
      </c>
      <c r="M840" s="645">
        <v>1462605.72</v>
      </c>
      <c r="N840" s="646">
        <v>16516.169999999998</v>
      </c>
      <c r="O840" s="647"/>
      <c r="P840" s="646"/>
      <c r="Q840" s="388">
        <v>5247</v>
      </c>
      <c r="R840" s="648">
        <f>M840/G840</f>
        <v>2119.7184347826087</v>
      </c>
      <c r="T840" s="443"/>
      <c r="V840" s="390"/>
      <c r="Y840" s="419">
        <f t="shared" ref="Y840:Y903" si="99">M840+N840+O840+Q840</f>
        <v>1484368.89</v>
      </c>
      <c r="Z840" s="419"/>
    </row>
    <row r="841" spans="1:26" s="403" customFormat="1" ht="58.5" hidden="1" customHeight="1">
      <c r="A841" s="1112" t="s">
        <v>66</v>
      </c>
      <c r="B841" s="1112"/>
      <c r="C841" s="455" t="s">
        <v>28</v>
      </c>
      <c r="D841" s="641">
        <f>SUM(D815:D840)</f>
        <v>175847.4</v>
      </c>
      <c r="E841" s="388">
        <f>SUM(E815:E840)</f>
        <v>31981.100000000002</v>
      </c>
      <c r="F841" s="388" t="s">
        <v>28</v>
      </c>
      <c r="G841" s="388">
        <f>SUM(G815:G840)</f>
        <v>20018.219999999998</v>
      </c>
      <c r="H841" s="446" t="s">
        <v>28</v>
      </c>
      <c r="I841" s="446" t="s">
        <v>28</v>
      </c>
      <c r="J841" s="446">
        <f>SUM(J815:J840)</f>
        <v>875</v>
      </c>
      <c r="K841" s="458" t="s">
        <v>28</v>
      </c>
      <c r="L841" s="519">
        <f>SUM(L815:L840)</f>
        <v>43492004.720000006</v>
      </c>
      <c r="M841" s="519">
        <f>SUM(M815:M840)</f>
        <v>42899817.18</v>
      </c>
      <c r="N841" s="388">
        <f>SUM(N815:N840)</f>
        <v>522185.6700000001</v>
      </c>
      <c r="O841" s="473">
        <f>SUM(O815:O840)</f>
        <v>36900.229999999996</v>
      </c>
      <c r="P841" s="388"/>
      <c r="Q841" s="388">
        <f>SUM(Q815:Q840)</f>
        <v>33101.64</v>
      </c>
      <c r="R841" s="446" t="s">
        <v>28</v>
      </c>
      <c r="S841" s="388">
        <f>L841-M841-N841-O841-P841-Q841</f>
        <v>6.4610503613948822E-9</v>
      </c>
      <c r="T841" s="393"/>
      <c r="U841" s="423"/>
      <c r="V841" s="390"/>
      <c r="Y841" s="419">
        <f t="shared" si="99"/>
        <v>43492004.719999999</v>
      </c>
      <c r="Z841" s="419"/>
    </row>
    <row r="842" spans="1:26" s="403" customFormat="1" ht="58.5" hidden="1" customHeight="1">
      <c r="A842" s="1113" t="s">
        <v>67</v>
      </c>
      <c r="B842" s="1113"/>
      <c r="C842" s="1113"/>
      <c r="D842" s="1113"/>
      <c r="E842" s="1113"/>
      <c r="F842" s="1113"/>
      <c r="G842" s="1113"/>
      <c r="H842" s="1113"/>
      <c r="I842" s="1113"/>
      <c r="J842" s="1113"/>
      <c r="K842" s="1113"/>
      <c r="L842" s="1113"/>
      <c r="M842" s="1113"/>
      <c r="N842" s="1113"/>
      <c r="O842" s="1113"/>
      <c r="P842" s="1113"/>
      <c r="Q842" s="1113"/>
      <c r="R842" s="1113"/>
      <c r="T842" s="393"/>
      <c r="U842" s="404"/>
      <c r="V842" s="390"/>
      <c r="Y842" s="419">
        <f t="shared" si="99"/>
        <v>0</v>
      </c>
      <c r="Z842" s="419"/>
    </row>
    <row r="843" spans="1:26" s="420" customFormat="1" ht="37.5" hidden="1" customHeight="1">
      <c r="A843" s="458">
        <v>1</v>
      </c>
      <c r="B843" s="403" t="s">
        <v>1003</v>
      </c>
      <c r="C843" s="455" t="s">
        <v>222</v>
      </c>
      <c r="D843" s="606">
        <v>6600</v>
      </c>
      <c r="E843" s="388">
        <f>((27.7+19.4)*2)*3*H843</f>
        <v>565.19999999999993</v>
      </c>
      <c r="F843" s="391" t="s">
        <v>223</v>
      </c>
      <c r="G843" s="391">
        <v>637.87</v>
      </c>
      <c r="H843" s="528">
        <v>2</v>
      </c>
      <c r="I843" s="528">
        <v>1</v>
      </c>
      <c r="J843" s="528">
        <v>13</v>
      </c>
      <c r="K843" s="682" t="s">
        <v>33</v>
      </c>
      <c r="L843" s="645">
        <f>M843+N843+O843+P843+Q843</f>
        <v>1499970.67</v>
      </c>
      <c r="M843" s="655">
        <v>1473196.22</v>
      </c>
      <c r="N843" s="646">
        <v>26774.45</v>
      </c>
      <c r="O843" s="647"/>
      <c r="P843" s="646"/>
      <c r="Q843" s="388"/>
      <c r="R843" s="648">
        <f>M843/G843</f>
        <v>2309.5555834260899</v>
      </c>
      <c r="S843" s="420">
        <v>2015</v>
      </c>
      <c r="U843" s="405"/>
      <c r="V843" s="390"/>
      <c r="Y843" s="419">
        <f t="shared" si="99"/>
        <v>1499970.67</v>
      </c>
      <c r="Z843" s="419"/>
    </row>
    <row r="844" spans="1:26" s="403" customFormat="1" ht="58.5" hidden="1" customHeight="1">
      <c r="A844" s="1112" t="s">
        <v>68</v>
      </c>
      <c r="B844" s="1112"/>
      <c r="C844" s="455" t="s">
        <v>28</v>
      </c>
      <c r="D844" s="641">
        <f>SUM(D843:D843)</f>
        <v>6600</v>
      </c>
      <c r="E844" s="388">
        <f>SUM(E843:E843)</f>
        <v>565.19999999999993</v>
      </c>
      <c r="F844" s="388" t="s">
        <v>28</v>
      </c>
      <c r="G844" s="388">
        <f>SUM(G843:G843)</f>
        <v>637.87</v>
      </c>
      <c r="H844" s="446" t="s">
        <v>28</v>
      </c>
      <c r="I844" s="446" t="s">
        <v>28</v>
      </c>
      <c r="J844" s="446">
        <f>SUM(J843:J843)</f>
        <v>13</v>
      </c>
      <c r="K844" s="458" t="s">
        <v>28</v>
      </c>
      <c r="L844" s="519">
        <f>SUM(L843:L843)</f>
        <v>1499970.67</v>
      </c>
      <c r="M844" s="519">
        <f>SUM(M843:M843)</f>
        <v>1473196.22</v>
      </c>
      <c r="N844" s="388">
        <f>SUM(N843:N843)</f>
        <v>26774.45</v>
      </c>
      <c r="O844" s="473"/>
      <c r="P844" s="388"/>
      <c r="Q844" s="388">
        <f>SUM(Q843:Q843)</f>
        <v>0</v>
      </c>
      <c r="R844" s="446" t="s">
        <v>28</v>
      </c>
      <c r="S844" s="388">
        <f>L844-M844-N844-O844-P844-Q844</f>
        <v>-4.7293724492192268E-11</v>
      </c>
      <c r="T844" s="393"/>
      <c r="U844" s="423"/>
      <c r="V844" s="390"/>
      <c r="Y844" s="419">
        <f t="shared" si="99"/>
        <v>1499970.67</v>
      </c>
      <c r="Z844" s="419"/>
    </row>
    <row r="845" spans="1:26" s="403" customFormat="1" ht="58.5" hidden="1" customHeight="1">
      <c r="A845" s="1113" t="s">
        <v>92</v>
      </c>
      <c r="B845" s="1113"/>
      <c r="C845" s="1113"/>
      <c r="D845" s="1113"/>
      <c r="E845" s="1113"/>
      <c r="F845" s="1113"/>
      <c r="G845" s="1113"/>
      <c r="H845" s="1113"/>
      <c r="I845" s="1113"/>
      <c r="J845" s="1113"/>
      <c r="K845" s="1113"/>
      <c r="L845" s="1113"/>
      <c r="M845" s="1113"/>
      <c r="N845" s="1113"/>
      <c r="O845" s="1113"/>
      <c r="P845" s="1113"/>
      <c r="Q845" s="1113"/>
      <c r="R845" s="1113"/>
      <c r="T845" s="393"/>
      <c r="U845" s="404"/>
      <c r="V845" s="390"/>
      <c r="Y845" s="419">
        <f t="shared" si="99"/>
        <v>0</v>
      </c>
      <c r="Z845" s="419"/>
    </row>
    <row r="846" spans="1:26" s="424" customFormat="1" ht="37.5" hidden="1" customHeight="1">
      <c r="A846" s="682">
        <v>1</v>
      </c>
      <c r="B846" s="424" t="s">
        <v>1004</v>
      </c>
      <c r="C846" s="648" t="s">
        <v>222</v>
      </c>
      <c r="D846" s="681">
        <v>1212.8955999999998</v>
      </c>
      <c r="E846" s="646">
        <v>433.18</v>
      </c>
      <c r="F846" s="646" t="s">
        <v>223</v>
      </c>
      <c r="G846" s="646">
        <v>639.37</v>
      </c>
      <c r="H846" s="648">
        <v>2</v>
      </c>
      <c r="I846" s="648">
        <v>2</v>
      </c>
      <c r="J846" s="648">
        <v>2</v>
      </c>
      <c r="K846" s="682" t="s">
        <v>33</v>
      </c>
      <c r="L846" s="645">
        <f>M846+N846+O846+P846+Q846</f>
        <v>1385329.94</v>
      </c>
      <c r="M846" s="645">
        <v>1345568.74</v>
      </c>
      <c r="N846" s="646">
        <v>39761.199999999997</v>
      </c>
      <c r="O846" s="647"/>
      <c r="P846" s="646"/>
      <c r="Q846" s="388"/>
      <c r="R846" s="648">
        <f>M846/G846</f>
        <v>2104.5227958771916</v>
      </c>
      <c r="U846" s="426"/>
      <c r="V846" s="390"/>
      <c r="Y846" s="419">
        <f t="shared" si="99"/>
        <v>1385329.94</v>
      </c>
      <c r="Z846" s="419"/>
    </row>
    <row r="847" spans="1:26" s="424" customFormat="1" ht="37.5" hidden="1" customHeight="1">
      <c r="A847" s="682">
        <v>2</v>
      </c>
      <c r="B847" s="424" t="s">
        <v>1005</v>
      </c>
      <c r="C847" s="648" t="s">
        <v>222</v>
      </c>
      <c r="D847" s="681">
        <v>2081.8226</v>
      </c>
      <c r="E847" s="646">
        <v>500.7</v>
      </c>
      <c r="F847" s="646" t="s">
        <v>223</v>
      </c>
      <c r="G847" s="644">
        <v>936</v>
      </c>
      <c r="H847" s="648">
        <v>2</v>
      </c>
      <c r="I847" s="648">
        <v>3</v>
      </c>
      <c r="J847" s="648">
        <v>24</v>
      </c>
      <c r="K847" s="682" t="s">
        <v>33</v>
      </c>
      <c r="L847" s="645">
        <f>M847+N847+O847+P847+Q847</f>
        <v>2263513.84</v>
      </c>
      <c r="M847" s="645">
        <v>2233858.86</v>
      </c>
      <c r="N847" s="646">
        <v>29654.98</v>
      </c>
      <c r="O847" s="647"/>
      <c r="P847" s="646"/>
      <c r="Q847" s="388"/>
      <c r="R847" s="648">
        <f>M847/G847</f>
        <v>2386.601346153846</v>
      </c>
      <c r="U847" s="426"/>
      <c r="V847" s="390"/>
      <c r="Y847" s="419">
        <f t="shared" si="99"/>
        <v>2263513.84</v>
      </c>
      <c r="Z847" s="419"/>
    </row>
    <row r="848" spans="1:26" s="424" customFormat="1" ht="37.5" hidden="1" customHeight="1">
      <c r="A848" s="682">
        <v>3</v>
      </c>
      <c r="B848" s="424" t="s">
        <v>3398</v>
      </c>
      <c r="C848" s="648" t="s">
        <v>222</v>
      </c>
      <c r="D848" s="681">
        <v>1840.3424</v>
      </c>
      <c r="E848" s="646">
        <v>707.82</v>
      </c>
      <c r="F848" s="646" t="s">
        <v>223</v>
      </c>
      <c r="G848" s="644">
        <v>624</v>
      </c>
      <c r="H848" s="648">
        <v>2</v>
      </c>
      <c r="I848" s="648">
        <v>2</v>
      </c>
      <c r="J848" s="648">
        <v>16</v>
      </c>
      <c r="K848" s="682" t="s">
        <v>33</v>
      </c>
      <c r="L848" s="645">
        <f>M848+N848+O848+P848+Q848</f>
        <v>1582319.99</v>
      </c>
      <c r="M848" s="645">
        <v>1558439.99</v>
      </c>
      <c r="N848" s="646">
        <v>23880</v>
      </c>
      <c r="O848" s="647"/>
      <c r="P848" s="646"/>
      <c r="Q848" s="388"/>
      <c r="R848" s="648">
        <f>M848/G848</f>
        <v>2497.4999839743591</v>
      </c>
      <c r="U848" s="426"/>
      <c r="V848" s="390"/>
      <c r="Y848" s="419">
        <f t="shared" si="99"/>
        <v>1582319.99</v>
      </c>
      <c r="Z848" s="419"/>
    </row>
    <row r="849" spans="1:26" s="403" customFormat="1" ht="58.5" hidden="1" customHeight="1">
      <c r="A849" s="1112" t="s">
        <v>123</v>
      </c>
      <c r="B849" s="1112"/>
      <c r="C849" s="455" t="s">
        <v>28</v>
      </c>
      <c r="D849" s="641">
        <f>SUM(D846:D848)</f>
        <v>5135.0605999999998</v>
      </c>
      <c r="E849" s="388">
        <f>SUM(E846:E848)</f>
        <v>1641.7</v>
      </c>
      <c r="F849" s="388" t="s">
        <v>28</v>
      </c>
      <c r="G849" s="388">
        <f>SUM(G846:G848)</f>
        <v>2199.37</v>
      </c>
      <c r="H849" s="446" t="s">
        <v>28</v>
      </c>
      <c r="I849" s="446" t="s">
        <v>28</v>
      </c>
      <c r="J849" s="446">
        <f>SUM(J846:J848)</f>
        <v>42</v>
      </c>
      <c r="K849" s="458" t="s">
        <v>28</v>
      </c>
      <c r="L849" s="519">
        <f>SUM(L846:L848)</f>
        <v>5231163.7699999996</v>
      </c>
      <c r="M849" s="519">
        <f>SUM(M846:M848)</f>
        <v>5137867.59</v>
      </c>
      <c r="N849" s="388">
        <f>SUM(N846:N848)</f>
        <v>93296.18</v>
      </c>
      <c r="O849" s="473"/>
      <c r="P849" s="388"/>
      <c r="Q849" s="388">
        <f>SUM(Q846:Q848)</f>
        <v>0</v>
      </c>
      <c r="R849" s="446" t="s">
        <v>28</v>
      </c>
      <c r="S849" s="388">
        <f>L849-M849-N849-O849-P849-Q849</f>
        <v>-2.9103830456733704E-10</v>
      </c>
      <c r="T849" s="393"/>
      <c r="U849" s="423"/>
      <c r="V849" s="390"/>
      <c r="Y849" s="419">
        <f t="shared" si="99"/>
        <v>5231163.7699999996</v>
      </c>
      <c r="Z849" s="419"/>
    </row>
    <row r="850" spans="1:26" s="403" customFormat="1" ht="58.5" hidden="1" customHeight="1">
      <c r="A850" s="1113" t="s">
        <v>69</v>
      </c>
      <c r="B850" s="1113"/>
      <c r="C850" s="1113"/>
      <c r="D850" s="1113"/>
      <c r="E850" s="1113"/>
      <c r="F850" s="1113"/>
      <c r="G850" s="1113"/>
      <c r="H850" s="1113"/>
      <c r="I850" s="1113"/>
      <c r="J850" s="1113"/>
      <c r="K850" s="1113"/>
      <c r="L850" s="1113"/>
      <c r="M850" s="1113"/>
      <c r="N850" s="1113"/>
      <c r="O850" s="1113"/>
      <c r="P850" s="1113"/>
      <c r="Q850" s="1113"/>
      <c r="R850" s="1113"/>
      <c r="T850" s="393"/>
      <c r="U850" s="404"/>
      <c r="V850" s="390"/>
      <c r="Y850" s="419">
        <f t="shared" si="99"/>
        <v>0</v>
      </c>
      <c r="Z850" s="419"/>
    </row>
    <row r="851" spans="1:26" s="403" customFormat="1" ht="37.5" hidden="1" customHeight="1">
      <c r="A851" s="458">
        <v>1</v>
      </c>
      <c r="B851" s="403" t="s">
        <v>1006</v>
      </c>
      <c r="C851" s="455" t="s">
        <v>222</v>
      </c>
      <c r="D851" s="641">
        <v>4653</v>
      </c>
      <c r="E851" s="388">
        <v>293</v>
      </c>
      <c r="F851" s="388" t="s">
        <v>223</v>
      </c>
      <c r="G851" s="388">
        <v>945</v>
      </c>
      <c r="H851" s="446">
        <v>2</v>
      </c>
      <c r="I851" s="446">
        <v>3</v>
      </c>
      <c r="J851" s="446">
        <v>22</v>
      </c>
      <c r="K851" s="397" t="s">
        <v>33</v>
      </c>
      <c r="L851" s="519">
        <f>M851+N851+O851+Q851</f>
        <v>1814624.28</v>
      </c>
      <c r="M851" s="519">
        <f>1627465.78+162746.18</f>
        <v>1790211.96</v>
      </c>
      <c r="N851" s="646">
        <v>24412.32</v>
      </c>
      <c r="O851" s="473"/>
      <c r="P851" s="388"/>
      <c r="Q851" s="388"/>
      <c r="R851" s="648">
        <f>M851/G851</f>
        <v>1894.4041904761905</v>
      </c>
      <c r="T851" s="393"/>
      <c r="U851" s="404"/>
      <c r="V851" s="390"/>
      <c r="Y851" s="419">
        <f t="shared" si="99"/>
        <v>1814624.28</v>
      </c>
      <c r="Z851" s="419"/>
    </row>
    <row r="852" spans="1:26" s="403" customFormat="1" ht="37.5" hidden="1" customHeight="1">
      <c r="A852" s="458">
        <f>A851+1</f>
        <v>2</v>
      </c>
      <c r="B852" s="403" t="s">
        <v>3509</v>
      </c>
      <c r="C852" s="455" t="s">
        <v>222</v>
      </c>
      <c r="D852" s="641">
        <v>2853</v>
      </c>
      <c r="E852" s="388">
        <v>289</v>
      </c>
      <c r="F852" s="388" t="s">
        <v>223</v>
      </c>
      <c r="G852" s="388">
        <v>666</v>
      </c>
      <c r="H852" s="446">
        <v>2</v>
      </c>
      <c r="I852" s="446">
        <v>2</v>
      </c>
      <c r="J852" s="446">
        <v>16</v>
      </c>
      <c r="K852" s="397" t="s">
        <v>33</v>
      </c>
      <c r="L852" s="519">
        <f>M852+N852+O852+Q852</f>
        <v>1515873.05</v>
      </c>
      <c r="M852" s="519">
        <v>1485992.05</v>
      </c>
      <c r="N852" s="646">
        <v>29881</v>
      </c>
      <c r="O852" s="473"/>
      <c r="P852" s="388"/>
      <c r="Q852" s="388"/>
      <c r="R852" s="648">
        <v>2500</v>
      </c>
      <c r="T852" s="393"/>
      <c r="U852" s="404"/>
      <c r="V852" s="390"/>
      <c r="Y852" s="419">
        <f t="shared" si="99"/>
        <v>1515873.05</v>
      </c>
      <c r="Z852" s="419"/>
    </row>
    <row r="853" spans="1:26" s="403" customFormat="1" ht="75" hidden="1" customHeight="1">
      <c r="A853" s="458">
        <f>A852+1</f>
        <v>3</v>
      </c>
      <c r="B853" s="403" t="s">
        <v>1976</v>
      </c>
      <c r="C853" s="455" t="s">
        <v>222</v>
      </c>
      <c r="D853" s="641">
        <v>4613</v>
      </c>
      <c r="E853" s="388">
        <v>345</v>
      </c>
      <c r="F853" s="388" t="s">
        <v>223</v>
      </c>
      <c r="G853" s="388">
        <v>860</v>
      </c>
      <c r="H853" s="446">
        <v>2</v>
      </c>
      <c r="I853" s="446">
        <v>1</v>
      </c>
      <c r="J853" s="446">
        <v>32</v>
      </c>
      <c r="K853" s="397" t="s">
        <v>418</v>
      </c>
      <c r="L853" s="519">
        <f>M853+N853+O853+Q853</f>
        <v>315082.42000000004</v>
      </c>
      <c r="M853" s="519">
        <v>303223.21000000002</v>
      </c>
      <c r="N853" s="646"/>
      <c r="O853" s="473">
        <v>785.07</v>
      </c>
      <c r="P853" s="388"/>
      <c r="Q853" s="388">
        <v>11074.14</v>
      </c>
      <c r="R853" s="648">
        <f>M853/J853</f>
        <v>9475.7253125000007</v>
      </c>
      <c r="T853" s="393"/>
      <c r="U853" s="404"/>
      <c r="V853" s="390"/>
      <c r="Y853" s="419">
        <f t="shared" si="99"/>
        <v>315082.42000000004</v>
      </c>
      <c r="Z853" s="419"/>
    </row>
    <row r="854" spans="1:26" s="403" customFormat="1" ht="75" hidden="1" customHeight="1">
      <c r="A854" s="458">
        <f>A853+1</f>
        <v>4</v>
      </c>
      <c r="B854" s="403" t="s">
        <v>1977</v>
      </c>
      <c r="C854" s="455" t="s">
        <v>222</v>
      </c>
      <c r="D854" s="641">
        <v>2923</v>
      </c>
      <c r="E854" s="388">
        <v>295</v>
      </c>
      <c r="F854" s="388" t="s">
        <v>223</v>
      </c>
      <c r="G854" s="388">
        <v>670</v>
      </c>
      <c r="H854" s="446">
        <v>2</v>
      </c>
      <c r="I854" s="446">
        <v>2</v>
      </c>
      <c r="J854" s="446">
        <v>16</v>
      </c>
      <c r="K854" s="397" t="s">
        <v>418</v>
      </c>
      <c r="L854" s="519">
        <f>M854+N854+O854+Q854</f>
        <v>301708.83</v>
      </c>
      <c r="M854" s="519">
        <v>294561.03000000003</v>
      </c>
      <c r="N854" s="646"/>
      <c r="O854" s="473">
        <v>688.05</v>
      </c>
      <c r="P854" s="388"/>
      <c r="Q854" s="388">
        <v>6459.75</v>
      </c>
      <c r="R854" s="648">
        <f>M854/J854</f>
        <v>18410.064375000002</v>
      </c>
      <c r="T854" s="393"/>
      <c r="U854" s="404"/>
      <c r="V854" s="390"/>
      <c r="Y854" s="419">
        <f t="shared" si="99"/>
        <v>301708.83</v>
      </c>
      <c r="Z854" s="419"/>
    </row>
    <row r="855" spans="1:26" s="403" customFormat="1" ht="58.5" hidden="1" customHeight="1">
      <c r="A855" s="1112" t="s">
        <v>70</v>
      </c>
      <c r="B855" s="1112"/>
      <c r="C855" s="455" t="s">
        <v>28</v>
      </c>
      <c r="D855" s="641">
        <f>SUM(D851:D854)</f>
        <v>15042</v>
      </c>
      <c r="E855" s="388">
        <f>SUM(E851:E854)</f>
        <v>1222</v>
      </c>
      <c r="F855" s="388" t="s">
        <v>28</v>
      </c>
      <c r="G855" s="388">
        <f>SUM(G851:G854)</f>
        <v>3141</v>
      </c>
      <c r="H855" s="446" t="s">
        <v>28</v>
      </c>
      <c r="I855" s="446" t="s">
        <v>28</v>
      </c>
      <c r="J855" s="446">
        <f>SUM(J851:J854)</f>
        <v>86</v>
      </c>
      <c r="K855" s="458" t="s">
        <v>28</v>
      </c>
      <c r="L855" s="519">
        <f t="shared" ref="L855:Q855" si="100">SUM(L851:L854)</f>
        <v>3947288.58</v>
      </c>
      <c r="M855" s="519">
        <f t="shared" si="100"/>
        <v>3873988.25</v>
      </c>
      <c r="N855" s="388">
        <f t="shared" si="100"/>
        <v>54293.32</v>
      </c>
      <c r="O855" s="473">
        <f t="shared" si="100"/>
        <v>1473.12</v>
      </c>
      <c r="P855" s="388">
        <f t="shared" si="100"/>
        <v>0</v>
      </c>
      <c r="Q855" s="388">
        <f t="shared" si="100"/>
        <v>17533.89</v>
      </c>
      <c r="R855" s="446" t="s">
        <v>28</v>
      </c>
      <c r="S855" s="388">
        <f>L855-M855-N855-O855-P855-Q855</f>
        <v>7.6397554948925972E-11</v>
      </c>
      <c r="T855" s="393"/>
      <c r="U855" s="423"/>
      <c r="V855" s="390"/>
      <c r="Y855" s="419">
        <f t="shared" si="99"/>
        <v>3947288.58</v>
      </c>
      <c r="Z855" s="419"/>
    </row>
    <row r="856" spans="1:26" s="403" customFormat="1" ht="58.5" hidden="1" customHeight="1">
      <c r="A856" s="1113" t="s">
        <v>71</v>
      </c>
      <c r="B856" s="1113"/>
      <c r="C856" s="1113"/>
      <c r="D856" s="1113"/>
      <c r="E856" s="1113"/>
      <c r="F856" s="1113"/>
      <c r="G856" s="1113"/>
      <c r="H856" s="1113"/>
      <c r="I856" s="1113"/>
      <c r="J856" s="1113"/>
      <c r="K856" s="1113"/>
      <c r="L856" s="1113"/>
      <c r="M856" s="1113"/>
      <c r="N856" s="1113"/>
      <c r="O856" s="1113"/>
      <c r="P856" s="1113"/>
      <c r="Q856" s="1113"/>
      <c r="R856" s="1113"/>
      <c r="T856" s="393"/>
      <c r="U856" s="404"/>
      <c r="V856" s="390"/>
      <c r="Y856" s="419">
        <f t="shared" si="99"/>
        <v>0</v>
      </c>
      <c r="Z856" s="419"/>
    </row>
    <row r="857" spans="1:26" s="420" customFormat="1" ht="37.5" hidden="1" customHeight="1">
      <c r="A857" s="500">
        <v>1</v>
      </c>
      <c r="B857" s="403" t="s">
        <v>1007</v>
      </c>
      <c r="C857" s="648" t="s">
        <v>222</v>
      </c>
      <c r="D857" s="606">
        <v>2858</v>
      </c>
      <c r="E857" s="391">
        <v>586</v>
      </c>
      <c r="F857" s="646" t="s">
        <v>223</v>
      </c>
      <c r="G857" s="391">
        <v>676</v>
      </c>
      <c r="H857" s="528">
        <v>2</v>
      </c>
      <c r="I857" s="528">
        <v>2</v>
      </c>
      <c r="J857" s="528">
        <v>16</v>
      </c>
      <c r="K857" s="458" t="s">
        <v>225</v>
      </c>
      <c r="L857" s="645">
        <f t="shared" ref="L857:L871" si="101">M857+N857+O857+P857+Q857</f>
        <v>221689.84000000003</v>
      </c>
      <c r="M857" s="652">
        <v>200038.64</v>
      </c>
      <c r="N857" s="646">
        <v>21651.200000000001</v>
      </c>
      <c r="O857" s="647"/>
      <c r="P857" s="646"/>
      <c r="Q857" s="388"/>
      <c r="R857" s="648">
        <f t="shared" ref="R857:R870" si="102">M857/J857</f>
        <v>12502.415000000001</v>
      </c>
      <c r="U857" s="405"/>
      <c r="V857" s="390"/>
      <c r="Y857" s="419">
        <f t="shared" si="99"/>
        <v>221689.84000000003</v>
      </c>
      <c r="Z857" s="419"/>
    </row>
    <row r="858" spans="1:26" s="420" customFormat="1" ht="37.5" hidden="1" customHeight="1">
      <c r="A858" s="500">
        <f t="shared" ref="A858:A871" si="103">A857+1</f>
        <v>2</v>
      </c>
      <c r="B858" s="403" t="s">
        <v>1008</v>
      </c>
      <c r="C858" s="455" t="s">
        <v>218</v>
      </c>
      <c r="D858" s="606">
        <v>3160</v>
      </c>
      <c r="E858" s="391">
        <v>670</v>
      </c>
      <c r="F858" s="646" t="s">
        <v>223</v>
      </c>
      <c r="G858" s="391">
        <v>702</v>
      </c>
      <c r="H858" s="528">
        <v>2</v>
      </c>
      <c r="I858" s="528">
        <v>3</v>
      </c>
      <c r="J858" s="528">
        <v>18</v>
      </c>
      <c r="K858" s="458" t="s">
        <v>225</v>
      </c>
      <c r="L858" s="645">
        <f t="shared" si="101"/>
        <v>286760.43000000005</v>
      </c>
      <c r="M858" s="652">
        <v>265447.53000000003</v>
      </c>
      <c r="N858" s="646">
        <v>21312.9</v>
      </c>
      <c r="O858" s="647"/>
      <c r="P858" s="646"/>
      <c r="Q858" s="388"/>
      <c r="R858" s="648">
        <f t="shared" si="102"/>
        <v>14747.085000000001</v>
      </c>
      <c r="U858" s="405"/>
      <c r="V858" s="390"/>
      <c r="Y858" s="419">
        <f t="shared" si="99"/>
        <v>286760.43000000005</v>
      </c>
      <c r="Z858" s="419"/>
    </row>
    <row r="859" spans="1:26" s="420" customFormat="1" ht="56.25" hidden="1" customHeight="1">
      <c r="A859" s="500">
        <f t="shared" si="103"/>
        <v>3</v>
      </c>
      <c r="B859" s="403" t="s">
        <v>1009</v>
      </c>
      <c r="C859" s="648" t="s">
        <v>222</v>
      </c>
      <c r="D859" s="606">
        <v>2528</v>
      </c>
      <c r="E859" s="391">
        <v>2528</v>
      </c>
      <c r="F859" s="391" t="s">
        <v>231</v>
      </c>
      <c r="G859" s="391">
        <v>567</v>
      </c>
      <c r="H859" s="528">
        <v>2</v>
      </c>
      <c r="I859" s="528">
        <v>2</v>
      </c>
      <c r="J859" s="528">
        <v>16</v>
      </c>
      <c r="K859" s="458" t="s">
        <v>30</v>
      </c>
      <c r="L859" s="519">
        <f t="shared" si="101"/>
        <v>299950.49</v>
      </c>
      <c r="M859" s="396">
        <v>298995.28999999998</v>
      </c>
      <c r="N859" s="391"/>
      <c r="O859" s="643">
        <v>955.2</v>
      </c>
      <c r="P859" s="391"/>
      <c r="Q859" s="388"/>
      <c r="R859" s="446">
        <f t="shared" si="102"/>
        <v>18687.205624999999</v>
      </c>
      <c r="U859" s="405"/>
      <c r="V859" s="390"/>
      <c r="Y859" s="419">
        <f t="shared" si="99"/>
        <v>299950.49</v>
      </c>
      <c r="Z859" s="419"/>
    </row>
    <row r="860" spans="1:26" s="420" customFormat="1" ht="56.25" hidden="1" customHeight="1">
      <c r="A860" s="500">
        <f t="shared" si="103"/>
        <v>4</v>
      </c>
      <c r="B860" s="403" t="s">
        <v>1010</v>
      </c>
      <c r="C860" s="648" t="s">
        <v>222</v>
      </c>
      <c r="D860" s="606">
        <v>2582</v>
      </c>
      <c r="E860" s="391">
        <v>488</v>
      </c>
      <c r="F860" s="646" t="s">
        <v>223</v>
      </c>
      <c r="G860" s="391">
        <v>558</v>
      </c>
      <c r="H860" s="528">
        <v>2</v>
      </c>
      <c r="I860" s="528">
        <v>2</v>
      </c>
      <c r="J860" s="528">
        <v>12</v>
      </c>
      <c r="K860" s="458" t="s">
        <v>30</v>
      </c>
      <c r="L860" s="519">
        <f t="shared" si="101"/>
        <v>208618.08</v>
      </c>
      <c r="M860" s="396">
        <v>207901.68</v>
      </c>
      <c r="N860" s="391"/>
      <c r="O860" s="643">
        <v>716.4</v>
      </c>
      <c r="P860" s="391"/>
      <c r="Q860" s="388"/>
      <c r="R860" s="446">
        <f t="shared" si="102"/>
        <v>17325.14</v>
      </c>
      <c r="U860" s="405"/>
      <c r="V860" s="390"/>
      <c r="Y860" s="419">
        <f t="shared" si="99"/>
        <v>208618.08</v>
      </c>
      <c r="Z860" s="419"/>
    </row>
    <row r="861" spans="1:26" s="420" customFormat="1" ht="56.25" hidden="1" customHeight="1">
      <c r="A861" s="500">
        <f t="shared" si="103"/>
        <v>5</v>
      </c>
      <c r="B861" s="403" t="s">
        <v>1011</v>
      </c>
      <c r="C861" s="648" t="s">
        <v>222</v>
      </c>
      <c r="D861" s="606">
        <v>2974</v>
      </c>
      <c r="E861" s="391">
        <v>3113</v>
      </c>
      <c r="F861" s="646" t="s">
        <v>223</v>
      </c>
      <c r="G861" s="391">
        <v>710</v>
      </c>
      <c r="H861" s="528">
        <v>2</v>
      </c>
      <c r="I861" s="528">
        <v>2</v>
      </c>
      <c r="J861" s="528">
        <v>16</v>
      </c>
      <c r="K861" s="458" t="s">
        <v>30</v>
      </c>
      <c r="L861" s="519">
        <f t="shared" si="101"/>
        <v>255676.47</v>
      </c>
      <c r="M861" s="396">
        <v>254721.27</v>
      </c>
      <c r="N861" s="391"/>
      <c r="O861" s="643">
        <v>955.2</v>
      </c>
      <c r="P861" s="391"/>
      <c r="Q861" s="388"/>
      <c r="R861" s="446">
        <f t="shared" si="102"/>
        <v>15920.079374999999</v>
      </c>
      <c r="U861" s="405"/>
      <c r="V861" s="390"/>
      <c r="Y861" s="419">
        <f t="shared" si="99"/>
        <v>255676.47</v>
      </c>
      <c r="Z861" s="419"/>
    </row>
    <row r="862" spans="1:26" s="420" customFormat="1" ht="56.25" hidden="1" customHeight="1">
      <c r="A862" s="500">
        <f t="shared" si="103"/>
        <v>6</v>
      </c>
      <c r="B862" s="403" t="s">
        <v>1012</v>
      </c>
      <c r="C862" s="648" t="s">
        <v>222</v>
      </c>
      <c r="D862" s="606">
        <v>2992</v>
      </c>
      <c r="E862" s="391">
        <v>2992</v>
      </c>
      <c r="F862" s="646" t="s">
        <v>223</v>
      </c>
      <c r="G862" s="391">
        <v>683</v>
      </c>
      <c r="H862" s="528">
        <v>2</v>
      </c>
      <c r="I862" s="528">
        <v>2</v>
      </c>
      <c r="J862" s="528">
        <v>16</v>
      </c>
      <c r="K862" s="458" t="s">
        <v>30</v>
      </c>
      <c r="L862" s="519">
        <f t="shared" si="101"/>
        <v>154456.38</v>
      </c>
      <c r="M862" s="529">
        <v>153501.18</v>
      </c>
      <c r="N862" s="391"/>
      <c r="O862" s="643">
        <v>955.2</v>
      </c>
      <c r="P862" s="391"/>
      <c r="Q862" s="388"/>
      <c r="R862" s="446">
        <f t="shared" si="102"/>
        <v>9593.8237499999996</v>
      </c>
      <c r="U862" s="405"/>
      <c r="V862" s="390"/>
      <c r="Y862" s="419">
        <f t="shared" si="99"/>
        <v>154456.38</v>
      </c>
      <c r="Z862" s="419"/>
    </row>
    <row r="863" spans="1:26" s="420" customFormat="1" ht="56.25" hidden="1" customHeight="1">
      <c r="A863" s="500">
        <f t="shared" si="103"/>
        <v>7</v>
      </c>
      <c r="B863" s="403" t="s">
        <v>1013</v>
      </c>
      <c r="C863" s="648" t="s">
        <v>222</v>
      </c>
      <c r="D863" s="606">
        <v>3541</v>
      </c>
      <c r="E863" s="391">
        <v>726</v>
      </c>
      <c r="F863" s="646" t="s">
        <v>223</v>
      </c>
      <c r="G863" s="391">
        <v>845</v>
      </c>
      <c r="H863" s="528">
        <v>2</v>
      </c>
      <c r="I863" s="528">
        <v>3</v>
      </c>
      <c r="J863" s="528">
        <v>22</v>
      </c>
      <c r="K863" s="458" t="s">
        <v>30</v>
      </c>
      <c r="L863" s="519">
        <f t="shared" si="101"/>
        <v>213424.39</v>
      </c>
      <c r="M863" s="529">
        <v>212110.99000000002</v>
      </c>
      <c r="N863" s="391"/>
      <c r="O863" s="643">
        <v>1313.4</v>
      </c>
      <c r="P863" s="391"/>
      <c r="Q863" s="388"/>
      <c r="R863" s="446">
        <f t="shared" si="102"/>
        <v>9641.4086363636379</v>
      </c>
      <c r="U863" s="405"/>
      <c r="V863" s="390"/>
      <c r="Y863" s="419">
        <f t="shared" si="99"/>
        <v>213424.39</v>
      </c>
      <c r="Z863" s="419"/>
    </row>
    <row r="864" spans="1:26" s="420" customFormat="1" ht="56.25" hidden="1" customHeight="1">
      <c r="A864" s="500">
        <f t="shared" si="103"/>
        <v>8</v>
      </c>
      <c r="B864" s="403" t="s">
        <v>1014</v>
      </c>
      <c r="C864" s="648" t="s">
        <v>222</v>
      </c>
      <c r="D864" s="606">
        <v>3887</v>
      </c>
      <c r="E864" s="391">
        <v>698</v>
      </c>
      <c r="F864" s="391" t="s">
        <v>231</v>
      </c>
      <c r="G864" s="391">
        <v>936</v>
      </c>
      <c r="H864" s="528">
        <v>2</v>
      </c>
      <c r="I864" s="528">
        <v>2</v>
      </c>
      <c r="J864" s="528">
        <v>16</v>
      </c>
      <c r="K864" s="458" t="s">
        <v>30</v>
      </c>
      <c r="L864" s="519">
        <f t="shared" si="101"/>
        <v>209431.6</v>
      </c>
      <c r="M864" s="529">
        <v>208476.4</v>
      </c>
      <c r="N864" s="391"/>
      <c r="O864" s="643">
        <v>955.2</v>
      </c>
      <c r="P864" s="391"/>
      <c r="Q864" s="388"/>
      <c r="R864" s="446">
        <f t="shared" si="102"/>
        <v>13029.775</v>
      </c>
      <c r="U864" s="405"/>
      <c r="V864" s="390"/>
      <c r="Y864" s="419">
        <f t="shared" si="99"/>
        <v>209431.6</v>
      </c>
      <c r="Z864" s="419"/>
    </row>
    <row r="865" spans="1:26" s="420" customFormat="1" ht="56.25" hidden="1" customHeight="1">
      <c r="A865" s="500">
        <f t="shared" si="103"/>
        <v>9</v>
      </c>
      <c r="B865" s="403" t="s">
        <v>1015</v>
      </c>
      <c r="C865" s="648" t="s">
        <v>222</v>
      </c>
      <c r="D865" s="606">
        <v>5749</v>
      </c>
      <c r="E865" s="391">
        <v>5719</v>
      </c>
      <c r="F865" s="646" t="s">
        <v>223</v>
      </c>
      <c r="G865" s="391">
        <v>1304</v>
      </c>
      <c r="H865" s="528">
        <v>2</v>
      </c>
      <c r="I865" s="528">
        <v>3</v>
      </c>
      <c r="J865" s="528">
        <v>24</v>
      </c>
      <c r="K865" s="458" t="s">
        <v>30</v>
      </c>
      <c r="L865" s="519">
        <f t="shared" si="101"/>
        <v>460078.22</v>
      </c>
      <c r="M865" s="529">
        <v>458645.42</v>
      </c>
      <c r="N865" s="391"/>
      <c r="O865" s="643">
        <v>1432.8</v>
      </c>
      <c r="P865" s="391"/>
      <c r="Q865" s="388"/>
      <c r="R865" s="446">
        <f t="shared" si="102"/>
        <v>19110.225833333334</v>
      </c>
      <c r="U865" s="405"/>
      <c r="V865" s="390"/>
      <c r="Y865" s="419">
        <f t="shared" si="99"/>
        <v>460078.22</v>
      </c>
      <c r="Z865" s="419"/>
    </row>
    <row r="866" spans="1:26" s="420" customFormat="1" ht="56.25" hidden="1" customHeight="1">
      <c r="A866" s="500">
        <f t="shared" si="103"/>
        <v>10</v>
      </c>
      <c r="B866" s="403" t="s">
        <v>1016</v>
      </c>
      <c r="C866" s="648" t="s">
        <v>222</v>
      </c>
      <c r="D866" s="606">
        <v>3589</v>
      </c>
      <c r="E866" s="391">
        <v>3648</v>
      </c>
      <c r="F866" s="646" t="s">
        <v>223</v>
      </c>
      <c r="G866" s="391">
        <v>857</v>
      </c>
      <c r="H866" s="528">
        <v>2</v>
      </c>
      <c r="I866" s="528">
        <v>2</v>
      </c>
      <c r="J866" s="528">
        <v>16</v>
      </c>
      <c r="K866" s="458" t="s">
        <v>30</v>
      </c>
      <c r="L866" s="519">
        <f t="shared" si="101"/>
        <v>235939.87</v>
      </c>
      <c r="M866" s="529">
        <v>234984.66999999998</v>
      </c>
      <c r="N866" s="391"/>
      <c r="O866" s="643">
        <v>955.2</v>
      </c>
      <c r="P866" s="391"/>
      <c r="Q866" s="388"/>
      <c r="R866" s="446">
        <f t="shared" si="102"/>
        <v>14686.541874999999</v>
      </c>
      <c r="U866" s="405"/>
      <c r="V866" s="390"/>
      <c r="Y866" s="419">
        <f t="shared" si="99"/>
        <v>235939.87</v>
      </c>
      <c r="Z866" s="419"/>
    </row>
    <row r="867" spans="1:26" s="420" customFormat="1" ht="56.25" hidden="1" customHeight="1">
      <c r="A867" s="500">
        <f t="shared" si="103"/>
        <v>11</v>
      </c>
      <c r="B867" s="403" t="s">
        <v>1017</v>
      </c>
      <c r="C867" s="648" t="s">
        <v>222</v>
      </c>
      <c r="D867" s="606">
        <v>3891</v>
      </c>
      <c r="E867" s="391">
        <v>670</v>
      </c>
      <c r="F867" s="646" t="s">
        <v>223</v>
      </c>
      <c r="G867" s="391">
        <v>811</v>
      </c>
      <c r="H867" s="528">
        <v>2</v>
      </c>
      <c r="I867" s="528">
        <v>3</v>
      </c>
      <c r="J867" s="528">
        <v>18</v>
      </c>
      <c r="K867" s="458" t="s">
        <v>30</v>
      </c>
      <c r="L867" s="519">
        <f t="shared" si="101"/>
        <v>235312.59</v>
      </c>
      <c r="M867" s="529">
        <v>234237.99</v>
      </c>
      <c r="N867" s="391"/>
      <c r="O867" s="643">
        <v>1074.5999999999999</v>
      </c>
      <c r="P867" s="391"/>
      <c r="Q867" s="388"/>
      <c r="R867" s="446">
        <f t="shared" si="102"/>
        <v>13013.221666666666</v>
      </c>
      <c r="U867" s="405"/>
      <c r="V867" s="390"/>
      <c r="Y867" s="419">
        <f t="shared" si="99"/>
        <v>235312.59</v>
      </c>
      <c r="Z867" s="419"/>
    </row>
    <row r="868" spans="1:26" s="444" customFormat="1" ht="56.25" hidden="1" customHeight="1">
      <c r="A868" s="500">
        <f t="shared" si="103"/>
        <v>12</v>
      </c>
      <c r="B868" s="403" t="s">
        <v>1018</v>
      </c>
      <c r="C868" s="455" t="s">
        <v>380</v>
      </c>
      <c r="D868" s="606">
        <v>2921</v>
      </c>
      <c r="E868" s="391">
        <v>3038</v>
      </c>
      <c r="F868" s="388" t="s">
        <v>231</v>
      </c>
      <c r="G868" s="391">
        <v>692</v>
      </c>
      <c r="H868" s="528">
        <v>2</v>
      </c>
      <c r="I868" s="528">
        <v>2</v>
      </c>
      <c r="J868" s="528">
        <v>12</v>
      </c>
      <c r="K868" s="458" t="s">
        <v>30</v>
      </c>
      <c r="L868" s="519">
        <f t="shared" si="101"/>
        <v>238180.05</v>
      </c>
      <c r="M868" s="396">
        <v>237463.65</v>
      </c>
      <c r="N868" s="391"/>
      <c r="O868" s="643">
        <v>716.4</v>
      </c>
      <c r="P868" s="391"/>
      <c r="Q868" s="388"/>
      <c r="R868" s="446">
        <f t="shared" si="102"/>
        <v>19788.637500000001</v>
      </c>
      <c r="U868" s="445"/>
      <c r="V868" s="390"/>
      <c r="Y868" s="419">
        <f t="shared" si="99"/>
        <v>238180.05</v>
      </c>
      <c r="Z868" s="419"/>
    </row>
    <row r="869" spans="1:26" s="444" customFormat="1" ht="56.25" hidden="1" customHeight="1">
      <c r="A869" s="500">
        <f t="shared" si="103"/>
        <v>13</v>
      </c>
      <c r="B869" s="403" t="s">
        <v>1019</v>
      </c>
      <c r="C869" s="455" t="s">
        <v>380</v>
      </c>
      <c r="D869" s="606">
        <v>2811</v>
      </c>
      <c r="E869" s="391">
        <v>588</v>
      </c>
      <c r="F869" s="388" t="s">
        <v>231</v>
      </c>
      <c r="G869" s="391">
        <v>521</v>
      </c>
      <c r="H869" s="528">
        <v>2</v>
      </c>
      <c r="I869" s="528">
        <v>2</v>
      </c>
      <c r="J869" s="528">
        <v>16</v>
      </c>
      <c r="K869" s="458" t="s">
        <v>30</v>
      </c>
      <c r="L869" s="519">
        <f t="shared" si="101"/>
        <v>265948.64</v>
      </c>
      <c r="M869" s="396">
        <v>264993.44</v>
      </c>
      <c r="N869" s="391"/>
      <c r="O869" s="643">
        <v>955.2</v>
      </c>
      <c r="P869" s="391"/>
      <c r="Q869" s="388"/>
      <c r="R869" s="446">
        <f t="shared" si="102"/>
        <v>16562.09</v>
      </c>
      <c r="U869" s="445"/>
      <c r="V869" s="390"/>
      <c r="Y869" s="419">
        <f t="shared" si="99"/>
        <v>265948.64</v>
      </c>
      <c r="Z869" s="419"/>
    </row>
    <row r="870" spans="1:26" s="444" customFormat="1" ht="37.5" hidden="1" customHeight="1">
      <c r="A870" s="500">
        <f t="shared" si="103"/>
        <v>14</v>
      </c>
      <c r="B870" s="403" t="s">
        <v>1020</v>
      </c>
      <c r="C870" s="455" t="s">
        <v>380</v>
      </c>
      <c r="D870" s="606">
        <v>1228</v>
      </c>
      <c r="E870" s="391">
        <v>409.2</v>
      </c>
      <c r="F870" s="388" t="s">
        <v>231</v>
      </c>
      <c r="G870" s="391">
        <v>702</v>
      </c>
      <c r="H870" s="528">
        <v>2</v>
      </c>
      <c r="I870" s="528">
        <v>2</v>
      </c>
      <c r="J870" s="528">
        <v>16</v>
      </c>
      <c r="K870" s="458" t="s">
        <v>239</v>
      </c>
      <c r="L870" s="529">
        <f t="shared" si="101"/>
        <v>522974.81</v>
      </c>
      <c r="M870" s="396">
        <v>501482.81</v>
      </c>
      <c r="N870" s="388">
        <v>21492</v>
      </c>
      <c r="O870" s="530"/>
      <c r="P870" s="391"/>
      <c r="Q870" s="388"/>
      <c r="R870" s="528">
        <f t="shared" si="102"/>
        <v>31342.675625</v>
      </c>
      <c r="U870" s="445"/>
      <c r="V870" s="390"/>
      <c r="Y870" s="419">
        <f t="shared" si="99"/>
        <v>522974.81</v>
      </c>
      <c r="Z870" s="419"/>
    </row>
    <row r="871" spans="1:26" s="444" customFormat="1" ht="37.5" hidden="1" customHeight="1">
      <c r="A871" s="500">
        <f t="shared" si="103"/>
        <v>15</v>
      </c>
      <c r="B871" s="403" t="s">
        <v>1021</v>
      </c>
      <c r="C871" s="455" t="s">
        <v>380</v>
      </c>
      <c r="D871" s="606">
        <f>E871*3</f>
        <v>1194</v>
      </c>
      <c r="E871" s="391">
        <v>398</v>
      </c>
      <c r="F871" s="646" t="s">
        <v>223</v>
      </c>
      <c r="G871" s="391">
        <v>676</v>
      </c>
      <c r="H871" s="528">
        <v>2</v>
      </c>
      <c r="I871" s="528">
        <v>2</v>
      </c>
      <c r="J871" s="528">
        <v>16</v>
      </c>
      <c r="K871" s="458" t="s">
        <v>33</v>
      </c>
      <c r="L871" s="645">
        <f t="shared" si="101"/>
        <v>1311732.1199999999</v>
      </c>
      <c r="M871" s="645">
        <v>1274065.3999999999</v>
      </c>
      <c r="N871" s="646">
        <v>37666.720000000001</v>
      </c>
      <c r="O871" s="473"/>
      <c r="P871" s="388"/>
      <c r="Q871" s="388"/>
      <c r="R871" s="648">
        <f>M871/G871</f>
        <v>1884.7121301775146</v>
      </c>
      <c r="U871" s="445"/>
      <c r="V871" s="390"/>
      <c r="Y871" s="419">
        <f t="shared" si="99"/>
        <v>1311732.1199999999</v>
      </c>
      <c r="Z871" s="419"/>
    </row>
    <row r="872" spans="1:26" s="403" customFormat="1" ht="58.5" hidden="1" customHeight="1">
      <c r="A872" s="1112" t="s">
        <v>72</v>
      </c>
      <c r="B872" s="1112"/>
      <c r="C872" s="455" t="s">
        <v>28</v>
      </c>
      <c r="D872" s="641">
        <f>SUM(D857:D871)</f>
        <v>45905</v>
      </c>
      <c r="E872" s="388">
        <f>SUM(E857:E871)</f>
        <v>26271.200000000001</v>
      </c>
      <c r="F872" s="388" t="s">
        <v>28</v>
      </c>
      <c r="G872" s="388">
        <f>SUM(G857:G871)</f>
        <v>11240</v>
      </c>
      <c r="H872" s="446" t="s">
        <v>28</v>
      </c>
      <c r="I872" s="446" t="s">
        <v>28</v>
      </c>
      <c r="J872" s="446">
        <f>SUM(J857:J871)</f>
        <v>250</v>
      </c>
      <c r="K872" s="458" t="s">
        <v>28</v>
      </c>
      <c r="L872" s="519">
        <f>SUM(L857:L871)</f>
        <v>5120173.9800000004</v>
      </c>
      <c r="M872" s="519">
        <f>SUM(M857:M871)</f>
        <v>5007066.3599999994</v>
      </c>
      <c r="N872" s="388">
        <f>SUM(N857:N871)</f>
        <v>102122.82</v>
      </c>
      <c r="O872" s="473">
        <f>SUM(O857:O871)</f>
        <v>10984.800000000001</v>
      </c>
      <c r="P872" s="388"/>
      <c r="Q872" s="388">
        <f>SUM(Q857:Q871)</f>
        <v>0</v>
      </c>
      <c r="R872" s="446" t="s">
        <v>28</v>
      </c>
      <c r="S872" s="388">
        <f>L872-M872-N872-O872-P872-Q872</f>
        <v>1.0350049706175923E-9</v>
      </c>
      <c r="T872" s="393"/>
      <c r="U872" s="423"/>
      <c r="V872" s="390"/>
      <c r="Y872" s="419">
        <f t="shared" si="99"/>
        <v>5120173.9799999995</v>
      </c>
      <c r="Z872" s="419"/>
    </row>
    <row r="873" spans="1:26" s="403" customFormat="1" ht="58.5" hidden="1" customHeight="1">
      <c r="A873" s="1113" t="s">
        <v>124</v>
      </c>
      <c r="B873" s="1113"/>
      <c r="C873" s="1113"/>
      <c r="D873" s="1113"/>
      <c r="E873" s="1113"/>
      <c r="F873" s="1113"/>
      <c r="G873" s="1113"/>
      <c r="H873" s="1113"/>
      <c r="I873" s="1113"/>
      <c r="J873" s="1113"/>
      <c r="K873" s="1113"/>
      <c r="L873" s="1113"/>
      <c r="M873" s="1113"/>
      <c r="N873" s="1113"/>
      <c r="O873" s="1113"/>
      <c r="P873" s="1113"/>
      <c r="Q873" s="1113"/>
      <c r="R873" s="1113"/>
      <c r="T873" s="393"/>
      <c r="U873" s="404"/>
      <c r="V873" s="390"/>
      <c r="Y873" s="419">
        <f t="shared" si="99"/>
        <v>0</v>
      </c>
      <c r="Z873" s="419"/>
    </row>
    <row r="874" spans="1:26" s="403" customFormat="1" ht="37.5" hidden="1" customHeight="1">
      <c r="A874" s="458">
        <v>1</v>
      </c>
      <c r="B874" s="403" t="s">
        <v>1022</v>
      </c>
      <c r="C874" s="455" t="s">
        <v>222</v>
      </c>
      <c r="D874" s="641">
        <v>4626.6000000000004</v>
      </c>
      <c r="E874" s="388">
        <v>598.20000000000005</v>
      </c>
      <c r="F874" s="719" t="s">
        <v>223</v>
      </c>
      <c r="G874" s="719">
        <v>684</v>
      </c>
      <c r="H874" s="446">
        <v>2</v>
      </c>
      <c r="I874" s="446">
        <v>2</v>
      </c>
      <c r="J874" s="446">
        <v>16</v>
      </c>
      <c r="K874" s="458" t="s">
        <v>33</v>
      </c>
      <c r="L874" s="519">
        <f>M874+N874+O874+P874+Q874</f>
        <v>1297296.29</v>
      </c>
      <c r="M874" s="394">
        <v>1267659.22</v>
      </c>
      <c r="N874" s="388">
        <v>29637.07</v>
      </c>
      <c r="O874" s="473"/>
      <c r="P874" s="388"/>
      <c r="Q874" s="388"/>
      <c r="R874" s="446">
        <f>M874/G874</f>
        <v>1853.3029532163741</v>
      </c>
      <c r="T874" s="393"/>
      <c r="U874" s="404"/>
      <c r="V874" s="390"/>
      <c r="Y874" s="419">
        <f t="shared" si="99"/>
        <v>1297296.29</v>
      </c>
      <c r="Z874" s="419"/>
    </row>
    <row r="875" spans="1:26" s="403" customFormat="1" ht="58.5" hidden="1" customHeight="1">
      <c r="A875" s="1112" t="s">
        <v>125</v>
      </c>
      <c r="B875" s="1112"/>
      <c r="C875" s="455" t="s">
        <v>28</v>
      </c>
      <c r="D875" s="641">
        <f>SUM(D874)</f>
        <v>4626.6000000000004</v>
      </c>
      <c r="E875" s="388">
        <f>SUM(E874)</f>
        <v>598.20000000000005</v>
      </c>
      <c r="F875" s="388" t="s">
        <v>28</v>
      </c>
      <c r="G875" s="388">
        <f>SUM(G874)</f>
        <v>684</v>
      </c>
      <c r="H875" s="446" t="s">
        <v>28</v>
      </c>
      <c r="I875" s="446" t="s">
        <v>28</v>
      </c>
      <c r="J875" s="446">
        <f>SUM(J874)</f>
        <v>16</v>
      </c>
      <c r="K875" s="458" t="s">
        <v>28</v>
      </c>
      <c r="L875" s="519">
        <f>SUM(L874)</f>
        <v>1297296.29</v>
      </c>
      <c r="M875" s="519">
        <f>SUM(M874)</f>
        <v>1267659.22</v>
      </c>
      <c r="N875" s="388">
        <f>SUM(N874)</f>
        <v>29637.07</v>
      </c>
      <c r="O875" s="473"/>
      <c r="P875" s="388"/>
      <c r="Q875" s="388">
        <f>SUM(Q874)</f>
        <v>0</v>
      </c>
      <c r="R875" s="446" t="s">
        <v>28</v>
      </c>
      <c r="S875" s="388">
        <f>L875-M875-N875-O875-P875-Q875</f>
        <v>6.5483618527650833E-11</v>
      </c>
      <c r="T875" s="393"/>
      <c r="U875" s="423"/>
      <c r="V875" s="390"/>
      <c r="Y875" s="419">
        <f t="shared" si="99"/>
        <v>1297296.29</v>
      </c>
      <c r="Z875" s="419"/>
    </row>
    <row r="876" spans="1:26" s="403" customFormat="1" ht="58.5" hidden="1" customHeight="1">
      <c r="A876" s="1113" t="s">
        <v>74</v>
      </c>
      <c r="B876" s="1113"/>
      <c r="C876" s="1113"/>
      <c r="D876" s="1113"/>
      <c r="E876" s="1113"/>
      <c r="F876" s="1113"/>
      <c r="G876" s="1113"/>
      <c r="H876" s="1113"/>
      <c r="I876" s="1113"/>
      <c r="J876" s="1113"/>
      <c r="K876" s="1113"/>
      <c r="L876" s="1113"/>
      <c r="M876" s="1113"/>
      <c r="N876" s="1113"/>
      <c r="O876" s="1113"/>
      <c r="P876" s="1113"/>
      <c r="Q876" s="1113"/>
      <c r="R876" s="1113"/>
      <c r="T876" s="393"/>
      <c r="U876" s="404"/>
      <c r="V876" s="390"/>
      <c r="Y876" s="419">
        <f t="shared" si="99"/>
        <v>0</v>
      </c>
      <c r="Z876" s="419"/>
    </row>
    <row r="877" spans="1:26" s="403" customFormat="1" ht="37.5" hidden="1" customHeight="1">
      <c r="A877" s="458">
        <v>1</v>
      </c>
      <c r="B877" s="403" t="s">
        <v>1023</v>
      </c>
      <c r="C877" s="648" t="s">
        <v>222</v>
      </c>
      <c r="D877" s="641">
        <v>2604</v>
      </c>
      <c r="E877" s="388">
        <v>1041.5999999999999</v>
      </c>
      <c r="F877" s="719" t="s">
        <v>223</v>
      </c>
      <c r="G877" s="388">
        <v>1220</v>
      </c>
      <c r="H877" s="528">
        <v>2</v>
      </c>
      <c r="I877" s="528">
        <v>4</v>
      </c>
      <c r="J877" s="446">
        <v>24</v>
      </c>
      <c r="K877" s="458" t="s">
        <v>33</v>
      </c>
      <c r="L877" s="519">
        <f>M877+N877+O877+P877+Q877</f>
        <v>1608445.17</v>
      </c>
      <c r="M877" s="519">
        <v>1581483.65</v>
      </c>
      <c r="N877" s="388">
        <v>26961.52</v>
      </c>
      <c r="O877" s="473"/>
      <c r="P877" s="388"/>
      <c r="Q877" s="388"/>
      <c r="R877" s="446">
        <f>M877/G877</f>
        <v>1296.2980737704918</v>
      </c>
      <c r="T877" s="393"/>
      <c r="U877" s="404"/>
      <c r="V877" s="390"/>
      <c r="Y877" s="419">
        <f t="shared" si="99"/>
        <v>1608445.17</v>
      </c>
      <c r="Z877" s="419"/>
    </row>
    <row r="878" spans="1:26" s="403" customFormat="1" ht="58.5" hidden="1" customHeight="1">
      <c r="A878" s="1112" t="s">
        <v>126</v>
      </c>
      <c r="B878" s="1112"/>
      <c r="C878" s="455" t="s">
        <v>28</v>
      </c>
      <c r="D878" s="641">
        <f>SUM(D877)</f>
        <v>2604</v>
      </c>
      <c r="E878" s="388">
        <f>SUM(E877:E877)</f>
        <v>1041.5999999999999</v>
      </c>
      <c r="F878" s="388" t="s">
        <v>28</v>
      </c>
      <c r="G878" s="388">
        <f>SUM(G877:G877)</f>
        <v>1220</v>
      </c>
      <c r="H878" s="446" t="s">
        <v>28</v>
      </c>
      <c r="I878" s="446" t="s">
        <v>28</v>
      </c>
      <c r="J878" s="446">
        <f>SUM(J877:J877)</f>
        <v>24</v>
      </c>
      <c r="K878" s="458" t="s">
        <v>28</v>
      </c>
      <c r="L878" s="519">
        <f>SUM(L877:L877)</f>
        <v>1608445.17</v>
      </c>
      <c r="M878" s="519">
        <f>SUM(M877:M877)</f>
        <v>1581483.65</v>
      </c>
      <c r="N878" s="388">
        <f>SUM(N877:N877)</f>
        <v>26961.52</v>
      </c>
      <c r="O878" s="473"/>
      <c r="P878" s="388"/>
      <c r="Q878" s="388">
        <f>SUM(Q877:Q877)</f>
        <v>0</v>
      </c>
      <c r="R878" s="446" t="s">
        <v>28</v>
      </c>
      <c r="S878" s="388">
        <f>L878-M878-N878-O878-P878-Q878</f>
        <v>1.8189894035458565E-11</v>
      </c>
      <c r="T878" s="393"/>
      <c r="U878" s="423"/>
      <c r="V878" s="390"/>
      <c r="Y878" s="419">
        <f t="shared" si="99"/>
        <v>1608445.17</v>
      </c>
      <c r="Z878" s="419"/>
    </row>
    <row r="879" spans="1:26" s="403" customFormat="1" ht="58.5" hidden="1" customHeight="1">
      <c r="A879" s="1113" t="s">
        <v>75</v>
      </c>
      <c r="B879" s="1113"/>
      <c r="C879" s="1113"/>
      <c r="D879" s="1113"/>
      <c r="E879" s="1113"/>
      <c r="F879" s="1113"/>
      <c r="G879" s="1113"/>
      <c r="H879" s="1113"/>
      <c r="I879" s="1113"/>
      <c r="J879" s="1113"/>
      <c r="K879" s="1113"/>
      <c r="L879" s="1113"/>
      <c r="M879" s="1113"/>
      <c r="N879" s="1113"/>
      <c r="O879" s="1113"/>
      <c r="P879" s="1113"/>
      <c r="Q879" s="1113"/>
      <c r="R879" s="1113"/>
      <c r="T879" s="393"/>
      <c r="U879" s="404"/>
      <c r="V879" s="390"/>
      <c r="Y879" s="419">
        <f t="shared" si="99"/>
        <v>0</v>
      </c>
      <c r="Z879" s="419"/>
    </row>
    <row r="880" spans="1:26" s="420" customFormat="1" ht="75" hidden="1" customHeight="1">
      <c r="A880" s="458">
        <v>1</v>
      </c>
      <c r="B880" s="403" t="s">
        <v>1024</v>
      </c>
      <c r="C880" s="648" t="s">
        <v>222</v>
      </c>
      <c r="D880" s="606">
        <v>2464</v>
      </c>
      <c r="E880" s="391">
        <v>260.85000000000002</v>
      </c>
      <c r="F880" s="391" t="s">
        <v>223</v>
      </c>
      <c r="G880" s="391">
        <v>505</v>
      </c>
      <c r="H880" s="528">
        <v>2</v>
      </c>
      <c r="I880" s="528">
        <v>1</v>
      </c>
      <c r="J880" s="528">
        <v>8</v>
      </c>
      <c r="K880" s="458" t="s">
        <v>275</v>
      </c>
      <c r="L880" s="645">
        <f>M880+N880+O880+P880+Q880</f>
        <v>1427810.9400000002</v>
      </c>
      <c r="M880" s="652">
        <v>1399672.34</v>
      </c>
      <c r="N880" s="646">
        <v>28138.6</v>
      </c>
      <c r="O880" s="473"/>
      <c r="P880" s="388"/>
      <c r="Q880" s="388"/>
      <c r="R880" s="648">
        <f>M880/G880</f>
        <v>2771.628396039604</v>
      </c>
      <c r="U880" s="405"/>
      <c r="V880" s="390"/>
      <c r="Y880" s="419">
        <f t="shared" si="99"/>
        <v>1427810.9400000002</v>
      </c>
      <c r="Z880" s="419"/>
    </row>
    <row r="881" spans="1:26" s="420" customFormat="1" ht="56.25" hidden="1" customHeight="1">
      <c r="A881" s="458">
        <f>A880+1</f>
        <v>2</v>
      </c>
      <c r="B881" s="403" t="s">
        <v>1025</v>
      </c>
      <c r="C881" s="720" t="s">
        <v>222</v>
      </c>
      <c r="D881" s="641">
        <v>2887</v>
      </c>
      <c r="E881" s="388">
        <v>2887</v>
      </c>
      <c r="F881" s="719" t="s">
        <v>223</v>
      </c>
      <c r="G881" s="388">
        <v>644</v>
      </c>
      <c r="H881" s="446">
        <v>2</v>
      </c>
      <c r="I881" s="446">
        <v>2</v>
      </c>
      <c r="J881" s="446">
        <v>16</v>
      </c>
      <c r="K881" s="458" t="s">
        <v>238</v>
      </c>
      <c r="L881" s="529">
        <f>M881+N881+O881+P881+Q881</f>
        <v>309469.77</v>
      </c>
      <c r="M881" s="396">
        <v>308514.57</v>
      </c>
      <c r="N881" s="391"/>
      <c r="O881" s="643">
        <v>955.2</v>
      </c>
      <c r="P881" s="391"/>
      <c r="Q881" s="388"/>
      <c r="R881" s="528">
        <f>M881/J881</f>
        <v>19282.160625</v>
      </c>
      <c r="U881" s="405"/>
      <c r="V881" s="390"/>
      <c r="Y881" s="419">
        <f t="shared" si="99"/>
        <v>309469.77</v>
      </c>
      <c r="Z881" s="419"/>
    </row>
    <row r="882" spans="1:26" s="420" customFormat="1" ht="75" hidden="1" customHeight="1">
      <c r="A882" s="458">
        <f>A881+1</f>
        <v>3</v>
      </c>
      <c r="B882" s="403" t="s">
        <v>1026</v>
      </c>
      <c r="C882" s="648" t="s">
        <v>222</v>
      </c>
      <c r="D882" s="641">
        <v>2849</v>
      </c>
      <c r="E882" s="388">
        <v>508.7</v>
      </c>
      <c r="F882" s="391" t="s">
        <v>223</v>
      </c>
      <c r="G882" s="388">
        <v>636</v>
      </c>
      <c r="H882" s="446">
        <v>2</v>
      </c>
      <c r="I882" s="446">
        <v>2</v>
      </c>
      <c r="J882" s="446">
        <v>16</v>
      </c>
      <c r="K882" s="458" t="s">
        <v>275</v>
      </c>
      <c r="L882" s="645">
        <f>M882+N882+O882+P882+Q882</f>
        <v>1447707.9</v>
      </c>
      <c r="M882" s="652">
        <v>1421129.46</v>
      </c>
      <c r="N882" s="646">
        <v>26578.44</v>
      </c>
      <c r="O882" s="473"/>
      <c r="P882" s="388"/>
      <c r="Q882" s="388"/>
      <c r="R882" s="648">
        <f>M882/G882</f>
        <v>2234.4802830188678</v>
      </c>
      <c r="U882" s="405"/>
      <c r="V882" s="390"/>
      <c r="Y882" s="419">
        <f t="shared" si="99"/>
        <v>1447707.9</v>
      </c>
      <c r="Z882" s="419"/>
    </row>
    <row r="883" spans="1:26" s="420" customFormat="1" ht="37.5" hidden="1" customHeight="1">
      <c r="A883" s="458">
        <f>A882+1</f>
        <v>4</v>
      </c>
      <c r="B883" s="403" t="s">
        <v>1027</v>
      </c>
      <c r="C883" s="648" t="s">
        <v>222</v>
      </c>
      <c r="D883" s="641">
        <v>2969</v>
      </c>
      <c r="E883" s="388">
        <v>513.70000000000005</v>
      </c>
      <c r="F883" s="388" t="s">
        <v>229</v>
      </c>
      <c r="G883" s="388">
        <v>642</v>
      </c>
      <c r="H883" s="446">
        <v>2</v>
      </c>
      <c r="I883" s="446">
        <v>2</v>
      </c>
      <c r="J883" s="446">
        <v>16</v>
      </c>
      <c r="K883" s="458" t="s">
        <v>239</v>
      </c>
      <c r="L883" s="529">
        <f>M883+N883+O883+P883+Q883</f>
        <v>679327.99</v>
      </c>
      <c r="M883" s="396">
        <f>435599.99+222236</f>
        <v>657835.99</v>
      </c>
      <c r="N883" s="388">
        <v>21492</v>
      </c>
      <c r="O883" s="530"/>
      <c r="P883" s="391"/>
      <c r="Q883" s="388"/>
      <c r="R883" s="528">
        <f>M883/J883</f>
        <v>41114.749374999999</v>
      </c>
      <c r="U883" s="405"/>
      <c r="V883" s="390"/>
      <c r="Y883" s="419">
        <f t="shared" si="99"/>
        <v>679327.99</v>
      </c>
      <c r="Z883" s="419"/>
    </row>
    <row r="884" spans="1:26" s="420" customFormat="1" ht="37.5" hidden="1" customHeight="1">
      <c r="A884" s="458">
        <f>A883+1</f>
        <v>5</v>
      </c>
      <c r="B884" s="403" t="s">
        <v>1028</v>
      </c>
      <c r="C884" s="648" t="s">
        <v>222</v>
      </c>
      <c r="D884" s="641">
        <f>E884*2.5</f>
        <v>2390.5</v>
      </c>
      <c r="E884" s="388">
        <v>956.2</v>
      </c>
      <c r="F884" s="391" t="s">
        <v>223</v>
      </c>
      <c r="G884" s="388">
        <v>636</v>
      </c>
      <c r="H884" s="446">
        <v>2</v>
      </c>
      <c r="I884" s="446">
        <v>3</v>
      </c>
      <c r="J884" s="446">
        <v>22</v>
      </c>
      <c r="K884" s="458" t="s">
        <v>239</v>
      </c>
      <c r="L884" s="529">
        <f>M884+N884+O884+P884+Q884</f>
        <v>748232.2</v>
      </c>
      <c r="M884" s="396">
        <v>718680.7</v>
      </c>
      <c r="N884" s="388">
        <v>29551.5</v>
      </c>
      <c r="O884" s="530"/>
      <c r="P884" s="391"/>
      <c r="Q884" s="388"/>
      <c r="R884" s="528">
        <f>M884/J884</f>
        <v>32667.304545454543</v>
      </c>
      <c r="U884" s="405"/>
      <c r="V884" s="390"/>
      <c r="Y884" s="419">
        <f t="shared" si="99"/>
        <v>748232.2</v>
      </c>
      <c r="Z884" s="419"/>
    </row>
    <row r="885" spans="1:26" s="403" customFormat="1" ht="58.5" hidden="1" customHeight="1">
      <c r="A885" s="1112" t="s">
        <v>127</v>
      </c>
      <c r="B885" s="1112"/>
      <c r="C885" s="455" t="s">
        <v>28</v>
      </c>
      <c r="D885" s="641">
        <f>SUM(D880:D884)</f>
        <v>13559.5</v>
      </c>
      <c r="E885" s="388">
        <f>SUM(E880:E884)</f>
        <v>5126.45</v>
      </c>
      <c r="F885" s="388" t="s">
        <v>28</v>
      </c>
      <c r="G885" s="388">
        <f>SUM(G880:G884)</f>
        <v>3063</v>
      </c>
      <c r="H885" s="446" t="s">
        <v>28</v>
      </c>
      <c r="I885" s="446" t="s">
        <v>28</v>
      </c>
      <c r="J885" s="446">
        <f>SUM(J880:J884)</f>
        <v>78</v>
      </c>
      <c r="K885" s="458" t="s">
        <v>28</v>
      </c>
      <c r="L885" s="519">
        <f>SUM(L880:L884)</f>
        <v>4612548.8000000007</v>
      </c>
      <c r="M885" s="519">
        <f>SUM(M880:M884)</f>
        <v>4505833.0600000005</v>
      </c>
      <c r="N885" s="388">
        <f>SUM(N880:N884)</f>
        <v>105760.54</v>
      </c>
      <c r="O885" s="473">
        <f>SUM(O880:O884)</f>
        <v>955.2</v>
      </c>
      <c r="P885" s="388"/>
      <c r="Q885" s="388">
        <f>SUM(Q880:Q884)</f>
        <v>0</v>
      </c>
      <c r="R885" s="446" t="s">
        <v>28</v>
      </c>
      <c r="S885" s="388">
        <f>L885-M885-N885-O885-P885-Q885</f>
        <v>2.2987478587310761E-10</v>
      </c>
      <c r="T885" s="393"/>
      <c r="U885" s="423"/>
      <c r="V885" s="390"/>
      <c r="Y885" s="419">
        <f t="shared" si="99"/>
        <v>4612548.8000000007</v>
      </c>
      <c r="Z885" s="419"/>
    </row>
    <row r="886" spans="1:26" s="403" customFormat="1" ht="58.5" hidden="1" customHeight="1">
      <c r="A886" s="1113" t="s">
        <v>76</v>
      </c>
      <c r="B886" s="1113"/>
      <c r="C886" s="1113"/>
      <c r="D886" s="1113"/>
      <c r="E886" s="1113"/>
      <c r="F886" s="1113"/>
      <c r="G886" s="1113"/>
      <c r="H886" s="1113"/>
      <c r="I886" s="1113"/>
      <c r="J886" s="1113"/>
      <c r="K886" s="1113"/>
      <c r="L886" s="1113"/>
      <c r="M886" s="1113"/>
      <c r="N886" s="1113"/>
      <c r="O886" s="1113"/>
      <c r="P886" s="1113"/>
      <c r="Q886" s="1113"/>
      <c r="R886" s="1113"/>
      <c r="T886" s="393"/>
      <c r="U886" s="404"/>
      <c r="V886" s="390"/>
      <c r="Y886" s="419">
        <f t="shared" si="99"/>
        <v>0</v>
      </c>
      <c r="Z886" s="419"/>
    </row>
    <row r="887" spans="1:26" s="403" customFormat="1" ht="75" hidden="1" customHeight="1">
      <c r="A887" s="458">
        <v>1</v>
      </c>
      <c r="B887" s="403" t="s">
        <v>1029</v>
      </c>
      <c r="C887" s="487" t="s">
        <v>240</v>
      </c>
      <c r="D887" s="606">
        <v>2748</v>
      </c>
      <c r="E887" s="391">
        <v>521.79999999999995</v>
      </c>
      <c r="F887" s="388" t="s">
        <v>223</v>
      </c>
      <c r="G887" s="391">
        <v>746.4</v>
      </c>
      <c r="H887" s="528">
        <v>2</v>
      </c>
      <c r="I887" s="528">
        <v>2</v>
      </c>
      <c r="J887" s="528">
        <v>16</v>
      </c>
      <c r="K887" s="458" t="s">
        <v>275</v>
      </c>
      <c r="L887" s="645">
        <f>M887+N887+O887+P887+Q887</f>
        <v>1186093.1800000002</v>
      </c>
      <c r="M887" s="652">
        <v>1162784.31</v>
      </c>
      <c r="N887" s="646">
        <v>23308.87</v>
      </c>
      <c r="O887" s="473"/>
      <c r="P887" s="388"/>
      <c r="Q887" s="388"/>
      <c r="R887" s="648">
        <f>M887/G887</f>
        <v>1557.8567926045018</v>
      </c>
      <c r="T887" s="393"/>
      <c r="U887" s="404"/>
      <c r="V887" s="390"/>
      <c r="Y887" s="419">
        <f t="shared" si="99"/>
        <v>1186093.1800000002</v>
      </c>
      <c r="Z887" s="419"/>
    </row>
    <row r="888" spans="1:26" s="403" customFormat="1" ht="58.5" hidden="1" customHeight="1">
      <c r="A888" s="1112" t="s">
        <v>77</v>
      </c>
      <c r="B888" s="1112"/>
      <c r="C888" s="455" t="s">
        <v>28</v>
      </c>
      <c r="D888" s="641">
        <f>SUM(D887:D887)</f>
        <v>2748</v>
      </c>
      <c r="E888" s="388">
        <f>SUM(E887:E887)</f>
        <v>521.79999999999995</v>
      </c>
      <c r="F888" s="388" t="s">
        <v>28</v>
      </c>
      <c r="G888" s="388">
        <f>SUM(G887:G887)</f>
        <v>746.4</v>
      </c>
      <c r="H888" s="446" t="s">
        <v>28</v>
      </c>
      <c r="I888" s="446" t="s">
        <v>28</v>
      </c>
      <c r="J888" s="446">
        <f>SUM(J887:J887)</f>
        <v>16</v>
      </c>
      <c r="K888" s="458" t="s">
        <v>28</v>
      </c>
      <c r="L888" s="519">
        <f>SUM(L887:L887)</f>
        <v>1186093.1800000002</v>
      </c>
      <c r="M888" s="519">
        <f>SUM(M887:M887)</f>
        <v>1162784.31</v>
      </c>
      <c r="N888" s="388">
        <f>SUM(N887:N887)</f>
        <v>23308.87</v>
      </c>
      <c r="O888" s="473"/>
      <c r="P888" s="388"/>
      <c r="Q888" s="388">
        <f>SUM(Q887:Q887)</f>
        <v>0</v>
      </c>
      <c r="R888" s="446" t="s">
        <v>28</v>
      </c>
      <c r="S888" s="393"/>
      <c r="T888" s="393"/>
      <c r="U888" s="423"/>
      <c r="V888" s="390"/>
      <c r="Y888" s="419">
        <f t="shared" si="99"/>
        <v>1186093.1800000002</v>
      </c>
      <c r="Z888" s="419"/>
    </row>
    <row r="889" spans="1:26" s="403" customFormat="1" ht="58.5" hidden="1" customHeight="1">
      <c r="A889" s="1113" t="s">
        <v>78</v>
      </c>
      <c r="B889" s="1113"/>
      <c r="C889" s="1113"/>
      <c r="D889" s="1113"/>
      <c r="E889" s="1113"/>
      <c r="F889" s="1113"/>
      <c r="G889" s="1113"/>
      <c r="H889" s="1113"/>
      <c r="I889" s="1113"/>
      <c r="J889" s="1113"/>
      <c r="K889" s="1113"/>
      <c r="L889" s="1113"/>
      <c r="M889" s="1113"/>
      <c r="N889" s="1113"/>
      <c r="O889" s="1113"/>
      <c r="P889" s="1113"/>
      <c r="Q889" s="1113"/>
      <c r="R889" s="1113"/>
      <c r="T889" s="393"/>
      <c r="U889" s="404"/>
      <c r="V889" s="390"/>
      <c r="Y889" s="419">
        <f t="shared" si="99"/>
        <v>0</v>
      </c>
      <c r="Z889" s="419"/>
    </row>
    <row r="890" spans="1:26" s="420" customFormat="1" ht="37.5" hidden="1" customHeight="1">
      <c r="A890" s="458">
        <v>1</v>
      </c>
      <c r="B890" s="403" t="s">
        <v>1030</v>
      </c>
      <c r="C890" s="455" t="s">
        <v>240</v>
      </c>
      <c r="D890" s="606">
        <v>2669</v>
      </c>
      <c r="E890" s="388">
        <v>952.08</v>
      </c>
      <c r="F890" s="391" t="s">
        <v>223</v>
      </c>
      <c r="G890" s="388">
        <f>(20*I890)*12*1.3</f>
        <v>624</v>
      </c>
      <c r="H890" s="446">
        <v>2</v>
      </c>
      <c r="I890" s="446">
        <v>2</v>
      </c>
      <c r="J890" s="446">
        <v>16</v>
      </c>
      <c r="K890" s="458" t="s">
        <v>33</v>
      </c>
      <c r="L890" s="519">
        <f>M890+N890+O890+Q890</f>
        <v>1118258.21</v>
      </c>
      <c r="M890" s="396">
        <v>1094420</v>
      </c>
      <c r="N890" s="646">
        <v>23838.21</v>
      </c>
      <c r="O890" s="647"/>
      <c r="P890" s="646"/>
      <c r="Q890" s="388"/>
      <c r="R890" s="528">
        <f>M890/G890</f>
        <v>1753.8782051282051</v>
      </c>
      <c r="U890" s="405"/>
      <c r="V890" s="390"/>
      <c r="Y890" s="419">
        <f t="shared" si="99"/>
        <v>1118258.21</v>
      </c>
      <c r="Z890" s="419"/>
    </row>
    <row r="891" spans="1:26" s="420" customFormat="1" ht="37.5" hidden="1" customHeight="1">
      <c r="A891" s="458">
        <v>2</v>
      </c>
      <c r="B891" s="403" t="s">
        <v>1031</v>
      </c>
      <c r="C891" s="455" t="s">
        <v>222</v>
      </c>
      <c r="D891" s="606">
        <v>3079</v>
      </c>
      <c r="E891" s="388">
        <v>1038.8599999999999</v>
      </c>
      <c r="F891" s="391" t="s">
        <v>223</v>
      </c>
      <c r="G891" s="388">
        <v>476.45</v>
      </c>
      <c r="H891" s="446">
        <v>2</v>
      </c>
      <c r="I891" s="446">
        <v>1</v>
      </c>
      <c r="J891" s="446">
        <v>32</v>
      </c>
      <c r="K891" s="458" t="s">
        <v>225</v>
      </c>
      <c r="L891" s="519">
        <f>M891+N891+O891+Q891</f>
        <v>445007.73</v>
      </c>
      <c r="M891" s="645">
        <v>423863.98</v>
      </c>
      <c r="N891" s="646">
        <v>21143.75</v>
      </c>
      <c r="O891" s="647"/>
      <c r="P891" s="646"/>
      <c r="Q891" s="388"/>
      <c r="R891" s="528">
        <f>M891/J891</f>
        <v>13245.749374999999</v>
      </c>
      <c r="U891" s="388"/>
      <c r="V891" s="390"/>
      <c r="Y891" s="419">
        <f t="shared" si="99"/>
        <v>445007.73</v>
      </c>
      <c r="Z891" s="419"/>
    </row>
    <row r="892" spans="1:26" s="420" customFormat="1" ht="37.5" hidden="1" customHeight="1">
      <c r="A892" s="458">
        <v>3</v>
      </c>
      <c r="B892" s="403" t="s">
        <v>1032</v>
      </c>
      <c r="C892" s="455" t="s">
        <v>222</v>
      </c>
      <c r="D892" s="641">
        <v>1213</v>
      </c>
      <c r="E892" s="391">
        <v>1041.29</v>
      </c>
      <c r="F892" s="388" t="s">
        <v>223</v>
      </c>
      <c r="G892" s="388">
        <f>(20*I892)*12*1.3</f>
        <v>312</v>
      </c>
      <c r="H892" s="528">
        <v>2</v>
      </c>
      <c r="I892" s="528">
        <v>1</v>
      </c>
      <c r="J892" s="528">
        <v>8</v>
      </c>
      <c r="K892" s="458" t="s">
        <v>33</v>
      </c>
      <c r="L892" s="519">
        <f>M892+N892+O892+Q892</f>
        <v>648770.74</v>
      </c>
      <c r="M892" s="396">
        <v>623935.54</v>
      </c>
      <c r="N892" s="646">
        <v>24835.200000000001</v>
      </c>
      <c r="O892" s="647"/>
      <c r="P892" s="646"/>
      <c r="Q892" s="388"/>
      <c r="R892" s="528">
        <f>M892/G892</f>
        <v>1999.7933974358975</v>
      </c>
      <c r="U892" s="405"/>
      <c r="V892" s="390"/>
      <c r="Y892" s="419">
        <f t="shared" si="99"/>
        <v>648770.74</v>
      </c>
      <c r="Z892" s="419"/>
    </row>
    <row r="893" spans="1:26" s="403" customFormat="1" ht="58.5" hidden="1" customHeight="1">
      <c r="A893" s="1112" t="s">
        <v>128</v>
      </c>
      <c r="B893" s="1112"/>
      <c r="C893" s="455" t="s">
        <v>28</v>
      </c>
      <c r="D893" s="641">
        <f>SUM(D890:D892)</f>
        <v>6961</v>
      </c>
      <c r="E893" s="388">
        <f>SUM(E890:E892)</f>
        <v>3032.23</v>
      </c>
      <c r="F893" s="388" t="s">
        <v>28</v>
      </c>
      <c r="G893" s="388">
        <f>SUM(G890:G892)</f>
        <v>1412.45</v>
      </c>
      <c r="H893" s="446" t="s">
        <v>28</v>
      </c>
      <c r="I893" s="446" t="s">
        <v>28</v>
      </c>
      <c r="J893" s="446">
        <f>SUM(J890:J892)</f>
        <v>56</v>
      </c>
      <c r="K893" s="458" t="s">
        <v>28</v>
      </c>
      <c r="L893" s="519">
        <f>SUM(L890:L892)</f>
        <v>2212036.6799999997</v>
      </c>
      <c r="M893" s="519">
        <f>SUM(M890:M892)</f>
        <v>2142219.52</v>
      </c>
      <c r="N893" s="388">
        <f>SUM(N890:N892)</f>
        <v>69817.16</v>
      </c>
      <c r="O893" s="473"/>
      <c r="P893" s="388"/>
      <c r="Q893" s="388">
        <f>SUM(Q890:Q892)</f>
        <v>0</v>
      </c>
      <c r="R893" s="446" t="s">
        <v>28</v>
      </c>
      <c r="S893" s="388">
        <f>L893-M893-N893-O893-P893-Q893</f>
        <v>-3.2014213502407074E-10</v>
      </c>
      <c r="T893" s="393"/>
      <c r="U893" s="423"/>
      <c r="V893" s="390"/>
      <c r="Y893" s="419">
        <f t="shared" si="99"/>
        <v>2212036.6800000002</v>
      </c>
      <c r="Z893" s="419"/>
    </row>
    <row r="894" spans="1:26" s="403" customFormat="1" ht="58.5" hidden="1" customHeight="1">
      <c r="A894" s="1113" t="s">
        <v>79</v>
      </c>
      <c r="B894" s="1113"/>
      <c r="C894" s="1113"/>
      <c r="D894" s="1113"/>
      <c r="E894" s="1113"/>
      <c r="F894" s="1113"/>
      <c r="G894" s="1113"/>
      <c r="H894" s="1113"/>
      <c r="I894" s="1113"/>
      <c r="J894" s="1113"/>
      <c r="K894" s="1113"/>
      <c r="L894" s="1113"/>
      <c r="M894" s="1113"/>
      <c r="N894" s="1113"/>
      <c r="O894" s="1113"/>
      <c r="P894" s="1113"/>
      <c r="Q894" s="1113"/>
      <c r="R894" s="1113"/>
      <c r="T894" s="393"/>
      <c r="U894" s="404"/>
      <c r="V894" s="390"/>
      <c r="Y894" s="419">
        <f t="shared" si="99"/>
        <v>0</v>
      </c>
      <c r="Z894" s="419"/>
    </row>
    <row r="895" spans="1:26" s="405" customFormat="1" ht="36" hidden="1" customHeight="1">
      <c r="A895" s="682">
        <v>1</v>
      </c>
      <c r="B895" s="424" t="s">
        <v>1033</v>
      </c>
      <c r="C895" s="721" t="s">
        <v>240</v>
      </c>
      <c r="D895" s="681">
        <v>2750</v>
      </c>
      <c r="E895" s="646">
        <v>583</v>
      </c>
      <c r="F895" s="646" t="s">
        <v>223</v>
      </c>
      <c r="G895" s="646">
        <v>675</v>
      </c>
      <c r="H895" s="648">
        <v>2</v>
      </c>
      <c r="I895" s="648">
        <v>2</v>
      </c>
      <c r="J895" s="648">
        <v>16</v>
      </c>
      <c r="K895" s="682" t="s">
        <v>33</v>
      </c>
      <c r="L895" s="645">
        <f>M895+N895+O895+P895+Q895</f>
        <v>1304425.27</v>
      </c>
      <c r="M895" s="645">
        <v>1278139.3600000001</v>
      </c>
      <c r="N895" s="646">
        <v>26285.91</v>
      </c>
      <c r="O895" s="647"/>
      <c r="P895" s="646"/>
      <c r="Q895" s="388"/>
      <c r="R895" s="648">
        <f>M895/G895</f>
        <v>1893.5397925925927</v>
      </c>
      <c r="V895" s="390"/>
      <c r="Y895" s="419">
        <f t="shared" si="99"/>
        <v>1304425.27</v>
      </c>
      <c r="Z895" s="419"/>
    </row>
    <row r="896" spans="1:26" s="403" customFormat="1" ht="58.5" hidden="1" customHeight="1">
      <c r="A896" s="1112" t="s">
        <v>129</v>
      </c>
      <c r="B896" s="1112"/>
      <c r="C896" s="455" t="s">
        <v>28</v>
      </c>
      <c r="D896" s="641">
        <f>SUM(D895)</f>
        <v>2750</v>
      </c>
      <c r="E896" s="388">
        <f>SUM(E895)</f>
        <v>583</v>
      </c>
      <c r="F896" s="388" t="s">
        <v>28</v>
      </c>
      <c r="G896" s="388">
        <f>SUM(G895)</f>
        <v>675</v>
      </c>
      <c r="H896" s="446" t="s">
        <v>28</v>
      </c>
      <c r="I896" s="446" t="s">
        <v>28</v>
      </c>
      <c r="J896" s="446">
        <f>J895</f>
        <v>16</v>
      </c>
      <c r="K896" s="458" t="s">
        <v>28</v>
      </c>
      <c r="L896" s="519">
        <f>L895</f>
        <v>1304425.27</v>
      </c>
      <c r="M896" s="519">
        <f>M895</f>
        <v>1278139.3600000001</v>
      </c>
      <c r="N896" s="388">
        <f>N895</f>
        <v>26285.91</v>
      </c>
      <c r="O896" s="473"/>
      <c r="P896" s="388"/>
      <c r="Q896" s="388">
        <f>Q895</f>
        <v>0</v>
      </c>
      <c r="R896" s="446" t="s">
        <v>28</v>
      </c>
      <c r="S896" s="388">
        <f>L896-M896-N896-O896-P896-Q896</f>
        <v>-8.3673512563109398E-11</v>
      </c>
      <c r="T896" s="393"/>
      <c r="U896" s="423"/>
      <c r="V896" s="390"/>
      <c r="Y896" s="419">
        <f t="shared" si="99"/>
        <v>1304425.27</v>
      </c>
      <c r="Z896" s="419"/>
    </row>
    <row r="897" spans="1:26" s="403" customFormat="1" ht="58.5" hidden="1" customHeight="1">
      <c r="A897" s="1113" t="s">
        <v>130</v>
      </c>
      <c r="B897" s="1113"/>
      <c r="C897" s="1113"/>
      <c r="D897" s="1113"/>
      <c r="E897" s="1113"/>
      <c r="F897" s="1113"/>
      <c r="G897" s="1113"/>
      <c r="H897" s="1113"/>
      <c r="I897" s="1113"/>
      <c r="J897" s="1113"/>
      <c r="K897" s="1113"/>
      <c r="L897" s="1113"/>
      <c r="M897" s="1113"/>
      <c r="N897" s="1113"/>
      <c r="O897" s="1113"/>
      <c r="P897" s="1113"/>
      <c r="Q897" s="1113"/>
      <c r="R897" s="1113"/>
      <c r="T897" s="393"/>
      <c r="U897" s="404"/>
      <c r="V897" s="390"/>
      <c r="Y897" s="419">
        <f t="shared" si="99"/>
        <v>0</v>
      </c>
      <c r="Z897" s="419"/>
    </row>
    <row r="898" spans="1:26" s="416" customFormat="1" ht="37.5" hidden="1" customHeight="1">
      <c r="A898" s="722">
        <v>1</v>
      </c>
      <c r="B898" s="723" t="s">
        <v>1034</v>
      </c>
      <c r="C898" s="455" t="s">
        <v>240</v>
      </c>
      <c r="D898" s="724">
        <v>2728</v>
      </c>
      <c r="E898" s="563">
        <v>581.29999999999995</v>
      </c>
      <c r="F898" s="646" t="s">
        <v>223</v>
      </c>
      <c r="G898" s="725">
        <v>652</v>
      </c>
      <c r="H898" s="726">
        <v>2</v>
      </c>
      <c r="I898" s="726">
        <v>2</v>
      </c>
      <c r="J898" s="726">
        <v>16</v>
      </c>
      <c r="K898" s="612" t="s">
        <v>33</v>
      </c>
      <c r="L898" s="519">
        <f>M898+N898+O898+Q898</f>
        <v>1193018.02</v>
      </c>
      <c r="M898" s="396">
        <v>1169717.1100000001</v>
      </c>
      <c r="N898" s="646">
        <v>23300.91</v>
      </c>
      <c r="O898" s="647"/>
      <c r="P898" s="646"/>
      <c r="Q898" s="727"/>
      <c r="R898" s="528">
        <f>M898/G898</f>
        <v>1794.0446472392639</v>
      </c>
      <c r="U898" s="414"/>
      <c r="V898" s="390"/>
      <c r="Y898" s="419">
        <f t="shared" si="99"/>
        <v>1193018.02</v>
      </c>
      <c r="Z898" s="419"/>
    </row>
    <row r="899" spans="1:26" s="403" customFormat="1" ht="58.5" hidden="1" customHeight="1">
      <c r="A899" s="1139" t="s">
        <v>131</v>
      </c>
      <c r="B899" s="1139"/>
      <c r="C899" s="617" t="s">
        <v>28</v>
      </c>
      <c r="D899" s="641">
        <f>SUM(D898)</f>
        <v>2728</v>
      </c>
      <c r="E899" s="388">
        <f>SUM(E898)</f>
        <v>581.29999999999995</v>
      </c>
      <c r="F899" s="539" t="s">
        <v>28</v>
      </c>
      <c r="G899" s="675">
        <f>SUM(G898:G898)</f>
        <v>652</v>
      </c>
      <c r="H899" s="599" t="s">
        <v>28</v>
      </c>
      <c r="I899" s="599" t="s">
        <v>28</v>
      </c>
      <c r="J899" s="676">
        <f>SUM(J898:J898)</f>
        <v>16</v>
      </c>
      <c r="K899" s="728" t="s">
        <v>28</v>
      </c>
      <c r="L899" s="677">
        <f>SUM(L898:L898)</f>
        <v>1193018.02</v>
      </c>
      <c r="M899" s="677">
        <f>SUM(M898:M898)</f>
        <v>1169717.1100000001</v>
      </c>
      <c r="N899" s="675">
        <f>SUM(N898:N898)</f>
        <v>23300.91</v>
      </c>
      <c r="O899" s="678"/>
      <c r="P899" s="675"/>
      <c r="Q899" s="675">
        <f>SUM(Q898:Q898)</f>
        <v>0</v>
      </c>
      <c r="R899" s="446" t="s">
        <v>28</v>
      </c>
      <c r="S899" s="388">
        <f>L899-M899-N899-O899-P899-Q899</f>
        <v>-8.3673512563109398E-11</v>
      </c>
      <c r="T899" s="393"/>
      <c r="U899" s="423"/>
      <c r="V899" s="390"/>
      <c r="Y899" s="419">
        <f t="shared" si="99"/>
        <v>1193018.02</v>
      </c>
      <c r="Z899" s="419"/>
    </row>
    <row r="900" spans="1:26" s="403" customFormat="1" ht="58.5" hidden="1" customHeight="1">
      <c r="A900" s="1113" t="s">
        <v>80</v>
      </c>
      <c r="B900" s="1113"/>
      <c r="C900" s="1113"/>
      <c r="D900" s="1113"/>
      <c r="E900" s="1113"/>
      <c r="F900" s="1113"/>
      <c r="G900" s="1113"/>
      <c r="H900" s="1113"/>
      <c r="I900" s="1113"/>
      <c r="J900" s="1113"/>
      <c r="K900" s="1113"/>
      <c r="L900" s="1113"/>
      <c r="M900" s="1113"/>
      <c r="N900" s="1113"/>
      <c r="O900" s="1113"/>
      <c r="P900" s="1113"/>
      <c r="Q900" s="1113"/>
      <c r="R900" s="1113"/>
      <c r="T900" s="393"/>
      <c r="U900" s="404"/>
      <c r="V900" s="390"/>
      <c r="Y900" s="419">
        <f t="shared" si="99"/>
        <v>0</v>
      </c>
      <c r="Z900" s="419"/>
    </row>
    <row r="901" spans="1:26" s="420" customFormat="1" ht="37.5" hidden="1" customHeight="1">
      <c r="A901" s="458">
        <v>1</v>
      </c>
      <c r="B901" s="403" t="s">
        <v>1035</v>
      </c>
      <c r="C901" s="455" t="s">
        <v>222</v>
      </c>
      <c r="D901" s="641">
        <v>2189</v>
      </c>
      <c r="E901" s="391">
        <v>380</v>
      </c>
      <c r="F901" s="388" t="s">
        <v>223</v>
      </c>
      <c r="G901" s="391">
        <v>595</v>
      </c>
      <c r="H901" s="528">
        <v>2</v>
      </c>
      <c r="I901" s="528">
        <v>2</v>
      </c>
      <c r="J901" s="528">
        <v>8</v>
      </c>
      <c r="K901" s="458" t="s">
        <v>33</v>
      </c>
      <c r="L901" s="519">
        <f>M901+N901+O901+P901+Q901</f>
        <v>1020105.6099999999</v>
      </c>
      <c r="M901" s="529">
        <v>994621.66999999993</v>
      </c>
      <c r="N901" s="391">
        <v>25483.94</v>
      </c>
      <c r="O901" s="530"/>
      <c r="P901" s="391"/>
      <c r="Q901" s="388"/>
      <c r="R901" s="648">
        <f>M901/G901</f>
        <v>1671.6330588235294</v>
      </c>
      <c r="T901" s="393"/>
      <c r="U901" s="405"/>
      <c r="V901" s="390"/>
      <c r="Y901" s="419">
        <f t="shared" si="99"/>
        <v>1020105.6099999999</v>
      </c>
      <c r="Z901" s="419"/>
    </row>
    <row r="902" spans="1:26" s="420" customFormat="1" ht="37.5" hidden="1" customHeight="1">
      <c r="A902" s="458">
        <v>2</v>
      </c>
      <c r="B902" s="403" t="s">
        <v>1036</v>
      </c>
      <c r="C902" s="455" t="s">
        <v>222</v>
      </c>
      <c r="D902" s="641">
        <v>2492</v>
      </c>
      <c r="E902" s="388">
        <v>520</v>
      </c>
      <c r="F902" s="388" t="s">
        <v>223</v>
      </c>
      <c r="G902" s="388">
        <v>548</v>
      </c>
      <c r="H902" s="446">
        <v>2</v>
      </c>
      <c r="I902" s="446">
        <v>1</v>
      </c>
      <c r="J902" s="446">
        <v>6</v>
      </c>
      <c r="K902" s="458" t="s">
        <v>33</v>
      </c>
      <c r="L902" s="519">
        <f>M902+N902+O902+P902+Q902</f>
        <v>915743.06</v>
      </c>
      <c r="M902" s="529">
        <v>892569.51</v>
      </c>
      <c r="N902" s="391">
        <v>23173.55</v>
      </c>
      <c r="O902" s="473"/>
      <c r="P902" s="388"/>
      <c r="Q902" s="388"/>
      <c r="R902" s="648">
        <f>M902/G902</f>
        <v>1628.7764781021897</v>
      </c>
      <c r="T902" s="393"/>
      <c r="U902" s="405"/>
      <c r="V902" s="390"/>
      <c r="Y902" s="419">
        <f t="shared" si="99"/>
        <v>915743.06</v>
      </c>
      <c r="Z902" s="419"/>
    </row>
    <row r="903" spans="1:26" s="403" customFormat="1" ht="58.5" hidden="1" customHeight="1">
      <c r="A903" s="1112" t="s">
        <v>132</v>
      </c>
      <c r="B903" s="1112"/>
      <c r="C903" s="455" t="s">
        <v>28</v>
      </c>
      <c r="D903" s="641">
        <f>SUM(D901:D902)</f>
        <v>4681</v>
      </c>
      <c r="E903" s="388">
        <f>SUM(E901:E902)</f>
        <v>900</v>
      </c>
      <c r="F903" s="388" t="s">
        <v>28</v>
      </c>
      <c r="G903" s="388">
        <f>SUM(G901:G902)</f>
        <v>1143</v>
      </c>
      <c r="H903" s="446" t="s">
        <v>28</v>
      </c>
      <c r="I903" s="446" t="s">
        <v>28</v>
      </c>
      <c r="J903" s="446">
        <f>SUM(J901:J902)</f>
        <v>14</v>
      </c>
      <c r="K903" s="458" t="s">
        <v>28</v>
      </c>
      <c r="L903" s="519">
        <f>SUM(L901:L902)</f>
        <v>1935848.67</v>
      </c>
      <c r="M903" s="519">
        <f>SUM(M901:M902)</f>
        <v>1887191.18</v>
      </c>
      <c r="N903" s="388">
        <f>SUM(N901:N902)</f>
        <v>48657.49</v>
      </c>
      <c r="O903" s="473"/>
      <c r="P903" s="388"/>
      <c r="Q903" s="388">
        <f>SUM(Q901:Q902)</f>
        <v>0</v>
      </c>
      <c r="R903" s="446" t="s">
        <v>28</v>
      </c>
      <c r="S903" s="388">
        <f>L903-M903-N903-O903-P903-Q903</f>
        <v>-7.2759576141834259E-12</v>
      </c>
      <c r="T903" s="393"/>
      <c r="U903" s="423"/>
      <c r="V903" s="390"/>
      <c r="Y903" s="419">
        <f t="shared" si="99"/>
        <v>1935848.67</v>
      </c>
      <c r="Z903" s="419"/>
    </row>
    <row r="904" spans="1:26" s="403" customFormat="1" ht="58.5" hidden="1" customHeight="1">
      <c r="A904" s="1113" t="s">
        <v>215</v>
      </c>
      <c r="B904" s="1113"/>
      <c r="C904" s="1113"/>
      <c r="D904" s="1113"/>
      <c r="E904" s="1113"/>
      <c r="F904" s="1113"/>
      <c r="G904" s="1113"/>
      <c r="H904" s="1113"/>
      <c r="I904" s="1113"/>
      <c r="J904" s="1113"/>
      <c r="K904" s="1113"/>
      <c r="L904" s="1113"/>
      <c r="M904" s="1113"/>
      <c r="N904" s="1113"/>
      <c r="O904" s="1113"/>
      <c r="P904" s="1113"/>
      <c r="Q904" s="1113"/>
      <c r="R904" s="1113"/>
      <c r="T904" s="393"/>
      <c r="U904" s="404"/>
      <c r="V904" s="390"/>
      <c r="Y904" s="419">
        <f t="shared" ref="Y904:Y967" si="104">M904+N904+O904+Q904</f>
        <v>0</v>
      </c>
      <c r="Z904" s="419"/>
    </row>
    <row r="905" spans="1:26" s="403" customFormat="1" ht="37.5" hidden="1" customHeight="1">
      <c r="A905" s="458">
        <v>1</v>
      </c>
      <c r="B905" s="403" t="s">
        <v>1037</v>
      </c>
      <c r="C905" s="455" t="s">
        <v>222</v>
      </c>
      <c r="D905" s="641">
        <v>2882</v>
      </c>
      <c r="E905" s="388">
        <v>459</v>
      </c>
      <c r="F905" s="388" t="s">
        <v>231</v>
      </c>
      <c r="G905" s="388">
        <v>680</v>
      </c>
      <c r="H905" s="446">
        <v>2</v>
      </c>
      <c r="I905" s="446">
        <v>2</v>
      </c>
      <c r="J905" s="446">
        <v>20</v>
      </c>
      <c r="K905" s="458" t="s">
        <v>33</v>
      </c>
      <c r="L905" s="519">
        <f>M905+N905+O905+P905+Q905</f>
        <v>1500327.3</v>
      </c>
      <c r="M905" s="529">
        <v>1477999.5</v>
      </c>
      <c r="N905" s="391">
        <v>22327.8</v>
      </c>
      <c r="O905" s="473"/>
      <c r="P905" s="388"/>
      <c r="Q905" s="388"/>
      <c r="R905" s="648">
        <f>M905/G905</f>
        <v>2173.5286764705884</v>
      </c>
      <c r="S905" s="393"/>
      <c r="T905" s="393"/>
      <c r="U905" s="404"/>
      <c r="V905" s="390"/>
      <c r="Y905" s="419">
        <f t="shared" si="104"/>
        <v>1500327.3</v>
      </c>
      <c r="Z905" s="419"/>
    </row>
    <row r="906" spans="1:26" s="403" customFormat="1" ht="37.5" hidden="1" customHeight="1">
      <c r="A906" s="458">
        <v>2</v>
      </c>
      <c r="B906" s="543" t="s">
        <v>1038</v>
      </c>
      <c r="C906" s="382" t="s">
        <v>222</v>
      </c>
      <c r="D906" s="641">
        <v>2319</v>
      </c>
      <c r="E906" s="388">
        <v>773</v>
      </c>
      <c r="F906" s="388" t="s">
        <v>223</v>
      </c>
      <c r="G906" s="388">
        <v>829</v>
      </c>
      <c r="H906" s="446">
        <v>2</v>
      </c>
      <c r="I906" s="446">
        <v>3</v>
      </c>
      <c r="J906" s="446">
        <v>22</v>
      </c>
      <c r="K906" s="458" t="s">
        <v>33</v>
      </c>
      <c r="L906" s="519">
        <f>M906+N906+O906+P906+Q906</f>
        <v>1808558.72</v>
      </c>
      <c r="M906" s="529">
        <v>1781338.5</v>
      </c>
      <c r="N906" s="388">
        <v>27220.22</v>
      </c>
      <c r="O906" s="385"/>
      <c r="P906" s="383"/>
      <c r="Q906" s="388"/>
      <c r="R906" s="446">
        <f>M906/G906</f>
        <v>2148.7798552472859</v>
      </c>
      <c r="S906" s="446"/>
      <c r="T906" s="406"/>
      <c r="U906" s="390"/>
      <c r="V906" s="390"/>
      <c r="Y906" s="419">
        <f t="shared" si="104"/>
        <v>1808558.72</v>
      </c>
      <c r="Z906" s="419"/>
    </row>
    <row r="907" spans="1:26" s="403" customFormat="1" ht="58.5" hidden="1" customHeight="1">
      <c r="A907" s="1112" t="s">
        <v>216</v>
      </c>
      <c r="B907" s="1112"/>
      <c r="C907" s="455" t="s">
        <v>28</v>
      </c>
      <c r="D907" s="388">
        <f>SUM(D905:D906)</f>
        <v>5201</v>
      </c>
      <c r="E907" s="388">
        <f>SUM(E905:E906)</f>
        <v>1232</v>
      </c>
      <c r="F907" s="388" t="s">
        <v>28</v>
      </c>
      <c r="G907" s="388">
        <f>SUM(G905:G906)</f>
        <v>1509</v>
      </c>
      <c r="H907" s="446" t="s">
        <v>28</v>
      </c>
      <c r="I907" s="446" t="s">
        <v>28</v>
      </c>
      <c r="J907" s="446">
        <f>SUM(J905:J906)</f>
        <v>42</v>
      </c>
      <c r="K907" s="458" t="s">
        <v>28</v>
      </c>
      <c r="L907" s="519">
        <f t="shared" ref="L907:Q907" si="105">SUM(L905:L906)</f>
        <v>3308886.02</v>
      </c>
      <c r="M907" s="519">
        <f t="shared" si="105"/>
        <v>3259338</v>
      </c>
      <c r="N907" s="388">
        <f t="shared" si="105"/>
        <v>49548.020000000004</v>
      </c>
      <c r="O907" s="473">
        <f t="shared" si="105"/>
        <v>0</v>
      </c>
      <c r="P907" s="388">
        <f t="shared" si="105"/>
        <v>0</v>
      </c>
      <c r="Q907" s="388">
        <f t="shared" si="105"/>
        <v>0</v>
      </c>
      <c r="R907" s="446" t="s">
        <v>28</v>
      </c>
      <c r="S907" s="388">
        <f>L907-M907-N907-O907-P907-Q907</f>
        <v>1.4551915228366852E-11</v>
      </c>
      <c r="T907" s="393"/>
      <c r="U907" s="423"/>
      <c r="V907" s="390"/>
      <c r="Y907" s="419">
        <f t="shared" si="104"/>
        <v>3308886.02</v>
      </c>
      <c r="Z907" s="419"/>
    </row>
    <row r="908" spans="1:26" s="403" customFormat="1" ht="58.5" hidden="1" customHeight="1">
      <c r="A908" s="1113" t="s">
        <v>81</v>
      </c>
      <c r="B908" s="1113"/>
      <c r="C908" s="1113"/>
      <c r="D908" s="1113"/>
      <c r="E908" s="1113"/>
      <c r="F908" s="1113"/>
      <c r="G908" s="1113"/>
      <c r="H908" s="1113"/>
      <c r="I908" s="1113"/>
      <c r="J908" s="1113"/>
      <c r="K908" s="1113"/>
      <c r="L908" s="1113"/>
      <c r="M908" s="1113"/>
      <c r="N908" s="1113"/>
      <c r="O908" s="1113"/>
      <c r="P908" s="1113"/>
      <c r="Q908" s="1113"/>
      <c r="R908" s="1113"/>
      <c r="T908" s="393"/>
      <c r="U908" s="404"/>
      <c r="V908" s="390"/>
      <c r="Y908" s="419">
        <f t="shared" si="104"/>
        <v>0</v>
      </c>
      <c r="Z908" s="419"/>
    </row>
    <row r="909" spans="1:26" s="403" customFormat="1" ht="37.5" hidden="1" customHeight="1">
      <c r="A909" s="458">
        <v>1</v>
      </c>
      <c r="B909" s="403" t="s">
        <v>1040</v>
      </c>
      <c r="C909" s="455" t="s">
        <v>230</v>
      </c>
      <c r="D909" s="641">
        <v>1586</v>
      </c>
      <c r="E909" s="388">
        <v>434</v>
      </c>
      <c r="F909" s="667" t="s">
        <v>223</v>
      </c>
      <c r="G909" s="388">
        <v>650</v>
      </c>
      <c r="H909" s="446">
        <v>2</v>
      </c>
      <c r="I909" s="446">
        <v>2</v>
      </c>
      <c r="J909" s="446">
        <v>12</v>
      </c>
      <c r="K909" s="458" t="s">
        <v>33</v>
      </c>
      <c r="L909" s="645">
        <f>M909+N909+O909+P909+Q909</f>
        <v>722849.12000000011</v>
      </c>
      <c r="M909" s="645">
        <v>702802.85000000009</v>
      </c>
      <c r="N909" s="646">
        <v>20046.27</v>
      </c>
      <c r="O909" s="647"/>
      <c r="P909" s="646"/>
      <c r="Q909" s="388"/>
      <c r="R909" s="648">
        <f>M909/G909</f>
        <v>1081.2351538461539</v>
      </c>
      <c r="T909" s="393"/>
      <c r="U909" s="404"/>
      <c r="V909" s="390"/>
      <c r="Y909" s="419">
        <f t="shared" si="104"/>
        <v>722849.12000000011</v>
      </c>
      <c r="Z909" s="419"/>
    </row>
    <row r="910" spans="1:26" s="403" customFormat="1" ht="58.5" hidden="1" customHeight="1">
      <c r="A910" s="1112" t="s">
        <v>133</v>
      </c>
      <c r="B910" s="1112"/>
      <c r="C910" s="455" t="s">
        <v>28</v>
      </c>
      <c r="D910" s="641">
        <f>SUM(D909)</f>
        <v>1586</v>
      </c>
      <c r="E910" s="388">
        <f>SUM(E909)</f>
        <v>434</v>
      </c>
      <c r="F910" s="388" t="s">
        <v>28</v>
      </c>
      <c r="G910" s="388">
        <f>SUM(G909)</f>
        <v>650</v>
      </c>
      <c r="H910" s="446" t="s">
        <v>28</v>
      </c>
      <c r="I910" s="446" t="s">
        <v>28</v>
      </c>
      <c r="J910" s="446">
        <f>SUM(J909)</f>
        <v>12</v>
      </c>
      <c r="K910" s="458" t="s">
        <v>28</v>
      </c>
      <c r="L910" s="519">
        <f>SUM(L909)</f>
        <v>722849.12000000011</v>
      </c>
      <c r="M910" s="519">
        <f>SUM(M909)</f>
        <v>702802.85000000009</v>
      </c>
      <c r="N910" s="388">
        <f>SUM(N909)</f>
        <v>20046.27</v>
      </c>
      <c r="O910" s="473"/>
      <c r="P910" s="388"/>
      <c r="Q910" s="388">
        <f>SUM(Q909)</f>
        <v>0</v>
      </c>
      <c r="R910" s="446" t="s">
        <v>28</v>
      </c>
      <c r="S910" s="393"/>
      <c r="T910" s="393"/>
      <c r="U910" s="423"/>
      <c r="V910" s="390"/>
      <c r="Y910" s="419">
        <f t="shared" si="104"/>
        <v>722849.12000000011</v>
      </c>
      <c r="Z910" s="419"/>
    </row>
    <row r="911" spans="1:26" s="403" customFormat="1" ht="58.5" hidden="1" customHeight="1">
      <c r="A911" s="1113" t="s">
        <v>40</v>
      </c>
      <c r="B911" s="1113"/>
      <c r="C911" s="1113"/>
      <c r="D911" s="1113"/>
      <c r="E911" s="1113"/>
      <c r="F911" s="1113"/>
      <c r="G911" s="1113"/>
      <c r="H911" s="1113"/>
      <c r="I911" s="1113"/>
      <c r="J911" s="1113"/>
      <c r="K911" s="1113"/>
      <c r="L911" s="1113"/>
      <c r="M911" s="1113"/>
      <c r="N911" s="1113"/>
      <c r="O911" s="1113"/>
      <c r="P911" s="1113"/>
      <c r="Q911" s="1113"/>
      <c r="R911" s="1113"/>
      <c r="T911" s="393">
        <f>M912-M913</f>
        <v>1419050.64</v>
      </c>
      <c r="U911" s="404"/>
      <c r="V911" s="390"/>
      <c r="Y911" s="419">
        <f t="shared" si="104"/>
        <v>0</v>
      </c>
      <c r="Z911" s="419"/>
    </row>
    <row r="912" spans="1:26" s="447" customFormat="1" ht="36" hidden="1" customHeight="1">
      <c r="A912" s="504">
        <v>1</v>
      </c>
      <c r="B912" s="403" t="s">
        <v>1041</v>
      </c>
      <c r="C912" s="455" t="s">
        <v>222</v>
      </c>
      <c r="D912" s="681">
        <v>17990</v>
      </c>
      <c r="E912" s="646">
        <v>4874</v>
      </c>
      <c r="F912" s="667" t="s">
        <v>228</v>
      </c>
      <c r="G912" s="391">
        <v>1711</v>
      </c>
      <c r="H912" s="528">
        <v>5</v>
      </c>
      <c r="I912" s="528">
        <v>6</v>
      </c>
      <c r="J912" s="528">
        <v>80</v>
      </c>
      <c r="K912" s="458" t="s">
        <v>235</v>
      </c>
      <c r="L912" s="645">
        <f>M912+N912+O912+P912+Q912+M913+N913+O913+Q913</f>
        <v>3564176.9499999993</v>
      </c>
      <c r="M912" s="645">
        <v>2484397.5299999998</v>
      </c>
      <c r="N912" s="646"/>
      <c r="O912" s="643">
        <v>11236.53</v>
      </c>
      <c r="P912" s="646"/>
      <c r="Q912" s="388"/>
      <c r="R912" s="648">
        <f>M912/G912</f>
        <v>1452.0149210987724</v>
      </c>
      <c r="U912" s="448"/>
      <c r="V912" s="390"/>
      <c r="Y912" s="419">
        <f t="shared" si="104"/>
        <v>2495634.0599999996</v>
      </c>
      <c r="Z912" s="419"/>
    </row>
    <row r="913" spans="1:26" s="447" customFormat="1" ht="37.5" hidden="1" customHeight="1">
      <c r="A913" s="504"/>
      <c r="B913" s="403"/>
      <c r="C913" s="455"/>
      <c r="D913" s="681"/>
      <c r="E913" s="646"/>
      <c r="F913" s="667"/>
      <c r="G913" s="391"/>
      <c r="H913" s="528"/>
      <c r="I913" s="528"/>
      <c r="J913" s="528"/>
      <c r="K913" s="458" t="s">
        <v>227</v>
      </c>
      <c r="L913" s="645"/>
      <c r="M913" s="645">
        <v>1065346.8899999999</v>
      </c>
      <c r="N913" s="449"/>
      <c r="O913" s="647">
        <v>3196</v>
      </c>
      <c r="P913" s="646"/>
      <c r="Q913" s="388"/>
      <c r="R913" s="648"/>
      <c r="U913" s="448"/>
      <c r="V913" s="390"/>
      <c r="Y913" s="419">
        <f t="shared" si="104"/>
        <v>1068542.8899999999</v>
      </c>
      <c r="Z913" s="419"/>
    </row>
    <row r="914" spans="1:26" s="447" customFormat="1" ht="37.5" hidden="1" customHeight="1">
      <c r="A914" s="504">
        <f>A912+1</f>
        <v>2</v>
      </c>
      <c r="B914" s="403" t="s">
        <v>1042</v>
      </c>
      <c r="C914" s="617" t="s">
        <v>222</v>
      </c>
      <c r="D914" s="606">
        <v>59715</v>
      </c>
      <c r="E914" s="391">
        <v>9933.34</v>
      </c>
      <c r="F914" s="667" t="s">
        <v>234</v>
      </c>
      <c r="G914" s="391">
        <v>2466</v>
      </c>
      <c r="H914" s="528">
        <v>9</v>
      </c>
      <c r="I914" s="528">
        <v>6</v>
      </c>
      <c r="J914" s="528">
        <v>323</v>
      </c>
      <c r="K914" s="458" t="s">
        <v>33</v>
      </c>
      <c r="L914" s="645">
        <f t="shared" ref="L914:L941" si="106">M914+N914+O914+P914+Q914</f>
        <v>3387183.62</v>
      </c>
      <c r="M914" s="645">
        <v>3370989</v>
      </c>
      <c r="N914" s="388"/>
      <c r="O914" s="643">
        <v>16194.62</v>
      </c>
      <c r="P914" s="646"/>
      <c r="Q914" s="388"/>
      <c r="R914" s="648">
        <f>M914/G914</f>
        <v>1366.9866180048662</v>
      </c>
      <c r="U914" s="448"/>
      <c r="V914" s="390"/>
      <c r="Y914" s="419">
        <f t="shared" si="104"/>
        <v>3387183.62</v>
      </c>
      <c r="Z914" s="419"/>
    </row>
    <row r="915" spans="1:26" s="447" customFormat="1" ht="37.5" hidden="1" customHeight="1">
      <c r="A915" s="504">
        <f t="shared" ref="A915:A958" si="107">A914+1</f>
        <v>3</v>
      </c>
      <c r="B915" s="403" t="s">
        <v>1043</v>
      </c>
      <c r="C915" s="455" t="s">
        <v>218</v>
      </c>
      <c r="D915" s="606">
        <v>43844</v>
      </c>
      <c r="E915" s="391">
        <v>7554</v>
      </c>
      <c r="F915" s="391" t="s">
        <v>234</v>
      </c>
      <c r="G915" s="391">
        <v>1810</v>
      </c>
      <c r="H915" s="528">
        <v>9</v>
      </c>
      <c r="I915" s="528">
        <v>6</v>
      </c>
      <c r="J915" s="528">
        <v>216</v>
      </c>
      <c r="K915" s="458" t="s">
        <v>33</v>
      </c>
      <c r="L915" s="645">
        <f t="shared" si="106"/>
        <v>2738716.76</v>
      </c>
      <c r="M915" s="645">
        <v>2726830.4899999998</v>
      </c>
      <c r="N915" s="388"/>
      <c r="O915" s="643">
        <v>11886.27</v>
      </c>
      <c r="P915" s="646"/>
      <c r="Q915" s="388"/>
      <c r="R915" s="648">
        <f>M915/G915</f>
        <v>1506.5361823204419</v>
      </c>
      <c r="S915" s="450" t="s">
        <v>259</v>
      </c>
      <c r="U915" s="448"/>
      <c r="V915" s="390"/>
      <c r="Y915" s="419">
        <f t="shared" si="104"/>
        <v>2738716.76</v>
      </c>
      <c r="Z915" s="419"/>
    </row>
    <row r="916" spans="1:26" s="447" customFormat="1" ht="37.5" hidden="1" customHeight="1">
      <c r="A916" s="504">
        <f t="shared" si="107"/>
        <v>4</v>
      </c>
      <c r="B916" s="403" t="s">
        <v>3962</v>
      </c>
      <c r="C916" s="455" t="s">
        <v>222</v>
      </c>
      <c r="D916" s="606">
        <v>18238</v>
      </c>
      <c r="E916" s="388">
        <v>4653.7</v>
      </c>
      <c r="F916" s="667" t="s">
        <v>224</v>
      </c>
      <c r="G916" s="391">
        <v>1027.5</v>
      </c>
      <c r="H916" s="528">
        <v>5</v>
      </c>
      <c r="I916" s="528">
        <v>1</v>
      </c>
      <c r="J916" s="528">
        <v>163</v>
      </c>
      <c r="K916" s="458" t="s">
        <v>33</v>
      </c>
      <c r="L916" s="645">
        <f t="shared" si="106"/>
        <v>2139304.59</v>
      </c>
      <c r="M916" s="645">
        <v>2132556.5</v>
      </c>
      <c r="N916" s="646"/>
      <c r="O916" s="643">
        <v>6748.09</v>
      </c>
      <c r="P916" s="646"/>
      <c r="Q916" s="388"/>
      <c r="R916" s="648">
        <f>M916/G916</f>
        <v>2075.4807785888079</v>
      </c>
      <c r="U916" s="448"/>
      <c r="V916" s="390"/>
      <c r="Y916" s="419">
        <f t="shared" si="104"/>
        <v>2139304.59</v>
      </c>
      <c r="Z916" s="419"/>
    </row>
    <row r="917" spans="1:26" s="447" customFormat="1" ht="37.5" hidden="1" customHeight="1">
      <c r="A917" s="504">
        <f t="shared" si="107"/>
        <v>5</v>
      </c>
      <c r="B917" s="403" t="s">
        <v>1044</v>
      </c>
      <c r="C917" s="455" t="s">
        <v>222</v>
      </c>
      <c r="D917" s="606">
        <v>22943</v>
      </c>
      <c r="E917" s="391">
        <v>4042.5</v>
      </c>
      <c r="F917" s="391" t="s">
        <v>234</v>
      </c>
      <c r="G917" s="391">
        <v>896</v>
      </c>
      <c r="H917" s="528">
        <v>9</v>
      </c>
      <c r="I917" s="528">
        <v>1</v>
      </c>
      <c r="J917" s="528">
        <v>144</v>
      </c>
      <c r="K917" s="458" t="s">
        <v>220</v>
      </c>
      <c r="L917" s="645">
        <f t="shared" si="106"/>
        <v>2072025</v>
      </c>
      <c r="M917" s="729">
        <v>1990000</v>
      </c>
      <c r="N917" s="730">
        <v>82025</v>
      </c>
      <c r="O917" s="731"/>
      <c r="P917" s="730"/>
      <c r="Q917" s="646"/>
      <c r="R917" s="446">
        <f>M917</f>
        <v>1990000</v>
      </c>
      <c r="S917" s="416"/>
      <c r="U917" s="448"/>
      <c r="V917" s="390"/>
      <c r="Y917" s="419">
        <f t="shared" si="104"/>
        <v>2072025</v>
      </c>
      <c r="Z917" s="419"/>
    </row>
    <row r="918" spans="1:26" s="420" customFormat="1" ht="56.25" hidden="1" customHeight="1">
      <c r="A918" s="504">
        <f t="shared" si="107"/>
        <v>6</v>
      </c>
      <c r="B918" s="403" t="s">
        <v>1045</v>
      </c>
      <c r="C918" s="455" t="s">
        <v>222</v>
      </c>
      <c r="D918" s="606">
        <v>2022.07</v>
      </c>
      <c r="E918" s="391">
        <v>9784</v>
      </c>
      <c r="F918" s="391" t="s">
        <v>223</v>
      </c>
      <c r="G918" s="391">
        <v>657.6</v>
      </c>
      <c r="H918" s="528">
        <v>5</v>
      </c>
      <c r="I918" s="528">
        <v>1</v>
      </c>
      <c r="J918" s="528">
        <v>58</v>
      </c>
      <c r="K918" s="682" t="s">
        <v>30</v>
      </c>
      <c r="L918" s="529">
        <f t="shared" si="106"/>
        <v>1156272.42</v>
      </c>
      <c r="M918" s="394">
        <v>1151944.17</v>
      </c>
      <c r="N918" s="388"/>
      <c r="O918" s="643">
        <v>4328.25</v>
      </c>
      <c r="P918" s="388"/>
      <c r="Q918" s="388"/>
      <c r="R918" s="446">
        <f>M918/J918</f>
        <v>19861.106379310342</v>
      </c>
      <c r="U918" s="405"/>
      <c r="V918" s="390"/>
      <c r="Y918" s="419">
        <f t="shared" si="104"/>
        <v>1156272.42</v>
      </c>
      <c r="Z918" s="419"/>
    </row>
    <row r="919" spans="1:26" s="416" customFormat="1" ht="37.5" hidden="1" customHeight="1">
      <c r="A919" s="504">
        <f t="shared" si="107"/>
        <v>7</v>
      </c>
      <c r="B919" s="403" t="s">
        <v>1046</v>
      </c>
      <c r="C919" s="455" t="s">
        <v>222</v>
      </c>
      <c r="D919" s="606">
        <v>9460</v>
      </c>
      <c r="E919" s="391">
        <v>1578.7</v>
      </c>
      <c r="F919" s="667" t="s">
        <v>224</v>
      </c>
      <c r="G919" s="391">
        <v>657.6</v>
      </c>
      <c r="H919" s="528">
        <v>5</v>
      </c>
      <c r="I919" s="528">
        <v>1</v>
      </c>
      <c r="J919" s="528">
        <v>57</v>
      </c>
      <c r="K919" s="458" t="s">
        <v>33</v>
      </c>
      <c r="L919" s="645">
        <f t="shared" si="106"/>
        <v>1497212.23</v>
      </c>
      <c r="M919" s="652">
        <v>1492893.93</v>
      </c>
      <c r="N919" s="646"/>
      <c r="O919" s="643">
        <v>4318.3</v>
      </c>
      <c r="P919" s="646"/>
      <c r="Q919" s="388"/>
      <c r="R919" s="648">
        <f>M919/G919</f>
        <v>2270.2158302919706</v>
      </c>
      <c r="S919" s="447"/>
      <c r="U919" s="414"/>
      <c r="V919" s="390"/>
      <c r="Y919" s="419">
        <f t="shared" si="104"/>
        <v>1497212.23</v>
      </c>
      <c r="Z919" s="419"/>
    </row>
    <row r="920" spans="1:26" s="447" customFormat="1" ht="56.25" hidden="1" customHeight="1">
      <c r="A920" s="504">
        <f t="shared" si="107"/>
        <v>8</v>
      </c>
      <c r="B920" s="403" t="s">
        <v>1047</v>
      </c>
      <c r="C920" s="455" t="s">
        <v>222</v>
      </c>
      <c r="D920" s="606">
        <v>3720.4</v>
      </c>
      <c r="E920" s="391">
        <v>2444</v>
      </c>
      <c r="F920" s="667" t="s">
        <v>223</v>
      </c>
      <c r="G920" s="391">
        <v>2444</v>
      </c>
      <c r="H920" s="528">
        <v>5</v>
      </c>
      <c r="I920" s="528">
        <v>8</v>
      </c>
      <c r="J920" s="528">
        <v>112</v>
      </c>
      <c r="K920" s="458" t="s">
        <v>263</v>
      </c>
      <c r="L920" s="645">
        <f t="shared" si="106"/>
        <v>4905068.71</v>
      </c>
      <c r="M920" s="645">
        <v>4854323.71</v>
      </c>
      <c r="N920" s="646">
        <v>50745</v>
      </c>
      <c r="O920" s="647"/>
      <c r="P920" s="646"/>
      <c r="Q920" s="388"/>
      <c r="R920" s="648">
        <f>M920/G920</f>
        <v>1986.2208306055647</v>
      </c>
      <c r="S920" s="451"/>
      <c r="U920" s="448"/>
      <c r="V920" s="390"/>
      <c r="Y920" s="419">
        <f t="shared" si="104"/>
        <v>4905068.71</v>
      </c>
      <c r="Z920" s="419"/>
    </row>
    <row r="921" spans="1:26" s="420" customFormat="1" ht="56.25" hidden="1" customHeight="1">
      <c r="A921" s="504">
        <f t="shared" si="107"/>
        <v>9</v>
      </c>
      <c r="B921" s="403" t="s">
        <v>1048</v>
      </c>
      <c r="C921" s="455" t="s">
        <v>222</v>
      </c>
      <c r="D921" s="606">
        <v>3891.45</v>
      </c>
      <c r="E921" s="391">
        <v>22734</v>
      </c>
      <c r="F921" s="391" t="s">
        <v>223</v>
      </c>
      <c r="G921" s="391">
        <v>1241.0999999999999</v>
      </c>
      <c r="H921" s="528">
        <v>9</v>
      </c>
      <c r="I921" s="528">
        <v>2</v>
      </c>
      <c r="J921" s="528">
        <v>99</v>
      </c>
      <c r="K921" s="682" t="s">
        <v>30</v>
      </c>
      <c r="L921" s="529">
        <f t="shared" si="106"/>
        <v>2297297.7000000002</v>
      </c>
      <c r="M921" s="519">
        <v>2289909.83</v>
      </c>
      <c r="N921" s="388"/>
      <c r="O921" s="643">
        <v>7387.87</v>
      </c>
      <c r="P921" s="388"/>
      <c r="Q921" s="388"/>
      <c r="R921" s="446">
        <f>M921/J921</f>
        <v>23130.402323232323</v>
      </c>
      <c r="U921" s="405"/>
      <c r="V921" s="390"/>
      <c r="Y921" s="419">
        <f t="shared" si="104"/>
        <v>2297297.7000000002</v>
      </c>
      <c r="Z921" s="419"/>
    </row>
    <row r="922" spans="1:26" s="447" customFormat="1" ht="37.5" hidden="1" customHeight="1">
      <c r="A922" s="504">
        <f t="shared" si="107"/>
        <v>10</v>
      </c>
      <c r="B922" s="403" t="s">
        <v>1049</v>
      </c>
      <c r="C922" s="455" t="s">
        <v>222</v>
      </c>
      <c r="D922" s="606">
        <v>6291</v>
      </c>
      <c r="E922" s="391">
        <v>1094</v>
      </c>
      <c r="F922" s="388" t="s">
        <v>223</v>
      </c>
      <c r="G922" s="388">
        <v>687</v>
      </c>
      <c r="H922" s="446">
        <v>4</v>
      </c>
      <c r="I922" s="446">
        <v>2</v>
      </c>
      <c r="J922" s="446">
        <v>28</v>
      </c>
      <c r="K922" s="458" t="s">
        <v>225</v>
      </c>
      <c r="L922" s="645">
        <f t="shared" si="106"/>
        <v>354309.5</v>
      </c>
      <c r="M922" s="649">
        <v>330927</v>
      </c>
      <c r="N922" s="651">
        <v>23382.5</v>
      </c>
      <c r="O922" s="647"/>
      <c r="P922" s="651"/>
      <c r="Q922" s="388"/>
      <c r="R922" s="732">
        <f>M922/J922</f>
        <v>11818.821428571429</v>
      </c>
      <c r="S922" s="451"/>
      <c r="U922" s="448"/>
      <c r="V922" s="390"/>
      <c r="Y922" s="419">
        <f t="shared" si="104"/>
        <v>354309.5</v>
      </c>
      <c r="Z922" s="419"/>
    </row>
    <row r="923" spans="1:26" s="447" customFormat="1" ht="37.5" hidden="1" customHeight="1">
      <c r="A923" s="504">
        <f t="shared" si="107"/>
        <v>11</v>
      </c>
      <c r="B923" s="403" t="s">
        <v>1050</v>
      </c>
      <c r="C923" s="455" t="s">
        <v>222</v>
      </c>
      <c r="D923" s="606">
        <v>5320</v>
      </c>
      <c r="E923" s="391">
        <v>1085</v>
      </c>
      <c r="F923" s="391" t="s">
        <v>223</v>
      </c>
      <c r="G923" s="391">
        <v>573</v>
      </c>
      <c r="H923" s="528">
        <v>4</v>
      </c>
      <c r="I923" s="528">
        <v>2</v>
      </c>
      <c r="J923" s="528">
        <v>28</v>
      </c>
      <c r="K923" s="458" t="s">
        <v>239</v>
      </c>
      <c r="L923" s="645">
        <f t="shared" si="106"/>
        <v>1387184.12</v>
      </c>
      <c r="M923" s="396">
        <v>1361015.62</v>
      </c>
      <c r="N923" s="646">
        <v>26168.5</v>
      </c>
      <c r="O923" s="530"/>
      <c r="P923" s="391"/>
      <c r="Q923" s="388"/>
      <c r="R923" s="528">
        <f>M923/J923</f>
        <v>48607.700714285718</v>
      </c>
      <c r="S923" s="451"/>
      <c r="U923" s="448"/>
      <c r="V923" s="390"/>
      <c r="Y923" s="419">
        <f t="shared" si="104"/>
        <v>1387184.12</v>
      </c>
      <c r="Z923" s="419"/>
    </row>
    <row r="924" spans="1:26" s="447" customFormat="1" ht="37.5" hidden="1" customHeight="1">
      <c r="A924" s="504">
        <f t="shared" si="107"/>
        <v>12</v>
      </c>
      <c r="B924" s="403" t="s">
        <v>1051</v>
      </c>
      <c r="C924" s="455" t="s">
        <v>222</v>
      </c>
      <c r="D924" s="606">
        <v>5966</v>
      </c>
      <c r="E924" s="391">
        <v>1049.3</v>
      </c>
      <c r="F924" s="667" t="s">
        <v>234</v>
      </c>
      <c r="G924" s="391">
        <v>932</v>
      </c>
      <c r="H924" s="528">
        <v>3</v>
      </c>
      <c r="I924" s="528">
        <v>3</v>
      </c>
      <c r="J924" s="528">
        <v>23</v>
      </c>
      <c r="K924" s="458" t="s">
        <v>33</v>
      </c>
      <c r="L924" s="645">
        <f t="shared" si="106"/>
        <v>1339250.8</v>
      </c>
      <c r="M924" s="645">
        <v>1333130.56</v>
      </c>
      <c r="N924" s="646"/>
      <c r="O924" s="643">
        <v>6120.24</v>
      </c>
      <c r="P924" s="646"/>
      <c r="Q924" s="388"/>
      <c r="R924" s="648">
        <f>M924/G924</f>
        <v>1430.3975965665236</v>
      </c>
      <c r="U924" s="448"/>
      <c r="V924" s="390"/>
      <c r="Y924" s="419">
        <f t="shared" si="104"/>
        <v>1339250.8</v>
      </c>
      <c r="Z924" s="419"/>
    </row>
    <row r="925" spans="1:26" s="447" customFormat="1" ht="37.5" hidden="1" customHeight="1">
      <c r="A925" s="504">
        <f t="shared" si="107"/>
        <v>13</v>
      </c>
      <c r="B925" s="403" t="s">
        <v>1052</v>
      </c>
      <c r="C925" s="455" t="s">
        <v>222</v>
      </c>
      <c r="D925" s="606">
        <v>25986</v>
      </c>
      <c r="E925" s="391">
        <v>6759.2</v>
      </c>
      <c r="F925" s="391" t="s">
        <v>228</v>
      </c>
      <c r="G925" s="391">
        <v>2180.1999999999998</v>
      </c>
      <c r="H925" s="528">
        <v>5</v>
      </c>
      <c r="I925" s="528">
        <v>8</v>
      </c>
      <c r="J925" s="528">
        <v>108</v>
      </c>
      <c r="K925" s="458" t="s">
        <v>235</v>
      </c>
      <c r="L925" s="645">
        <f t="shared" si="106"/>
        <v>3735389.63</v>
      </c>
      <c r="M925" s="645">
        <v>3721072.58</v>
      </c>
      <c r="N925" s="646"/>
      <c r="O925" s="643">
        <v>14317.05</v>
      </c>
      <c r="P925" s="646"/>
      <c r="Q925" s="388"/>
      <c r="R925" s="648">
        <f>M925/G925</f>
        <v>1706.757444271168</v>
      </c>
      <c r="U925" s="448"/>
      <c r="V925" s="390"/>
      <c r="Y925" s="419">
        <f t="shared" si="104"/>
        <v>3735389.63</v>
      </c>
      <c r="Z925" s="419"/>
    </row>
    <row r="926" spans="1:26" s="448" customFormat="1" ht="37.5" hidden="1" customHeight="1">
      <c r="A926" s="504">
        <f t="shared" si="107"/>
        <v>14</v>
      </c>
      <c r="B926" s="403" t="s">
        <v>1053</v>
      </c>
      <c r="C926" s="648" t="s">
        <v>222</v>
      </c>
      <c r="D926" s="606">
        <v>12384</v>
      </c>
      <c r="E926" s="391">
        <v>2301</v>
      </c>
      <c r="F926" s="391" t="s">
        <v>234</v>
      </c>
      <c r="G926" s="391">
        <v>866</v>
      </c>
      <c r="H926" s="528">
        <v>5</v>
      </c>
      <c r="I926" s="528">
        <v>4</v>
      </c>
      <c r="J926" s="528">
        <v>60</v>
      </c>
      <c r="K926" s="458" t="s">
        <v>33</v>
      </c>
      <c r="L926" s="645">
        <f t="shared" si="106"/>
        <v>1876657.5899999999</v>
      </c>
      <c r="M926" s="645">
        <v>1870970.17</v>
      </c>
      <c r="N926" s="646"/>
      <c r="O926" s="643">
        <v>5687.42</v>
      </c>
      <c r="P926" s="646"/>
      <c r="Q926" s="388"/>
      <c r="R926" s="648">
        <f>M926/G926</f>
        <v>2160.473637413395</v>
      </c>
      <c r="S926" s="447"/>
      <c r="T926" s="447"/>
      <c r="V926" s="390"/>
      <c r="Y926" s="419">
        <f t="shared" si="104"/>
        <v>1876657.5899999999</v>
      </c>
      <c r="Z926" s="419"/>
    </row>
    <row r="927" spans="1:26" s="447" customFormat="1" ht="37.5" hidden="1" customHeight="1">
      <c r="A927" s="504">
        <f t="shared" si="107"/>
        <v>15</v>
      </c>
      <c r="B927" s="403" t="s">
        <v>1054</v>
      </c>
      <c r="C927" s="455" t="s">
        <v>222</v>
      </c>
      <c r="D927" s="606">
        <v>14824</v>
      </c>
      <c r="E927" s="391">
        <v>2497.6</v>
      </c>
      <c r="F927" s="391" t="s">
        <v>234</v>
      </c>
      <c r="G927" s="391">
        <v>805</v>
      </c>
      <c r="H927" s="528">
        <v>5</v>
      </c>
      <c r="I927" s="528">
        <v>4</v>
      </c>
      <c r="J927" s="528">
        <v>60</v>
      </c>
      <c r="K927" s="458" t="s">
        <v>33</v>
      </c>
      <c r="L927" s="645">
        <f t="shared" si="106"/>
        <v>1951438.3299999998</v>
      </c>
      <c r="M927" s="652">
        <v>1946151.9</v>
      </c>
      <c r="N927" s="646"/>
      <c r="O927" s="643">
        <v>5286.43</v>
      </c>
      <c r="P927" s="646"/>
      <c r="Q927" s="388"/>
      <c r="R927" s="648">
        <f>M927/G927</f>
        <v>2417.58</v>
      </c>
      <c r="U927" s="448"/>
      <c r="V927" s="390"/>
      <c r="Y927" s="419">
        <f t="shared" si="104"/>
        <v>1951438.3299999998</v>
      </c>
      <c r="Z927" s="419"/>
    </row>
    <row r="928" spans="1:26" s="405" customFormat="1" ht="37.5" hidden="1" customHeight="1">
      <c r="A928" s="504">
        <f t="shared" si="107"/>
        <v>16</v>
      </c>
      <c r="B928" s="403" t="s">
        <v>1055</v>
      </c>
      <c r="C928" s="648" t="s">
        <v>222</v>
      </c>
      <c r="D928" s="606">
        <v>16514.099999999999</v>
      </c>
      <c r="E928" s="388">
        <v>2714.05</v>
      </c>
      <c r="F928" s="667" t="s">
        <v>234</v>
      </c>
      <c r="G928" s="388">
        <v>630</v>
      </c>
      <c r="H928" s="446">
        <v>9</v>
      </c>
      <c r="I928" s="446">
        <v>1</v>
      </c>
      <c r="J928" s="446">
        <v>137</v>
      </c>
      <c r="K928" s="458" t="s">
        <v>220</v>
      </c>
      <c r="L928" s="519">
        <f t="shared" si="106"/>
        <v>2067051.31</v>
      </c>
      <c r="M928" s="529">
        <v>1985026.31</v>
      </c>
      <c r="N928" s="391">
        <v>82025</v>
      </c>
      <c r="O928" s="473"/>
      <c r="P928" s="388"/>
      <c r="Q928" s="388"/>
      <c r="R928" s="446">
        <f>M928/I928</f>
        <v>1985026.31</v>
      </c>
      <c r="S928" s="447"/>
      <c r="V928" s="390"/>
      <c r="Y928" s="419">
        <f t="shared" si="104"/>
        <v>2067051.31</v>
      </c>
      <c r="Z928" s="419"/>
    </row>
    <row r="929" spans="1:26" s="447" customFormat="1" ht="37.5" hidden="1" customHeight="1">
      <c r="A929" s="504">
        <f t="shared" si="107"/>
        <v>17</v>
      </c>
      <c r="B929" s="403" t="s">
        <v>1056</v>
      </c>
      <c r="C929" s="648" t="s">
        <v>222</v>
      </c>
      <c r="D929" s="606">
        <v>16514.099999999999</v>
      </c>
      <c r="E929" s="391">
        <v>2714.05</v>
      </c>
      <c r="F929" s="667" t="s">
        <v>234</v>
      </c>
      <c r="G929" s="391">
        <v>630</v>
      </c>
      <c r="H929" s="528">
        <v>9</v>
      </c>
      <c r="I929" s="528">
        <v>1</v>
      </c>
      <c r="J929" s="528">
        <v>137</v>
      </c>
      <c r="K929" s="458" t="s">
        <v>220</v>
      </c>
      <c r="L929" s="519">
        <f t="shared" si="106"/>
        <v>2064739.36</v>
      </c>
      <c r="M929" s="529">
        <v>1982714.36</v>
      </c>
      <c r="N929" s="391">
        <v>82025</v>
      </c>
      <c r="O929" s="473"/>
      <c r="P929" s="388"/>
      <c r="Q929" s="388"/>
      <c r="R929" s="446">
        <f>M929/I929</f>
        <v>1982714.36</v>
      </c>
      <c r="U929" s="448"/>
      <c r="V929" s="390"/>
      <c r="Y929" s="419">
        <f t="shared" si="104"/>
        <v>2064739.36</v>
      </c>
      <c r="Z929" s="419"/>
    </row>
    <row r="930" spans="1:26" s="416" customFormat="1" ht="56.25" hidden="1" customHeight="1">
      <c r="A930" s="504">
        <f t="shared" si="107"/>
        <v>18</v>
      </c>
      <c r="B930" s="403" t="s">
        <v>1057</v>
      </c>
      <c r="C930" s="455" t="s">
        <v>222</v>
      </c>
      <c r="D930" s="606">
        <v>3260</v>
      </c>
      <c r="E930" s="391">
        <v>18673</v>
      </c>
      <c r="F930" s="391" t="s">
        <v>223</v>
      </c>
      <c r="G930" s="391">
        <v>1633</v>
      </c>
      <c r="H930" s="528">
        <v>5</v>
      </c>
      <c r="I930" s="528">
        <v>6</v>
      </c>
      <c r="J930" s="528">
        <v>100</v>
      </c>
      <c r="K930" s="682" t="s">
        <v>30</v>
      </c>
      <c r="L930" s="529">
        <f t="shared" si="106"/>
        <v>2504962.5</v>
      </c>
      <c r="M930" s="519">
        <v>2497500</v>
      </c>
      <c r="N930" s="388"/>
      <c r="O930" s="643">
        <v>7462.5</v>
      </c>
      <c r="P930" s="388"/>
      <c r="Q930" s="388"/>
      <c r="R930" s="446">
        <f>M930/J930</f>
        <v>24975</v>
      </c>
      <c r="U930" s="414"/>
      <c r="V930" s="390"/>
      <c r="Y930" s="419">
        <f t="shared" si="104"/>
        <v>2504962.5</v>
      </c>
      <c r="Z930" s="419"/>
    </row>
    <row r="931" spans="1:26" s="447" customFormat="1" ht="37.5" hidden="1" customHeight="1">
      <c r="A931" s="504">
        <f t="shared" si="107"/>
        <v>19</v>
      </c>
      <c r="B931" s="403" t="s">
        <v>1058</v>
      </c>
      <c r="C931" s="455" t="s">
        <v>222</v>
      </c>
      <c r="D931" s="606">
        <v>2708.5</v>
      </c>
      <c r="E931" s="391">
        <v>14849</v>
      </c>
      <c r="F931" s="391" t="s">
        <v>234</v>
      </c>
      <c r="G931" s="391">
        <v>779.5</v>
      </c>
      <c r="H931" s="528">
        <v>5</v>
      </c>
      <c r="I931" s="528">
        <v>1</v>
      </c>
      <c r="J931" s="528">
        <v>67</v>
      </c>
      <c r="K931" s="458" t="s">
        <v>33</v>
      </c>
      <c r="L931" s="645">
        <f t="shared" si="106"/>
        <v>1611141.83</v>
      </c>
      <c r="M931" s="652">
        <v>1606022.55</v>
      </c>
      <c r="N931" s="646"/>
      <c r="O931" s="643">
        <v>5119.28</v>
      </c>
      <c r="P931" s="646"/>
      <c r="Q931" s="388"/>
      <c r="R931" s="648">
        <f t="shared" ref="R931:R941" si="108">M931/G931</f>
        <v>2060.3239897370108</v>
      </c>
      <c r="S931" s="405"/>
      <c r="U931" s="448"/>
      <c r="V931" s="390"/>
      <c r="Y931" s="419">
        <f t="shared" si="104"/>
        <v>1611141.83</v>
      </c>
      <c r="Z931" s="419"/>
    </row>
    <row r="932" spans="1:26" s="414" customFormat="1" ht="37.5" hidden="1">
      <c r="A932" s="504">
        <f t="shared" si="107"/>
        <v>20</v>
      </c>
      <c r="B932" s="403" t="s">
        <v>1059</v>
      </c>
      <c r="C932" s="455" t="s">
        <v>222</v>
      </c>
      <c r="D932" s="606">
        <v>17721</v>
      </c>
      <c r="E932" s="391">
        <v>3081.4</v>
      </c>
      <c r="F932" s="667" t="s">
        <v>234</v>
      </c>
      <c r="G932" s="391">
        <v>1265.8</v>
      </c>
      <c r="H932" s="528">
        <v>5</v>
      </c>
      <c r="I932" s="528">
        <v>6</v>
      </c>
      <c r="J932" s="528">
        <v>80</v>
      </c>
      <c r="K932" s="458" t="s">
        <v>33</v>
      </c>
      <c r="L932" s="645">
        <f t="shared" si="106"/>
        <v>2408445.7399999998</v>
      </c>
      <c r="M932" s="652">
        <v>2400133.5099999998</v>
      </c>
      <c r="N932" s="646"/>
      <c r="O932" s="643">
        <v>8312.23</v>
      </c>
      <c r="P932" s="646"/>
      <c r="Q932" s="388"/>
      <c r="R932" s="648">
        <f t="shared" si="108"/>
        <v>1896.1396034128613</v>
      </c>
      <c r="S932" s="447"/>
      <c r="V932" s="390"/>
      <c r="Y932" s="419">
        <f t="shared" si="104"/>
        <v>2408445.7399999998</v>
      </c>
      <c r="Z932" s="419"/>
    </row>
    <row r="933" spans="1:26" s="447" customFormat="1" ht="75" hidden="1" customHeight="1">
      <c r="A933" s="504">
        <f t="shared" si="107"/>
        <v>21</v>
      </c>
      <c r="B933" s="403" t="s">
        <v>1060</v>
      </c>
      <c r="C933" s="455" t="s">
        <v>222</v>
      </c>
      <c r="D933" s="606">
        <v>13263</v>
      </c>
      <c r="E933" s="391">
        <v>2469.5</v>
      </c>
      <c r="F933" s="667" t="s">
        <v>223</v>
      </c>
      <c r="G933" s="391">
        <v>1222</v>
      </c>
      <c r="H933" s="528">
        <v>5</v>
      </c>
      <c r="I933" s="528">
        <v>4</v>
      </c>
      <c r="J933" s="528">
        <v>69</v>
      </c>
      <c r="K933" s="458" t="s">
        <v>3767</v>
      </c>
      <c r="L933" s="645">
        <f t="shared" si="106"/>
        <v>2837853.24</v>
      </c>
      <c r="M933" s="652">
        <v>2806013.24</v>
      </c>
      <c r="N933" s="646">
        <v>31840</v>
      </c>
      <c r="O933" s="647"/>
      <c r="P933" s="646"/>
      <c r="Q933" s="388"/>
      <c r="R933" s="648">
        <f t="shared" si="108"/>
        <v>2296.2465139116207</v>
      </c>
      <c r="S933" s="451"/>
      <c r="U933" s="448"/>
      <c r="V933" s="390"/>
      <c r="Y933" s="419">
        <f t="shared" si="104"/>
        <v>2837853.24</v>
      </c>
      <c r="Z933" s="419"/>
    </row>
    <row r="934" spans="1:26" s="414" customFormat="1" ht="56.25" hidden="1">
      <c r="A934" s="504">
        <f t="shared" si="107"/>
        <v>22</v>
      </c>
      <c r="B934" s="403" t="s">
        <v>1061</v>
      </c>
      <c r="C934" s="455" t="s">
        <v>222</v>
      </c>
      <c r="D934" s="606">
        <v>2152.8000000000002</v>
      </c>
      <c r="E934" s="391">
        <v>717.6</v>
      </c>
      <c r="F934" s="391" t="s">
        <v>223</v>
      </c>
      <c r="G934" s="391">
        <v>862</v>
      </c>
      <c r="H934" s="528">
        <v>2</v>
      </c>
      <c r="I934" s="528">
        <v>3</v>
      </c>
      <c r="J934" s="528">
        <v>21</v>
      </c>
      <c r="K934" s="458" t="s">
        <v>263</v>
      </c>
      <c r="L934" s="645">
        <f t="shared" si="106"/>
        <v>1926286.1099999999</v>
      </c>
      <c r="M934" s="645">
        <v>1892456.1099999999</v>
      </c>
      <c r="N934" s="646">
        <v>33830</v>
      </c>
      <c r="O934" s="647"/>
      <c r="P934" s="646"/>
      <c r="Q934" s="388"/>
      <c r="R934" s="648">
        <f t="shared" si="108"/>
        <v>2195.4247215777259</v>
      </c>
      <c r="S934" s="451"/>
      <c r="U934" s="388"/>
      <c r="V934" s="390"/>
      <c r="Y934" s="419">
        <f t="shared" si="104"/>
        <v>1926286.1099999999</v>
      </c>
      <c r="Z934" s="419"/>
    </row>
    <row r="935" spans="1:26" s="405" customFormat="1" ht="37.5" hidden="1">
      <c r="A935" s="504">
        <f t="shared" si="107"/>
        <v>23</v>
      </c>
      <c r="B935" s="403" t="s">
        <v>1062</v>
      </c>
      <c r="C935" s="455" t="s">
        <v>222</v>
      </c>
      <c r="D935" s="606">
        <v>6839.0999999999995</v>
      </c>
      <c r="E935" s="391">
        <v>2279.6999999999998</v>
      </c>
      <c r="F935" s="391" t="s">
        <v>234</v>
      </c>
      <c r="G935" s="391">
        <v>875</v>
      </c>
      <c r="H935" s="528">
        <v>5</v>
      </c>
      <c r="I935" s="528">
        <v>4</v>
      </c>
      <c r="J935" s="528">
        <v>48</v>
      </c>
      <c r="K935" s="458" t="s">
        <v>33</v>
      </c>
      <c r="L935" s="645">
        <f t="shared" si="106"/>
        <v>1818191.43</v>
      </c>
      <c r="M935" s="652">
        <v>1812445.3</v>
      </c>
      <c r="N935" s="646"/>
      <c r="O935" s="643">
        <v>5746.13</v>
      </c>
      <c r="P935" s="646"/>
      <c r="Q935" s="388"/>
      <c r="R935" s="648">
        <f t="shared" si="108"/>
        <v>2071.3660571428572</v>
      </c>
      <c r="S935" s="414"/>
      <c r="V935" s="390"/>
      <c r="Y935" s="419">
        <f t="shared" si="104"/>
        <v>1818191.43</v>
      </c>
      <c r="Z935" s="419"/>
    </row>
    <row r="936" spans="1:26" s="447" customFormat="1" ht="56.25" hidden="1" customHeight="1">
      <c r="A936" s="504">
        <f t="shared" si="107"/>
        <v>24</v>
      </c>
      <c r="B936" s="403" t="s">
        <v>1063</v>
      </c>
      <c r="C936" s="455" t="s">
        <v>222</v>
      </c>
      <c r="D936" s="606">
        <v>1158</v>
      </c>
      <c r="E936" s="388">
        <v>386</v>
      </c>
      <c r="F936" s="391" t="s">
        <v>223</v>
      </c>
      <c r="G936" s="388">
        <v>861</v>
      </c>
      <c r="H936" s="446">
        <v>2</v>
      </c>
      <c r="I936" s="446">
        <v>2</v>
      </c>
      <c r="J936" s="446">
        <v>12</v>
      </c>
      <c r="K936" s="458" t="s">
        <v>263</v>
      </c>
      <c r="L936" s="645">
        <f t="shared" si="106"/>
        <v>2358293.36</v>
      </c>
      <c r="M936" s="645">
        <f>2141737.5+183223.36</f>
        <v>2324960.86</v>
      </c>
      <c r="N936" s="646">
        <v>33332.5</v>
      </c>
      <c r="O936" s="647"/>
      <c r="P936" s="646"/>
      <c r="Q936" s="388"/>
      <c r="R936" s="648">
        <f t="shared" si="108"/>
        <v>2700.3029732868754</v>
      </c>
      <c r="S936" s="451"/>
      <c r="U936" s="388"/>
      <c r="V936" s="390"/>
      <c r="Y936" s="419">
        <f t="shared" si="104"/>
        <v>2358293.36</v>
      </c>
      <c r="Z936" s="419"/>
    </row>
    <row r="937" spans="1:26" s="447" customFormat="1" ht="56.25" hidden="1" customHeight="1">
      <c r="A937" s="504">
        <f t="shared" si="107"/>
        <v>25</v>
      </c>
      <c r="B937" s="403" t="s">
        <v>1064</v>
      </c>
      <c r="C937" s="455" t="s">
        <v>222</v>
      </c>
      <c r="D937" s="606">
        <v>3059</v>
      </c>
      <c r="E937" s="391">
        <v>652.12</v>
      </c>
      <c r="F937" s="667" t="s">
        <v>223</v>
      </c>
      <c r="G937" s="391">
        <v>602.70000000000005</v>
      </c>
      <c r="H937" s="528">
        <v>2</v>
      </c>
      <c r="I937" s="528">
        <v>2</v>
      </c>
      <c r="J937" s="528">
        <v>14</v>
      </c>
      <c r="K937" s="458" t="s">
        <v>263</v>
      </c>
      <c r="L937" s="645">
        <f t="shared" si="106"/>
        <v>1121416.26</v>
      </c>
      <c r="M937" s="645">
        <v>1090073.76</v>
      </c>
      <c r="N937" s="646">
        <v>31342.5</v>
      </c>
      <c r="O937" s="647"/>
      <c r="P937" s="646"/>
      <c r="Q937" s="388"/>
      <c r="R937" s="648">
        <f t="shared" si="108"/>
        <v>1808.6506719761073</v>
      </c>
      <c r="S937" s="451"/>
      <c r="U937" s="448"/>
      <c r="V937" s="390"/>
      <c r="Y937" s="419">
        <f t="shared" si="104"/>
        <v>1121416.26</v>
      </c>
      <c r="Z937" s="419"/>
    </row>
    <row r="938" spans="1:26" s="447" customFormat="1" ht="56.25" hidden="1" customHeight="1">
      <c r="A938" s="504">
        <f t="shared" si="107"/>
        <v>26</v>
      </c>
      <c r="B938" s="403" t="s">
        <v>3777</v>
      </c>
      <c r="C938" s="455" t="s">
        <v>222</v>
      </c>
      <c r="D938" s="606">
        <v>4018</v>
      </c>
      <c r="E938" s="391">
        <v>750.2</v>
      </c>
      <c r="F938" s="667" t="s">
        <v>231</v>
      </c>
      <c r="G938" s="391">
        <v>825.7</v>
      </c>
      <c r="H938" s="528">
        <v>2</v>
      </c>
      <c r="I938" s="528">
        <v>2</v>
      </c>
      <c r="J938" s="528">
        <v>15</v>
      </c>
      <c r="K938" s="458" t="s">
        <v>3764</v>
      </c>
      <c r="L938" s="645">
        <f t="shared" si="106"/>
        <v>1351021.22</v>
      </c>
      <c r="M938" s="645">
        <v>1318882.72</v>
      </c>
      <c r="N938" s="646">
        <v>32138.5</v>
      </c>
      <c r="O938" s="647"/>
      <c r="P938" s="646"/>
      <c r="Q938" s="388"/>
      <c r="R938" s="648">
        <f t="shared" si="108"/>
        <v>1597.2904444713574</v>
      </c>
      <c r="S938" s="451"/>
      <c r="U938" s="448"/>
      <c r="V938" s="390"/>
      <c r="Y938" s="419">
        <f t="shared" si="104"/>
        <v>1351021.22</v>
      </c>
      <c r="Z938" s="419"/>
    </row>
    <row r="939" spans="1:26" s="447" customFormat="1" ht="75" hidden="1" customHeight="1">
      <c r="A939" s="504">
        <f t="shared" si="107"/>
        <v>27</v>
      </c>
      <c r="B939" s="403" t="s">
        <v>1065</v>
      </c>
      <c r="C939" s="455" t="s">
        <v>240</v>
      </c>
      <c r="D939" s="606">
        <v>3497</v>
      </c>
      <c r="E939" s="391">
        <v>782</v>
      </c>
      <c r="F939" s="667" t="s">
        <v>223</v>
      </c>
      <c r="G939" s="391">
        <v>944</v>
      </c>
      <c r="H939" s="528">
        <v>2</v>
      </c>
      <c r="I939" s="528">
        <v>2</v>
      </c>
      <c r="J939" s="528">
        <v>12</v>
      </c>
      <c r="K939" s="458" t="s">
        <v>256</v>
      </c>
      <c r="L939" s="645">
        <f t="shared" si="106"/>
        <v>1613432.32</v>
      </c>
      <c r="M939" s="652">
        <v>1576617.32</v>
      </c>
      <c r="N939" s="646">
        <v>36815</v>
      </c>
      <c r="O939" s="647"/>
      <c r="P939" s="646"/>
      <c r="Q939" s="388"/>
      <c r="R939" s="648">
        <f t="shared" si="108"/>
        <v>1670.1454661016951</v>
      </c>
      <c r="S939" s="451"/>
      <c r="U939" s="448"/>
      <c r="V939" s="390"/>
      <c r="Y939" s="419">
        <f t="shared" si="104"/>
        <v>1613432.32</v>
      </c>
      <c r="Z939" s="419"/>
    </row>
    <row r="940" spans="1:26" s="447" customFormat="1" ht="56.25" hidden="1" customHeight="1">
      <c r="A940" s="504">
        <f t="shared" si="107"/>
        <v>28</v>
      </c>
      <c r="B940" s="403" t="s">
        <v>1066</v>
      </c>
      <c r="C940" s="455" t="s">
        <v>222</v>
      </c>
      <c r="D940" s="606">
        <v>21105</v>
      </c>
      <c r="E940" s="391">
        <v>3143</v>
      </c>
      <c r="F940" s="667" t="s">
        <v>223</v>
      </c>
      <c r="G940" s="391">
        <v>1164</v>
      </c>
      <c r="H940" s="528">
        <v>5</v>
      </c>
      <c r="I940" s="528">
        <v>6</v>
      </c>
      <c r="J940" s="528">
        <v>92</v>
      </c>
      <c r="K940" s="458" t="s">
        <v>263</v>
      </c>
      <c r="L940" s="645">
        <f t="shared" si="106"/>
        <v>2927447.27</v>
      </c>
      <c r="M940" s="652">
        <v>2897099.77</v>
      </c>
      <c r="N940" s="646">
        <v>30347.5</v>
      </c>
      <c r="O940" s="647"/>
      <c r="P940" s="646"/>
      <c r="Q940" s="388"/>
      <c r="R940" s="648">
        <f t="shared" si="108"/>
        <v>2488.9173281786943</v>
      </c>
      <c r="S940" s="451"/>
      <c r="U940" s="448"/>
      <c r="V940" s="390"/>
      <c r="Y940" s="419">
        <f t="shared" si="104"/>
        <v>2927447.27</v>
      </c>
      <c r="Z940" s="419"/>
    </row>
    <row r="941" spans="1:26" s="447" customFormat="1" ht="37.5" hidden="1" customHeight="1">
      <c r="A941" s="504">
        <f t="shared" si="107"/>
        <v>29</v>
      </c>
      <c r="B941" s="403" t="s">
        <v>1067</v>
      </c>
      <c r="C941" s="455" t="s">
        <v>222</v>
      </c>
      <c r="D941" s="606">
        <v>21614</v>
      </c>
      <c r="E941" s="391">
        <v>3524</v>
      </c>
      <c r="F941" s="667" t="s">
        <v>224</v>
      </c>
      <c r="G941" s="391">
        <v>1689</v>
      </c>
      <c r="H941" s="528">
        <v>5</v>
      </c>
      <c r="I941" s="528">
        <v>7</v>
      </c>
      <c r="J941" s="528">
        <v>96</v>
      </c>
      <c r="K941" s="458" t="s">
        <v>33</v>
      </c>
      <c r="L941" s="645">
        <f t="shared" si="106"/>
        <v>2750073.93</v>
      </c>
      <c r="M941" s="652">
        <v>2738982.66</v>
      </c>
      <c r="N941" s="646"/>
      <c r="O941" s="643">
        <v>11091.27</v>
      </c>
      <c r="P941" s="646"/>
      <c r="Q941" s="388"/>
      <c r="R941" s="648">
        <f t="shared" si="108"/>
        <v>1621.6593605683838</v>
      </c>
      <c r="U941" s="448"/>
      <c r="V941" s="390"/>
      <c r="Y941" s="419">
        <f t="shared" si="104"/>
        <v>2750073.93</v>
      </c>
      <c r="Z941" s="419"/>
    </row>
    <row r="942" spans="1:26" s="447" customFormat="1" ht="37.5" hidden="1" customHeight="1">
      <c r="A942" s="504">
        <f t="shared" si="107"/>
        <v>30</v>
      </c>
      <c r="B942" s="1124" t="s">
        <v>1068</v>
      </c>
      <c r="C942" s="455" t="s">
        <v>240</v>
      </c>
      <c r="D942" s="606">
        <v>1731</v>
      </c>
      <c r="E942" s="391">
        <v>420</v>
      </c>
      <c r="F942" s="667" t="s">
        <v>223</v>
      </c>
      <c r="G942" s="391">
        <v>407</v>
      </c>
      <c r="H942" s="528">
        <v>2</v>
      </c>
      <c r="I942" s="528">
        <v>1</v>
      </c>
      <c r="J942" s="528">
        <v>8</v>
      </c>
      <c r="K942" s="458" t="s">
        <v>239</v>
      </c>
      <c r="L942" s="1118">
        <f>M942+N942+O942+P942+Q942+M943+N943+O943+P943+Q943</f>
        <v>372922.27</v>
      </c>
      <c r="M942" s="396">
        <v>239760</v>
      </c>
      <c r="N942" s="388">
        <v>23382.5</v>
      </c>
      <c r="O942" s="530"/>
      <c r="P942" s="391"/>
      <c r="Q942" s="388"/>
      <c r="R942" s="528">
        <f>M942/J942</f>
        <v>29970</v>
      </c>
      <c r="S942" s="451"/>
      <c r="U942" s="448"/>
      <c r="V942" s="390"/>
      <c r="Y942" s="419">
        <f t="shared" si="104"/>
        <v>263142.5</v>
      </c>
      <c r="Z942" s="419"/>
    </row>
    <row r="943" spans="1:26" s="447" customFormat="1" ht="56.25" hidden="1" customHeight="1">
      <c r="A943" s="504"/>
      <c r="B943" s="1124"/>
      <c r="C943" s="455"/>
      <c r="D943" s="606"/>
      <c r="E943" s="391"/>
      <c r="F943" s="667"/>
      <c r="G943" s="391"/>
      <c r="H943" s="528"/>
      <c r="I943" s="528"/>
      <c r="J943" s="528"/>
      <c r="K943" s="458" t="s">
        <v>30</v>
      </c>
      <c r="L943" s="1118"/>
      <c r="M943" s="396">
        <v>100393.58</v>
      </c>
      <c r="N943" s="388"/>
      <c r="O943" s="530">
        <v>618.75</v>
      </c>
      <c r="P943" s="391"/>
      <c r="Q943" s="388">
        <v>8767.44</v>
      </c>
      <c r="R943" s="528">
        <f>M943/J942</f>
        <v>12549.1975</v>
      </c>
      <c r="S943" s="451"/>
      <c r="U943" s="448"/>
      <c r="V943" s="390"/>
      <c r="Y943" s="419">
        <f t="shared" si="104"/>
        <v>109779.77</v>
      </c>
      <c r="Z943" s="419"/>
    </row>
    <row r="944" spans="1:26" s="447" customFormat="1" ht="37.5" hidden="1" customHeight="1">
      <c r="A944" s="504">
        <f>A942+1</f>
        <v>31</v>
      </c>
      <c r="B944" s="403" t="s">
        <v>1069</v>
      </c>
      <c r="C944" s="455" t="s">
        <v>222</v>
      </c>
      <c r="D944" s="606">
        <v>7389</v>
      </c>
      <c r="E944" s="391">
        <v>1461</v>
      </c>
      <c r="F944" s="667" t="s">
        <v>224</v>
      </c>
      <c r="G944" s="391">
        <v>830</v>
      </c>
      <c r="H944" s="528">
        <v>3</v>
      </c>
      <c r="I944" s="528">
        <v>3</v>
      </c>
      <c r="J944" s="528">
        <v>33</v>
      </c>
      <c r="K944" s="458" t="s">
        <v>33</v>
      </c>
      <c r="L944" s="645">
        <f t="shared" ref="L944:L958" si="109">M944+N944+O944+P944+Q944</f>
        <v>1552215.1700000002</v>
      </c>
      <c r="M944" s="652">
        <v>1546764.56</v>
      </c>
      <c r="N944" s="646"/>
      <c r="O944" s="643">
        <v>5450.61</v>
      </c>
      <c r="P944" s="646"/>
      <c r="Q944" s="388"/>
      <c r="R944" s="648">
        <f>M944/G944</f>
        <v>1863.5717590361446</v>
      </c>
      <c r="U944" s="448"/>
      <c r="V944" s="390"/>
      <c r="Y944" s="419">
        <f t="shared" si="104"/>
        <v>1552215.1700000002</v>
      </c>
      <c r="Z944" s="419"/>
    </row>
    <row r="945" spans="1:26" s="447" customFormat="1" ht="37.5" hidden="1" customHeight="1">
      <c r="A945" s="504">
        <f>A944+1</f>
        <v>32</v>
      </c>
      <c r="B945" s="403" t="s">
        <v>1071</v>
      </c>
      <c r="C945" s="455" t="s">
        <v>222</v>
      </c>
      <c r="D945" s="606">
        <v>4462</v>
      </c>
      <c r="E945" s="391">
        <v>1271</v>
      </c>
      <c r="F945" s="667" t="s">
        <v>224</v>
      </c>
      <c r="G945" s="391">
        <v>315</v>
      </c>
      <c r="H945" s="528">
        <v>5</v>
      </c>
      <c r="I945" s="528">
        <v>1</v>
      </c>
      <c r="J945" s="528">
        <v>18</v>
      </c>
      <c r="K945" s="458" t="s">
        <v>33</v>
      </c>
      <c r="L945" s="645">
        <f t="shared" si="109"/>
        <v>517312.23</v>
      </c>
      <c r="M945" s="652">
        <v>515243.62</v>
      </c>
      <c r="N945" s="646"/>
      <c r="O945" s="643">
        <v>2068.61</v>
      </c>
      <c r="P945" s="646"/>
      <c r="Q945" s="388"/>
      <c r="R945" s="648">
        <f>M945/G945</f>
        <v>1635.6940317460317</v>
      </c>
      <c r="U945" s="448"/>
      <c r="V945" s="390"/>
      <c r="Y945" s="419">
        <f t="shared" si="104"/>
        <v>517312.23</v>
      </c>
      <c r="Z945" s="419"/>
    </row>
    <row r="946" spans="1:26" s="447" customFormat="1" ht="37.5" hidden="1" customHeight="1">
      <c r="A946" s="504">
        <f t="shared" si="107"/>
        <v>33</v>
      </c>
      <c r="B946" s="403" t="s">
        <v>1072</v>
      </c>
      <c r="C946" s="455" t="s">
        <v>222</v>
      </c>
      <c r="D946" s="606">
        <v>13418</v>
      </c>
      <c r="E946" s="391">
        <v>2470.5</v>
      </c>
      <c r="F946" s="667" t="s">
        <v>234</v>
      </c>
      <c r="G946" s="391">
        <v>925.4</v>
      </c>
      <c r="H946" s="528">
        <v>5</v>
      </c>
      <c r="I946" s="528">
        <v>4</v>
      </c>
      <c r="J946" s="528">
        <v>70</v>
      </c>
      <c r="K946" s="458" t="s">
        <v>33</v>
      </c>
      <c r="L946" s="645">
        <f t="shared" si="109"/>
        <v>1809712.7</v>
      </c>
      <c r="M946" s="652">
        <v>1803635.24</v>
      </c>
      <c r="N946" s="646"/>
      <c r="O946" s="643">
        <v>6077.46</v>
      </c>
      <c r="P946" s="646"/>
      <c r="Q946" s="388"/>
      <c r="R946" s="648">
        <f>M946/G946</f>
        <v>1949.0331100064836</v>
      </c>
      <c r="U946" s="448"/>
      <c r="V946" s="390"/>
      <c r="Y946" s="419">
        <f t="shared" si="104"/>
        <v>1809712.7</v>
      </c>
      <c r="Z946" s="419"/>
    </row>
    <row r="947" spans="1:26" s="447" customFormat="1" ht="37.5" hidden="1" customHeight="1">
      <c r="A947" s="504">
        <f t="shared" si="107"/>
        <v>34</v>
      </c>
      <c r="B947" s="403" t="s">
        <v>1073</v>
      </c>
      <c r="C947" s="455" t="s">
        <v>222</v>
      </c>
      <c r="D947" s="606">
        <v>2893</v>
      </c>
      <c r="E947" s="388">
        <v>382</v>
      </c>
      <c r="F947" s="667" t="s">
        <v>234</v>
      </c>
      <c r="G947" s="388">
        <v>1147.8</v>
      </c>
      <c r="H947" s="446">
        <v>5</v>
      </c>
      <c r="I947" s="446">
        <v>8</v>
      </c>
      <c r="J947" s="446">
        <v>108</v>
      </c>
      <c r="K947" s="458" t="s">
        <v>426</v>
      </c>
      <c r="L947" s="645">
        <f t="shared" si="109"/>
        <v>1085353.3700000001</v>
      </c>
      <c r="M947" s="649">
        <v>1055503.3700000001</v>
      </c>
      <c r="N947" s="651">
        <v>29850</v>
      </c>
      <c r="O947" s="647"/>
      <c r="P947" s="651"/>
      <c r="Q947" s="388"/>
      <c r="R947" s="528">
        <f>M947/E947</f>
        <v>2763.0978272251314</v>
      </c>
      <c r="S947" s="451"/>
      <c r="U947" s="448"/>
      <c r="V947" s="390"/>
      <c r="Y947" s="419">
        <f t="shared" si="104"/>
        <v>1085353.3700000001</v>
      </c>
      <c r="Z947" s="419"/>
    </row>
    <row r="948" spans="1:26" s="447" customFormat="1" ht="56.25" hidden="1" customHeight="1">
      <c r="A948" s="504">
        <f t="shared" si="107"/>
        <v>35</v>
      </c>
      <c r="B948" s="403" t="s">
        <v>1074</v>
      </c>
      <c r="C948" s="455" t="s">
        <v>222</v>
      </c>
      <c r="D948" s="606">
        <v>601</v>
      </c>
      <c r="E948" s="391">
        <v>2547</v>
      </c>
      <c r="F948" s="391" t="s">
        <v>223</v>
      </c>
      <c r="G948" s="391">
        <v>1030</v>
      </c>
      <c r="H948" s="528">
        <v>2</v>
      </c>
      <c r="I948" s="528">
        <v>2</v>
      </c>
      <c r="J948" s="528">
        <v>16</v>
      </c>
      <c r="K948" s="458" t="s">
        <v>263</v>
      </c>
      <c r="L948" s="645">
        <f t="shared" si="109"/>
        <v>2241766.96</v>
      </c>
      <c r="M948" s="645">
        <v>2202359.98</v>
      </c>
      <c r="N948" s="646">
        <v>39406.980000000003</v>
      </c>
      <c r="O948" s="647"/>
      <c r="P948" s="646"/>
      <c r="Q948" s="388"/>
      <c r="R948" s="648">
        <f>M948/G948</f>
        <v>2138.213572815534</v>
      </c>
      <c r="S948" s="451" t="s">
        <v>3486</v>
      </c>
      <c r="U948" s="448"/>
      <c r="V948" s="390"/>
      <c r="Y948" s="419">
        <f t="shared" si="104"/>
        <v>2241766.96</v>
      </c>
      <c r="Z948" s="419"/>
    </row>
    <row r="949" spans="1:26" s="447" customFormat="1" ht="56.25" hidden="1" customHeight="1">
      <c r="A949" s="504">
        <f t="shared" si="107"/>
        <v>36</v>
      </c>
      <c r="B949" s="403" t="s">
        <v>1075</v>
      </c>
      <c r="C949" s="455" t="s">
        <v>240</v>
      </c>
      <c r="D949" s="606">
        <v>1491.6</v>
      </c>
      <c r="E949" s="391">
        <v>497.2</v>
      </c>
      <c r="F949" s="391" t="s">
        <v>223</v>
      </c>
      <c r="G949" s="391">
        <v>386.1</v>
      </c>
      <c r="H949" s="528">
        <v>2</v>
      </c>
      <c r="I949" s="528">
        <v>2</v>
      </c>
      <c r="J949" s="528">
        <v>8</v>
      </c>
      <c r="K949" s="682" t="s">
        <v>30</v>
      </c>
      <c r="L949" s="645">
        <f t="shared" si="109"/>
        <v>209597</v>
      </c>
      <c r="M949" s="394">
        <v>209000</v>
      </c>
      <c r="N949" s="388"/>
      <c r="O949" s="643">
        <v>597</v>
      </c>
      <c r="P949" s="388"/>
      <c r="Q949" s="388"/>
      <c r="R949" s="446">
        <f>M949/J949</f>
        <v>26125</v>
      </c>
      <c r="S949" s="451"/>
      <c r="U949" s="448"/>
      <c r="V949" s="390"/>
      <c r="Y949" s="419">
        <f t="shared" si="104"/>
        <v>209597</v>
      </c>
      <c r="Z949" s="419"/>
    </row>
    <row r="950" spans="1:26" s="447" customFormat="1" ht="56.25" hidden="1" customHeight="1">
      <c r="A950" s="504">
        <f t="shared" si="107"/>
        <v>37</v>
      </c>
      <c r="B950" s="403" t="s">
        <v>1076</v>
      </c>
      <c r="C950" s="455" t="s">
        <v>222</v>
      </c>
      <c r="D950" s="606">
        <v>8346.49</v>
      </c>
      <c r="E950" s="391">
        <v>2878.1</v>
      </c>
      <c r="F950" s="391" t="s">
        <v>223</v>
      </c>
      <c r="G950" s="391">
        <v>1222</v>
      </c>
      <c r="H950" s="528">
        <v>5</v>
      </c>
      <c r="I950" s="528">
        <v>4</v>
      </c>
      <c r="J950" s="528">
        <v>70</v>
      </c>
      <c r="K950" s="458" t="s">
        <v>263</v>
      </c>
      <c r="L950" s="645">
        <f t="shared" si="109"/>
        <v>2814730.6399999997</v>
      </c>
      <c r="M950" s="652">
        <v>2787772.11</v>
      </c>
      <c r="N950" s="646">
        <v>26958.53</v>
      </c>
      <c r="O950" s="647"/>
      <c r="P950" s="646"/>
      <c r="Q950" s="388"/>
      <c r="R950" s="648">
        <f t="shared" ref="R950:R958" si="110">M950/G950</f>
        <v>2281.3192389525366</v>
      </c>
      <c r="S950" s="451"/>
      <c r="U950" s="448"/>
      <c r="V950" s="390"/>
      <c r="Y950" s="419">
        <f t="shared" si="104"/>
        <v>2814730.6399999997</v>
      </c>
      <c r="Z950" s="419"/>
    </row>
    <row r="951" spans="1:26" s="447" customFormat="1" ht="56.25" hidden="1" customHeight="1">
      <c r="A951" s="504">
        <f t="shared" si="107"/>
        <v>38</v>
      </c>
      <c r="B951" s="403" t="s">
        <v>1077</v>
      </c>
      <c r="C951" s="455" t="s">
        <v>222</v>
      </c>
      <c r="D951" s="606">
        <v>6685.95</v>
      </c>
      <c r="E951" s="391">
        <v>2305.5</v>
      </c>
      <c r="F951" s="391" t="s">
        <v>223</v>
      </c>
      <c r="G951" s="391">
        <v>1222</v>
      </c>
      <c r="H951" s="528">
        <v>5</v>
      </c>
      <c r="I951" s="528">
        <v>4</v>
      </c>
      <c r="J951" s="528">
        <v>70</v>
      </c>
      <c r="K951" s="458" t="s">
        <v>263</v>
      </c>
      <c r="L951" s="645">
        <f t="shared" si="109"/>
        <v>2856850.9099999997</v>
      </c>
      <c r="M951" s="645">
        <v>2828676.4899999998</v>
      </c>
      <c r="N951" s="646">
        <v>28174.42</v>
      </c>
      <c r="O951" s="647"/>
      <c r="P951" s="646"/>
      <c r="Q951" s="388"/>
      <c r="R951" s="648">
        <f t="shared" si="110"/>
        <v>2314.792545008183</v>
      </c>
      <c r="S951" s="451"/>
      <c r="U951" s="448"/>
      <c r="V951" s="390"/>
      <c r="Y951" s="419">
        <f t="shared" si="104"/>
        <v>2856850.9099999997</v>
      </c>
      <c r="Z951" s="419"/>
    </row>
    <row r="952" spans="1:26" s="420" customFormat="1" ht="56.25" hidden="1" customHeight="1">
      <c r="A952" s="504">
        <f t="shared" si="107"/>
        <v>39</v>
      </c>
      <c r="B952" s="403" t="s">
        <v>1078</v>
      </c>
      <c r="C952" s="382" t="s">
        <v>240</v>
      </c>
      <c r="D952" s="641">
        <v>1819.605</v>
      </c>
      <c r="E952" s="388">
        <v>627.45000000000005</v>
      </c>
      <c r="F952" s="391" t="s">
        <v>223</v>
      </c>
      <c r="G952" s="388">
        <v>547.29999999999995</v>
      </c>
      <c r="H952" s="446">
        <v>2</v>
      </c>
      <c r="I952" s="446">
        <v>2</v>
      </c>
      <c r="J952" s="446">
        <v>10</v>
      </c>
      <c r="K952" s="458" t="s">
        <v>263</v>
      </c>
      <c r="L952" s="645">
        <f t="shared" si="109"/>
        <v>1262831.6599999999</v>
      </c>
      <c r="M952" s="645">
        <v>1236693.01</v>
      </c>
      <c r="N952" s="646">
        <v>26138.65</v>
      </c>
      <c r="O952" s="647"/>
      <c r="P952" s="646"/>
      <c r="Q952" s="388"/>
      <c r="R952" s="648">
        <f t="shared" si="110"/>
        <v>2259.6254522199893</v>
      </c>
      <c r="S952" s="447"/>
      <c r="T952" s="406"/>
      <c r="U952" s="405"/>
      <c r="V952" s="390"/>
      <c r="Y952" s="419">
        <f t="shared" si="104"/>
        <v>1262831.6599999999</v>
      </c>
      <c r="Z952" s="419"/>
    </row>
    <row r="953" spans="1:26" s="420" customFormat="1" ht="56.25" hidden="1" customHeight="1">
      <c r="A953" s="504">
        <f t="shared" si="107"/>
        <v>40</v>
      </c>
      <c r="B953" s="403" t="s">
        <v>1079</v>
      </c>
      <c r="C953" s="382" t="s">
        <v>240</v>
      </c>
      <c r="D953" s="641">
        <v>1987.0800000000002</v>
      </c>
      <c r="E953" s="388">
        <v>685.2</v>
      </c>
      <c r="F953" s="391" t="s">
        <v>223</v>
      </c>
      <c r="G953" s="388">
        <v>542.6</v>
      </c>
      <c r="H953" s="446">
        <v>2</v>
      </c>
      <c r="I953" s="446">
        <v>2</v>
      </c>
      <c r="J953" s="446">
        <v>12</v>
      </c>
      <c r="K953" s="458" t="s">
        <v>263</v>
      </c>
      <c r="L953" s="645">
        <f t="shared" si="109"/>
        <v>1298954.24</v>
      </c>
      <c r="M953" s="645">
        <v>1273039.46</v>
      </c>
      <c r="N953" s="646">
        <v>25914.78</v>
      </c>
      <c r="O953" s="647"/>
      <c r="P953" s="646"/>
      <c r="Q953" s="388"/>
      <c r="R953" s="648">
        <f t="shared" si="110"/>
        <v>2346.18403980833</v>
      </c>
      <c r="S953" s="447"/>
      <c r="T953" s="406"/>
      <c r="U953" s="405"/>
      <c r="V953" s="390"/>
      <c r="Y953" s="419">
        <f t="shared" si="104"/>
        <v>1298954.24</v>
      </c>
      <c r="Z953" s="419"/>
    </row>
    <row r="954" spans="1:26" s="420" customFormat="1" ht="56.25" hidden="1" customHeight="1">
      <c r="A954" s="504">
        <f t="shared" si="107"/>
        <v>41</v>
      </c>
      <c r="B954" s="403" t="s">
        <v>1080</v>
      </c>
      <c r="C954" s="382" t="s">
        <v>240</v>
      </c>
      <c r="D954" s="641">
        <v>1869.9199999999998</v>
      </c>
      <c r="E954" s="388">
        <v>644.79999999999995</v>
      </c>
      <c r="F954" s="391" t="s">
        <v>223</v>
      </c>
      <c r="G954" s="388">
        <v>574.4</v>
      </c>
      <c r="H954" s="446">
        <v>2</v>
      </c>
      <c r="I954" s="446">
        <v>3</v>
      </c>
      <c r="J954" s="446">
        <v>3</v>
      </c>
      <c r="K954" s="458" t="s">
        <v>263</v>
      </c>
      <c r="L954" s="645">
        <f t="shared" si="109"/>
        <v>1368453</v>
      </c>
      <c r="M954" s="645">
        <v>1341019.8600000001</v>
      </c>
      <c r="N954" s="646">
        <v>27433.14</v>
      </c>
      <c r="O954" s="647"/>
      <c r="P954" s="646"/>
      <c r="Q954" s="388"/>
      <c r="R954" s="648">
        <f t="shared" si="110"/>
        <v>2334.6446030640673</v>
      </c>
      <c r="S954" s="447"/>
      <c r="T954" s="406"/>
      <c r="U954" s="405"/>
      <c r="V954" s="390"/>
      <c r="Y954" s="419">
        <f t="shared" si="104"/>
        <v>1368453</v>
      </c>
      <c r="Z954" s="419"/>
    </row>
    <row r="955" spans="1:26" s="447" customFormat="1" ht="37.5" hidden="1" customHeight="1">
      <c r="A955" s="504">
        <f t="shared" si="107"/>
        <v>42</v>
      </c>
      <c r="B955" s="403" t="s">
        <v>1081</v>
      </c>
      <c r="C955" s="455" t="s">
        <v>222</v>
      </c>
      <c r="D955" s="606">
        <v>3506.1</v>
      </c>
      <c r="E955" s="391">
        <v>1209</v>
      </c>
      <c r="F955" s="667" t="s">
        <v>234</v>
      </c>
      <c r="G955" s="391">
        <v>1068.7</v>
      </c>
      <c r="H955" s="528">
        <v>3</v>
      </c>
      <c r="I955" s="528">
        <v>3</v>
      </c>
      <c r="J955" s="528">
        <v>33</v>
      </c>
      <c r="K955" s="458" t="s">
        <v>33</v>
      </c>
      <c r="L955" s="645">
        <f t="shared" si="109"/>
        <v>1963427.79</v>
      </c>
      <c r="M955" s="652">
        <v>1956410.05</v>
      </c>
      <c r="N955" s="646"/>
      <c r="O955" s="643">
        <v>7017.74</v>
      </c>
      <c r="P955" s="646"/>
      <c r="Q955" s="388"/>
      <c r="R955" s="648">
        <f t="shared" si="110"/>
        <v>1830.64475531019</v>
      </c>
      <c r="S955" s="451"/>
      <c r="U955" s="448"/>
      <c r="V955" s="390"/>
      <c r="Y955" s="419">
        <f t="shared" si="104"/>
        <v>1963427.79</v>
      </c>
      <c r="Z955" s="419"/>
    </row>
    <row r="956" spans="1:26" s="447" customFormat="1" ht="37.5" hidden="1" customHeight="1">
      <c r="A956" s="504">
        <f t="shared" si="107"/>
        <v>43</v>
      </c>
      <c r="B956" s="403" t="s">
        <v>3797</v>
      </c>
      <c r="C956" s="455" t="s">
        <v>222</v>
      </c>
      <c r="D956" s="606">
        <v>1703</v>
      </c>
      <c r="E956" s="391">
        <v>428</v>
      </c>
      <c r="F956" s="667" t="s">
        <v>3556</v>
      </c>
      <c r="G956" s="391">
        <v>432.56199999999995</v>
      </c>
      <c r="H956" s="528">
        <v>2</v>
      </c>
      <c r="I956" s="528">
        <v>1</v>
      </c>
      <c r="J956" s="528">
        <v>8</v>
      </c>
      <c r="K956" s="458" t="s">
        <v>262</v>
      </c>
      <c r="L956" s="645">
        <f t="shared" si="109"/>
        <v>1178598.42</v>
      </c>
      <c r="M956" s="652">
        <v>1152809.9099999999</v>
      </c>
      <c r="N956" s="646">
        <v>17532.900000000001</v>
      </c>
      <c r="O956" s="643"/>
      <c r="P956" s="646"/>
      <c r="Q956" s="388">
        <v>8255.61</v>
      </c>
      <c r="R956" s="446">
        <f t="shared" si="110"/>
        <v>2665.0743939597101</v>
      </c>
      <c r="S956" s="451"/>
      <c r="U956" s="448"/>
      <c r="V956" s="390"/>
      <c r="Y956" s="419">
        <f t="shared" si="104"/>
        <v>1178598.42</v>
      </c>
      <c r="Z956" s="419"/>
    </row>
    <row r="957" spans="1:26" s="447" customFormat="1" ht="51" hidden="1" customHeight="1">
      <c r="A957" s="504">
        <f t="shared" si="107"/>
        <v>44</v>
      </c>
      <c r="B957" s="403" t="s">
        <v>3557</v>
      </c>
      <c r="C957" s="455" t="s">
        <v>218</v>
      </c>
      <c r="D957" s="606">
        <v>11646.9</v>
      </c>
      <c r="E957" s="391">
        <v>2864.6</v>
      </c>
      <c r="F957" s="667" t="s">
        <v>234</v>
      </c>
      <c r="G957" s="391">
        <v>838.4</v>
      </c>
      <c r="H957" s="528">
        <v>5</v>
      </c>
      <c r="I957" s="528">
        <v>4</v>
      </c>
      <c r="J957" s="528">
        <v>60</v>
      </c>
      <c r="K957" s="458" t="s">
        <v>33</v>
      </c>
      <c r="L957" s="645">
        <f t="shared" si="109"/>
        <v>1669913.19</v>
      </c>
      <c r="M957" s="652">
        <v>1643747.49</v>
      </c>
      <c r="N957" s="652"/>
      <c r="O957" s="643">
        <v>6365.7</v>
      </c>
      <c r="P957" s="646"/>
      <c r="Q957" s="388">
        <v>19800</v>
      </c>
      <c r="R957" s="648">
        <f t="shared" si="110"/>
        <v>1960.5766817748092</v>
      </c>
      <c r="S957" s="451"/>
      <c r="U957" s="448"/>
      <c r="V957" s="390"/>
      <c r="Y957" s="419">
        <f t="shared" si="104"/>
        <v>1669913.19</v>
      </c>
      <c r="Z957" s="419"/>
    </row>
    <row r="958" spans="1:26" s="447" customFormat="1" ht="51" hidden="1" customHeight="1">
      <c r="A958" s="504">
        <f t="shared" si="107"/>
        <v>45</v>
      </c>
      <c r="B958" s="403" t="s">
        <v>3558</v>
      </c>
      <c r="C958" s="455" t="s">
        <v>218</v>
      </c>
      <c r="D958" s="606">
        <v>15876</v>
      </c>
      <c r="E958" s="391">
        <v>2583.6999999999998</v>
      </c>
      <c r="F958" s="667" t="s">
        <v>234</v>
      </c>
      <c r="G958" s="391">
        <v>1165.1999999999998</v>
      </c>
      <c r="H958" s="528">
        <v>5</v>
      </c>
      <c r="I958" s="528">
        <v>6</v>
      </c>
      <c r="J958" s="528">
        <v>79</v>
      </c>
      <c r="K958" s="458" t="s">
        <v>33</v>
      </c>
      <c r="L958" s="645">
        <f t="shared" si="109"/>
        <v>2234160.54</v>
      </c>
      <c r="M958" s="645">
        <v>2207526.5699999998</v>
      </c>
      <c r="N958" s="652"/>
      <c r="O958" s="643">
        <v>6833.97</v>
      </c>
      <c r="P958" s="646"/>
      <c r="Q958" s="388">
        <v>19800</v>
      </c>
      <c r="R958" s="648">
        <f t="shared" si="110"/>
        <v>1894.5473480947478</v>
      </c>
      <c r="S958" s="451"/>
      <c r="U958" s="448"/>
      <c r="V958" s="390"/>
      <c r="Y958" s="419">
        <f t="shared" si="104"/>
        <v>2234160.54</v>
      </c>
      <c r="Z958" s="419"/>
    </row>
    <row r="959" spans="1:26" s="403" customFormat="1" ht="58.5" hidden="1" customHeight="1">
      <c r="A959" s="1115" t="s">
        <v>117</v>
      </c>
      <c r="B959" s="1115"/>
      <c r="C959" s="455" t="s">
        <v>28</v>
      </c>
      <c r="D959" s="641">
        <f>SUM(D912:D958)</f>
        <v>471445.16499999992</v>
      </c>
      <c r="E959" s="388">
        <f>SUM(E912:E958)</f>
        <v>162395.01000000004</v>
      </c>
      <c r="F959" s="388" t="s">
        <v>28</v>
      </c>
      <c r="G959" s="388">
        <f>SUM(G912:G958)</f>
        <v>45592.161999999997</v>
      </c>
      <c r="H959" s="446" t="s">
        <v>28</v>
      </c>
      <c r="I959" s="446" t="s">
        <v>28</v>
      </c>
      <c r="J959" s="446">
        <f>SUM(J912:J958)</f>
        <v>3065</v>
      </c>
      <c r="K959" s="670" t="s">
        <v>28</v>
      </c>
      <c r="L959" s="519">
        <f t="shared" ref="L959:Q959" si="111">SUM(L912:L958)</f>
        <v>88198643.920000002</v>
      </c>
      <c r="M959" s="519">
        <f t="shared" si="111"/>
        <v>87151743.649999976</v>
      </c>
      <c r="N959" s="388">
        <f t="shared" si="111"/>
        <v>820808.90000000014</v>
      </c>
      <c r="O959" s="473">
        <f t="shared" si="111"/>
        <v>169468.31999999998</v>
      </c>
      <c r="P959" s="388">
        <f t="shared" si="111"/>
        <v>0</v>
      </c>
      <c r="Q959" s="388">
        <f t="shared" si="111"/>
        <v>56623.05</v>
      </c>
      <c r="R959" s="446" t="s">
        <v>28</v>
      </c>
      <c r="S959" s="388">
        <f>L959-M959-N959-O959-P959-Q959</f>
        <v>2.5509507395327091E-8</v>
      </c>
      <c r="T959" s="393"/>
      <c r="U959" s="423"/>
      <c r="V959" s="390"/>
      <c r="Y959" s="419">
        <f t="shared" si="104"/>
        <v>88198643.919999972</v>
      </c>
      <c r="Z959" s="419"/>
    </row>
    <row r="960" spans="1:26" s="403" customFormat="1" ht="58.5" hidden="1" customHeight="1">
      <c r="A960" s="1113" t="s">
        <v>82</v>
      </c>
      <c r="B960" s="1113"/>
      <c r="C960" s="1113"/>
      <c r="D960" s="1113"/>
      <c r="E960" s="1113"/>
      <c r="F960" s="1113"/>
      <c r="G960" s="1113"/>
      <c r="H960" s="1113"/>
      <c r="I960" s="1113"/>
      <c r="J960" s="1113"/>
      <c r="K960" s="1113"/>
      <c r="L960" s="1113"/>
      <c r="M960" s="1113"/>
      <c r="N960" s="1113"/>
      <c r="O960" s="1113"/>
      <c r="P960" s="1113"/>
      <c r="Q960" s="1113"/>
      <c r="R960" s="1113"/>
      <c r="T960" s="393"/>
      <c r="U960" s="404"/>
      <c r="V960" s="390"/>
      <c r="Y960" s="419">
        <f t="shared" si="104"/>
        <v>0</v>
      </c>
      <c r="Z960" s="419"/>
    </row>
    <row r="961" spans="1:26" s="426" customFormat="1" ht="56.25" hidden="1" customHeight="1">
      <c r="A961" s="642">
        <v>1</v>
      </c>
      <c r="B961" s="733" t="s">
        <v>1082</v>
      </c>
      <c r="C961" s="648" t="s">
        <v>222</v>
      </c>
      <c r="D961" s="681">
        <v>894.5</v>
      </c>
      <c r="E961" s="646">
        <v>749</v>
      </c>
      <c r="F961" s="646" t="s">
        <v>223</v>
      </c>
      <c r="G961" s="646">
        <f>(25*I961)*12*1.3</f>
        <v>390</v>
      </c>
      <c r="H961" s="648">
        <v>5</v>
      </c>
      <c r="I961" s="648">
        <v>1</v>
      </c>
      <c r="J961" s="648">
        <v>18</v>
      </c>
      <c r="K961" s="728" t="s">
        <v>33</v>
      </c>
      <c r="L961" s="645">
        <f t="shared" ref="L961:L971" si="112">M961+N961+O961+P961+Q961</f>
        <v>1090877.5900000001</v>
      </c>
      <c r="M961" s="519">
        <f>965250+96523.84</f>
        <v>1061773.8400000001</v>
      </c>
      <c r="N961" s="646">
        <v>29103.75</v>
      </c>
      <c r="O961" s="647"/>
      <c r="P961" s="646"/>
      <c r="Q961" s="388"/>
      <c r="R961" s="648">
        <f>M961/G961</f>
        <v>2722.4970256410256</v>
      </c>
      <c r="V961" s="390"/>
      <c r="Y961" s="419">
        <f t="shared" si="104"/>
        <v>1090877.5900000001</v>
      </c>
      <c r="Z961" s="419"/>
    </row>
    <row r="962" spans="1:26" s="426" customFormat="1" ht="56.25" hidden="1" customHeight="1">
      <c r="A962" s="642">
        <f>A961+1</f>
        <v>2</v>
      </c>
      <c r="B962" s="733" t="s">
        <v>1084</v>
      </c>
      <c r="C962" s="699" t="s">
        <v>218</v>
      </c>
      <c r="D962" s="681">
        <v>968</v>
      </c>
      <c r="E962" s="646">
        <v>569</v>
      </c>
      <c r="F962" s="646" t="s">
        <v>223</v>
      </c>
      <c r="G962" s="646">
        <f>(20*I962)*13*1.3</f>
        <v>1014</v>
      </c>
      <c r="H962" s="648">
        <v>2</v>
      </c>
      <c r="I962" s="648">
        <v>3</v>
      </c>
      <c r="J962" s="648">
        <v>22</v>
      </c>
      <c r="K962" s="728" t="s">
        <v>33</v>
      </c>
      <c r="L962" s="645">
        <f t="shared" si="112"/>
        <v>2207606.84</v>
      </c>
      <c r="M962" s="394">
        <v>2169771.96</v>
      </c>
      <c r="N962" s="646">
        <v>37834.879999999997</v>
      </c>
      <c r="O962" s="647"/>
      <c r="P962" s="646"/>
      <c r="Q962" s="388"/>
      <c r="R962" s="648">
        <f>M962/G962</f>
        <v>2139.8145562130176</v>
      </c>
      <c r="V962" s="390"/>
      <c r="Y962" s="419">
        <f t="shared" si="104"/>
        <v>2207606.84</v>
      </c>
      <c r="Z962" s="419"/>
    </row>
    <row r="963" spans="1:26" s="426" customFormat="1" ht="56.25" hidden="1" customHeight="1">
      <c r="A963" s="642">
        <f t="shared" ref="A963:A974" si="113">A962+1</f>
        <v>3</v>
      </c>
      <c r="B963" s="498" t="s">
        <v>1085</v>
      </c>
      <c r="C963" s="648" t="s">
        <v>222</v>
      </c>
      <c r="D963" s="734">
        <v>4470.6000000000004</v>
      </c>
      <c r="E963" s="539">
        <v>4226</v>
      </c>
      <c r="F963" s="646" t="s">
        <v>223</v>
      </c>
      <c r="G963" s="539">
        <v>968</v>
      </c>
      <c r="H963" s="599">
        <v>2</v>
      </c>
      <c r="I963" s="599">
        <v>3</v>
      </c>
      <c r="J963" s="648">
        <v>18</v>
      </c>
      <c r="K963" s="728" t="s">
        <v>33</v>
      </c>
      <c r="L963" s="519">
        <f t="shared" si="112"/>
        <v>2351387.89</v>
      </c>
      <c r="M963" s="735">
        <v>2310935.17</v>
      </c>
      <c r="N963" s="646">
        <v>40452.720000000001</v>
      </c>
      <c r="O963" s="647"/>
      <c r="P963" s="646"/>
      <c r="Q963" s="388"/>
      <c r="R963" s="648">
        <f>M963/G963</f>
        <v>2387.3297210743799</v>
      </c>
      <c r="S963" s="428"/>
      <c r="T963" s="406"/>
      <c r="V963" s="390"/>
      <c r="Y963" s="419">
        <f t="shared" si="104"/>
        <v>2351387.89</v>
      </c>
      <c r="Z963" s="419"/>
    </row>
    <row r="964" spans="1:26" s="426" customFormat="1" ht="56.25" hidden="1" customHeight="1">
      <c r="A964" s="642">
        <f t="shared" si="113"/>
        <v>4</v>
      </c>
      <c r="B964" s="498" t="s">
        <v>1086</v>
      </c>
      <c r="C964" s="648" t="s">
        <v>222</v>
      </c>
      <c r="D964" s="606">
        <v>4470.6000000000004</v>
      </c>
      <c r="E964" s="539">
        <v>4226</v>
      </c>
      <c r="F964" s="646" t="s">
        <v>223</v>
      </c>
      <c r="G964" s="539">
        <v>968</v>
      </c>
      <c r="H964" s="599">
        <v>2</v>
      </c>
      <c r="I964" s="599">
        <v>3</v>
      </c>
      <c r="J964" s="648">
        <v>18</v>
      </c>
      <c r="K964" s="682" t="s">
        <v>33</v>
      </c>
      <c r="L964" s="645">
        <f t="shared" si="112"/>
        <v>2479082.06</v>
      </c>
      <c r="M964" s="394">
        <v>2438629.34</v>
      </c>
      <c r="N964" s="646">
        <v>40452.720000000001</v>
      </c>
      <c r="O964" s="647"/>
      <c r="P964" s="646"/>
      <c r="Q964" s="388"/>
      <c r="R964" s="648">
        <f>M964/G964</f>
        <v>2519.2451859504131</v>
      </c>
      <c r="V964" s="390"/>
      <c r="Y964" s="419">
        <f t="shared" si="104"/>
        <v>2479082.06</v>
      </c>
      <c r="Z964" s="419"/>
    </row>
    <row r="965" spans="1:26" s="426" customFormat="1" ht="56.25" hidden="1" customHeight="1">
      <c r="A965" s="642">
        <f t="shared" si="113"/>
        <v>5</v>
      </c>
      <c r="B965" s="498" t="s">
        <v>1087</v>
      </c>
      <c r="C965" s="648" t="s">
        <v>222</v>
      </c>
      <c r="D965" s="606">
        <v>588</v>
      </c>
      <c r="E965" s="539">
        <v>302</v>
      </c>
      <c r="F965" s="539" t="s">
        <v>223</v>
      </c>
      <c r="G965" s="539">
        <v>423</v>
      </c>
      <c r="H965" s="599">
        <v>3</v>
      </c>
      <c r="I965" s="599">
        <v>1</v>
      </c>
      <c r="J965" s="599">
        <v>11</v>
      </c>
      <c r="K965" s="682" t="s">
        <v>30</v>
      </c>
      <c r="L965" s="645">
        <f t="shared" si="112"/>
        <v>194262.69</v>
      </c>
      <c r="M965" s="652">
        <v>193605.99</v>
      </c>
      <c r="N965" s="646"/>
      <c r="O965" s="643">
        <v>656.7</v>
      </c>
      <c r="P965" s="646"/>
      <c r="Q965" s="388"/>
      <c r="R965" s="648">
        <f>M965/J965</f>
        <v>17600.544545454544</v>
      </c>
      <c r="S965" s="428"/>
      <c r="T965" s="428"/>
      <c r="V965" s="390"/>
      <c r="Y965" s="419">
        <f t="shared" si="104"/>
        <v>194262.69</v>
      </c>
      <c r="Z965" s="419"/>
    </row>
    <row r="966" spans="1:26" s="414" customFormat="1" ht="37.5" hidden="1" customHeight="1">
      <c r="A966" s="642">
        <f t="shared" si="113"/>
        <v>6</v>
      </c>
      <c r="B966" s="498" t="s">
        <v>1088</v>
      </c>
      <c r="C966" s="699" t="s">
        <v>218</v>
      </c>
      <c r="D966" s="606">
        <v>752.3</v>
      </c>
      <c r="E966" s="539">
        <v>641</v>
      </c>
      <c r="F966" s="646" t="s">
        <v>223</v>
      </c>
      <c r="G966" s="539">
        <v>720</v>
      </c>
      <c r="H966" s="599">
        <v>2</v>
      </c>
      <c r="I966" s="599">
        <v>2</v>
      </c>
      <c r="J966" s="599">
        <v>16</v>
      </c>
      <c r="K966" s="728" t="s">
        <v>33</v>
      </c>
      <c r="L966" s="645">
        <f t="shared" si="112"/>
        <v>1958071.73</v>
      </c>
      <c r="M966" s="394">
        <v>1931206.73</v>
      </c>
      <c r="N966" s="646">
        <v>26865</v>
      </c>
      <c r="O966" s="647"/>
      <c r="P966" s="646"/>
      <c r="Q966" s="388"/>
      <c r="R966" s="648">
        <f>M966/G966</f>
        <v>2682.2315694444446</v>
      </c>
      <c r="S966" s="428"/>
      <c r="T966" s="428"/>
      <c r="V966" s="390"/>
      <c r="Y966" s="419">
        <f t="shared" si="104"/>
        <v>1958071.73</v>
      </c>
      <c r="Z966" s="419"/>
    </row>
    <row r="967" spans="1:26" s="414" customFormat="1" ht="56.25" hidden="1" customHeight="1">
      <c r="A967" s="642">
        <f t="shared" si="113"/>
        <v>7</v>
      </c>
      <c r="B967" s="736" t="s">
        <v>1090</v>
      </c>
      <c r="C967" s="699" t="s">
        <v>218</v>
      </c>
      <c r="D967" s="737">
        <v>2843</v>
      </c>
      <c r="E967" s="738">
        <v>604.6</v>
      </c>
      <c r="F967" s="646" t="s">
        <v>223</v>
      </c>
      <c r="G967" s="738">
        <v>620</v>
      </c>
      <c r="H967" s="739">
        <v>2</v>
      </c>
      <c r="I967" s="739">
        <v>2</v>
      </c>
      <c r="J967" s="739">
        <v>16</v>
      </c>
      <c r="K967" s="728" t="s">
        <v>33</v>
      </c>
      <c r="L967" s="645">
        <f t="shared" si="112"/>
        <v>1561814.04</v>
      </c>
      <c r="M967" s="394">
        <v>1530969.04</v>
      </c>
      <c r="N967" s="646">
        <v>30845</v>
      </c>
      <c r="O967" s="647"/>
      <c r="P967" s="646"/>
      <c r="Q967" s="388"/>
      <c r="R967" s="648">
        <f>M967/G967</f>
        <v>2469.3049032258064</v>
      </c>
      <c r="S967" s="428"/>
      <c r="T967" s="428"/>
      <c r="V967" s="390"/>
      <c r="Y967" s="419">
        <f t="shared" si="104"/>
        <v>1561814.04</v>
      </c>
      <c r="Z967" s="419"/>
    </row>
    <row r="968" spans="1:26" s="426" customFormat="1" ht="56.25" hidden="1" customHeight="1">
      <c r="A968" s="642">
        <f t="shared" si="113"/>
        <v>8</v>
      </c>
      <c r="B968" s="736" t="s">
        <v>1091</v>
      </c>
      <c r="C968" s="648" t="s">
        <v>222</v>
      </c>
      <c r="D968" s="737">
        <v>3997.4</v>
      </c>
      <c r="E968" s="738">
        <v>607.4</v>
      </c>
      <c r="F968" s="646" t="s">
        <v>223</v>
      </c>
      <c r="G968" s="738">
        <v>896</v>
      </c>
      <c r="H968" s="739">
        <v>2</v>
      </c>
      <c r="I968" s="739">
        <v>3</v>
      </c>
      <c r="J968" s="739">
        <v>22</v>
      </c>
      <c r="K968" s="728" t="s">
        <v>33</v>
      </c>
      <c r="L968" s="645">
        <f t="shared" si="112"/>
        <v>2262232</v>
      </c>
      <c r="M968" s="519">
        <v>2228800</v>
      </c>
      <c r="N968" s="646">
        <v>33432</v>
      </c>
      <c r="O968" s="647"/>
      <c r="P968" s="646"/>
      <c r="Q968" s="388"/>
      <c r="R968" s="648">
        <f>M968/G968</f>
        <v>2487.5</v>
      </c>
      <c r="S968" s="428"/>
      <c r="T968" s="428"/>
      <c r="V968" s="390"/>
      <c r="Y968" s="419">
        <f t="shared" ref="Y968:Y1031" si="114">M968+N968+O968+Q968</f>
        <v>2262232</v>
      </c>
      <c r="Z968" s="419"/>
    </row>
    <row r="969" spans="1:26" s="414" customFormat="1" ht="37.5" hidden="1" customHeight="1">
      <c r="A969" s="642">
        <f t="shared" si="113"/>
        <v>9</v>
      </c>
      <c r="B969" s="498" t="s">
        <v>1092</v>
      </c>
      <c r="C969" s="699" t="s">
        <v>218</v>
      </c>
      <c r="D969" s="606">
        <v>804</v>
      </c>
      <c r="E969" s="539">
        <v>540</v>
      </c>
      <c r="F969" s="539" t="s">
        <v>223</v>
      </c>
      <c r="G969" s="539">
        <v>690</v>
      </c>
      <c r="H969" s="599">
        <v>2</v>
      </c>
      <c r="I969" s="599">
        <v>3</v>
      </c>
      <c r="J969" s="599">
        <v>16</v>
      </c>
      <c r="K969" s="728" t="s">
        <v>33</v>
      </c>
      <c r="L969" s="645">
        <f t="shared" si="112"/>
        <v>1549344.29</v>
      </c>
      <c r="M969" s="394">
        <v>1515016.79</v>
      </c>
      <c r="N969" s="646">
        <v>34327.5</v>
      </c>
      <c r="O969" s="647"/>
      <c r="P969" s="646"/>
      <c r="Q969" s="388"/>
      <c r="R969" s="648">
        <f>M969/G969</f>
        <v>2195.6765072463768</v>
      </c>
      <c r="S969" s="428"/>
      <c r="T969" s="428"/>
      <c r="V969" s="390"/>
      <c r="Y969" s="419">
        <f t="shared" si="114"/>
        <v>1549344.29</v>
      </c>
      <c r="Z969" s="419"/>
    </row>
    <row r="970" spans="1:26" s="426" customFormat="1" ht="37.5" hidden="1" customHeight="1">
      <c r="A970" s="642">
        <f t="shared" si="113"/>
        <v>10</v>
      </c>
      <c r="B970" s="498" t="s">
        <v>1093</v>
      </c>
      <c r="C970" s="699" t="s">
        <v>218</v>
      </c>
      <c r="D970" s="606">
        <v>973</v>
      </c>
      <c r="E970" s="539">
        <v>270</v>
      </c>
      <c r="F970" s="539" t="s">
        <v>224</v>
      </c>
      <c r="G970" s="539">
        <v>473</v>
      </c>
      <c r="H970" s="599">
        <v>3</v>
      </c>
      <c r="I970" s="599">
        <v>1</v>
      </c>
      <c r="J970" s="599">
        <v>21</v>
      </c>
      <c r="K970" s="728" t="s">
        <v>33</v>
      </c>
      <c r="L970" s="645">
        <f t="shared" si="112"/>
        <v>833279.78999999992</v>
      </c>
      <c r="M970" s="652">
        <v>830173.39999999991</v>
      </c>
      <c r="N970" s="646"/>
      <c r="O970" s="643">
        <v>3106.39</v>
      </c>
      <c r="P970" s="646"/>
      <c r="Q970" s="388"/>
      <c r="R970" s="648">
        <f>M970/G970</f>
        <v>1755.1234672304438</v>
      </c>
      <c r="S970" s="428"/>
      <c r="T970" s="428"/>
      <c r="V970" s="390"/>
      <c r="Y970" s="419">
        <f t="shared" si="114"/>
        <v>833279.78999999992</v>
      </c>
      <c r="Z970" s="419"/>
    </row>
    <row r="971" spans="1:26" s="426" customFormat="1" ht="56.25" hidden="1" customHeight="1">
      <c r="A971" s="642">
        <f t="shared" si="113"/>
        <v>11</v>
      </c>
      <c r="B971" s="498" t="s">
        <v>1095</v>
      </c>
      <c r="C971" s="648" t="s">
        <v>222</v>
      </c>
      <c r="D971" s="606">
        <v>804</v>
      </c>
      <c r="E971" s="539">
        <v>798</v>
      </c>
      <c r="F971" s="539" t="s">
        <v>223</v>
      </c>
      <c r="G971" s="539">
        <v>720</v>
      </c>
      <c r="H971" s="599">
        <v>2</v>
      </c>
      <c r="I971" s="599">
        <v>2</v>
      </c>
      <c r="J971" s="599">
        <v>12</v>
      </c>
      <c r="K971" s="682" t="s">
        <v>30</v>
      </c>
      <c r="L971" s="645">
        <f t="shared" si="112"/>
        <v>240692.4</v>
      </c>
      <c r="M971" s="645">
        <v>239976</v>
      </c>
      <c r="N971" s="646"/>
      <c r="O971" s="643">
        <v>716.4</v>
      </c>
      <c r="P971" s="646"/>
      <c r="Q971" s="388"/>
      <c r="R971" s="648">
        <f>M971/J971</f>
        <v>19998</v>
      </c>
      <c r="S971" s="452" t="s">
        <v>3547</v>
      </c>
      <c r="T971" s="428"/>
      <c r="U971" s="388"/>
      <c r="V971" s="390"/>
      <c r="Y971" s="419">
        <f t="shared" si="114"/>
        <v>240692.4</v>
      </c>
      <c r="Z971" s="419"/>
    </row>
    <row r="972" spans="1:26" s="426" customFormat="1" ht="37.5" hidden="1" customHeight="1">
      <c r="A972" s="642">
        <f t="shared" si="113"/>
        <v>12</v>
      </c>
      <c r="B972" s="498" t="s">
        <v>1096</v>
      </c>
      <c r="C972" s="648" t="s">
        <v>222</v>
      </c>
      <c r="D972" s="737">
        <f>E972*2.9</f>
        <v>1812.5</v>
      </c>
      <c r="E972" s="539">
        <v>625</v>
      </c>
      <c r="F972" s="539" t="s">
        <v>223</v>
      </c>
      <c r="G972" s="539">
        <v>620</v>
      </c>
      <c r="H972" s="599">
        <v>2</v>
      </c>
      <c r="I972" s="599">
        <v>2</v>
      </c>
      <c r="J972" s="599">
        <v>8</v>
      </c>
      <c r="K972" s="728" t="s">
        <v>33</v>
      </c>
      <c r="L972" s="519">
        <f>SUM(M972:Q972)</f>
        <v>1065501.71</v>
      </c>
      <c r="M972" s="519">
        <v>1034656.71</v>
      </c>
      <c r="N972" s="388">
        <v>30845</v>
      </c>
      <c r="O972" s="473"/>
      <c r="P972" s="388"/>
      <c r="Q972" s="388"/>
      <c r="R972" s="648">
        <f>M972/G972</f>
        <v>1668.8011451612902</v>
      </c>
      <c r="S972" s="428"/>
      <c r="T972" s="428"/>
      <c r="V972" s="390"/>
      <c r="Y972" s="419">
        <f t="shared" si="114"/>
        <v>1065501.71</v>
      </c>
      <c r="Z972" s="419"/>
    </row>
    <row r="973" spans="1:26" s="453" customFormat="1" ht="56.25" hidden="1" customHeight="1">
      <c r="A973" s="642">
        <f t="shared" si="113"/>
        <v>13</v>
      </c>
      <c r="B973" s="403" t="s">
        <v>1097</v>
      </c>
      <c r="C973" s="455" t="s">
        <v>222</v>
      </c>
      <c r="D973" s="737">
        <f>E973*3</f>
        <v>1791</v>
      </c>
      <c r="E973" s="388">
        <v>597</v>
      </c>
      <c r="F973" s="539" t="s">
        <v>224</v>
      </c>
      <c r="G973" s="388">
        <v>1040</v>
      </c>
      <c r="H973" s="446">
        <v>5</v>
      </c>
      <c r="I973" s="446">
        <v>4</v>
      </c>
      <c r="J973" s="446">
        <v>60</v>
      </c>
      <c r="K973" s="728" t="s">
        <v>33</v>
      </c>
      <c r="L973" s="519">
        <f>SUM(M973:Q973)</f>
        <v>2271949.6800000002</v>
      </c>
      <c r="M973" s="735">
        <v>2265120</v>
      </c>
      <c r="N973" s="388"/>
      <c r="O973" s="643">
        <v>6829.68</v>
      </c>
      <c r="P973" s="391"/>
      <c r="Q973" s="388"/>
      <c r="R973" s="648">
        <f>M973/G973</f>
        <v>2178</v>
      </c>
      <c r="S973" s="428"/>
      <c r="T973" s="406"/>
      <c r="V973" s="390"/>
      <c r="Y973" s="419">
        <f t="shared" si="114"/>
        <v>2271949.6800000002</v>
      </c>
      <c r="Z973" s="419"/>
    </row>
    <row r="974" spans="1:26" s="453" customFormat="1" ht="56.25" hidden="1" customHeight="1">
      <c r="A974" s="642">
        <f t="shared" si="113"/>
        <v>14</v>
      </c>
      <c r="B974" s="403" t="s">
        <v>3561</v>
      </c>
      <c r="C974" s="455" t="s">
        <v>222</v>
      </c>
      <c r="D974" s="737">
        <v>10836</v>
      </c>
      <c r="E974" s="388">
        <v>1192</v>
      </c>
      <c r="F974" s="539" t="s">
        <v>228</v>
      </c>
      <c r="G974" s="388">
        <v>1200</v>
      </c>
      <c r="H974" s="446">
        <v>4</v>
      </c>
      <c r="I974" s="446">
        <v>4</v>
      </c>
      <c r="J974" s="446">
        <v>48</v>
      </c>
      <c r="K974" s="728" t="s">
        <v>241</v>
      </c>
      <c r="L974" s="519">
        <f>M974+N974+O974+Q974</f>
        <v>2574043.0400000005</v>
      </c>
      <c r="M974" s="735">
        <v>2523438.2000000002</v>
      </c>
      <c r="N974" s="388">
        <v>17364.599999999999</v>
      </c>
      <c r="O974" s="643"/>
      <c r="P974" s="391"/>
      <c r="Q974" s="388">
        <v>33240.239999999998</v>
      </c>
      <c r="R974" s="648">
        <f>M974/G974</f>
        <v>2102.8651666666669</v>
      </c>
      <c r="S974" s="428"/>
      <c r="T974" s="406"/>
      <c r="V974" s="390"/>
      <c r="Y974" s="419">
        <f t="shared" si="114"/>
        <v>2574043.0400000005</v>
      </c>
      <c r="Z974" s="419"/>
    </row>
    <row r="975" spans="1:26" s="403" customFormat="1" ht="58.5" hidden="1" customHeight="1">
      <c r="A975" s="1112" t="s">
        <v>134</v>
      </c>
      <c r="B975" s="1112"/>
      <c r="C975" s="455" t="s">
        <v>28</v>
      </c>
      <c r="D975" s="641">
        <f>SUM(D961:D974)</f>
        <v>36004.9</v>
      </c>
      <c r="E975" s="388">
        <f>SUM(E961:E974)</f>
        <v>15947</v>
      </c>
      <c r="F975" s="388" t="s">
        <v>28</v>
      </c>
      <c r="G975" s="388">
        <f>SUM(G961:G974)</f>
        <v>10742</v>
      </c>
      <c r="H975" s="446" t="s">
        <v>28</v>
      </c>
      <c r="I975" s="446" t="s">
        <v>28</v>
      </c>
      <c r="J975" s="446">
        <f>SUM(J961:J974)</f>
        <v>306</v>
      </c>
      <c r="K975" s="458" t="s">
        <v>28</v>
      </c>
      <c r="L975" s="519">
        <f>SUM(L961:L974)</f>
        <v>22640145.749999996</v>
      </c>
      <c r="M975" s="519">
        <f>SUM(M961:M974)</f>
        <v>22274073.169999998</v>
      </c>
      <c r="N975" s="388">
        <f>SUM(N961:N974)</f>
        <v>321523.17</v>
      </c>
      <c r="O975" s="473">
        <f>SUM(O961:O974)</f>
        <v>11309.17</v>
      </c>
      <c r="P975" s="388"/>
      <c r="Q975" s="388">
        <f>SUM(Q961:Q974)</f>
        <v>33240.239999999998</v>
      </c>
      <c r="R975" s="446" t="s">
        <v>28</v>
      </c>
      <c r="S975" s="388">
        <f>L975-M975-N975-O975-P975-Q975</f>
        <v>-1.7680577002465725E-9</v>
      </c>
      <c r="T975" s="393"/>
      <c r="U975" s="423"/>
      <c r="V975" s="390"/>
      <c r="Y975" s="419">
        <f t="shared" si="114"/>
        <v>22640145.75</v>
      </c>
      <c r="Z975" s="419"/>
    </row>
    <row r="976" spans="1:26" s="403" customFormat="1" ht="58.5" hidden="1" customHeight="1">
      <c r="A976" s="1113" t="s">
        <v>84</v>
      </c>
      <c r="B976" s="1113"/>
      <c r="C976" s="1113"/>
      <c r="D976" s="1113"/>
      <c r="E976" s="1113"/>
      <c r="F976" s="1113"/>
      <c r="G976" s="1113"/>
      <c r="H976" s="1113"/>
      <c r="I976" s="1113"/>
      <c r="J976" s="1113"/>
      <c r="K976" s="1113"/>
      <c r="L976" s="1113"/>
      <c r="M976" s="1113"/>
      <c r="N976" s="1113"/>
      <c r="O976" s="1113"/>
      <c r="P976" s="1113"/>
      <c r="Q976" s="1113"/>
      <c r="R976" s="1113"/>
      <c r="T976" s="393"/>
      <c r="U976" s="404"/>
      <c r="V976" s="390"/>
      <c r="Y976" s="419">
        <f t="shared" si="114"/>
        <v>0</v>
      </c>
      <c r="Z976" s="419"/>
    </row>
    <row r="977" spans="1:26" s="403" customFormat="1" ht="37.5" hidden="1" customHeight="1">
      <c r="A977" s="500">
        <v>1</v>
      </c>
      <c r="B977" s="403" t="s">
        <v>1098</v>
      </c>
      <c r="C977" s="455" t="s">
        <v>222</v>
      </c>
      <c r="D977" s="606">
        <v>2864</v>
      </c>
      <c r="E977" s="391">
        <v>582</v>
      </c>
      <c r="F977" s="388" t="s">
        <v>223</v>
      </c>
      <c r="G977" s="391">
        <v>936</v>
      </c>
      <c r="H977" s="528">
        <v>2</v>
      </c>
      <c r="I977" s="528">
        <v>3</v>
      </c>
      <c r="J977" s="528">
        <v>12</v>
      </c>
      <c r="K977" s="458" t="s">
        <v>33</v>
      </c>
      <c r="L977" s="645">
        <f t="shared" ref="L977:L984" si="115">M977+N977+O977+P977+Q977</f>
        <v>1159703.3399999999</v>
      </c>
      <c r="M977" s="645">
        <v>1120587.8999999999</v>
      </c>
      <c r="N977" s="646">
        <v>39115.440000000002</v>
      </c>
      <c r="O977" s="647"/>
      <c r="P977" s="646"/>
      <c r="Q977" s="388"/>
      <c r="R977" s="648">
        <f>M977/G977</f>
        <v>1197.2092948717948</v>
      </c>
      <c r="T977" s="393"/>
      <c r="U977" s="404"/>
      <c r="V977" s="390"/>
      <c r="Y977" s="419">
        <f t="shared" si="114"/>
        <v>1159703.3399999999</v>
      </c>
      <c r="Z977" s="419"/>
    </row>
    <row r="978" spans="1:26" s="403" customFormat="1" ht="56.25" hidden="1" customHeight="1">
      <c r="A978" s="458">
        <f>A977+1</f>
        <v>2</v>
      </c>
      <c r="B978" s="403" t="s">
        <v>1099</v>
      </c>
      <c r="C978" s="648" t="s">
        <v>222</v>
      </c>
      <c r="D978" s="641">
        <f>E978*2.9</f>
        <v>1705.2</v>
      </c>
      <c r="E978" s="388">
        <v>588</v>
      </c>
      <c r="F978" s="388" t="s">
        <v>229</v>
      </c>
      <c r="G978" s="388">
        <v>468</v>
      </c>
      <c r="H978" s="446">
        <v>2</v>
      </c>
      <c r="I978" s="446">
        <v>2</v>
      </c>
      <c r="J978" s="446">
        <v>12</v>
      </c>
      <c r="K978" s="682" t="s">
        <v>30</v>
      </c>
      <c r="L978" s="645">
        <f t="shared" si="115"/>
        <v>118818</v>
      </c>
      <c r="M978" s="645">
        <v>118101.6</v>
      </c>
      <c r="N978" s="646"/>
      <c r="O978" s="643">
        <v>716.4</v>
      </c>
      <c r="P978" s="646"/>
      <c r="Q978" s="388"/>
      <c r="R978" s="648">
        <f t="shared" ref="R978:R984" si="116">M978/J978</f>
        <v>9841.8000000000011</v>
      </c>
      <c r="T978" s="393"/>
      <c r="U978" s="388"/>
      <c r="V978" s="390"/>
      <c r="Y978" s="419">
        <f t="shared" si="114"/>
        <v>118818</v>
      </c>
      <c r="Z978" s="419"/>
    </row>
    <row r="979" spans="1:26" s="403" customFormat="1" ht="37.5" hidden="1" customHeight="1">
      <c r="A979" s="458">
        <f t="shared" ref="A979:A984" si="117">A978+1</f>
        <v>3</v>
      </c>
      <c r="B979" s="403" t="s">
        <v>1100</v>
      </c>
      <c r="C979" s="699" t="s">
        <v>222</v>
      </c>
      <c r="D979" s="641">
        <f>E979*2.9</f>
        <v>1992.3</v>
      </c>
      <c r="E979" s="388">
        <v>687</v>
      </c>
      <c r="F979" s="388" t="s">
        <v>229</v>
      </c>
      <c r="G979" s="388">
        <v>770</v>
      </c>
      <c r="H979" s="446">
        <v>2</v>
      </c>
      <c r="I979" s="446">
        <v>3</v>
      </c>
      <c r="J979" s="446">
        <v>22</v>
      </c>
      <c r="K979" s="458" t="s">
        <v>282</v>
      </c>
      <c r="L979" s="519">
        <f t="shared" si="115"/>
        <v>391286.2</v>
      </c>
      <c r="M979" s="529">
        <v>365018.2</v>
      </c>
      <c r="N979" s="391">
        <v>26268</v>
      </c>
      <c r="O979" s="473"/>
      <c r="P979" s="391"/>
      <c r="Q979" s="388"/>
      <c r="R979" s="446">
        <f t="shared" si="116"/>
        <v>16591.736363636363</v>
      </c>
      <c r="T979" s="406"/>
      <c r="U979" s="390"/>
      <c r="V979" s="390"/>
      <c r="Y979" s="419">
        <f t="shared" si="114"/>
        <v>391286.2</v>
      </c>
      <c r="Z979" s="419"/>
    </row>
    <row r="980" spans="1:26" s="403" customFormat="1" ht="37.5" hidden="1" customHeight="1">
      <c r="A980" s="458">
        <f t="shared" si="117"/>
        <v>4</v>
      </c>
      <c r="B980" s="403" t="s">
        <v>1101</v>
      </c>
      <c r="C980" s="648" t="s">
        <v>222</v>
      </c>
      <c r="D980" s="641">
        <f>E980*2.9</f>
        <v>2157.6</v>
      </c>
      <c r="E980" s="388">
        <v>744</v>
      </c>
      <c r="F980" s="388" t="s">
        <v>229</v>
      </c>
      <c r="G980" s="388">
        <v>802</v>
      </c>
      <c r="H980" s="446">
        <v>2</v>
      </c>
      <c r="I980" s="446">
        <v>3</v>
      </c>
      <c r="J980" s="446">
        <v>22</v>
      </c>
      <c r="K980" s="458" t="s">
        <v>239</v>
      </c>
      <c r="L980" s="519">
        <f t="shared" si="115"/>
        <v>394929.97</v>
      </c>
      <c r="M980" s="645">
        <v>365378.47</v>
      </c>
      <c r="N980" s="388">
        <v>29551.5</v>
      </c>
      <c r="O980" s="530"/>
      <c r="P980" s="391"/>
      <c r="Q980" s="388"/>
      <c r="R980" s="528">
        <f t="shared" si="116"/>
        <v>16608.11227272727</v>
      </c>
      <c r="T980" s="393"/>
      <c r="U980" s="404"/>
      <c r="V980" s="390"/>
      <c r="Y980" s="419">
        <f t="shared" si="114"/>
        <v>394929.97</v>
      </c>
      <c r="Z980" s="419"/>
    </row>
    <row r="981" spans="1:26" s="414" customFormat="1" ht="37.5" hidden="1" customHeight="1">
      <c r="A981" s="458">
        <f t="shared" si="117"/>
        <v>5</v>
      </c>
      <c r="B981" s="403" t="s">
        <v>1102</v>
      </c>
      <c r="C981" s="648" t="s">
        <v>218</v>
      </c>
      <c r="D981" s="641">
        <f>E981*2.9</f>
        <v>2314.1999999999998</v>
      </c>
      <c r="E981" s="388">
        <v>798</v>
      </c>
      <c r="F981" s="388" t="s">
        <v>229</v>
      </c>
      <c r="G981" s="388">
        <v>702</v>
      </c>
      <c r="H981" s="446">
        <v>2</v>
      </c>
      <c r="I981" s="446">
        <v>2</v>
      </c>
      <c r="J981" s="446">
        <v>20</v>
      </c>
      <c r="K981" s="458" t="s">
        <v>225</v>
      </c>
      <c r="L981" s="519">
        <f t="shared" si="115"/>
        <v>317353.32</v>
      </c>
      <c r="M981" s="645">
        <v>289493.32</v>
      </c>
      <c r="N981" s="646">
        <v>27860</v>
      </c>
      <c r="O981" s="647"/>
      <c r="P981" s="646"/>
      <c r="Q981" s="388"/>
      <c r="R981" s="648">
        <f t="shared" si="116"/>
        <v>14474.666000000001</v>
      </c>
      <c r="V981" s="390"/>
      <c r="Y981" s="419">
        <f t="shared" si="114"/>
        <v>317353.32</v>
      </c>
      <c r="Z981" s="419"/>
    </row>
    <row r="982" spans="1:26" s="414" customFormat="1" ht="56.25" hidden="1" customHeight="1">
      <c r="A982" s="458">
        <f t="shared" si="117"/>
        <v>6</v>
      </c>
      <c r="B982" s="403" t="s">
        <v>2983</v>
      </c>
      <c r="C982" s="648" t="s">
        <v>222</v>
      </c>
      <c r="D982" s="641">
        <v>2354.7999999999997</v>
      </c>
      <c r="E982" s="388">
        <v>812</v>
      </c>
      <c r="F982" s="388" t="s">
        <v>229</v>
      </c>
      <c r="G982" s="388">
        <v>718</v>
      </c>
      <c r="H982" s="446">
        <v>2</v>
      </c>
      <c r="I982" s="446">
        <v>3</v>
      </c>
      <c r="J982" s="446">
        <v>18</v>
      </c>
      <c r="K982" s="458" t="s">
        <v>30</v>
      </c>
      <c r="L982" s="519">
        <f t="shared" si="115"/>
        <v>384774.13</v>
      </c>
      <c r="M982" s="652">
        <v>377659</v>
      </c>
      <c r="N982" s="652"/>
      <c r="O982" s="643">
        <v>655.38</v>
      </c>
      <c r="P982" s="646"/>
      <c r="Q982" s="388">
        <v>6459.75</v>
      </c>
      <c r="R982" s="648">
        <f t="shared" si="116"/>
        <v>20981.055555555555</v>
      </c>
      <c r="V982" s="390"/>
      <c r="Y982" s="419">
        <f t="shared" si="114"/>
        <v>384774.13</v>
      </c>
      <c r="Z982" s="419"/>
    </row>
    <row r="983" spans="1:26" s="414" customFormat="1" ht="37.5" hidden="1" customHeight="1">
      <c r="A983" s="458">
        <f t="shared" si="117"/>
        <v>7</v>
      </c>
      <c r="B983" s="403" t="s">
        <v>2985</v>
      </c>
      <c r="C983" s="648" t="s">
        <v>222</v>
      </c>
      <c r="D983" s="641">
        <v>2903.5800000000004</v>
      </c>
      <c r="E983" s="388">
        <v>550</v>
      </c>
      <c r="F983" s="388" t="s">
        <v>229</v>
      </c>
      <c r="G983" s="388">
        <v>629.10900000000015</v>
      </c>
      <c r="H983" s="446">
        <v>2</v>
      </c>
      <c r="I983" s="446">
        <v>1</v>
      </c>
      <c r="J983" s="446">
        <v>18</v>
      </c>
      <c r="K983" s="458" t="s">
        <v>225</v>
      </c>
      <c r="L983" s="519">
        <f t="shared" si="115"/>
        <v>264141.33</v>
      </c>
      <c r="M983" s="652">
        <v>249193.32</v>
      </c>
      <c r="N983" s="646">
        <v>12359.16</v>
      </c>
      <c r="O983" s="647"/>
      <c r="P983" s="646"/>
      <c r="Q983" s="388">
        <v>2588.85</v>
      </c>
      <c r="R983" s="648">
        <f t="shared" si="116"/>
        <v>13844.073333333334</v>
      </c>
      <c r="V983" s="390"/>
      <c r="Y983" s="419">
        <f t="shared" si="114"/>
        <v>264141.33</v>
      </c>
      <c r="Z983" s="419"/>
    </row>
    <row r="984" spans="1:26" s="414" customFormat="1" ht="56.25" hidden="1" customHeight="1">
      <c r="A984" s="458">
        <f t="shared" si="117"/>
        <v>8</v>
      </c>
      <c r="B984" s="403" t="s">
        <v>3562</v>
      </c>
      <c r="C984" s="648" t="s">
        <v>222</v>
      </c>
      <c r="D984" s="641">
        <v>4503.4199999999992</v>
      </c>
      <c r="E984" s="388">
        <v>700</v>
      </c>
      <c r="F984" s="388" t="s">
        <v>229</v>
      </c>
      <c r="G984" s="388">
        <v>650.49399999999991</v>
      </c>
      <c r="H984" s="446">
        <v>3</v>
      </c>
      <c r="I984" s="446">
        <v>1</v>
      </c>
      <c r="J984" s="446">
        <v>74</v>
      </c>
      <c r="K984" s="458" t="s">
        <v>3563</v>
      </c>
      <c r="L984" s="519">
        <f t="shared" si="115"/>
        <v>1005369.6</v>
      </c>
      <c r="M984" s="652">
        <v>988312.89</v>
      </c>
      <c r="N984" s="646">
        <v>11214.72</v>
      </c>
      <c r="O984" s="656"/>
      <c r="P984" s="646"/>
      <c r="Q984" s="388">
        <v>5841.99</v>
      </c>
      <c r="R984" s="648">
        <f t="shared" si="116"/>
        <v>13355.579594594596</v>
      </c>
      <c r="V984" s="390"/>
      <c r="Y984" s="419">
        <f t="shared" si="114"/>
        <v>1005369.6</v>
      </c>
      <c r="Z984" s="419"/>
    </row>
    <row r="985" spans="1:26" s="403" customFormat="1" ht="58.5" hidden="1" customHeight="1">
      <c r="A985" s="1112" t="s">
        <v>135</v>
      </c>
      <c r="B985" s="1112"/>
      <c r="C985" s="455" t="s">
        <v>28</v>
      </c>
      <c r="D985" s="641">
        <f>SUM(D977:D984)</f>
        <v>20795.099999999999</v>
      </c>
      <c r="E985" s="388">
        <f>SUM(E977:E984)</f>
        <v>5461</v>
      </c>
      <c r="F985" s="388" t="s">
        <v>28</v>
      </c>
      <c r="G985" s="388">
        <f>SUM(G977:G984)</f>
        <v>5675.6030000000001</v>
      </c>
      <c r="H985" s="446" t="s">
        <v>28</v>
      </c>
      <c r="I985" s="446" t="s">
        <v>28</v>
      </c>
      <c r="J985" s="446">
        <f>SUM(J977:J984)</f>
        <v>198</v>
      </c>
      <c r="K985" s="458" t="s">
        <v>28</v>
      </c>
      <c r="L985" s="519">
        <f>SUM(L977:L984)</f>
        <v>4036375.8899999997</v>
      </c>
      <c r="M985" s="519">
        <f>SUM(M977:M984)</f>
        <v>3873744.6999999997</v>
      </c>
      <c r="N985" s="388">
        <f>SUM(N977:N984)</f>
        <v>146368.82</v>
      </c>
      <c r="O985" s="473">
        <f>SUM(O977:O984)</f>
        <v>1371.78</v>
      </c>
      <c r="P985" s="388"/>
      <c r="Q985" s="388">
        <f>SUM(Q977:Q984)</f>
        <v>14890.59</v>
      </c>
      <c r="R985" s="446" t="s">
        <v>28</v>
      </c>
      <c r="S985" s="388">
        <f>L985-M985-N985-O985-P985-Q985</f>
        <v>-6.3664629124104977E-11</v>
      </c>
      <c r="T985" s="393"/>
      <c r="U985" s="423"/>
      <c r="V985" s="390"/>
      <c r="Y985" s="419">
        <f t="shared" si="114"/>
        <v>4036375.8899999992</v>
      </c>
      <c r="Z985" s="419"/>
    </row>
    <row r="986" spans="1:26" s="403" customFormat="1" ht="58.5" hidden="1" customHeight="1">
      <c r="A986" s="1113" t="s">
        <v>85</v>
      </c>
      <c r="B986" s="1113"/>
      <c r="C986" s="1113"/>
      <c r="D986" s="1113"/>
      <c r="E986" s="1113"/>
      <c r="F986" s="1113"/>
      <c r="G986" s="1113"/>
      <c r="H986" s="1113"/>
      <c r="I986" s="1113"/>
      <c r="J986" s="1113"/>
      <c r="K986" s="1113"/>
      <c r="L986" s="1113"/>
      <c r="M986" s="1113"/>
      <c r="N986" s="1113"/>
      <c r="O986" s="1113"/>
      <c r="P986" s="1113"/>
      <c r="Q986" s="1113"/>
      <c r="R986" s="1113"/>
      <c r="T986" s="393"/>
      <c r="U986" s="404"/>
      <c r="V986" s="390"/>
      <c r="Y986" s="419">
        <f t="shared" si="114"/>
        <v>0</v>
      </c>
      <c r="Z986" s="419"/>
    </row>
    <row r="987" spans="1:26" s="424" customFormat="1" ht="37.5" hidden="1" customHeight="1">
      <c r="A987" s="682">
        <v>1</v>
      </c>
      <c r="B987" s="424" t="s">
        <v>1103</v>
      </c>
      <c r="C987" s="648" t="s">
        <v>222</v>
      </c>
      <c r="D987" s="681">
        <v>6260</v>
      </c>
      <c r="E987" s="646">
        <v>465</v>
      </c>
      <c r="F987" s="646" t="s">
        <v>223</v>
      </c>
      <c r="G987" s="646">
        <v>997</v>
      </c>
      <c r="H987" s="648">
        <v>3</v>
      </c>
      <c r="I987" s="648">
        <v>3</v>
      </c>
      <c r="J987" s="648">
        <v>27</v>
      </c>
      <c r="K987" s="682" t="s">
        <v>261</v>
      </c>
      <c r="L987" s="645">
        <f t="shared" ref="L987:L997" si="118">M987+N987+O987+P987+Q987</f>
        <v>2776209.31</v>
      </c>
      <c r="M987" s="652">
        <v>2739008.25</v>
      </c>
      <c r="N987" s="646">
        <v>37201.06</v>
      </c>
      <c r="O987" s="647"/>
      <c r="P987" s="646"/>
      <c r="Q987" s="388"/>
      <c r="R987" s="648">
        <f t="shared" ref="R987:R997" si="119">M987/G987</f>
        <v>2747.25</v>
      </c>
      <c r="U987" s="426"/>
      <c r="V987" s="390"/>
      <c r="Y987" s="419">
        <f t="shared" si="114"/>
        <v>2776209.31</v>
      </c>
      <c r="Z987" s="419"/>
    </row>
    <row r="988" spans="1:26" s="424" customFormat="1" ht="37.5" hidden="1" customHeight="1">
      <c r="A988" s="682">
        <f>A987+1</f>
        <v>2</v>
      </c>
      <c r="B988" s="424" t="s">
        <v>1104</v>
      </c>
      <c r="C988" s="648" t="s">
        <v>222</v>
      </c>
      <c r="D988" s="681">
        <v>4099</v>
      </c>
      <c r="E988" s="646">
        <v>381.6</v>
      </c>
      <c r="F988" s="646" t="s">
        <v>228</v>
      </c>
      <c r="G988" s="646">
        <v>936</v>
      </c>
      <c r="H988" s="648">
        <v>2</v>
      </c>
      <c r="I988" s="648">
        <v>3</v>
      </c>
      <c r="J988" s="648">
        <v>22</v>
      </c>
      <c r="K988" s="682" t="s">
        <v>262</v>
      </c>
      <c r="L988" s="645">
        <f t="shared" si="118"/>
        <v>3426199.95</v>
      </c>
      <c r="M988" s="656">
        <v>3390809.79</v>
      </c>
      <c r="N988" s="646">
        <v>35390.160000000003</v>
      </c>
      <c r="O988" s="647"/>
      <c r="P988" s="646"/>
      <c r="Q988" s="388"/>
      <c r="R988" s="446">
        <f t="shared" si="119"/>
        <v>3622.6600320512821</v>
      </c>
      <c r="U988" s="426"/>
      <c r="V988" s="390"/>
      <c r="Y988" s="419">
        <f t="shared" si="114"/>
        <v>3426199.95</v>
      </c>
      <c r="Z988" s="419"/>
    </row>
    <row r="989" spans="1:26" s="424" customFormat="1" ht="37.5" hidden="1" customHeight="1">
      <c r="A989" s="682">
        <f t="shared" ref="A989:A997" si="120">A988+1</f>
        <v>3</v>
      </c>
      <c r="B989" s="424" t="s">
        <v>1105</v>
      </c>
      <c r="C989" s="648" t="s">
        <v>222</v>
      </c>
      <c r="D989" s="681">
        <v>7386</v>
      </c>
      <c r="E989" s="646">
        <v>1185</v>
      </c>
      <c r="F989" s="646" t="s">
        <v>228</v>
      </c>
      <c r="G989" s="646">
        <v>592</v>
      </c>
      <c r="H989" s="648">
        <v>4</v>
      </c>
      <c r="I989" s="648">
        <v>2</v>
      </c>
      <c r="J989" s="648">
        <v>24</v>
      </c>
      <c r="K989" s="682" t="s">
        <v>33</v>
      </c>
      <c r="L989" s="645">
        <f t="shared" si="118"/>
        <v>1304985.06</v>
      </c>
      <c r="M989" s="652">
        <v>1301097.6000000001</v>
      </c>
      <c r="N989" s="646"/>
      <c r="O989" s="643">
        <v>3887.46</v>
      </c>
      <c r="P989" s="646"/>
      <c r="Q989" s="388"/>
      <c r="R989" s="648">
        <f t="shared" si="119"/>
        <v>2197.8000000000002</v>
      </c>
      <c r="U989" s="426"/>
      <c r="V989" s="390"/>
      <c r="Y989" s="419">
        <f t="shared" si="114"/>
        <v>1304985.06</v>
      </c>
      <c r="Z989" s="419"/>
    </row>
    <row r="990" spans="1:26" s="424" customFormat="1" ht="37.5" hidden="1" customHeight="1">
      <c r="A990" s="682">
        <f t="shared" si="120"/>
        <v>4</v>
      </c>
      <c r="B990" s="424" t="s">
        <v>1106</v>
      </c>
      <c r="C990" s="648" t="s">
        <v>222</v>
      </c>
      <c r="D990" s="681">
        <v>2893</v>
      </c>
      <c r="E990" s="646">
        <v>624</v>
      </c>
      <c r="F990" s="646" t="s">
        <v>223</v>
      </c>
      <c r="G990" s="646">
        <v>650</v>
      </c>
      <c r="H990" s="648">
        <v>2</v>
      </c>
      <c r="I990" s="648">
        <v>2</v>
      </c>
      <c r="J990" s="648">
        <v>16</v>
      </c>
      <c r="K990" s="682" t="s">
        <v>33</v>
      </c>
      <c r="L990" s="645">
        <f t="shared" si="118"/>
        <v>1461732.4800000002</v>
      </c>
      <c r="M990" s="652">
        <v>1437479.36</v>
      </c>
      <c r="N990" s="646">
        <v>24253.119999999999</v>
      </c>
      <c r="O990" s="647"/>
      <c r="P990" s="646"/>
      <c r="Q990" s="388"/>
      <c r="R990" s="648">
        <f t="shared" si="119"/>
        <v>2211.5067076923078</v>
      </c>
      <c r="U990" s="426"/>
      <c r="V990" s="390"/>
      <c r="Y990" s="419">
        <f t="shared" si="114"/>
        <v>1461732.4800000002</v>
      </c>
      <c r="Z990" s="419"/>
    </row>
    <row r="991" spans="1:26" s="424" customFormat="1" ht="37.5" hidden="1" customHeight="1">
      <c r="A991" s="682">
        <f t="shared" si="120"/>
        <v>5</v>
      </c>
      <c r="B991" s="424" t="s">
        <v>1107</v>
      </c>
      <c r="C991" s="648" t="s">
        <v>222</v>
      </c>
      <c r="D991" s="681">
        <v>5957</v>
      </c>
      <c r="E991" s="646">
        <v>1200</v>
      </c>
      <c r="F991" s="646" t="s">
        <v>231</v>
      </c>
      <c r="G991" s="646">
        <v>840</v>
      </c>
      <c r="H991" s="648">
        <v>4</v>
      </c>
      <c r="I991" s="648">
        <v>1</v>
      </c>
      <c r="J991" s="648">
        <v>16</v>
      </c>
      <c r="K991" s="682" t="s">
        <v>261</v>
      </c>
      <c r="L991" s="645">
        <f t="shared" si="118"/>
        <v>2029342.5</v>
      </c>
      <c r="M991" s="652">
        <v>1998000</v>
      </c>
      <c r="N991" s="646">
        <v>31342.5</v>
      </c>
      <c r="O991" s="647"/>
      <c r="P991" s="646"/>
      <c r="Q991" s="388"/>
      <c r="R991" s="648">
        <f t="shared" si="119"/>
        <v>2378.5714285714284</v>
      </c>
      <c r="U991" s="426"/>
      <c r="V991" s="390"/>
      <c r="Y991" s="419">
        <f t="shared" si="114"/>
        <v>2029342.5</v>
      </c>
      <c r="Z991" s="419"/>
    </row>
    <row r="992" spans="1:26" s="424" customFormat="1" ht="37.5" hidden="1" customHeight="1">
      <c r="A992" s="682">
        <f t="shared" si="120"/>
        <v>6</v>
      </c>
      <c r="B992" s="424" t="s">
        <v>1108</v>
      </c>
      <c r="C992" s="648" t="s">
        <v>222</v>
      </c>
      <c r="D992" s="681">
        <v>9445</v>
      </c>
      <c r="E992" s="646">
        <v>1541</v>
      </c>
      <c r="F992" s="646" t="s">
        <v>228</v>
      </c>
      <c r="G992" s="646">
        <v>494</v>
      </c>
      <c r="H992" s="648">
        <v>5</v>
      </c>
      <c r="I992" s="648">
        <v>3</v>
      </c>
      <c r="J992" s="648">
        <v>44</v>
      </c>
      <c r="K992" s="682" t="s">
        <v>33</v>
      </c>
      <c r="L992" s="645">
        <f t="shared" si="118"/>
        <v>1197528.22</v>
      </c>
      <c r="M992" s="652">
        <v>1194284.52</v>
      </c>
      <c r="N992" s="646"/>
      <c r="O992" s="643">
        <v>3243.7</v>
      </c>
      <c r="P992" s="646"/>
      <c r="Q992" s="388"/>
      <c r="R992" s="648">
        <f t="shared" si="119"/>
        <v>2417.58</v>
      </c>
      <c r="U992" s="426"/>
      <c r="V992" s="390"/>
      <c r="Y992" s="419">
        <f t="shared" si="114"/>
        <v>1197528.22</v>
      </c>
      <c r="Z992" s="419"/>
    </row>
    <row r="993" spans="1:26" s="424" customFormat="1" ht="37.5" hidden="1" customHeight="1">
      <c r="A993" s="682">
        <f t="shared" si="120"/>
        <v>7</v>
      </c>
      <c r="B993" s="424" t="s">
        <v>1109</v>
      </c>
      <c r="C993" s="648" t="s">
        <v>222</v>
      </c>
      <c r="D993" s="681">
        <v>2574</v>
      </c>
      <c r="E993" s="646">
        <v>560</v>
      </c>
      <c r="F993" s="646" t="s">
        <v>228</v>
      </c>
      <c r="G993" s="644">
        <v>676</v>
      </c>
      <c r="H993" s="648">
        <v>2</v>
      </c>
      <c r="I993" s="648">
        <v>2</v>
      </c>
      <c r="J993" s="648">
        <v>12</v>
      </c>
      <c r="K993" s="682" t="s">
        <v>262</v>
      </c>
      <c r="L993" s="645">
        <f t="shared" si="118"/>
        <v>1650552.51</v>
      </c>
      <c r="M993" s="652">
        <v>1612213.17</v>
      </c>
      <c r="N993" s="646">
        <v>38339.339999999997</v>
      </c>
      <c r="O993" s="647"/>
      <c r="P993" s="646"/>
      <c r="Q993" s="388"/>
      <c r="R993" s="446">
        <f t="shared" si="119"/>
        <v>2384.9307248520709</v>
      </c>
      <c r="U993" s="426"/>
      <c r="V993" s="390"/>
      <c r="Y993" s="419">
        <f t="shared" si="114"/>
        <v>1650552.51</v>
      </c>
      <c r="Z993" s="419"/>
    </row>
    <row r="994" spans="1:26" s="424" customFormat="1" ht="37.5" hidden="1" customHeight="1">
      <c r="A994" s="682">
        <f t="shared" si="120"/>
        <v>8</v>
      </c>
      <c r="B994" s="424" t="s">
        <v>1110</v>
      </c>
      <c r="C994" s="648" t="s">
        <v>222</v>
      </c>
      <c r="D994" s="681">
        <v>2903</v>
      </c>
      <c r="E994" s="646">
        <v>611</v>
      </c>
      <c r="F994" s="646" t="s">
        <v>223</v>
      </c>
      <c r="G994" s="646">
        <v>695</v>
      </c>
      <c r="H994" s="648">
        <v>2</v>
      </c>
      <c r="I994" s="648">
        <v>2</v>
      </c>
      <c r="J994" s="648">
        <v>16</v>
      </c>
      <c r="K994" s="682" t="s">
        <v>33</v>
      </c>
      <c r="L994" s="645">
        <f t="shared" si="118"/>
        <v>1551886.21</v>
      </c>
      <c r="M994" s="652">
        <v>1525953.52</v>
      </c>
      <c r="N994" s="646">
        <v>25932.69</v>
      </c>
      <c r="O994" s="647"/>
      <c r="P994" s="646"/>
      <c r="Q994" s="388"/>
      <c r="R994" s="648">
        <f t="shared" si="119"/>
        <v>2195.6165755395682</v>
      </c>
      <c r="U994" s="426"/>
      <c r="V994" s="390"/>
      <c r="Y994" s="419">
        <f t="shared" si="114"/>
        <v>1551886.21</v>
      </c>
      <c r="Z994" s="419"/>
    </row>
    <row r="995" spans="1:26" s="424" customFormat="1" ht="37.5" hidden="1" customHeight="1">
      <c r="A995" s="682">
        <f t="shared" si="120"/>
        <v>9</v>
      </c>
      <c r="B995" s="424" t="s">
        <v>3510</v>
      </c>
      <c r="C995" s="648" t="s">
        <v>222</v>
      </c>
      <c r="D995" s="681">
        <v>5408</v>
      </c>
      <c r="E995" s="646">
        <v>754</v>
      </c>
      <c r="F995" s="646" t="s">
        <v>223</v>
      </c>
      <c r="G995" s="646">
        <v>800</v>
      </c>
      <c r="H995" s="648">
        <v>2</v>
      </c>
      <c r="I995" s="648">
        <v>3</v>
      </c>
      <c r="J995" s="648">
        <v>22</v>
      </c>
      <c r="K995" s="682" t="s">
        <v>33</v>
      </c>
      <c r="L995" s="645">
        <f t="shared" si="118"/>
        <v>1964232.4999999998</v>
      </c>
      <c r="M995" s="645">
        <v>1943874.7999999998</v>
      </c>
      <c r="N995" s="646">
        <v>20357.7</v>
      </c>
      <c r="O995" s="647"/>
      <c r="P995" s="646"/>
      <c r="Q995" s="388"/>
      <c r="R995" s="648">
        <f t="shared" si="119"/>
        <v>2429.8434999999999</v>
      </c>
      <c r="U995" s="426"/>
      <c r="V995" s="390"/>
      <c r="Y995" s="419">
        <f t="shared" si="114"/>
        <v>1964232.4999999998</v>
      </c>
      <c r="Z995" s="419"/>
    </row>
    <row r="996" spans="1:26" s="424" customFormat="1" ht="37.5" hidden="1" customHeight="1">
      <c r="A996" s="682">
        <f t="shared" si="120"/>
        <v>10</v>
      </c>
      <c r="B996" s="424" t="s">
        <v>2993</v>
      </c>
      <c r="C996" s="648" t="s">
        <v>222</v>
      </c>
      <c r="D996" s="681">
        <v>1196</v>
      </c>
      <c r="E996" s="646">
        <v>108.6</v>
      </c>
      <c r="F996" s="646" t="s">
        <v>223</v>
      </c>
      <c r="G996" s="646">
        <v>409.2</v>
      </c>
      <c r="H996" s="648">
        <v>2</v>
      </c>
      <c r="I996" s="648">
        <v>1</v>
      </c>
      <c r="J996" s="648">
        <v>8</v>
      </c>
      <c r="K996" s="682" t="s">
        <v>33</v>
      </c>
      <c r="L996" s="645">
        <f t="shared" si="118"/>
        <v>942985.09</v>
      </c>
      <c r="M996" s="645">
        <v>917537.97</v>
      </c>
      <c r="N996" s="646">
        <v>25447.119999999999</v>
      </c>
      <c r="O996" s="647"/>
      <c r="P996" s="646"/>
      <c r="Q996" s="388"/>
      <c r="R996" s="648">
        <f t="shared" si="119"/>
        <v>2242.2726539589444</v>
      </c>
      <c r="U996" s="426"/>
      <c r="V996" s="390"/>
      <c r="Y996" s="419">
        <f t="shared" si="114"/>
        <v>942985.09</v>
      </c>
      <c r="Z996" s="419"/>
    </row>
    <row r="997" spans="1:26" s="424" customFormat="1" ht="41.25" hidden="1" customHeight="1">
      <c r="A997" s="682">
        <f t="shared" si="120"/>
        <v>11</v>
      </c>
      <c r="B997" s="424" t="s">
        <v>3431</v>
      </c>
      <c r="C997" s="648" t="s">
        <v>218</v>
      </c>
      <c r="D997" s="681">
        <v>9666</v>
      </c>
      <c r="E997" s="646">
        <v>2265</v>
      </c>
      <c r="F997" s="646" t="s">
        <v>228</v>
      </c>
      <c r="G997" s="646">
        <v>1040</v>
      </c>
      <c r="H997" s="648">
        <v>5</v>
      </c>
      <c r="I997" s="648">
        <v>4</v>
      </c>
      <c r="J997" s="648">
        <v>60</v>
      </c>
      <c r="K997" s="682" t="s">
        <v>33</v>
      </c>
      <c r="L997" s="645">
        <f t="shared" si="118"/>
        <v>2240637.1799999997</v>
      </c>
      <c r="M997" s="652">
        <v>2214033.9</v>
      </c>
      <c r="N997" s="646"/>
      <c r="O997" s="647">
        <v>6803.28</v>
      </c>
      <c r="P997" s="646"/>
      <c r="Q997" s="388">
        <v>19800</v>
      </c>
      <c r="R997" s="648">
        <f t="shared" si="119"/>
        <v>2128.8787499999999</v>
      </c>
      <c r="U997" s="426"/>
      <c r="V997" s="390"/>
      <c r="Y997" s="419">
        <f t="shared" si="114"/>
        <v>2240637.1799999997</v>
      </c>
      <c r="Z997" s="419"/>
    </row>
    <row r="998" spans="1:26" s="403" customFormat="1" ht="58.5" hidden="1" customHeight="1">
      <c r="A998" s="1112" t="s">
        <v>86</v>
      </c>
      <c r="B998" s="1112"/>
      <c r="C998" s="455" t="s">
        <v>28</v>
      </c>
      <c r="D998" s="641">
        <f>SUM(D987:D997)</f>
        <v>57787</v>
      </c>
      <c r="E998" s="388">
        <f>SUM(E987:E997)</f>
        <v>9695.2000000000007</v>
      </c>
      <c r="F998" s="388" t="s">
        <v>28</v>
      </c>
      <c r="G998" s="388">
        <f>SUM(G987:G997)</f>
        <v>8129.2</v>
      </c>
      <c r="H998" s="446" t="s">
        <v>28</v>
      </c>
      <c r="I998" s="446" t="s">
        <v>28</v>
      </c>
      <c r="J998" s="446">
        <f>SUM(J987:J997)</f>
        <v>267</v>
      </c>
      <c r="K998" s="458" t="s">
        <v>28</v>
      </c>
      <c r="L998" s="519">
        <f>SUM(L987:L997)</f>
        <v>20546291.010000002</v>
      </c>
      <c r="M998" s="519">
        <f>SUM(M987:M997)</f>
        <v>20274292.879999995</v>
      </c>
      <c r="N998" s="388">
        <f>SUM(N987:N997)</f>
        <v>238263.69</v>
      </c>
      <c r="O998" s="473">
        <f>SUM(O987:O997)</f>
        <v>13934.439999999999</v>
      </c>
      <c r="P998" s="388"/>
      <c r="Q998" s="388">
        <f>SUM(Q987:Q997)</f>
        <v>19800</v>
      </c>
      <c r="R998" s="446" t="s">
        <v>28</v>
      </c>
      <c r="S998" s="388">
        <f>L998-M998-N998-O998-P998-Q998</f>
        <v>6.4064806792885065E-9</v>
      </c>
      <c r="T998" s="393"/>
      <c r="U998" s="423"/>
      <c r="V998" s="390"/>
      <c r="Y998" s="419">
        <f t="shared" si="114"/>
        <v>20546291.009999998</v>
      </c>
      <c r="Z998" s="419"/>
    </row>
    <row r="999" spans="1:26" s="403" customFormat="1" ht="58.5" hidden="1" customHeight="1">
      <c r="A999" s="1113" t="s">
        <v>87</v>
      </c>
      <c r="B999" s="1113"/>
      <c r="C999" s="1113"/>
      <c r="D999" s="1113"/>
      <c r="E999" s="1113"/>
      <c r="F999" s="1113"/>
      <c r="G999" s="1113"/>
      <c r="H999" s="1113"/>
      <c r="I999" s="1113"/>
      <c r="J999" s="1113"/>
      <c r="K999" s="1113"/>
      <c r="L999" s="1113"/>
      <c r="M999" s="1113"/>
      <c r="N999" s="1113"/>
      <c r="O999" s="1113"/>
      <c r="P999" s="1113"/>
      <c r="Q999" s="1113"/>
      <c r="R999" s="1113"/>
      <c r="T999" s="393"/>
      <c r="U999" s="404"/>
      <c r="V999" s="390"/>
      <c r="Y999" s="419">
        <f t="shared" si="114"/>
        <v>0</v>
      </c>
      <c r="Z999" s="419"/>
    </row>
    <row r="1000" spans="1:26" s="420" customFormat="1" ht="56.25" hidden="1" customHeight="1">
      <c r="A1000" s="612">
        <v>1</v>
      </c>
      <c r="B1000" s="740" t="s">
        <v>1111</v>
      </c>
      <c r="C1000" s="741" t="s">
        <v>222</v>
      </c>
      <c r="D1000" s="641">
        <v>304.64</v>
      </c>
      <c r="E1000" s="742">
        <v>3892</v>
      </c>
      <c r="F1000" s="742" t="s">
        <v>223</v>
      </c>
      <c r="G1000" s="742">
        <v>916</v>
      </c>
      <c r="H1000" s="726">
        <v>2</v>
      </c>
      <c r="I1000" s="726">
        <v>3</v>
      </c>
      <c r="J1000" s="726">
        <v>22</v>
      </c>
      <c r="K1000" s="458" t="s">
        <v>30</v>
      </c>
      <c r="L1000" s="519">
        <f t="shared" ref="L1000:L1005" si="121">M1000+N1000+O1000+P1000+Q1000</f>
        <v>409963.58</v>
      </c>
      <c r="M1000" s="396">
        <v>408650.18</v>
      </c>
      <c r="N1000" s="391"/>
      <c r="O1000" s="643">
        <v>1313.4</v>
      </c>
      <c r="P1000" s="391"/>
      <c r="Q1000" s="388"/>
      <c r="R1000" s="446">
        <f>M1000/J1000</f>
        <v>18575.008181818182</v>
      </c>
      <c r="U1000" s="405"/>
      <c r="V1000" s="390"/>
      <c r="Y1000" s="419">
        <f t="shared" si="114"/>
        <v>409963.58</v>
      </c>
      <c r="Z1000" s="419"/>
    </row>
    <row r="1001" spans="1:26" s="420" customFormat="1" ht="56.25" hidden="1" customHeight="1">
      <c r="A1001" s="612">
        <f>A1000+1</f>
        <v>2</v>
      </c>
      <c r="B1001" s="740" t="s">
        <v>1112</v>
      </c>
      <c r="C1001" s="741" t="s">
        <v>222</v>
      </c>
      <c r="D1001" s="641">
        <v>221.7</v>
      </c>
      <c r="E1001" s="742">
        <v>1500.9</v>
      </c>
      <c r="F1001" s="742" t="s">
        <v>223</v>
      </c>
      <c r="G1001" s="742">
        <v>628</v>
      </c>
      <c r="H1001" s="726">
        <v>2</v>
      </c>
      <c r="I1001" s="726">
        <v>2</v>
      </c>
      <c r="J1001" s="726">
        <v>12</v>
      </c>
      <c r="K1001" s="458" t="s">
        <v>238</v>
      </c>
      <c r="L1001" s="519">
        <f t="shared" si="121"/>
        <v>264426.16000000003</v>
      </c>
      <c r="M1001" s="396">
        <v>263709.76</v>
      </c>
      <c r="N1001" s="391"/>
      <c r="O1001" s="643">
        <v>716.4</v>
      </c>
      <c r="P1001" s="391"/>
      <c r="Q1001" s="388"/>
      <c r="R1001" s="446">
        <f>M1001/J1001</f>
        <v>21975.813333333335</v>
      </c>
      <c r="U1001" s="405"/>
      <c r="V1001" s="390"/>
      <c r="Y1001" s="419">
        <f t="shared" si="114"/>
        <v>264426.16000000003</v>
      </c>
      <c r="Z1001" s="419"/>
    </row>
    <row r="1002" spans="1:26" s="420" customFormat="1" ht="56.25" hidden="1" customHeight="1">
      <c r="A1002" s="612">
        <f>A1001+1</f>
        <v>3</v>
      </c>
      <c r="B1002" s="740" t="s">
        <v>1113</v>
      </c>
      <c r="C1002" s="741" t="s">
        <v>222</v>
      </c>
      <c r="D1002" s="641">
        <v>208.12</v>
      </c>
      <c r="E1002" s="742">
        <v>2457</v>
      </c>
      <c r="F1002" s="742" t="s">
        <v>223</v>
      </c>
      <c r="G1002" s="742">
        <v>444</v>
      </c>
      <c r="H1002" s="726">
        <v>2</v>
      </c>
      <c r="I1002" s="726">
        <v>2</v>
      </c>
      <c r="J1002" s="726">
        <v>8</v>
      </c>
      <c r="K1002" s="458" t="s">
        <v>30</v>
      </c>
      <c r="L1002" s="519">
        <f t="shared" si="121"/>
        <v>113828.90000000001</v>
      </c>
      <c r="M1002" s="396">
        <v>113351.3</v>
      </c>
      <c r="N1002" s="391"/>
      <c r="O1002" s="643">
        <v>477.6</v>
      </c>
      <c r="P1002" s="391"/>
      <c r="Q1002" s="388"/>
      <c r="R1002" s="446">
        <f>M1002/J1002</f>
        <v>14168.9125</v>
      </c>
      <c r="U1002" s="405"/>
      <c r="V1002" s="390"/>
      <c r="Y1002" s="419">
        <f t="shared" si="114"/>
        <v>113828.90000000001</v>
      </c>
      <c r="Z1002" s="419"/>
    </row>
    <row r="1003" spans="1:26" s="420" customFormat="1" ht="56.25" hidden="1" customHeight="1">
      <c r="A1003" s="612">
        <f>A1002+1</f>
        <v>4</v>
      </c>
      <c r="B1003" s="740" t="s">
        <v>3545</v>
      </c>
      <c r="C1003" s="741" t="s">
        <v>222</v>
      </c>
      <c r="D1003" s="641">
        <v>2963</v>
      </c>
      <c r="E1003" s="742">
        <v>233.28</v>
      </c>
      <c r="F1003" s="742" t="s">
        <v>223</v>
      </c>
      <c r="G1003" s="742">
        <v>694</v>
      </c>
      <c r="H1003" s="726">
        <v>2</v>
      </c>
      <c r="I1003" s="726">
        <v>2</v>
      </c>
      <c r="J1003" s="726">
        <v>16</v>
      </c>
      <c r="K1003" s="458" t="s">
        <v>30</v>
      </c>
      <c r="L1003" s="519">
        <f t="shared" si="121"/>
        <v>293599.50000000006</v>
      </c>
      <c r="M1003" s="396">
        <v>286449.72000000003</v>
      </c>
      <c r="N1003" s="396"/>
      <c r="O1003" s="643">
        <v>690.03</v>
      </c>
      <c r="P1003" s="391"/>
      <c r="Q1003" s="388">
        <v>6459.75</v>
      </c>
      <c r="R1003" s="446">
        <f>M1003/J1003</f>
        <v>17903.107500000002</v>
      </c>
      <c r="U1003" s="405"/>
      <c r="V1003" s="390"/>
      <c r="Y1003" s="419">
        <f t="shared" si="114"/>
        <v>293599.50000000006</v>
      </c>
      <c r="Z1003" s="419"/>
    </row>
    <row r="1004" spans="1:26" s="420" customFormat="1" ht="56.25" hidden="1" customHeight="1">
      <c r="A1004" s="612">
        <f>A1003+1</f>
        <v>5</v>
      </c>
      <c r="B1004" s="740" t="s">
        <v>3546</v>
      </c>
      <c r="C1004" s="741" t="s">
        <v>222</v>
      </c>
      <c r="D1004" s="641">
        <v>2959</v>
      </c>
      <c r="E1004" s="742">
        <v>308.57</v>
      </c>
      <c r="F1004" s="742" t="s">
        <v>223</v>
      </c>
      <c r="G1004" s="742">
        <v>686</v>
      </c>
      <c r="H1004" s="726">
        <v>2</v>
      </c>
      <c r="I1004" s="726">
        <v>2</v>
      </c>
      <c r="J1004" s="726">
        <v>16</v>
      </c>
      <c r="K1004" s="458" t="s">
        <v>238</v>
      </c>
      <c r="L1004" s="519">
        <f t="shared" si="121"/>
        <v>330178.74000000005</v>
      </c>
      <c r="M1004" s="396">
        <v>323028.96000000002</v>
      </c>
      <c r="N1004" s="396"/>
      <c r="O1004" s="643">
        <v>690.03</v>
      </c>
      <c r="P1004" s="391"/>
      <c r="Q1004" s="388">
        <v>6459.75</v>
      </c>
      <c r="R1004" s="446">
        <f>M1004/J1004</f>
        <v>20189.310000000001</v>
      </c>
      <c r="U1004" s="405"/>
      <c r="V1004" s="390"/>
      <c r="Y1004" s="419">
        <f t="shared" si="114"/>
        <v>330178.74000000005</v>
      </c>
      <c r="Z1004" s="419"/>
    </row>
    <row r="1005" spans="1:26" s="420" customFormat="1" ht="37.5" hidden="1" customHeight="1">
      <c r="A1005" s="612">
        <f>A1004+1</f>
        <v>6</v>
      </c>
      <c r="B1005" s="740" t="s">
        <v>2998</v>
      </c>
      <c r="C1005" s="741" t="s">
        <v>222</v>
      </c>
      <c r="D1005" s="641">
        <v>2682</v>
      </c>
      <c r="E1005" s="742">
        <v>538.79999999999995</v>
      </c>
      <c r="F1005" s="742" t="s">
        <v>223</v>
      </c>
      <c r="G1005" s="742">
        <v>697</v>
      </c>
      <c r="H1005" s="726">
        <v>2</v>
      </c>
      <c r="I1005" s="726">
        <v>2</v>
      </c>
      <c r="J1005" s="726">
        <v>8</v>
      </c>
      <c r="K1005" s="458" t="s">
        <v>33</v>
      </c>
      <c r="L1005" s="519">
        <f t="shared" si="121"/>
        <v>990814.2</v>
      </c>
      <c r="M1005" s="652">
        <v>962606.13</v>
      </c>
      <c r="N1005" s="391">
        <v>18143.73</v>
      </c>
      <c r="O1005" s="643"/>
      <c r="P1005" s="391"/>
      <c r="Q1005" s="388">
        <v>10064.34</v>
      </c>
      <c r="R1005" s="446">
        <f>M1005/G1005</f>
        <v>1381.070487804878</v>
      </c>
      <c r="U1005" s="405"/>
      <c r="V1005" s="390"/>
      <c r="Y1005" s="419">
        <f t="shared" si="114"/>
        <v>990814.2</v>
      </c>
      <c r="Z1005" s="419"/>
    </row>
    <row r="1006" spans="1:26" s="403" customFormat="1" ht="58.5" hidden="1" customHeight="1">
      <c r="A1006" s="1112" t="s">
        <v>88</v>
      </c>
      <c r="B1006" s="1112"/>
      <c r="C1006" s="455" t="s">
        <v>28</v>
      </c>
      <c r="D1006" s="641">
        <f>SUM(D1000:D1005)</f>
        <v>9338.4599999999991</v>
      </c>
      <c r="E1006" s="388">
        <f>SUM(E1000:E1005)</f>
        <v>8930.5499999999993</v>
      </c>
      <c r="F1006" s="388" t="s">
        <v>28</v>
      </c>
      <c r="G1006" s="388">
        <f>SUM(G1000:G1005)</f>
        <v>4065</v>
      </c>
      <c r="H1006" s="446" t="s">
        <v>28</v>
      </c>
      <c r="I1006" s="446" t="s">
        <v>28</v>
      </c>
      <c r="J1006" s="446">
        <f>SUM(J1000:J1005)</f>
        <v>82</v>
      </c>
      <c r="K1006" s="458" t="s">
        <v>28</v>
      </c>
      <c r="L1006" s="519">
        <f>SUM(L1000:L1005)</f>
        <v>2402811.08</v>
      </c>
      <c r="M1006" s="519">
        <f>SUM(M1000:M1005)</f>
        <v>2357796.0499999998</v>
      </c>
      <c r="N1006" s="388">
        <f>SUM(N1000:N1005)</f>
        <v>18143.73</v>
      </c>
      <c r="O1006" s="473">
        <f>SUM(O1000:O1005)</f>
        <v>3887.46</v>
      </c>
      <c r="P1006" s="388"/>
      <c r="Q1006" s="388">
        <f>SUM(Q1000:Q1005)</f>
        <v>22983.84</v>
      </c>
      <c r="R1006" s="446" t="s">
        <v>28</v>
      </c>
      <c r="S1006" s="388">
        <f>L1006-M1006-N1006-O1006-P1006-Q1006</f>
        <v>2.6193447411060333E-10</v>
      </c>
      <c r="T1006" s="393"/>
      <c r="U1006" s="423"/>
      <c r="V1006" s="390"/>
      <c r="Y1006" s="419">
        <f t="shared" si="114"/>
        <v>2402811.0799999996</v>
      </c>
      <c r="Z1006" s="419"/>
    </row>
    <row r="1007" spans="1:26" s="403" customFormat="1" ht="58.5" hidden="1" customHeight="1">
      <c r="A1007" s="1113" t="s">
        <v>89</v>
      </c>
      <c r="B1007" s="1113"/>
      <c r="C1007" s="1113"/>
      <c r="D1007" s="1113"/>
      <c r="E1007" s="1113"/>
      <c r="F1007" s="1113"/>
      <c r="G1007" s="1113"/>
      <c r="H1007" s="1113"/>
      <c r="I1007" s="1113"/>
      <c r="J1007" s="1113"/>
      <c r="K1007" s="1113"/>
      <c r="L1007" s="1113"/>
      <c r="M1007" s="1113"/>
      <c r="N1007" s="1113"/>
      <c r="O1007" s="1113"/>
      <c r="P1007" s="1113"/>
      <c r="Q1007" s="1113"/>
      <c r="R1007" s="1113"/>
      <c r="T1007" s="393"/>
      <c r="U1007" s="404"/>
      <c r="V1007" s="390"/>
      <c r="Y1007" s="419">
        <f t="shared" si="114"/>
        <v>0</v>
      </c>
      <c r="Z1007" s="419"/>
    </row>
    <row r="1008" spans="1:26" s="420" customFormat="1" ht="56.25" hidden="1" customHeight="1">
      <c r="A1008" s="697">
        <v>1</v>
      </c>
      <c r="B1008" s="743" t="s">
        <v>1114</v>
      </c>
      <c r="C1008" s="699" t="s">
        <v>218</v>
      </c>
      <c r="D1008" s="700">
        <v>12132</v>
      </c>
      <c r="E1008" s="651">
        <v>2276.6</v>
      </c>
      <c r="F1008" s="651" t="s">
        <v>234</v>
      </c>
      <c r="G1008" s="651">
        <v>828</v>
      </c>
      <c r="H1008" s="732">
        <v>5</v>
      </c>
      <c r="I1008" s="732">
        <v>4</v>
      </c>
      <c r="J1008" s="732">
        <v>62</v>
      </c>
      <c r="K1008" s="458" t="s">
        <v>238</v>
      </c>
      <c r="L1008" s="650">
        <f t="shared" ref="L1008:L1020" si="122">M1008+N1008+O1008+P1008+Q1008</f>
        <v>1829912.51</v>
      </c>
      <c r="M1008" s="650">
        <v>1824360.41</v>
      </c>
      <c r="N1008" s="651"/>
      <c r="O1008" s="643">
        <v>5552.1</v>
      </c>
      <c r="P1008" s="651"/>
      <c r="Q1008" s="388"/>
      <c r="R1008" s="732">
        <f>M1008/J1008</f>
        <v>29425.167903225803</v>
      </c>
      <c r="U1008" s="388"/>
      <c r="V1008" s="390"/>
      <c r="Y1008" s="419">
        <f t="shared" si="114"/>
        <v>1829912.51</v>
      </c>
      <c r="Z1008" s="419"/>
    </row>
    <row r="1009" spans="1:26" s="420" customFormat="1" ht="56.25" hidden="1" customHeight="1">
      <c r="A1009" s="697">
        <f>A1008+1</f>
        <v>2</v>
      </c>
      <c r="B1009" s="743" t="s">
        <v>3961</v>
      </c>
      <c r="C1009" s="699" t="s">
        <v>222</v>
      </c>
      <c r="D1009" s="700">
        <v>3035</v>
      </c>
      <c r="E1009" s="651">
        <v>693.9</v>
      </c>
      <c r="F1009" s="742" t="s">
        <v>223</v>
      </c>
      <c r="G1009" s="651">
        <v>607</v>
      </c>
      <c r="H1009" s="732">
        <v>2</v>
      </c>
      <c r="I1009" s="732">
        <v>2</v>
      </c>
      <c r="J1009" s="732">
        <v>16</v>
      </c>
      <c r="K1009" s="697" t="s">
        <v>263</v>
      </c>
      <c r="L1009" s="650">
        <f t="shared" si="122"/>
        <v>1360639.06</v>
      </c>
      <c r="M1009" s="744">
        <v>1334064.6000000001</v>
      </c>
      <c r="N1009" s="651">
        <v>26574.46</v>
      </c>
      <c r="O1009" s="696"/>
      <c r="P1009" s="651"/>
      <c r="Q1009" s="388"/>
      <c r="R1009" s="732">
        <f>M1009/G1009</f>
        <v>2197.8000000000002</v>
      </c>
      <c r="U1009" s="405"/>
      <c r="V1009" s="390"/>
      <c r="Y1009" s="419">
        <f t="shared" si="114"/>
        <v>1360639.06</v>
      </c>
      <c r="Z1009" s="419"/>
    </row>
    <row r="1010" spans="1:26" s="420" customFormat="1" ht="56.25" hidden="1" customHeight="1">
      <c r="A1010" s="697">
        <f t="shared" ref="A1010:A1020" si="123">A1009+1</f>
        <v>3</v>
      </c>
      <c r="B1010" s="743" t="s">
        <v>1115</v>
      </c>
      <c r="C1010" s="699" t="s">
        <v>222</v>
      </c>
      <c r="D1010" s="700">
        <v>13210</v>
      </c>
      <c r="E1010" s="651">
        <v>1700</v>
      </c>
      <c r="F1010" s="742" t="s">
        <v>223</v>
      </c>
      <c r="G1010" s="651">
        <v>1135</v>
      </c>
      <c r="H1010" s="732">
        <v>5</v>
      </c>
      <c r="I1010" s="732">
        <v>4</v>
      </c>
      <c r="J1010" s="732">
        <v>70</v>
      </c>
      <c r="K1010" s="697" t="s">
        <v>264</v>
      </c>
      <c r="L1010" s="650">
        <f t="shared" si="122"/>
        <v>3374797.52</v>
      </c>
      <c r="M1010" s="649">
        <v>3365663.42</v>
      </c>
      <c r="N1010" s="651"/>
      <c r="O1010" s="643">
        <v>9134.1</v>
      </c>
      <c r="P1010" s="651"/>
      <c r="Q1010" s="388"/>
      <c r="R1010" s="528">
        <f>M1010/E1010</f>
        <v>1979.8020117647059</v>
      </c>
      <c r="U1010" s="405"/>
      <c r="V1010" s="390"/>
      <c r="Y1010" s="419">
        <f t="shared" si="114"/>
        <v>3374797.52</v>
      </c>
      <c r="Z1010" s="419"/>
    </row>
    <row r="1011" spans="1:26" s="420" customFormat="1" ht="37.5" hidden="1" customHeight="1">
      <c r="A1011" s="697">
        <f t="shared" si="123"/>
        <v>4</v>
      </c>
      <c r="B1011" s="743" t="s">
        <v>265</v>
      </c>
      <c r="C1011" s="699" t="s">
        <v>222</v>
      </c>
      <c r="D1011" s="700">
        <v>15434</v>
      </c>
      <c r="E1011" s="651">
        <v>2801.4</v>
      </c>
      <c r="F1011" s="651" t="s">
        <v>234</v>
      </c>
      <c r="G1011" s="651">
        <v>1100</v>
      </c>
      <c r="H1011" s="732">
        <v>5</v>
      </c>
      <c r="I1011" s="732">
        <v>5</v>
      </c>
      <c r="J1011" s="732">
        <v>75</v>
      </c>
      <c r="K1011" s="697" t="s">
        <v>33</v>
      </c>
      <c r="L1011" s="650">
        <f t="shared" si="122"/>
        <v>2534789.5900000003</v>
      </c>
      <c r="M1011" s="745">
        <v>2527894.2400000002</v>
      </c>
      <c r="N1011" s="651"/>
      <c r="O1011" s="643">
        <v>6895.35</v>
      </c>
      <c r="P1011" s="651"/>
      <c r="Q1011" s="388"/>
      <c r="R1011" s="732">
        <f>M1011/G1011</f>
        <v>2298.085672727273</v>
      </c>
      <c r="U1011" s="405"/>
      <c r="V1011" s="390"/>
      <c r="Y1011" s="419">
        <f t="shared" si="114"/>
        <v>2534789.5900000003</v>
      </c>
      <c r="Z1011" s="419"/>
    </row>
    <row r="1012" spans="1:26" s="420" customFormat="1" ht="56.25" hidden="1" customHeight="1">
      <c r="A1012" s="697">
        <f t="shared" si="123"/>
        <v>5</v>
      </c>
      <c r="B1012" s="743" t="s">
        <v>1116</v>
      </c>
      <c r="C1012" s="648" t="s">
        <v>222</v>
      </c>
      <c r="D1012" s="700">
        <v>3462</v>
      </c>
      <c r="E1012" s="651">
        <v>900</v>
      </c>
      <c r="F1012" s="742" t="s">
        <v>223</v>
      </c>
      <c r="G1012" s="651">
        <v>850</v>
      </c>
      <c r="H1012" s="732">
        <v>2</v>
      </c>
      <c r="I1012" s="732">
        <v>2</v>
      </c>
      <c r="J1012" s="732">
        <v>16</v>
      </c>
      <c r="K1012" s="697" t="s">
        <v>263</v>
      </c>
      <c r="L1012" s="650">
        <f t="shared" si="122"/>
        <v>1896039.7400000002</v>
      </c>
      <c r="M1012" s="744">
        <v>1868129.9900000002</v>
      </c>
      <c r="N1012" s="651">
        <v>27909.75</v>
      </c>
      <c r="O1012" s="696"/>
      <c r="P1012" s="651"/>
      <c r="Q1012" s="388"/>
      <c r="R1012" s="732">
        <f>M1012/G1012</f>
        <v>2197.7999882352942</v>
      </c>
      <c r="U1012" s="405"/>
      <c r="V1012" s="390"/>
      <c r="Y1012" s="419">
        <f t="shared" si="114"/>
        <v>1896039.7400000002</v>
      </c>
      <c r="Z1012" s="419"/>
    </row>
    <row r="1013" spans="1:26" s="420" customFormat="1" ht="56.25" hidden="1" customHeight="1">
      <c r="A1013" s="697">
        <f t="shared" si="123"/>
        <v>6</v>
      </c>
      <c r="B1013" s="743" t="s">
        <v>1117</v>
      </c>
      <c r="C1013" s="699" t="s">
        <v>222</v>
      </c>
      <c r="D1013" s="700">
        <v>5566</v>
      </c>
      <c r="E1013" s="651">
        <v>1222</v>
      </c>
      <c r="F1013" s="742" t="s">
        <v>223</v>
      </c>
      <c r="G1013" s="651">
        <v>1200</v>
      </c>
      <c r="H1013" s="732">
        <v>2</v>
      </c>
      <c r="I1013" s="732">
        <v>3</v>
      </c>
      <c r="J1013" s="732">
        <v>24</v>
      </c>
      <c r="K1013" s="697" t="s">
        <v>263</v>
      </c>
      <c r="L1013" s="650">
        <f t="shared" si="122"/>
        <v>2295065.0700000003</v>
      </c>
      <c r="M1013" s="744">
        <v>2268797.0700000003</v>
      </c>
      <c r="N1013" s="651">
        <v>26268</v>
      </c>
      <c r="O1013" s="696"/>
      <c r="P1013" s="651"/>
      <c r="Q1013" s="388"/>
      <c r="R1013" s="732">
        <f>M1013/G1013</f>
        <v>1890.6642250000002</v>
      </c>
      <c r="U1013" s="405"/>
      <c r="V1013" s="390"/>
      <c r="Y1013" s="419">
        <f t="shared" si="114"/>
        <v>2295065.0700000003</v>
      </c>
      <c r="Z1013" s="419"/>
    </row>
    <row r="1014" spans="1:26" s="420" customFormat="1" ht="56.25" hidden="1" customHeight="1">
      <c r="A1014" s="697">
        <f t="shared" si="123"/>
        <v>7</v>
      </c>
      <c r="B1014" s="743" t="s">
        <v>1118</v>
      </c>
      <c r="C1014" s="648" t="s">
        <v>222</v>
      </c>
      <c r="D1014" s="700">
        <v>5154</v>
      </c>
      <c r="E1014" s="651">
        <v>961</v>
      </c>
      <c r="F1014" s="742" t="s">
        <v>223</v>
      </c>
      <c r="G1014" s="651">
        <v>1129</v>
      </c>
      <c r="H1014" s="732">
        <v>2</v>
      </c>
      <c r="I1014" s="732">
        <v>3</v>
      </c>
      <c r="J1014" s="732">
        <v>22</v>
      </c>
      <c r="K1014" s="697" t="s">
        <v>263</v>
      </c>
      <c r="L1014" s="650">
        <f t="shared" si="122"/>
        <v>2652603.5300000003</v>
      </c>
      <c r="M1014" s="745">
        <v>2627889.7200000002</v>
      </c>
      <c r="N1014" s="651">
        <v>24713.81</v>
      </c>
      <c r="O1014" s="696"/>
      <c r="P1014" s="651"/>
      <c r="Q1014" s="388"/>
      <c r="R1014" s="732">
        <f>M1014/G1014</f>
        <v>2327.6259698848539</v>
      </c>
      <c r="U1014" s="405"/>
      <c r="V1014" s="390"/>
      <c r="Y1014" s="419">
        <f t="shared" si="114"/>
        <v>2652603.5300000003</v>
      </c>
      <c r="Z1014" s="419"/>
    </row>
    <row r="1015" spans="1:26" s="420" customFormat="1" ht="56.25" hidden="1" customHeight="1">
      <c r="A1015" s="697">
        <f t="shared" si="123"/>
        <v>8</v>
      </c>
      <c r="B1015" s="743" t="s">
        <v>1119</v>
      </c>
      <c r="C1015" s="648" t="s">
        <v>222</v>
      </c>
      <c r="D1015" s="700">
        <v>2901</v>
      </c>
      <c r="E1015" s="651">
        <v>793</v>
      </c>
      <c r="F1015" s="742" t="s">
        <v>223</v>
      </c>
      <c r="G1015" s="651">
        <v>611</v>
      </c>
      <c r="H1015" s="746">
        <v>2</v>
      </c>
      <c r="I1015" s="746">
        <v>2</v>
      </c>
      <c r="J1015" s="746">
        <v>16</v>
      </c>
      <c r="K1015" s="697" t="s">
        <v>263</v>
      </c>
      <c r="L1015" s="650">
        <f t="shared" si="122"/>
        <v>1237619.9100000001</v>
      </c>
      <c r="M1015" s="744">
        <v>1210870.33</v>
      </c>
      <c r="N1015" s="651">
        <v>26749.58</v>
      </c>
      <c r="O1015" s="696"/>
      <c r="P1015" s="651"/>
      <c r="Q1015" s="388"/>
      <c r="R1015" s="732">
        <f>M1015/G1015</f>
        <v>1981.7845008183308</v>
      </c>
      <c r="U1015" s="405"/>
      <c r="V1015" s="390"/>
      <c r="Y1015" s="419">
        <f t="shared" si="114"/>
        <v>1237619.9100000001</v>
      </c>
      <c r="Z1015" s="419"/>
    </row>
    <row r="1016" spans="1:26" s="420" customFormat="1" ht="56.25" hidden="1" customHeight="1">
      <c r="A1016" s="697">
        <f t="shared" si="123"/>
        <v>9</v>
      </c>
      <c r="B1016" s="743" t="s">
        <v>1120</v>
      </c>
      <c r="C1016" s="648" t="s">
        <v>222</v>
      </c>
      <c r="D1016" s="700">
        <v>5988</v>
      </c>
      <c r="E1016" s="651">
        <v>1147</v>
      </c>
      <c r="F1016" s="742" t="s">
        <v>223</v>
      </c>
      <c r="G1016" s="651">
        <v>763</v>
      </c>
      <c r="H1016" s="746">
        <v>3</v>
      </c>
      <c r="I1016" s="746">
        <v>2</v>
      </c>
      <c r="J1016" s="746">
        <v>24</v>
      </c>
      <c r="K1016" s="697" t="s">
        <v>264</v>
      </c>
      <c r="L1016" s="650">
        <f t="shared" si="122"/>
        <v>2202699.75</v>
      </c>
      <c r="M1016" s="649">
        <v>2196737.71</v>
      </c>
      <c r="N1016" s="651"/>
      <c r="O1016" s="643">
        <v>5962.04</v>
      </c>
      <c r="P1016" s="651"/>
      <c r="Q1016" s="388"/>
      <c r="R1016" s="528">
        <f>M1016/E1016</f>
        <v>1915.2028857890148</v>
      </c>
      <c r="U1016" s="405"/>
      <c r="V1016" s="390"/>
      <c r="Y1016" s="419">
        <f t="shared" si="114"/>
        <v>2202699.75</v>
      </c>
      <c r="Z1016" s="419"/>
    </row>
    <row r="1017" spans="1:26" s="420" customFormat="1" ht="56.25" hidden="1" customHeight="1">
      <c r="A1017" s="697">
        <f t="shared" si="123"/>
        <v>10</v>
      </c>
      <c r="B1017" s="743" t="s">
        <v>1121</v>
      </c>
      <c r="C1017" s="648" t="s">
        <v>222</v>
      </c>
      <c r="D1017" s="700">
        <v>3979</v>
      </c>
      <c r="E1017" s="651">
        <v>793</v>
      </c>
      <c r="F1017" s="742" t="s">
        <v>223</v>
      </c>
      <c r="G1017" s="651">
        <v>837</v>
      </c>
      <c r="H1017" s="746">
        <v>2</v>
      </c>
      <c r="I1017" s="746">
        <v>3</v>
      </c>
      <c r="J1017" s="746">
        <v>18</v>
      </c>
      <c r="K1017" s="697" t="s">
        <v>263</v>
      </c>
      <c r="L1017" s="650">
        <f t="shared" si="122"/>
        <v>1867041.4899999998</v>
      </c>
      <c r="M1017" s="744">
        <v>1839558.5999999999</v>
      </c>
      <c r="N1017" s="651">
        <v>27482.89</v>
      </c>
      <c r="O1017" s="696"/>
      <c r="P1017" s="651"/>
      <c r="Q1017" s="388"/>
      <c r="R1017" s="732">
        <f>M1017/G1017</f>
        <v>2197.7999999999997</v>
      </c>
      <c r="U1017" s="405"/>
      <c r="V1017" s="390"/>
      <c r="Y1017" s="419">
        <f t="shared" si="114"/>
        <v>1867041.4899999998</v>
      </c>
      <c r="Z1017" s="419"/>
    </row>
    <row r="1018" spans="1:26" s="420" customFormat="1" ht="37.5" hidden="1" customHeight="1">
      <c r="A1018" s="697">
        <f t="shared" si="123"/>
        <v>11</v>
      </c>
      <c r="B1018" s="743" t="s">
        <v>3564</v>
      </c>
      <c r="C1018" s="648" t="s">
        <v>222</v>
      </c>
      <c r="D1018" s="700">
        <v>3232</v>
      </c>
      <c r="E1018" s="651">
        <v>665.7</v>
      </c>
      <c r="F1018" s="742" t="s">
        <v>223</v>
      </c>
      <c r="G1018" s="651">
        <v>828</v>
      </c>
      <c r="H1018" s="746">
        <v>2</v>
      </c>
      <c r="I1018" s="746">
        <v>2</v>
      </c>
      <c r="J1018" s="746">
        <v>16</v>
      </c>
      <c r="K1018" s="697" t="s">
        <v>301</v>
      </c>
      <c r="L1018" s="650">
        <f t="shared" si="122"/>
        <v>305989.67999999993</v>
      </c>
      <c r="M1018" s="744">
        <v>290632.8</v>
      </c>
      <c r="N1018" s="651">
        <v>12699.72</v>
      </c>
      <c r="O1018" s="696"/>
      <c r="P1018" s="651"/>
      <c r="Q1018" s="388">
        <v>2657.16</v>
      </c>
      <c r="R1018" s="732">
        <f>M1018/J1018</f>
        <v>18164.55</v>
      </c>
      <c r="T1018" s="422"/>
      <c r="U1018" s="405"/>
      <c r="V1018" s="390"/>
      <c r="Y1018" s="419">
        <f t="shared" si="114"/>
        <v>305989.67999999993</v>
      </c>
      <c r="Z1018" s="419"/>
    </row>
    <row r="1019" spans="1:26" s="420" customFormat="1" ht="37.5" hidden="1" customHeight="1">
      <c r="A1019" s="697">
        <f t="shared" si="123"/>
        <v>12</v>
      </c>
      <c r="B1019" s="743" t="s">
        <v>3679</v>
      </c>
      <c r="C1019" s="648" t="s">
        <v>218</v>
      </c>
      <c r="D1019" s="700">
        <v>4085</v>
      </c>
      <c r="E1019" s="651">
        <v>810.8</v>
      </c>
      <c r="F1019" s="742" t="s">
        <v>234</v>
      </c>
      <c r="G1019" s="651">
        <v>630</v>
      </c>
      <c r="H1019" s="746">
        <v>2</v>
      </c>
      <c r="I1019" s="746">
        <v>3</v>
      </c>
      <c r="J1019" s="746">
        <v>18</v>
      </c>
      <c r="K1019" s="697" t="s">
        <v>33</v>
      </c>
      <c r="L1019" s="650">
        <f t="shared" si="122"/>
        <v>1404059.5799999998</v>
      </c>
      <c r="M1019" s="745">
        <v>1386000</v>
      </c>
      <c r="N1019" s="649"/>
      <c r="O1019" s="696">
        <v>5528.16</v>
      </c>
      <c r="P1019" s="651"/>
      <c r="Q1019" s="388">
        <v>12531.42</v>
      </c>
      <c r="R1019" s="732">
        <f>M1019/G1019</f>
        <v>2200</v>
      </c>
      <c r="U1019" s="405"/>
      <c r="V1019" s="390"/>
      <c r="Y1019" s="419">
        <f t="shared" si="114"/>
        <v>1404059.5799999998</v>
      </c>
      <c r="Z1019" s="419"/>
    </row>
    <row r="1020" spans="1:26" s="420" customFormat="1" ht="56.25" hidden="1" customHeight="1">
      <c r="A1020" s="697">
        <f t="shared" si="123"/>
        <v>13</v>
      </c>
      <c r="B1020" s="743" t="s">
        <v>3565</v>
      </c>
      <c r="C1020" s="648" t="s">
        <v>222</v>
      </c>
      <c r="D1020" s="700">
        <v>3195</v>
      </c>
      <c r="E1020" s="651">
        <v>661.8</v>
      </c>
      <c r="F1020" s="742" t="s">
        <v>223</v>
      </c>
      <c r="G1020" s="651">
        <v>630</v>
      </c>
      <c r="H1020" s="746">
        <v>2</v>
      </c>
      <c r="I1020" s="746">
        <v>2</v>
      </c>
      <c r="J1020" s="746">
        <v>16</v>
      </c>
      <c r="K1020" s="697" t="s">
        <v>263</v>
      </c>
      <c r="L1020" s="650">
        <f t="shared" si="122"/>
        <v>1368844.69</v>
      </c>
      <c r="M1020" s="745">
        <v>1333378.93</v>
      </c>
      <c r="N1020" s="651">
        <v>19977.21</v>
      </c>
      <c r="O1020" s="696"/>
      <c r="P1020" s="651"/>
      <c r="Q1020" s="388">
        <v>15488.55</v>
      </c>
      <c r="R1020" s="732">
        <f>M1020/G1020</f>
        <v>2116.4744920634921</v>
      </c>
      <c r="U1020" s="405"/>
      <c r="V1020" s="390"/>
      <c r="Y1020" s="419">
        <f t="shared" si="114"/>
        <v>1368844.69</v>
      </c>
      <c r="Z1020" s="419"/>
    </row>
    <row r="1021" spans="1:26" s="403" customFormat="1" ht="58.5" hidden="1" customHeight="1">
      <c r="A1021" s="1112" t="s">
        <v>136</v>
      </c>
      <c r="B1021" s="1112"/>
      <c r="C1021" s="455" t="s">
        <v>28</v>
      </c>
      <c r="D1021" s="641">
        <f>SUM(D1008:D1020)</f>
        <v>81373</v>
      </c>
      <c r="E1021" s="388">
        <f>SUM(E1008:E1020)</f>
        <v>15426.199999999999</v>
      </c>
      <c r="F1021" s="388" t="s">
        <v>28</v>
      </c>
      <c r="G1021" s="388">
        <f>SUM(G1008:G1020)</f>
        <v>11148</v>
      </c>
      <c r="H1021" s="446" t="s">
        <v>28</v>
      </c>
      <c r="I1021" s="446" t="s">
        <v>28</v>
      </c>
      <c r="J1021" s="446">
        <f>SUM(J1008:J1020)</f>
        <v>393</v>
      </c>
      <c r="K1021" s="397" t="s">
        <v>28</v>
      </c>
      <c r="L1021" s="519">
        <f>SUM(L1008:L1020)</f>
        <v>24330102.119999997</v>
      </c>
      <c r="M1021" s="519">
        <f>SUM(M1008:M1020)</f>
        <v>24073977.820000004</v>
      </c>
      <c r="N1021" s="388">
        <f>SUM(N1008:N1020)</f>
        <v>192375.41999999998</v>
      </c>
      <c r="O1021" s="473">
        <f>SUM(O1008:O1020)</f>
        <v>33071.75</v>
      </c>
      <c r="P1021" s="388"/>
      <c r="Q1021" s="388">
        <f>SUM(Q1008:Q1020)</f>
        <v>30677.129999999997</v>
      </c>
      <c r="R1021" s="446" t="s">
        <v>28</v>
      </c>
      <c r="S1021" s="388">
        <f t="shared" ref="S1021:S1051" si="124">L1021-M1021-N1021-O1021-P1021-Q1021</f>
        <v>-6.6866050474345684E-9</v>
      </c>
      <c r="T1021" s="393"/>
      <c r="U1021" s="423"/>
      <c r="V1021" s="390"/>
      <c r="Y1021" s="419">
        <f t="shared" si="114"/>
        <v>24330102.120000005</v>
      </c>
      <c r="Z1021" s="419"/>
    </row>
    <row r="1022" spans="1:26" s="403" customFormat="1" ht="27.75" hidden="1" customHeight="1">
      <c r="A1022" s="1136" t="s">
        <v>161</v>
      </c>
      <c r="B1022" s="1136"/>
      <c r="C1022" s="1136"/>
      <c r="D1022" s="1136"/>
      <c r="E1022" s="1136"/>
      <c r="F1022" s="1136"/>
      <c r="G1022" s="1136"/>
      <c r="H1022" s="1136"/>
      <c r="I1022" s="1136"/>
      <c r="J1022" s="1136"/>
      <c r="K1022" s="1136"/>
      <c r="L1022" s="1136"/>
      <c r="M1022" s="1136"/>
      <c r="N1022" s="1136"/>
      <c r="O1022" s="1136"/>
      <c r="P1022" s="1136"/>
      <c r="Q1022" s="1136"/>
      <c r="R1022" s="1136"/>
      <c r="S1022" s="383">
        <f t="shared" si="124"/>
        <v>0</v>
      </c>
      <c r="T1022" s="387"/>
      <c r="U1022" s="404"/>
      <c r="V1022" s="390"/>
      <c r="Y1022" s="419">
        <f t="shared" si="114"/>
        <v>0</v>
      </c>
      <c r="Z1022" s="419"/>
    </row>
    <row r="1023" spans="1:26" s="403" customFormat="1" ht="45" hidden="1" customHeight="1">
      <c r="A1023" s="1123" t="s">
        <v>162</v>
      </c>
      <c r="B1023" s="1123"/>
      <c r="C1023" s="446" t="s">
        <v>28</v>
      </c>
      <c r="D1023" s="388">
        <f>D1056+D1126+D1149+D1236+D1248+D1252+D1259+D1265+D1274+D1304+D1307+D1312+D1316+D1361+D1368+D1372+D1378+D1401+D1406+D1422+D1453+D1456+D1462+D1319</f>
        <v>4440579.2643103451</v>
      </c>
      <c r="E1023" s="388">
        <f>E1056+E1126+E1149+E1236+E1248+E1252+E1259+E1265+E1274+E1304+E1307+E1312+E1316+E1361+E1368+E1372+E1378+E1401+E1406+E1422+E1453+E1456+E1462+E1319</f>
        <v>844249.15</v>
      </c>
      <c r="F1023" s="383" t="s">
        <v>28</v>
      </c>
      <c r="G1023" s="388">
        <f>G1056+G1126+G1149+G1236+G1248+G1252+G1259+G1265+G1274+G1304+G1307+G1312+G1316+G1361+G1368+G1372+G1378+G1401+G1406+G1422+G1453+G1456+G1462+G1319</f>
        <v>381862.95999999996</v>
      </c>
      <c r="H1023" s="382" t="s">
        <v>28</v>
      </c>
      <c r="I1023" s="382" t="s">
        <v>28</v>
      </c>
      <c r="J1023" s="446">
        <f>J1056+J1126+J1149+J1236+J1248+J1252+J1259+J1265+J1274+J1304+J1307+J1312+J1316+J1361+J1368+J1372+J1378+J1401+J1406+J1422+J1453+J1456+J1462+J1319</f>
        <v>23962</v>
      </c>
      <c r="K1023" s="458" t="s">
        <v>28</v>
      </c>
      <c r="L1023" s="519">
        <f t="shared" ref="L1023:Q1023" si="125">L1056+L1126+L1149+L1236+L1248+L1252+L1259+L1265+L1274+L1304+L1307+L1312+L1316+L1361+L1368+L1372+L1378+L1401+L1406+L1422+L1453+L1456+L1462+L1319</f>
        <v>946338774.57999992</v>
      </c>
      <c r="M1023" s="519">
        <f t="shared" si="125"/>
        <v>935200568.18000019</v>
      </c>
      <c r="N1023" s="388">
        <f t="shared" si="125"/>
        <v>9257465.8600000013</v>
      </c>
      <c r="O1023" s="473">
        <f t="shared" si="125"/>
        <v>1217726.7400000002</v>
      </c>
      <c r="P1023" s="388">
        <f t="shared" si="125"/>
        <v>0</v>
      </c>
      <c r="Q1023" s="388">
        <f t="shared" si="125"/>
        <v>663013.80000000005</v>
      </c>
      <c r="R1023" s="446" t="s">
        <v>28</v>
      </c>
      <c r="S1023" s="383">
        <f t="shared" si="124"/>
        <v>-2.6379711925983429E-7</v>
      </c>
      <c r="T1023" s="387" t="e">
        <f>'1.перечень МКД'!#REF!</f>
        <v>#REF!</v>
      </c>
      <c r="U1023" s="390" t="e">
        <f>L1023-T1023</f>
        <v>#REF!</v>
      </c>
      <c r="V1023" s="459"/>
      <c r="W1023" s="459"/>
      <c r="Y1023" s="419">
        <f t="shared" si="114"/>
        <v>946338774.58000016</v>
      </c>
      <c r="Z1023" s="419"/>
    </row>
    <row r="1024" spans="1:26" s="403" customFormat="1" ht="42.75" hidden="1" customHeight="1">
      <c r="A1024" s="1113" t="s">
        <v>164</v>
      </c>
      <c r="B1024" s="1113"/>
      <c r="C1024" s="1113"/>
      <c r="D1024" s="1113"/>
      <c r="E1024" s="1113"/>
      <c r="F1024" s="1113"/>
      <c r="G1024" s="1113"/>
      <c r="H1024" s="1113"/>
      <c r="I1024" s="1113"/>
      <c r="J1024" s="1113"/>
      <c r="K1024" s="1113"/>
      <c r="L1024" s="1113"/>
      <c r="M1024" s="1113"/>
      <c r="N1024" s="1113"/>
      <c r="O1024" s="1113"/>
      <c r="P1024" s="1113"/>
      <c r="Q1024" s="1113"/>
      <c r="R1024" s="1113"/>
      <c r="S1024" s="383">
        <f t="shared" si="124"/>
        <v>0</v>
      </c>
      <c r="T1024" s="387"/>
      <c r="U1024" s="404"/>
      <c r="V1024" s="390"/>
      <c r="Y1024" s="419">
        <f t="shared" si="114"/>
        <v>0</v>
      </c>
      <c r="Z1024" s="419"/>
    </row>
    <row r="1025" spans="1:26" s="403" customFormat="1" ht="37.5" hidden="1" customHeight="1">
      <c r="A1025" s="404">
        <v>1</v>
      </c>
      <c r="B1025" s="705" t="s">
        <v>1122</v>
      </c>
      <c r="C1025" s="455" t="s">
        <v>283</v>
      </c>
      <c r="D1025" s="747">
        <v>12853</v>
      </c>
      <c r="E1025" s="748">
        <v>2597</v>
      </c>
      <c r="F1025" s="748" t="s">
        <v>231</v>
      </c>
      <c r="G1025" s="748">
        <v>1135</v>
      </c>
      <c r="H1025" s="676">
        <v>5</v>
      </c>
      <c r="I1025" s="446">
        <v>4</v>
      </c>
      <c r="J1025" s="749">
        <v>67</v>
      </c>
      <c r="K1025" s="750" t="s">
        <v>33</v>
      </c>
      <c r="L1025" s="650">
        <f t="shared" ref="L1025:L1055" si="126">M1025+N1025+O1025+P1025+Q1025</f>
        <v>3515134.91</v>
      </c>
      <c r="M1025" s="751">
        <f>3162110+316209.91</f>
        <v>3478319.91</v>
      </c>
      <c r="N1025" s="752">
        <v>36815</v>
      </c>
      <c r="O1025" s="753"/>
      <c r="P1025" s="752"/>
      <c r="Q1025" s="388"/>
      <c r="R1025" s="528">
        <f>M1025/G1025</f>
        <v>3064.5990396475772</v>
      </c>
      <c r="S1025" s="383">
        <f t="shared" si="124"/>
        <v>0</v>
      </c>
      <c r="T1025" s="391"/>
      <c r="U1025" s="406"/>
      <c r="V1025" s="390"/>
      <c r="Y1025" s="419">
        <f t="shared" si="114"/>
        <v>3515134.91</v>
      </c>
      <c r="Z1025" s="419"/>
    </row>
    <row r="1026" spans="1:26" s="403" customFormat="1" ht="35.25" hidden="1" customHeight="1">
      <c r="A1026" s="404">
        <f t="shared" ref="A1026:A1055" si="127">A1025+1</f>
        <v>2</v>
      </c>
      <c r="B1026" s="705" t="s">
        <v>1123</v>
      </c>
      <c r="C1026" s="455" t="s">
        <v>283</v>
      </c>
      <c r="D1026" s="747">
        <v>7113</v>
      </c>
      <c r="E1026" s="748">
        <v>2621</v>
      </c>
      <c r="F1026" s="748" t="s">
        <v>234</v>
      </c>
      <c r="G1026" s="748">
        <v>1074</v>
      </c>
      <c r="H1026" s="676">
        <v>5</v>
      </c>
      <c r="I1026" s="446">
        <v>4</v>
      </c>
      <c r="J1026" s="749">
        <v>48</v>
      </c>
      <c r="K1026" s="750" t="s">
        <v>33</v>
      </c>
      <c r="L1026" s="650">
        <f t="shared" si="126"/>
        <v>1712724.3</v>
      </c>
      <c r="M1026" s="751">
        <v>1706312.52</v>
      </c>
      <c r="N1026" s="752"/>
      <c r="O1026" s="753">
        <v>6411.78</v>
      </c>
      <c r="P1026" s="752"/>
      <c r="Q1026" s="388"/>
      <c r="R1026" s="528">
        <f>M1026/G1026</f>
        <v>1588.7453631284916</v>
      </c>
      <c r="S1026" s="383">
        <f t="shared" si="124"/>
        <v>2.8194335754960775E-11</v>
      </c>
      <c r="T1026" s="391"/>
      <c r="U1026" s="406"/>
      <c r="V1026" s="390"/>
      <c r="Y1026" s="419">
        <f t="shared" si="114"/>
        <v>1712724.3</v>
      </c>
      <c r="Z1026" s="419"/>
    </row>
    <row r="1027" spans="1:26" s="403" customFormat="1" ht="37.5" hidden="1" customHeight="1">
      <c r="A1027" s="404">
        <f t="shared" si="127"/>
        <v>3</v>
      </c>
      <c r="B1027" s="705" t="s">
        <v>1124</v>
      </c>
      <c r="C1027" s="455" t="s">
        <v>283</v>
      </c>
      <c r="D1027" s="747">
        <v>17672</v>
      </c>
      <c r="E1027" s="748">
        <v>3370.3</v>
      </c>
      <c r="F1027" s="748" t="s">
        <v>231</v>
      </c>
      <c r="G1027" s="748">
        <v>1691</v>
      </c>
      <c r="H1027" s="676">
        <v>5</v>
      </c>
      <c r="I1027" s="446">
        <v>6</v>
      </c>
      <c r="J1027" s="749">
        <v>97</v>
      </c>
      <c r="K1027" s="750" t="s">
        <v>33</v>
      </c>
      <c r="L1027" s="650">
        <f t="shared" si="126"/>
        <v>4465571.38</v>
      </c>
      <c r="M1027" s="751">
        <v>4427761.38</v>
      </c>
      <c r="N1027" s="752">
        <v>37810</v>
      </c>
      <c r="O1027" s="753"/>
      <c r="P1027" s="752"/>
      <c r="Q1027" s="388"/>
      <c r="R1027" s="528">
        <f>M1027/G1027</f>
        <v>2618.4277823772914</v>
      </c>
      <c r="S1027" s="383">
        <f t="shared" si="124"/>
        <v>0</v>
      </c>
      <c r="T1027" s="391"/>
      <c r="U1027" s="406"/>
      <c r="V1027" s="390"/>
      <c r="Y1027" s="419">
        <f t="shared" si="114"/>
        <v>4465571.38</v>
      </c>
      <c r="Z1027" s="419"/>
    </row>
    <row r="1028" spans="1:26" s="403" customFormat="1" ht="37.5" hidden="1" customHeight="1">
      <c r="A1028" s="404">
        <f t="shared" si="127"/>
        <v>4</v>
      </c>
      <c r="B1028" s="705" t="s">
        <v>1125</v>
      </c>
      <c r="C1028" s="455" t="s">
        <v>283</v>
      </c>
      <c r="D1028" s="747">
        <v>12894</v>
      </c>
      <c r="E1028" s="748">
        <v>2518</v>
      </c>
      <c r="F1028" s="748" t="s">
        <v>223</v>
      </c>
      <c r="G1028" s="748">
        <v>1147</v>
      </c>
      <c r="H1028" s="676">
        <v>5</v>
      </c>
      <c r="I1028" s="446">
        <v>4</v>
      </c>
      <c r="J1028" s="749">
        <v>70</v>
      </c>
      <c r="K1028" s="750" t="s">
        <v>225</v>
      </c>
      <c r="L1028" s="650">
        <f t="shared" si="126"/>
        <v>872614.95</v>
      </c>
      <c r="M1028" s="751">
        <v>835799.95</v>
      </c>
      <c r="N1028" s="752">
        <v>36815</v>
      </c>
      <c r="O1028" s="753"/>
      <c r="P1028" s="752"/>
      <c r="Q1028" s="388"/>
      <c r="R1028" s="528">
        <f>M1028/J1028</f>
        <v>11939.999285714284</v>
      </c>
      <c r="S1028" s="383">
        <f t="shared" si="124"/>
        <v>0</v>
      </c>
      <c r="T1028" s="391"/>
      <c r="U1028" s="406"/>
      <c r="V1028" s="390"/>
      <c r="Y1028" s="419">
        <f t="shared" si="114"/>
        <v>872614.95</v>
      </c>
      <c r="Z1028" s="419"/>
    </row>
    <row r="1029" spans="1:26" s="403" customFormat="1" ht="37.5" hidden="1" customHeight="1">
      <c r="A1029" s="404">
        <f t="shared" si="127"/>
        <v>5</v>
      </c>
      <c r="B1029" s="705" t="s">
        <v>1126</v>
      </c>
      <c r="C1029" s="455" t="s">
        <v>283</v>
      </c>
      <c r="D1029" s="747">
        <v>13451</v>
      </c>
      <c r="E1029" s="748">
        <v>1541</v>
      </c>
      <c r="F1029" s="748" t="s">
        <v>231</v>
      </c>
      <c r="G1029" s="748">
        <v>1422</v>
      </c>
      <c r="H1029" s="676">
        <v>4</v>
      </c>
      <c r="I1029" s="446">
        <v>3</v>
      </c>
      <c r="J1029" s="749">
        <v>37</v>
      </c>
      <c r="K1029" s="750" t="s">
        <v>33</v>
      </c>
      <c r="L1029" s="650">
        <f t="shared" si="126"/>
        <v>3432993.4299999997</v>
      </c>
      <c r="M1029" s="751">
        <v>3401153.4299999997</v>
      </c>
      <c r="N1029" s="752">
        <v>31840</v>
      </c>
      <c r="O1029" s="753"/>
      <c r="P1029" s="752"/>
      <c r="Q1029" s="388"/>
      <c r="R1029" s="528">
        <f>M1029/G1029</f>
        <v>2391.8097257383965</v>
      </c>
      <c r="S1029" s="383">
        <f t="shared" si="124"/>
        <v>0</v>
      </c>
      <c r="T1029" s="391"/>
      <c r="U1029" s="406"/>
      <c r="V1029" s="390"/>
      <c r="Y1029" s="419">
        <f t="shared" si="114"/>
        <v>3432993.4299999997</v>
      </c>
      <c r="Z1029" s="419"/>
    </row>
    <row r="1030" spans="1:26" s="403" customFormat="1" ht="37.5" hidden="1" customHeight="1">
      <c r="A1030" s="404">
        <f t="shared" si="127"/>
        <v>6</v>
      </c>
      <c r="B1030" s="705" t="s">
        <v>1127</v>
      </c>
      <c r="C1030" s="455" t="s">
        <v>283</v>
      </c>
      <c r="D1030" s="747">
        <v>6123</v>
      </c>
      <c r="E1030" s="748">
        <v>1393</v>
      </c>
      <c r="F1030" s="748" t="s">
        <v>231</v>
      </c>
      <c r="G1030" s="748">
        <v>692</v>
      </c>
      <c r="H1030" s="676">
        <v>4</v>
      </c>
      <c r="I1030" s="446">
        <v>2</v>
      </c>
      <c r="J1030" s="749">
        <v>22</v>
      </c>
      <c r="K1030" s="750" t="s">
        <v>33</v>
      </c>
      <c r="L1030" s="650">
        <f t="shared" si="126"/>
        <v>2105764</v>
      </c>
      <c r="M1030" s="751">
        <v>2073924</v>
      </c>
      <c r="N1030" s="752">
        <v>31840</v>
      </c>
      <c r="O1030" s="753"/>
      <c r="P1030" s="752"/>
      <c r="Q1030" s="388"/>
      <c r="R1030" s="528">
        <f>M1030/G1030</f>
        <v>2997</v>
      </c>
      <c r="S1030" s="383">
        <f t="shared" si="124"/>
        <v>0</v>
      </c>
      <c r="T1030" s="391"/>
      <c r="U1030" s="406"/>
      <c r="V1030" s="390"/>
      <c r="Y1030" s="419">
        <f t="shared" si="114"/>
        <v>2105764</v>
      </c>
      <c r="Z1030" s="419"/>
    </row>
    <row r="1031" spans="1:26" s="403" customFormat="1" ht="37.5" hidden="1" customHeight="1">
      <c r="A1031" s="404">
        <f t="shared" si="127"/>
        <v>7</v>
      </c>
      <c r="B1031" s="705" t="s">
        <v>1128</v>
      </c>
      <c r="C1031" s="455" t="s">
        <v>283</v>
      </c>
      <c r="D1031" s="747">
        <v>6396</v>
      </c>
      <c r="E1031" s="748">
        <v>1413</v>
      </c>
      <c r="F1031" s="748" t="s">
        <v>231</v>
      </c>
      <c r="G1031" s="748">
        <v>692</v>
      </c>
      <c r="H1031" s="676">
        <v>4</v>
      </c>
      <c r="I1031" s="446">
        <v>2</v>
      </c>
      <c r="J1031" s="749">
        <v>22</v>
      </c>
      <c r="K1031" s="750" t="s">
        <v>33</v>
      </c>
      <c r="L1031" s="650">
        <f t="shared" si="126"/>
        <v>2105764</v>
      </c>
      <c r="M1031" s="751">
        <v>2073924</v>
      </c>
      <c r="N1031" s="752">
        <v>31840</v>
      </c>
      <c r="O1031" s="753"/>
      <c r="P1031" s="752"/>
      <c r="Q1031" s="388"/>
      <c r="R1031" s="528">
        <f>M1031/G1031</f>
        <v>2997</v>
      </c>
      <c r="S1031" s="383">
        <f t="shared" si="124"/>
        <v>0</v>
      </c>
      <c r="T1031" s="391"/>
      <c r="U1031" s="406"/>
      <c r="V1031" s="390"/>
      <c r="Y1031" s="419">
        <f t="shared" si="114"/>
        <v>2105764</v>
      </c>
      <c r="Z1031" s="419"/>
    </row>
    <row r="1032" spans="1:26" s="403" customFormat="1" ht="37.5" hidden="1" customHeight="1">
      <c r="A1032" s="404">
        <f t="shared" si="127"/>
        <v>8</v>
      </c>
      <c r="B1032" s="705" t="s">
        <v>1129</v>
      </c>
      <c r="C1032" s="455" t="s">
        <v>283</v>
      </c>
      <c r="D1032" s="747">
        <v>4945</v>
      </c>
      <c r="E1032" s="748">
        <v>1036</v>
      </c>
      <c r="F1032" s="748" t="s">
        <v>231</v>
      </c>
      <c r="G1032" s="748">
        <v>569</v>
      </c>
      <c r="H1032" s="676">
        <v>4</v>
      </c>
      <c r="I1032" s="446">
        <v>2</v>
      </c>
      <c r="J1032" s="749">
        <v>30</v>
      </c>
      <c r="K1032" s="750" t="s">
        <v>33</v>
      </c>
      <c r="L1032" s="650">
        <f t="shared" si="126"/>
        <v>1612325.5</v>
      </c>
      <c r="M1032" s="751">
        <v>1580485.5</v>
      </c>
      <c r="N1032" s="752">
        <v>31840</v>
      </c>
      <c r="O1032" s="753"/>
      <c r="P1032" s="752"/>
      <c r="Q1032" s="388"/>
      <c r="R1032" s="528">
        <f>M1032/G1032</f>
        <v>2777.6546572934972</v>
      </c>
      <c r="S1032" s="383">
        <f t="shared" si="124"/>
        <v>0</v>
      </c>
      <c r="T1032" s="391"/>
      <c r="U1032" s="406"/>
      <c r="V1032" s="390"/>
      <c r="Y1032" s="419">
        <f t="shared" ref="Y1032:Y1095" si="128">M1032+N1032+O1032+Q1032</f>
        <v>1612325.5</v>
      </c>
      <c r="Z1032" s="419"/>
    </row>
    <row r="1033" spans="1:26" s="403" customFormat="1" ht="37.5" hidden="1" customHeight="1">
      <c r="A1033" s="404">
        <f t="shared" si="127"/>
        <v>9</v>
      </c>
      <c r="B1033" s="705" t="s">
        <v>1130</v>
      </c>
      <c r="C1033" s="455" t="s">
        <v>283</v>
      </c>
      <c r="D1033" s="747">
        <v>5084</v>
      </c>
      <c r="E1033" s="748">
        <v>1017</v>
      </c>
      <c r="F1033" s="748" t="s">
        <v>223</v>
      </c>
      <c r="G1033" s="748">
        <v>550</v>
      </c>
      <c r="H1033" s="676">
        <v>4</v>
      </c>
      <c r="I1033" s="446">
        <v>2</v>
      </c>
      <c r="J1033" s="749">
        <v>16</v>
      </c>
      <c r="K1033" s="750" t="s">
        <v>225</v>
      </c>
      <c r="L1033" s="650">
        <f t="shared" si="126"/>
        <v>288037</v>
      </c>
      <c r="M1033" s="751">
        <v>263162</v>
      </c>
      <c r="N1033" s="752">
        <v>24875</v>
      </c>
      <c r="O1033" s="753"/>
      <c r="P1033" s="752"/>
      <c r="Q1033" s="388"/>
      <c r="R1033" s="528">
        <f>M1033/J1033</f>
        <v>16447.625</v>
      </c>
      <c r="S1033" s="383">
        <f t="shared" si="124"/>
        <v>0</v>
      </c>
      <c r="T1033" s="391"/>
      <c r="U1033" s="406"/>
      <c r="V1033" s="390"/>
      <c r="Y1033" s="419">
        <f t="shared" si="128"/>
        <v>288037</v>
      </c>
      <c r="Z1033" s="419"/>
    </row>
    <row r="1034" spans="1:26" s="403" customFormat="1" ht="37.5" hidden="1" customHeight="1">
      <c r="A1034" s="404">
        <f t="shared" si="127"/>
        <v>10</v>
      </c>
      <c r="B1034" s="705" t="s">
        <v>1131</v>
      </c>
      <c r="C1034" s="455" t="s">
        <v>283</v>
      </c>
      <c r="D1034" s="747">
        <v>9781</v>
      </c>
      <c r="E1034" s="748">
        <v>1876</v>
      </c>
      <c r="F1034" s="748" t="s">
        <v>231</v>
      </c>
      <c r="G1034" s="748">
        <v>1700</v>
      </c>
      <c r="H1034" s="676">
        <v>3</v>
      </c>
      <c r="I1034" s="446">
        <v>3</v>
      </c>
      <c r="J1034" s="749">
        <v>23</v>
      </c>
      <c r="K1034" s="750" t="s">
        <v>33</v>
      </c>
      <c r="L1034" s="650">
        <f t="shared" si="126"/>
        <v>4197337.7200000007</v>
      </c>
      <c r="M1034" s="751">
        <v>4165497.72</v>
      </c>
      <c r="N1034" s="752">
        <v>31840</v>
      </c>
      <c r="O1034" s="753"/>
      <c r="P1034" s="752"/>
      <c r="Q1034" s="388"/>
      <c r="R1034" s="528">
        <f>M1034/G1034</f>
        <v>2450.2927764705883</v>
      </c>
      <c r="S1034" s="383">
        <f t="shared" si="124"/>
        <v>4.6566128730773926E-10</v>
      </c>
      <c r="T1034" s="391"/>
      <c r="U1034" s="406"/>
      <c r="V1034" s="390"/>
      <c r="Y1034" s="419">
        <f t="shared" si="128"/>
        <v>4197337.7200000007</v>
      </c>
      <c r="Z1034" s="419"/>
    </row>
    <row r="1035" spans="1:26" s="403" customFormat="1" ht="37.5" hidden="1" customHeight="1">
      <c r="A1035" s="404">
        <f t="shared" si="127"/>
        <v>11</v>
      </c>
      <c r="B1035" s="705" t="s">
        <v>1132</v>
      </c>
      <c r="C1035" s="455" t="s">
        <v>283</v>
      </c>
      <c r="D1035" s="747">
        <v>12716</v>
      </c>
      <c r="E1035" s="748">
        <v>3656</v>
      </c>
      <c r="F1035" s="748" t="s">
        <v>231</v>
      </c>
      <c r="G1035" s="748">
        <v>773</v>
      </c>
      <c r="H1035" s="676">
        <v>2</v>
      </c>
      <c r="I1035" s="446">
        <v>2</v>
      </c>
      <c r="J1035" s="749">
        <v>11</v>
      </c>
      <c r="K1035" s="750" t="s">
        <v>33</v>
      </c>
      <c r="L1035" s="650">
        <f t="shared" si="126"/>
        <v>2104562.41</v>
      </c>
      <c r="M1035" s="751">
        <v>2072722.4100000001</v>
      </c>
      <c r="N1035" s="752">
        <v>31840</v>
      </c>
      <c r="O1035" s="753"/>
      <c r="P1035" s="752"/>
      <c r="Q1035" s="388"/>
      <c r="R1035" s="528">
        <f>M1035/G1035</f>
        <v>2681.4002716688228</v>
      </c>
      <c r="S1035" s="383">
        <f t="shared" si="124"/>
        <v>0</v>
      </c>
      <c r="T1035" s="391"/>
      <c r="U1035" s="406"/>
      <c r="V1035" s="390"/>
      <c r="Y1035" s="419">
        <f t="shared" si="128"/>
        <v>2104562.41</v>
      </c>
      <c r="Z1035" s="419"/>
    </row>
    <row r="1036" spans="1:26" s="403" customFormat="1" ht="37.5" hidden="1" customHeight="1">
      <c r="A1036" s="404">
        <f t="shared" si="127"/>
        <v>12</v>
      </c>
      <c r="B1036" s="705" t="s">
        <v>1133</v>
      </c>
      <c r="C1036" s="455" t="s">
        <v>283</v>
      </c>
      <c r="D1036" s="747">
        <v>17478</v>
      </c>
      <c r="E1036" s="748">
        <v>3261</v>
      </c>
      <c r="F1036" s="748" t="s">
        <v>231</v>
      </c>
      <c r="G1036" s="748">
        <v>1103</v>
      </c>
      <c r="H1036" s="676">
        <v>5</v>
      </c>
      <c r="I1036" s="446">
        <v>4</v>
      </c>
      <c r="J1036" s="749">
        <v>64</v>
      </c>
      <c r="K1036" s="750" t="s">
        <v>33</v>
      </c>
      <c r="L1036" s="650">
        <f t="shared" si="126"/>
        <v>3365816.43</v>
      </c>
      <c r="M1036" s="751">
        <f>3085311.6+243689.83</f>
        <v>3329001.43</v>
      </c>
      <c r="N1036" s="752">
        <v>36815</v>
      </c>
      <c r="O1036" s="753"/>
      <c r="P1036" s="752"/>
      <c r="Q1036" s="388"/>
      <c r="R1036" s="528">
        <f>M1036/G1036</f>
        <v>3018.1336627379874</v>
      </c>
      <c r="S1036" s="383">
        <f t="shared" si="124"/>
        <v>0</v>
      </c>
      <c r="T1036" s="391"/>
      <c r="U1036" s="406"/>
      <c r="V1036" s="390"/>
      <c r="Y1036" s="419">
        <f t="shared" si="128"/>
        <v>3365816.43</v>
      </c>
      <c r="Z1036" s="419"/>
    </row>
    <row r="1037" spans="1:26" s="403" customFormat="1" ht="37.5" hidden="1" customHeight="1">
      <c r="A1037" s="404">
        <f t="shared" si="127"/>
        <v>13</v>
      </c>
      <c r="B1037" s="705" t="s">
        <v>1134</v>
      </c>
      <c r="C1037" s="455" t="s">
        <v>283</v>
      </c>
      <c r="D1037" s="747">
        <v>14482</v>
      </c>
      <c r="E1037" s="748">
        <v>2455.5</v>
      </c>
      <c r="F1037" s="748" t="s">
        <v>231</v>
      </c>
      <c r="G1037" s="748">
        <v>1555</v>
      </c>
      <c r="H1037" s="676">
        <v>5</v>
      </c>
      <c r="I1037" s="446">
        <v>6</v>
      </c>
      <c r="J1037" s="749">
        <v>96</v>
      </c>
      <c r="K1037" s="750" t="s">
        <v>33</v>
      </c>
      <c r="L1037" s="650">
        <f t="shared" si="126"/>
        <v>4803263</v>
      </c>
      <c r="M1037" s="751">
        <f>4332230+433223</f>
        <v>4765453</v>
      </c>
      <c r="N1037" s="752">
        <v>37810</v>
      </c>
      <c r="O1037" s="753"/>
      <c r="P1037" s="752"/>
      <c r="Q1037" s="388"/>
      <c r="R1037" s="528">
        <f>M1037/G1037</f>
        <v>3064.6</v>
      </c>
      <c r="S1037" s="383">
        <f t="shared" si="124"/>
        <v>0</v>
      </c>
      <c r="T1037" s="391"/>
      <c r="U1037" s="406"/>
      <c r="V1037" s="390"/>
      <c r="Y1037" s="419">
        <f t="shared" si="128"/>
        <v>4803263</v>
      </c>
      <c r="Z1037" s="419"/>
    </row>
    <row r="1038" spans="1:26" s="403" customFormat="1" ht="37.5" hidden="1" customHeight="1">
      <c r="A1038" s="404">
        <f t="shared" si="127"/>
        <v>14</v>
      </c>
      <c r="B1038" s="705" t="s">
        <v>1135</v>
      </c>
      <c r="C1038" s="455" t="s">
        <v>283</v>
      </c>
      <c r="D1038" s="747">
        <v>13192</v>
      </c>
      <c r="E1038" s="748">
        <v>2446</v>
      </c>
      <c r="F1038" s="748" t="s">
        <v>231</v>
      </c>
      <c r="G1038" s="748">
        <v>1145</v>
      </c>
      <c r="H1038" s="676">
        <v>5</v>
      </c>
      <c r="I1038" s="446">
        <v>4</v>
      </c>
      <c r="J1038" s="749">
        <v>60</v>
      </c>
      <c r="K1038" s="750" t="s">
        <v>33</v>
      </c>
      <c r="L1038" s="650">
        <f t="shared" si="126"/>
        <v>2584483.67</v>
      </c>
      <c r="M1038" s="751">
        <v>2548166.17</v>
      </c>
      <c r="N1038" s="752">
        <v>36317.5</v>
      </c>
      <c r="O1038" s="753"/>
      <c r="P1038" s="752"/>
      <c r="Q1038" s="388"/>
      <c r="R1038" s="528">
        <f>M1038/G1038</f>
        <v>2225.4726375545852</v>
      </c>
      <c r="S1038" s="383">
        <f t="shared" si="124"/>
        <v>0</v>
      </c>
      <c r="T1038" s="391"/>
      <c r="U1038" s="406"/>
      <c r="V1038" s="390"/>
      <c r="Y1038" s="419">
        <f t="shared" si="128"/>
        <v>2584483.67</v>
      </c>
      <c r="Z1038" s="419"/>
    </row>
    <row r="1039" spans="1:26" s="403" customFormat="1" ht="37.5" hidden="1" customHeight="1">
      <c r="A1039" s="404">
        <f t="shared" si="127"/>
        <v>15</v>
      </c>
      <c r="B1039" s="705" t="s">
        <v>1136</v>
      </c>
      <c r="C1039" s="455" t="s">
        <v>283</v>
      </c>
      <c r="D1039" s="747">
        <v>50590</v>
      </c>
      <c r="E1039" s="748">
        <v>8944</v>
      </c>
      <c r="F1039" s="748" t="s">
        <v>234</v>
      </c>
      <c r="G1039" s="748">
        <v>1505.4</v>
      </c>
      <c r="H1039" s="676">
        <v>9</v>
      </c>
      <c r="I1039" s="446">
        <v>1</v>
      </c>
      <c r="J1039" s="749">
        <v>57</v>
      </c>
      <c r="K1039" s="750" t="s">
        <v>220</v>
      </c>
      <c r="L1039" s="650">
        <f t="shared" si="126"/>
        <v>2070712.16</v>
      </c>
      <c r="M1039" s="751">
        <v>1989962.16</v>
      </c>
      <c r="N1039" s="752">
        <v>80750</v>
      </c>
      <c r="O1039" s="753"/>
      <c r="P1039" s="752"/>
      <c r="Q1039" s="752"/>
      <c r="R1039" s="528">
        <f>M1039/I1039</f>
        <v>1989962.16</v>
      </c>
      <c r="S1039" s="383">
        <f t="shared" si="124"/>
        <v>0</v>
      </c>
      <c r="T1039" s="391"/>
      <c r="U1039" s="406"/>
      <c r="V1039" s="390"/>
      <c r="Y1039" s="419">
        <f t="shared" si="128"/>
        <v>2070712.16</v>
      </c>
      <c r="Z1039" s="419"/>
    </row>
    <row r="1040" spans="1:26" s="403" customFormat="1" ht="37.5" hidden="1" customHeight="1">
      <c r="A1040" s="404">
        <f t="shared" si="127"/>
        <v>16</v>
      </c>
      <c r="B1040" s="705" t="s">
        <v>1137</v>
      </c>
      <c r="C1040" s="455" t="s">
        <v>283</v>
      </c>
      <c r="D1040" s="747">
        <v>13477</v>
      </c>
      <c r="E1040" s="748">
        <v>2490</v>
      </c>
      <c r="F1040" s="748" t="s">
        <v>231</v>
      </c>
      <c r="G1040" s="748">
        <v>1170</v>
      </c>
      <c r="H1040" s="676">
        <v>5</v>
      </c>
      <c r="I1040" s="446">
        <v>4</v>
      </c>
      <c r="J1040" s="749">
        <v>70</v>
      </c>
      <c r="K1040" s="750" t="s">
        <v>38</v>
      </c>
      <c r="L1040" s="650">
        <f t="shared" si="126"/>
        <v>2285961.5500000003</v>
      </c>
      <c r="M1040" s="751">
        <v>2277805.5300000003</v>
      </c>
      <c r="N1040" s="752"/>
      <c r="O1040" s="753">
        <v>8156.02</v>
      </c>
      <c r="P1040" s="752"/>
      <c r="Q1040" s="388"/>
      <c r="R1040" s="528">
        <f>M1040/E1040</f>
        <v>914.78133734939775</v>
      </c>
      <c r="S1040" s="383">
        <f t="shared" si="124"/>
        <v>1.8189894035458565E-11</v>
      </c>
      <c r="T1040" s="391"/>
      <c r="U1040" s="406"/>
      <c r="V1040" s="390"/>
      <c r="Y1040" s="419">
        <f t="shared" si="128"/>
        <v>2285961.5500000003</v>
      </c>
      <c r="Z1040" s="419"/>
    </row>
    <row r="1041" spans="1:26" s="403" customFormat="1" ht="37.5" hidden="1" customHeight="1">
      <c r="A1041" s="404">
        <f t="shared" si="127"/>
        <v>17</v>
      </c>
      <c r="B1041" s="705" t="s">
        <v>1138</v>
      </c>
      <c r="C1041" s="455" t="s">
        <v>283</v>
      </c>
      <c r="D1041" s="747">
        <v>17360</v>
      </c>
      <c r="E1041" s="748">
        <v>3352</v>
      </c>
      <c r="F1041" s="748" t="s">
        <v>231</v>
      </c>
      <c r="G1041" s="748">
        <v>1174</v>
      </c>
      <c r="H1041" s="676">
        <v>5</v>
      </c>
      <c r="I1041" s="446">
        <v>4</v>
      </c>
      <c r="J1041" s="749">
        <v>66</v>
      </c>
      <c r="K1041" s="750" t="s">
        <v>33</v>
      </c>
      <c r="L1041" s="650">
        <f t="shared" si="126"/>
        <v>3359707.96</v>
      </c>
      <c r="M1041" s="752">
        <v>3324882.96</v>
      </c>
      <c r="N1041" s="752">
        <v>34825</v>
      </c>
      <c r="O1041" s="753"/>
      <c r="P1041" s="752"/>
      <c r="Q1041" s="388"/>
      <c r="R1041" s="528">
        <f>M1041/G1041</f>
        <v>2832.0979216354344</v>
      </c>
      <c r="S1041" s="383">
        <f t="shared" si="124"/>
        <v>0</v>
      </c>
      <c r="T1041" s="391"/>
      <c r="U1041" s="406"/>
      <c r="V1041" s="390"/>
      <c r="Y1041" s="419">
        <f t="shared" si="128"/>
        <v>3359707.96</v>
      </c>
      <c r="Z1041" s="419"/>
    </row>
    <row r="1042" spans="1:26" s="403" customFormat="1" ht="47.25" hidden="1" customHeight="1">
      <c r="A1042" s="404">
        <f t="shared" si="127"/>
        <v>18</v>
      </c>
      <c r="B1042" s="705" t="s">
        <v>1139</v>
      </c>
      <c r="C1042" s="455" t="s">
        <v>283</v>
      </c>
      <c r="D1042" s="747">
        <v>17620</v>
      </c>
      <c r="E1042" s="748">
        <v>3270</v>
      </c>
      <c r="F1042" s="748" t="s">
        <v>223</v>
      </c>
      <c r="G1042" s="748">
        <v>1562</v>
      </c>
      <c r="H1042" s="676">
        <v>5</v>
      </c>
      <c r="I1042" s="446">
        <v>6</v>
      </c>
      <c r="J1042" s="749">
        <v>100</v>
      </c>
      <c r="K1042" s="750" t="s">
        <v>38</v>
      </c>
      <c r="L1042" s="650">
        <f t="shared" si="126"/>
        <v>1657631.64</v>
      </c>
      <c r="M1042" s="751">
        <v>1648960.22</v>
      </c>
      <c r="N1042" s="752"/>
      <c r="O1042" s="753">
        <v>8671.42</v>
      </c>
      <c r="P1042" s="752"/>
      <c r="Q1042" s="388"/>
      <c r="R1042" s="528">
        <f>M1042/E1042</f>
        <v>504.26918042813458</v>
      </c>
      <c r="S1042" s="383">
        <f t="shared" si="124"/>
        <v>-7.4578565545380116E-11</v>
      </c>
      <c r="T1042" s="391"/>
      <c r="U1042" s="406"/>
      <c r="V1042" s="390"/>
      <c r="Y1042" s="419">
        <f t="shared" si="128"/>
        <v>1657631.64</v>
      </c>
      <c r="Z1042" s="419"/>
    </row>
    <row r="1043" spans="1:26" s="403" customFormat="1" ht="37.5" hidden="1" customHeight="1">
      <c r="A1043" s="404">
        <f t="shared" si="127"/>
        <v>19</v>
      </c>
      <c r="B1043" s="705" t="s">
        <v>1140</v>
      </c>
      <c r="C1043" s="455" t="s">
        <v>283</v>
      </c>
      <c r="D1043" s="747">
        <v>6694</v>
      </c>
      <c r="E1043" s="748">
        <v>1635</v>
      </c>
      <c r="F1043" s="748" t="s">
        <v>231</v>
      </c>
      <c r="G1043" s="748">
        <v>1562</v>
      </c>
      <c r="H1043" s="676">
        <v>5</v>
      </c>
      <c r="I1043" s="446">
        <v>6</v>
      </c>
      <c r="J1043" s="749">
        <v>100</v>
      </c>
      <c r="K1043" s="750" t="s">
        <v>33</v>
      </c>
      <c r="L1043" s="650">
        <f t="shared" si="126"/>
        <v>4406943.37</v>
      </c>
      <c r="M1043" s="751">
        <v>4369133.37</v>
      </c>
      <c r="N1043" s="752">
        <v>37810</v>
      </c>
      <c r="O1043" s="753"/>
      <c r="P1043" s="752"/>
      <c r="Q1043" s="388"/>
      <c r="R1043" s="528">
        <f>M1043/G1043</f>
        <v>2797.1404417413573</v>
      </c>
      <c r="S1043" s="383">
        <f t="shared" si="124"/>
        <v>0</v>
      </c>
      <c r="T1043" s="391"/>
      <c r="U1043" s="406"/>
      <c r="V1043" s="390"/>
      <c r="Y1043" s="419">
        <f t="shared" si="128"/>
        <v>4406943.37</v>
      </c>
      <c r="Z1043" s="419"/>
    </row>
    <row r="1044" spans="1:26" s="403" customFormat="1" ht="43.5" hidden="1" customHeight="1">
      <c r="A1044" s="404">
        <f t="shared" si="127"/>
        <v>20</v>
      </c>
      <c r="B1044" s="705" t="s">
        <v>1141</v>
      </c>
      <c r="C1044" s="455" t="s">
        <v>283</v>
      </c>
      <c r="D1044" s="747">
        <v>17478</v>
      </c>
      <c r="E1044" s="748">
        <v>3561</v>
      </c>
      <c r="F1044" s="748" t="s">
        <v>234</v>
      </c>
      <c r="G1044" s="748">
        <v>1544</v>
      </c>
      <c r="H1044" s="676">
        <v>3</v>
      </c>
      <c r="I1044" s="446">
        <v>4</v>
      </c>
      <c r="J1044" s="749">
        <v>36</v>
      </c>
      <c r="K1044" s="750" t="s">
        <v>33</v>
      </c>
      <c r="L1044" s="650">
        <f t="shared" si="126"/>
        <v>2402792.16</v>
      </c>
      <c r="M1044" s="751">
        <v>2393574.48</v>
      </c>
      <c r="N1044" s="752"/>
      <c r="O1044" s="753">
        <v>9217.68</v>
      </c>
      <c r="P1044" s="752"/>
      <c r="Q1044" s="388"/>
      <c r="R1044" s="528">
        <f>M1044/G1044</f>
        <v>1550.2425388601037</v>
      </c>
      <c r="S1044" s="383">
        <f t="shared" si="124"/>
        <v>1.673470251262188E-10</v>
      </c>
      <c r="T1044" s="391"/>
      <c r="U1044" s="406"/>
      <c r="V1044" s="390"/>
      <c r="Y1044" s="419">
        <f t="shared" si="128"/>
        <v>2402792.16</v>
      </c>
      <c r="Z1044" s="419"/>
    </row>
    <row r="1045" spans="1:26" s="403" customFormat="1" ht="37.5" hidden="1" customHeight="1">
      <c r="A1045" s="404">
        <f t="shared" si="127"/>
        <v>21</v>
      </c>
      <c r="B1045" s="705" t="s">
        <v>1142</v>
      </c>
      <c r="C1045" s="455" t="s">
        <v>218</v>
      </c>
      <c r="D1045" s="747">
        <v>13428</v>
      </c>
      <c r="E1045" s="748">
        <v>2132</v>
      </c>
      <c r="F1045" s="748" t="s">
        <v>234</v>
      </c>
      <c r="G1045" s="748">
        <v>1017</v>
      </c>
      <c r="H1045" s="676">
        <v>9</v>
      </c>
      <c r="I1045" s="446">
        <v>2</v>
      </c>
      <c r="J1045" s="749">
        <v>72</v>
      </c>
      <c r="K1045" s="750" t="s">
        <v>33</v>
      </c>
      <c r="L1045" s="650">
        <f t="shared" si="126"/>
        <v>1253293.92</v>
      </c>
      <c r="M1045" s="751">
        <v>1247222.43</v>
      </c>
      <c r="N1045" s="752"/>
      <c r="O1045" s="753">
        <v>6071.49</v>
      </c>
      <c r="P1045" s="752"/>
      <c r="Q1045" s="388"/>
      <c r="R1045" s="528">
        <f>M1045/G1045</f>
        <v>1226.37407079646</v>
      </c>
      <c r="S1045" s="383">
        <f t="shared" si="124"/>
        <v>-9.0949470177292824E-12</v>
      </c>
      <c r="T1045" s="391"/>
      <c r="U1045" s="406"/>
      <c r="V1045" s="390"/>
      <c r="Y1045" s="419">
        <f t="shared" si="128"/>
        <v>1253293.92</v>
      </c>
      <c r="Z1045" s="419"/>
    </row>
    <row r="1046" spans="1:26" s="403" customFormat="1" ht="37.5" hidden="1" customHeight="1">
      <c r="A1046" s="404">
        <f t="shared" si="127"/>
        <v>22</v>
      </c>
      <c r="B1046" s="705" t="s">
        <v>1143</v>
      </c>
      <c r="C1046" s="455" t="s">
        <v>284</v>
      </c>
      <c r="D1046" s="747">
        <v>26508</v>
      </c>
      <c r="E1046" s="748">
        <v>2506.9</v>
      </c>
      <c r="F1046" s="748" t="s">
        <v>234</v>
      </c>
      <c r="G1046" s="748">
        <v>686</v>
      </c>
      <c r="H1046" s="676">
        <v>9</v>
      </c>
      <c r="I1046" s="446">
        <v>2</v>
      </c>
      <c r="J1046" s="749">
        <v>72</v>
      </c>
      <c r="K1046" s="750" t="s">
        <v>220</v>
      </c>
      <c r="L1046" s="650">
        <f t="shared" si="126"/>
        <v>4055251.82</v>
      </c>
      <c r="M1046" s="752">
        <v>3954314.32</v>
      </c>
      <c r="N1046" s="752">
        <v>100937.5</v>
      </c>
      <c r="O1046" s="753"/>
      <c r="P1046" s="752"/>
      <c r="Q1046" s="752"/>
      <c r="R1046" s="528">
        <f>M1046/I1046</f>
        <v>1977157.16</v>
      </c>
      <c r="S1046" s="383">
        <f t="shared" si="124"/>
        <v>0</v>
      </c>
      <c r="T1046" s="391"/>
      <c r="U1046" s="406"/>
      <c r="V1046" s="390"/>
      <c r="Y1046" s="419">
        <f t="shared" si="128"/>
        <v>4055251.82</v>
      </c>
      <c r="Z1046" s="419"/>
    </row>
    <row r="1047" spans="1:26" s="403" customFormat="1" ht="37.5" hidden="1" customHeight="1">
      <c r="A1047" s="404">
        <f t="shared" si="127"/>
        <v>23</v>
      </c>
      <c r="B1047" s="705" t="s">
        <v>1144</v>
      </c>
      <c r="C1047" s="455" t="s">
        <v>283</v>
      </c>
      <c r="D1047" s="747">
        <v>16781</v>
      </c>
      <c r="E1047" s="748">
        <v>3888</v>
      </c>
      <c r="F1047" s="748" t="s">
        <v>234</v>
      </c>
      <c r="G1047" s="748">
        <v>1344</v>
      </c>
      <c r="H1047" s="676">
        <v>5</v>
      </c>
      <c r="I1047" s="446">
        <v>7</v>
      </c>
      <c r="J1047" s="749">
        <v>105</v>
      </c>
      <c r="K1047" s="750" t="s">
        <v>33</v>
      </c>
      <c r="L1047" s="650">
        <f t="shared" si="126"/>
        <v>2669109.0299999998</v>
      </c>
      <c r="M1047" s="751">
        <v>2661085.3499999996</v>
      </c>
      <c r="N1047" s="752"/>
      <c r="O1047" s="753">
        <v>8023.68</v>
      </c>
      <c r="P1047" s="752"/>
      <c r="Q1047" s="388"/>
      <c r="R1047" s="528">
        <f>M1047/G1047</f>
        <v>1979.9742187499996</v>
      </c>
      <c r="S1047" s="383">
        <f t="shared" si="124"/>
        <v>1.673470251262188E-10</v>
      </c>
      <c r="T1047" s="391"/>
      <c r="U1047" s="406"/>
      <c r="V1047" s="390"/>
      <c r="Y1047" s="419">
        <f t="shared" si="128"/>
        <v>2669109.0299999998</v>
      </c>
      <c r="Z1047" s="419"/>
    </row>
    <row r="1048" spans="1:26" s="403" customFormat="1" ht="37.5" hidden="1" customHeight="1">
      <c r="A1048" s="404">
        <f t="shared" si="127"/>
        <v>24</v>
      </c>
      <c r="B1048" s="705" t="s">
        <v>1146</v>
      </c>
      <c r="C1048" s="455" t="s">
        <v>230</v>
      </c>
      <c r="D1048" s="747">
        <v>1503</v>
      </c>
      <c r="E1048" s="748">
        <v>334</v>
      </c>
      <c r="F1048" s="748" t="s">
        <v>231</v>
      </c>
      <c r="G1048" s="748">
        <v>326</v>
      </c>
      <c r="H1048" s="676">
        <v>2</v>
      </c>
      <c r="I1048" s="446">
        <v>1</v>
      </c>
      <c r="J1048" s="749">
        <v>8</v>
      </c>
      <c r="K1048" s="750" t="s">
        <v>33</v>
      </c>
      <c r="L1048" s="650">
        <f t="shared" si="126"/>
        <v>914204.09000000008</v>
      </c>
      <c r="M1048" s="751">
        <v>887339.09000000008</v>
      </c>
      <c r="N1048" s="752">
        <v>26865</v>
      </c>
      <c r="O1048" s="753"/>
      <c r="P1048" s="752"/>
      <c r="Q1048" s="388"/>
      <c r="R1048" s="528">
        <f>M1048/G1048</f>
        <v>2721.8990490797551</v>
      </c>
      <c r="S1048" s="383">
        <f t="shared" si="124"/>
        <v>0</v>
      </c>
      <c r="T1048" s="391"/>
      <c r="U1048" s="406"/>
      <c r="V1048" s="390"/>
      <c r="Y1048" s="419">
        <f t="shared" si="128"/>
        <v>914204.09000000008</v>
      </c>
      <c r="Z1048" s="419"/>
    </row>
    <row r="1049" spans="1:26" s="403" customFormat="1" ht="37.5" hidden="1" customHeight="1">
      <c r="A1049" s="404">
        <f t="shared" si="127"/>
        <v>25</v>
      </c>
      <c r="B1049" s="705" t="s">
        <v>1147</v>
      </c>
      <c r="C1049" s="455" t="s">
        <v>222</v>
      </c>
      <c r="D1049" s="747">
        <v>4084</v>
      </c>
      <c r="E1049" s="748">
        <v>750</v>
      </c>
      <c r="F1049" s="748" t="s">
        <v>231</v>
      </c>
      <c r="G1049" s="748">
        <v>876.3</v>
      </c>
      <c r="H1049" s="676">
        <v>2</v>
      </c>
      <c r="I1049" s="446">
        <v>3</v>
      </c>
      <c r="J1049" s="749">
        <v>18</v>
      </c>
      <c r="K1049" s="750" t="s">
        <v>33</v>
      </c>
      <c r="L1049" s="650">
        <f t="shared" si="126"/>
        <v>2480197.2000000002</v>
      </c>
      <c r="M1049" s="751">
        <v>2450347.2000000002</v>
      </c>
      <c r="N1049" s="752">
        <v>29850</v>
      </c>
      <c r="O1049" s="753"/>
      <c r="P1049" s="752"/>
      <c r="Q1049" s="388"/>
      <c r="R1049" s="528">
        <f>M1049/G1049</f>
        <v>2796.2423827456355</v>
      </c>
      <c r="S1049" s="383">
        <f t="shared" si="124"/>
        <v>0</v>
      </c>
      <c r="T1049" s="391"/>
      <c r="U1049" s="406"/>
      <c r="V1049" s="390"/>
      <c r="Y1049" s="419">
        <f t="shared" si="128"/>
        <v>2480197.2000000002</v>
      </c>
      <c r="Z1049" s="419"/>
    </row>
    <row r="1050" spans="1:26" s="403" customFormat="1" ht="48.75" hidden="1" customHeight="1">
      <c r="A1050" s="404">
        <f t="shared" si="127"/>
        <v>26</v>
      </c>
      <c r="B1050" s="705" t="s">
        <v>3484</v>
      </c>
      <c r="C1050" s="455" t="s">
        <v>283</v>
      </c>
      <c r="D1050" s="747"/>
      <c r="E1050" s="748">
        <v>2090</v>
      </c>
      <c r="F1050" s="748" t="s">
        <v>234</v>
      </c>
      <c r="G1050" s="748">
        <v>1100</v>
      </c>
      <c r="H1050" s="676">
        <v>5</v>
      </c>
      <c r="I1050" s="446">
        <v>4</v>
      </c>
      <c r="J1050" s="749">
        <v>69</v>
      </c>
      <c r="K1050" s="750" t="s">
        <v>38</v>
      </c>
      <c r="L1050" s="650">
        <f t="shared" si="126"/>
        <v>439557</v>
      </c>
      <c r="M1050" s="751">
        <v>439557</v>
      </c>
      <c r="N1050" s="388"/>
      <c r="O1050" s="473"/>
      <c r="P1050" s="388"/>
      <c r="Q1050" s="388"/>
      <c r="R1050" s="528">
        <f>M1050/E1050</f>
        <v>210.31435406698566</v>
      </c>
      <c r="S1050" s="383">
        <f t="shared" si="124"/>
        <v>0</v>
      </c>
      <c r="T1050" s="454"/>
      <c r="U1050" s="404"/>
      <c r="Y1050" s="419">
        <f t="shared" si="128"/>
        <v>439557</v>
      </c>
      <c r="Z1050" s="419"/>
    </row>
    <row r="1051" spans="1:26" s="403" customFormat="1" ht="37.5" hidden="1" customHeight="1">
      <c r="A1051" s="404">
        <f t="shared" si="127"/>
        <v>27</v>
      </c>
      <c r="B1051" s="705" t="s">
        <v>3485</v>
      </c>
      <c r="C1051" s="455" t="s">
        <v>315</v>
      </c>
      <c r="D1051" s="747"/>
      <c r="E1051" s="748">
        <v>3488</v>
      </c>
      <c r="F1051" s="748" t="s">
        <v>234</v>
      </c>
      <c r="G1051" s="748">
        <v>1549</v>
      </c>
      <c r="H1051" s="676">
        <v>5</v>
      </c>
      <c r="I1051" s="446">
        <v>6</v>
      </c>
      <c r="J1051" s="749">
        <v>100</v>
      </c>
      <c r="K1051" s="750" t="s">
        <v>33</v>
      </c>
      <c r="L1051" s="650">
        <f t="shared" si="126"/>
        <v>2908218.67</v>
      </c>
      <c r="M1051" s="751">
        <v>2881255.16</v>
      </c>
      <c r="N1051" s="752"/>
      <c r="O1051" s="753">
        <v>7063.51</v>
      </c>
      <c r="P1051" s="752"/>
      <c r="Q1051" s="391">
        <v>19900</v>
      </c>
      <c r="R1051" s="754">
        <f>M1051/G1051</f>
        <v>1860.0743447385412</v>
      </c>
      <c r="S1051" s="383">
        <f t="shared" si="124"/>
        <v>-2.255546860396862E-10</v>
      </c>
      <c r="T1051" s="454"/>
      <c r="U1051" s="404"/>
      <c r="Y1051" s="419">
        <f t="shared" si="128"/>
        <v>2908218.67</v>
      </c>
      <c r="Z1051" s="419"/>
    </row>
    <row r="1052" spans="1:26" s="403" customFormat="1" ht="37.5" hidden="1" customHeight="1">
      <c r="A1052" s="404">
        <f t="shared" si="127"/>
        <v>28</v>
      </c>
      <c r="B1052" s="705" t="s">
        <v>3006</v>
      </c>
      <c r="C1052" s="455" t="s">
        <v>283</v>
      </c>
      <c r="D1052" s="747">
        <v>3017</v>
      </c>
      <c r="E1052" s="748">
        <v>663.2</v>
      </c>
      <c r="F1052" s="748" t="s">
        <v>231</v>
      </c>
      <c r="G1052" s="748">
        <v>608</v>
      </c>
      <c r="H1052" s="676">
        <v>2</v>
      </c>
      <c r="I1052" s="446">
        <v>1</v>
      </c>
      <c r="J1052" s="749">
        <v>32</v>
      </c>
      <c r="K1052" s="750" t="s">
        <v>33</v>
      </c>
      <c r="L1052" s="650">
        <f t="shared" si="126"/>
        <v>1569858.99</v>
      </c>
      <c r="M1052" s="519">
        <v>1535375.27</v>
      </c>
      <c r="N1052" s="391">
        <v>19784.580000000002</v>
      </c>
      <c r="O1052" s="627"/>
      <c r="P1052" s="396"/>
      <c r="Q1052" s="388">
        <v>14699.14</v>
      </c>
      <c r="R1052" s="446">
        <f>M1052/G1052</f>
        <v>2525.2882730263159</v>
      </c>
      <c r="S1052" s="383"/>
      <c r="T1052" s="454"/>
      <c r="U1052" s="404"/>
      <c r="Y1052" s="419">
        <f t="shared" si="128"/>
        <v>1569858.99</v>
      </c>
      <c r="Z1052" s="419"/>
    </row>
    <row r="1053" spans="1:26" s="403" customFormat="1" ht="37.5" hidden="1" customHeight="1">
      <c r="A1053" s="404">
        <f t="shared" si="127"/>
        <v>29</v>
      </c>
      <c r="B1053" s="705" t="s">
        <v>3024</v>
      </c>
      <c r="C1053" s="455" t="s">
        <v>283</v>
      </c>
      <c r="D1053" s="747">
        <v>10691</v>
      </c>
      <c r="E1053" s="748">
        <v>2393</v>
      </c>
      <c r="F1053" s="748" t="s">
        <v>234</v>
      </c>
      <c r="G1053" s="748">
        <v>761</v>
      </c>
      <c r="H1053" s="676">
        <v>5</v>
      </c>
      <c r="I1053" s="446">
        <v>4</v>
      </c>
      <c r="J1053" s="749">
        <v>58</v>
      </c>
      <c r="K1053" s="750" t="s">
        <v>33</v>
      </c>
      <c r="L1053" s="650">
        <f t="shared" si="126"/>
        <v>1683048.44</v>
      </c>
      <c r="M1053" s="519">
        <v>1656857.05</v>
      </c>
      <c r="N1053" s="396"/>
      <c r="O1053" s="391">
        <v>6291.39</v>
      </c>
      <c r="P1053" s="396"/>
      <c r="Q1053" s="388">
        <v>19900</v>
      </c>
      <c r="R1053" s="446">
        <f>M1053/G1053</f>
        <v>2177.2103153745074</v>
      </c>
      <c r="S1053" s="383"/>
      <c r="T1053" s="454"/>
      <c r="U1053" s="404"/>
      <c r="Y1053" s="419">
        <f t="shared" si="128"/>
        <v>1683048.44</v>
      </c>
      <c r="Z1053" s="419"/>
    </row>
    <row r="1054" spans="1:26" s="403" customFormat="1" ht="37.5" hidden="1" customHeight="1">
      <c r="A1054" s="404">
        <f t="shared" si="127"/>
        <v>30</v>
      </c>
      <c r="B1054" s="705" t="s">
        <v>3571</v>
      </c>
      <c r="C1054" s="455" t="s">
        <v>283</v>
      </c>
      <c r="D1054" s="747">
        <v>24095</v>
      </c>
      <c r="E1054" s="748">
        <v>5264</v>
      </c>
      <c r="F1054" s="748" t="s">
        <v>234</v>
      </c>
      <c r="G1054" s="748">
        <v>1344</v>
      </c>
      <c r="H1054" s="676">
        <v>5</v>
      </c>
      <c r="I1054" s="446">
        <v>8</v>
      </c>
      <c r="J1054" s="749">
        <v>97</v>
      </c>
      <c r="K1054" s="750" t="s">
        <v>33</v>
      </c>
      <c r="L1054" s="650">
        <f t="shared" si="126"/>
        <v>2954987.42</v>
      </c>
      <c r="M1054" s="519">
        <v>2927304.53</v>
      </c>
      <c r="N1054" s="396"/>
      <c r="O1054" s="530">
        <v>7782.89</v>
      </c>
      <c r="P1054" s="396"/>
      <c r="Q1054" s="388">
        <v>19900</v>
      </c>
      <c r="R1054" s="446">
        <f>M1054/G1054</f>
        <v>2178.0539657738095</v>
      </c>
      <c r="S1054" s="383"/>
      <c r="T1054" s="454"/>
      <c r="U1054" s="390"/>
      <c r="Y1054" s="419">
        <f t="shared" si="128"/>
        <v>2954987.42</v>
      </c>
      <c r="Z1054" s="419"/>
    </row>
    <row r="1055" spans="1:26" s="403" customFormat="1" ht="37.5" hidden="1" customHeight="1">
      <c r="A1055" s="404">
        <f t="shared" si="127"/>
        <v>31</v>
      </c>
      <c r="B1055" s="705" t="s">
        <v>3572</v>
      </c>
      <c r="C1055" s="455" t="s">
        <v>283</v>
      </c>
      <c r="D1055" s="747">
        <v>3806</v>
      </c>
      <c r="E1055" s="748">
        <v>746</v>
      </c>
      <c r="F1055" s="748" t="s">
        <v>231</v>
      </c>
      <c r="G1055" s="748">
        <v>1254</v>
      </c>
      <c r="H1055" s="676">
        <v>2</v>
      </c>
      <c r="I1055" s="446">
        <v>3</v>
      </c>
      <c r="J1055" s="749">
        <v>22</v>
      </c>
      <c r="K1055" s="750" t="s">
        <v>33</v>
      </c>
      <c r="L1055" s="650">
        <f t="shared" si="126"/>
        <v>1867401.04</v>
      </c>
      <c r="M1055" s="519">
        <v>1827773.17</v>
      </c>
      <c r="N1055" s="391">
        <v>21084.05</v>
      </c>
      <c r="O1055" s="627"/>
      <c r="P1055" s="396"/>
      <c r="Q1055" s="388">
        <v>18543.82</v>
      </c>
      <c r="R1055" s="446">
        <f>M1055/G1055</f>
        <v>1457.5543620414674</v>
      </c>
      <c r="S1055" s="383"/>
      <c r="T1055" s="454"/>
      <c r="U1055" s="404"/>
      <c r="Y1055" s="419">
        <f t="shared" si="128"/>
        <v>1867401.04</v>
      </c>
      <c r="Z1055" s="419"/>
    </row>
    <row r="1056" spans="1:26" s="403" customFormat="1" ht="42.75" hidden="1" customHeight="1">
      <c r="A1056" s="1112" t="s">
        <v>142</v>
      </c>
      <c r="B1056" s="1112"/>
      <c r="C1056" s="446" t="s">
        <v>28</v>
      </c>
      <c r="D1056" s="388">
        <f>SUM(D1025:D1055)</f>
        <v>381312</v>
      </c>
      <c r="E1056" s="388">
        <f>SUM(E1025:E1055)</f>
        <v>78707.900000000009</v>
      </c>
      <c r="F1056" s="388" t="s">
        <v>28</v>
      </c>
      <c r="G1056" s="388">
        <f>SUM(G1025:G1055)</f>
        <v>34630.699999999997</v>
      </c>
      <c r="H1056" s="446" t="s">
        <v>28</v>
      </c>
      <c r="I1056" s="446" t="s">
        <v>28</v>
      </c>
      <c r="J1056" s="446">
        <f>SUM(J1025:J1055)</f>
        <v>1745</v>
      </c>
      <c r="K1056" s="458" t="s">
        <v>28</v>
      </c>
      <c r="L1056" s="519">
        <f t="shared" ref="L1056:Q1056" si="129">SUM(L1025:L1055)</f>
        <v>76145269.159999996</v>
      </c>
      <c r="M1056" s="519">
        <f t="shared" si="129"/>
        <v>75194432.709999993</v>
      </c>
      <c r="N1056" s="388">
        <f t="shared" si="129"/>
        <v>790203.63</v>
      </c>
      <c r="O1056" s="473">
        <f t="shared" si="129"/>
        <v>67689.86</v>
      </c>
      <c r="P1056" s="388">
        <f t="shared" si="129"/>
        <v>0</v>
      </c>
      <c r="Q1056" s="388">
        <f t="shared" si="129"/>
        <v>92942.959999999992</v>
      </c>
      <c r="R1056" s="446" t="s">
        <v>28</v>
      </c>
      <c r="S1056" s="383">
        <f t="shared" ref="S1056:S1087" si="130">L1056-M1056-N1056-O1056-P1056-Q1056</f>
        <v>2.9831426218152046E-9</v>
      </c>
      <c r="T1056" s="387"/>
      <c r="U1056" s="390"/>
      <c r="V1056" s="459"/>
      <c r="W1056" s="459"/>
      <c r="Y1056" s="419">
        <f t="shared" si="128"/>
        <v>76145269.159999982</v>
      </c>
      <c r="Z1056" s="419"/>
    </row>
    <row r="1057" spans="1:26" s="403" customFormat="1" ht="32.25" hidden="1" customHeight="1">
      <c r="A1057" s="1113" t="s">
        <v>165</v>
      </c>
      <c r="B1057" s="1113"/>
      <c r="C1057" s="1113"/>
      <c r="D1057" s="1113"/>
      <c r="E1057" s="1113"/>
      <c r="F1057" s="1113"/>
      <c r="G1057" s="1113"/>
      <c r="H1057" s="1113"/>
      <c r="I1057" s="1113"/>
      <c r="J1057" s="1113"/>
      <c r="K1057" s="1113"/>
      <c r="L1057" s="1113"/>
      <c r="M1057" s="1113"/>
      <c r="N1057" s="1113"/>
      <c r="O1057" s="1113"/>
      <c r="P1057" s="1113"/>
      <c r="Q1057" s="1113"/>
      <c r="R1057" s="1113"/>
      <c r="S1057" s="383">
        <f t="shared" si="130"/>
        <v>0</v>
      </c>
      <c r="T1057" s="387"/>
      <c r="U1057" s="404"/>
      <c r="V1057" s="390"/>
      <c r="Y1057" s="419">
        <f t="shared" si="128"/>
        <v>0</v>
      </c>
      <c r="Z1057" s="419"/>
    </row>
    <row r="1058" spans="1:26" s="403" customFormat="1" ht="37.5" hidden="1" customHeight="1">
      <c r="A1058" s="404">
        <v>1</v>
      </c>
      <c r="B1058" s="705" t="s">
        <v>1148</v>
      </c>
      <c r="C1058" s="455" t="s">
        <v>218</v>
      </c>
      <c r="D1058" s="747">
        <v>12183</v>
      </c>
      <c r="E1058" s="748">
        <v>360</v>
      </c>
      <c r="F1058" s="748" t="s">
        <v>228</v>
      </c>
      <c r="G1058" s="748">
        <v>1132</v>
      </c>
      <c r="H1058" s="676">
        <v>5</v>
      </c>
      <c r="I1058" s="446">
        <v>4</v>
      </c>
      <c r="J1058" s="749">
        <v>80</v>
      </c>
      <c r="K1058" s="750" t="s">
        <v>426</v>
      </c>
      <c r="L1058" s="650">
        <f t="shared" ref="L1058:L1089" si="131">M1058+N1058+O1058+P1058+Q1058</f>
        <v>914823.63</v>
      </c>
      <c r="M1058" s="751">
        <v>881988.63</v>
      </c>
      <c r="N1058" s="752">
        <v>32835</v>
      </c>
      <c r="O1058" s="753"/>
      <c r="P1058" s="752"/>
      <c r="Q1058" s="388"/>
      <c r="R1058" s="528">
        <f>M1058/E1058</f>
        <v>2449.9684166666666</v>
      </c>
      <c r="S1058" s="383">
        <f t="shared" si="130"/>
        <v>0</v>
      </c>
      <c r="T1058" s="398"/>
      <c r="U1058" s="406"/>
      <c r="V1058" s="390"/>
      <c r="W1058" s="393"/>
      <c r="X1058" s="393"/>
      <c r="Y1058" s="419">
        <f t="shared" si="128"/>
        <v>914823.63</v>
      </c>
      <c r="Z1058" s="419"/>
    </row>
    <row r="1059" spans="1:26" s="403" customFormat="1" ht="37.5" hidden="1" customHeight="1">
      <c r="A1059" s="493">
        <f t="shared" ref="A1059:A1120" si="132">A1058+1</f>
        <v>2</v>
      </c>
      <c r="B1059" s="705" t="s">
        <v>1149</v>
      </c>
      <c r="C1059" s="455" t="s">
        <v>218</v>
      </c>
      <c r="D1059" s="747">
        <v>13244</v>
      </c>
      <c r="E1059" s="748">
        <v>2400</v>
      </c>
      <c r="F1059" s="748" t="s">
        <v>254</v>
      </c>
      <c r="G1059" s="748">
        <v>1135</v>
      </c>
      <c r="H1059" s="676">
        <v>5</v>
      </c>
      <c r="I1059" s="446">
        <v>4</v>
      </c>
      <c r="J1059" s="749">
        <v>80</v>
      </c>
      <c r="K1059" s="750" t="s">
        <v>285</v>
      </c>
      <c r="L1059" s="650">
        <f t="shared" si="131"/>
        <v>6377561.96</v>
      </c>
      <c r="M1059" s="752">
        <v>6344726.96</v>
      </c>
      <c r="N1059" s="752">
        <v>32835</v>
      </c>
      <c r="O1059" s="753"/>
      <c r="P1059" s="752"/>
      <c r="Q1059" s="388"/>
      <c r="R1059" s="528">
        <f>M1059/E1059</f>
        <v>2643.6362333333332</v>
      </c>
      <c r="S1059" s="383">
        <f t="shared" si="130"/>
        <v>0</v>
      </c>
      <c r="T1059" s="398"/>
      <c r="U1059" s="406"/>
      <c r="V1059" s="390"/>
      <c r="W1059" s="393"/>
      <c r="X1059" s="393"/>
      <c r="Y1059" s="419">
        <f t="shared" si="128"/>
        <v>6377561.96</v>
      </c>
      <c r="Z1059" s="419"/>
    </row>
    <row r="1060" spans="1:26" s="403" customFormat="1" ht="37.5" hidden="1" customHeight="1">
      <c r="A1060" s="493">
        <f t="shared" si="132"/>
        <v>3</v>
      </c>
      <c r="B1060" s="705" t="s">
        <v>1150</v>
      </c>
      <c r="C1060" s="455" t="s">
        <v>218</v>
      </c>
      <c r="D1060" s="747">
        <v>12952</v>
      </c>
      <c r="E1060" s="748">
        <v>2400</v>
      </c>
      <c r="F1060" s="748" t="s">
        <v>286</v>
      </c>
      <c r="G1060" s="748">
        <v>1134</v>
      </c>
      <c r="H1060" s="676">
        <v>5</v>
      </c>
      <c r="I1060" s="446">
        <v>4</v>
      </c>
      <c r="J1060" s="749">
        <v>80</v>
      </c>
      <c r="K1060" s="750" t="s">
        <v>285</v>
      </c>
      <c r="L1060" s="650">
        <f t="shared" si="131"/>
        <v>6315198.4299999997</v>
      </c>
      <c r="M1060" s="752">
        <v>6282363.4299999997</v>
      </c>
      <c r="N1060" s="752">
        <v>32835</v>
      </c>
      <c r="O1060" s="753"/>
      <c r="P1060" s="752"/>
      <c r="Q1060" s="388"/>
      <c r="R1060" s="528">
        <f>M1060/E1060</f>
        <v>2617.6514291666667</v>
      </c>
      <c r="S1060" s="383">
        <f t="shared" si="130"/>
        <v>0</v>
      </c>
      <c r="T1060" s="398"/>
      <c r="U1060" s="406"/>
      <c r="V1060" s="390"/>
      <c r="W1060" s="393"/>
      <c r="X1060" s="393"/>
      <c r="Y1060" s="419">
        <f t="shared" si="128"/>
        <v>6315198.4299999997</v>
      </c>
      <c r="Z1060" s="419"/>
    </row>
    <row r="1061" spans="1:26" s="403" customFormat="1" ht="41.25" hidden="1" customHeight="1">
      <c r="A1061" s="493">
        <f t="shared" si="132"/>
        <v>4</v>
      </c>
      <c r="B1061" s="705" t="s">
        <v>1151</v>
      </c>
      <c r="C1061" s="455" t="s">
        <v>240</v>
      </c>
      <c r="D1061" s="747">
        <v>4622</v>
      </c>
      <c r="E1061" s="748">
        <v>999</v>
      </c>
      <c r="F1061" s="748" t="s">
        <v>252</v>
      </c>
      <c r="G1061" s="748">
        <v>910</v>
      </c>
      <c r="H1061" s="676">
        <v>2</v>
      </c>
      <c r="I1061" s="446">
        <v>3</v>
      </c>
      <c r="J1061" s="749">
        <v>18</v>
      </c>
      <c r="K1061" s="750" t="s">
        <v>33</v>
      </c>
      <c r="L1061" s="650">
        <f t="shared" si="131"/>
        <v>2454955.37</v>
      </c>
      <c r="M1061" s="751">
        <v>2422120.37</v>
      </c>
      <c r="N1061" s="752">
        <v>32835</v>
      </c>
      <c r="O1061" s="753"/>
      <c r="P1061" s="752"/>
      <c r="Q1061" s="388"/>
      <c r="R1061" s="528">
        <f>M1061/G1061</f>
        <v>2661.6707362637362</v>
      </c>
      <c r="S1061" s="383">
        <f t="shared" si="130"/>
        <v>0</v>
      </c>
      <c r="T1061" s="398"/>
      <c r="U1061" s="406"/>
      <c r="V1061" s="390"/>
      <c r="W1061" s="393"/>
      <c r="X1061" s="393"/>
      <c r="Y1061" s="419">
        <f t="shared" si="128"/>
        <v>2454955.37</v>
      </c>
      <c r="Z1061" s="419"/>
    </row>
    <row r="1062" spans="1:26" s="403" customFormat="1" ht="37.5" hidden="1" customHeight="1">
      <c r="A1062" s="493">
        <f t="shared" si="132"/>
        <v>5</v>
      </c>
      <c r="B1062" s="705" t="s">
        <v>1152</v>
      </c>
      <c r="C1062" s="455" t="s">
        <v>218</v>
      </c>
      <c r="D1062" s="747">
        <v>11888</v>
      </c>
      <c r="E1062" s="748">
        <v>2400</v>
      </c>
      <c r="F1062" s="748" t="s">
        <v>228</v>
      </c>
      <c r="G1062" s="748">
        <v>1057</v>
      </c>
      <c r="H1062" s="676">
        <v>5</v>
      </c>
      <c r="I1062" s="446">
        <v>4</v>
      </c>
      <c r="J1062" s="749">
        <v>79</v>
      </c>
      <c r="K1062" s="750" t="s">
        <v>227</v>
      </c>
      <c r="L1062" s="650">
        <f t="shared" si="131"/>
        <v>6007990.0700000003</v>
      </c>
      <c r="M1062" s="751">
        <v>5969682.5700000003</v>
      </c>
      <c r="N1062" s="752">
        <v>38307.5</v>
      </c>
      <c r="O1062" s="753"/>
      <c r="P1062" s="752"/>
      <c r="Q1062" s="388"/>
      <c r="R1062" s="528">
        <f>M1062/E1062</f>
        <v>2487.3677375000002</v>
      </c>
      <c r="S1062" s="383">
        <f t="shared" si="130"/>
        <v>0</v>
      </c>
      <c r="T1062" s="398"/>
      <c r="U1062" s="406"/>
      <c r="V1062" s="390"/>
      <c r="W1062" s="393"/>
      <c r="X1062" s="393"/>
      <c r="Y1062" s="419">
        <f t="shared" si="128"/>
        <v>6007990.0700000003</v>
      </c>
      <c r="Z1062" s="419"/>
    </row>
    <row r="1063" spans="1:26" s="403" customFormat="1" ht="37.5" hidden="1" customHeight="1">
      <c r="A1063" s="493">
        <f t="shared" si="132"/>
        <v>6</v>
      </c>
      <c r="B1063" s="705" t="s">
        <v>1153</v>
      </c>
      <c r="C1063" s="455" t="s">
        <v>218</v>
      </c>
      <c r="D1063" s="747">
        <v>11919</v>
      </c>
      <c r="E1063" s="748">
        <v>2400</v>
      </c>
      <c r="F1063" s="748" t="s">
        <v>228</v>
      </c>
      <c r="G1063" s="748">
        <v>1060</v>
      </c>
      <c r="H1063" s="676">
        <v>5</v>
      </c>
      <c r="I1063" s="446">
        <v>4</v>
      </c>
      <c r="J1063" s="749">
        <v>80</v>
      </c>
      <c r="K1063" s="750" t="s">
        <v>227</v>
      </c>
      <c r="L1063" s="650">
        <f t="shared" si="131"/>
        <v>4200022.76</v>
      </c>
      <c r="M1063" s="751">
        <v>4143424.46</v>
      </c>
      <c r="N1063" s="752">
        <v>18897</v>
      </c>
      <c r="O1063" s="753">
        <v>7701.3</v>
      </c>
      <c r="P1063" s="752"/>
      <c r="Q1063" s="388">
        <v>30000</v>
      </c>
      <c r="R1063" s="528">
        <f>M1063/E1063</f>
        <v>1726.4268583333333</v>
      </c>
      <c r="S1063" s="383">
        <f t="shared" si="130"/>
        <v>-1.8553691916167736E-10</v>
      </c>
      <c r="T1063" s="398"/>
      <c r="U1063" s="406"/>
      <c r="V1063" s="390"/>
      <c r="W1063" s="393"/>
      <c r="X1063" s="393"/>
      <c r="Y1063" s="419">
        <f t="shared" si="128"/>
        <v>4200022.76</v>
      </c>
      <c r="Z1063" s="419"/>
    </row>
    <row r="1064" spans="1:26" s="403" customFormat="1" ht="37.5" hidden="1" customHeight="1">
      <c r="A1064" s="493">
        <f t="shared" si="132"/>
        <v>7</v>
      </c>
      <c r="B1064" s="705" t="s">
        <v>1154</v>
      </c>
      <c r="C1064" s="455" t="s">
        <v>222</v>
      </c>
      <c r="D1064" s="747">
        <v>10058</v>
      </c>
      <c r="E1064" s="748">
        <v>1341</v>
      </c>
      <c r="F1064" s="748" t="s">
        <v>228</v>
      </c>
      <c r="G1064" s="748">
        <v>811</v>
      </c>
      <c r="H1064" s="676">
        <v>5</v>
      </c>
      <c r="I1064" s="446">
        <v>3</v>
      </c>
      <c r="J1064" s="749">
        <v>60</v>
      </c>
      <c r="K1064" s="750" t="s">
        <v>33</v>
      </c>
      <c r="L1064" s="650">
        <f t="shared" si="131"/>
        <v>1429819.46</v>
      </c>
      <c r="M1064" s="751">
        <v>1424493.22</v>
      </c>
      <c r="N1064" s="752"/>
      <c r="O1064" s="753">
        <v>5326.24</v>
      </c>
      <c r="P1064" s="752"/>
      <c r="Q1064" s="388"/>
      <c r="R1064" s="528">
        <f>M1064/G1064</f>
        <v>1756.4651294697903</v>
      </c>
      <c r="S1064" s="383">
        <f t="shared" si="130"/>
        <v>-9.0949470177292824E-12</v>
      </c>
      <c r="T1064" s="398"/>
      <c r="U1064" s="406"/>
      <c r="V1064" s="390"/>
      <c r="W1064" s="393"/>
      <c r="X1064" s="393"/>
      <c r="Y1064" s="419">
        <f t="shared" si="128"/>
        <v>1429819.46</v>
      </c>
      <c r="Z1064" s="419"/>
    </row>
    <row r="1065" spans="1:26" s="403" customFormat="1" ht="37.5" hidden="1" customHeight="1">
      <c r="A1065" s="493">
        <f t="shared" si="132"/>
        <v>8</v>
      </c>
      <c r="B1065" s="705" t="s">
        <v>1155</v>
      </c>
      <c r="C1065" s="455" t="s">
        <v>222</v>
      </c>
      <c r="D1065" s="747">
        <v>14278</v>
      </c>
      <c r="E1065" s="748">
        <v>3143.7</v>
      </c>
      <c r="F1065" s="748" t="s">
        <v>287</v>
      </c>
      <c r="G1065" s="748">
        <v>1059</v>
      </c>
      <c r="H1065" s="676">
        <v>5</v>
      </c>
      <c r="I1065" s="446">
        <v>5</v>
      </c>
      <c r="J1065" s="749">
        <v>78</v>
      </c>
      <c r="K1065" s="750" t="s">
        <v>33</v>
      </c>
      <c r="L1065" s="650">
        <f t="shared" si="131"/>
        <v>2576556.48</v>
      </c>
      <c r="M1065" s="751">
        <v>2549966.1</v>
      </c>
      <c r="N1065" s="752"/>
      <c r="O1065" s="753">
        <v>6954.05</v>
      </c>
      <c r="P1065" s="752"/>
      <c r="Q1065" s="388">
        <v>19636.330000000002</v>
      </c>
      <c r="R1065" s="528">
        <f>M1065/G1065</f>
        <v>2407.9</v>
      </c>
      <c r="S1065" s="383">
        <f t="shared" si="130"/>
        <v>-1.127773430198431E-10</v>
      </c>
      <c r="T1065" s="398"/>
      <c r="U1065" s="406"/>
      <c r="V1065" s="390"/>
      <c r="W1065" s="393"/>
      <c r="X1065" s="393"/>
      <c r="Y1065" s="419">
        <f t="shared" si="128"/>
        <v>2576556.48</v>
      </c>
      <c r="Z1065" s="419"/>
    </row>
    <row r="1066" spans="1:26" s="403" customFormat="1" ht="37.5" hidden="1" customHeight="1">
      <c r="A1066" s="493">
        <f t="shared" si="132"/>
        <v>9</v>
      </c>
      <c r="B1066" s="705" t="s">
        <v>1156</v>
      </c>
      <c r="C1066" s="455" t="s">
        <v>240</v>
      </c>
      <c r="D1066" s="747">
        <v>2813</v>
      </c>
      <c r="E1066" s="748">
        <v>629</v>
      </c>
      <c r="F1066" s="748" t="s">
        <v>252</v>
      </c>
      <c r="G1066" s="748">
        <v>561</v>
      </c>
      <c r="H1066" s="676">
        <v>2</v>
      </c>
      <c r="I1066" s="446">
        <v>2</v>
      </c>
      <c r="J1066" s="749">
        <v>12</v>
      </c>
      <c r="K1066" s="750" t="s">
        <v>33</v>
      </c>
      <c r="L1066" s="650">
        <f t="shared" si="131"/>
        <v>1743382.67</v>
      </c>
      <c r="M1066" s="751">
        <v>1710547.67</v>
      </c>
      <c r="N1066" s="752">
        <v>32835</v>
      </c>
      <c r="O1066" s="753"/>
      <c r="P1066" s="752"/>
      <c r="Q1066" s="388"/>
      <c r="R1066" s="528">
        <f>M1066/G1066</f>
        <v>3049.104581105169</v>
      </c>
      <c r="S1066" s="383">
        <f t="shared" si="130"/>
        <v>0</v>
      </c>
      <c r="T1066" s="398"/>
      <c r="U1066" s="406"/>
      <c r="V1066" s="390"/>
      <c r="W1066" s="393"/>
      <c r="X1066" s="393"/>
      <c r="Y1066" s="419">
        <f t="shared" si="128"/>
        <v>1743382.67</v>
      </c>
      <c r="Z1066" s="419"/>
    </row>
    <row r="1067" spans="1:26" s="403" customFormat="1" ht="37.5" hidden="1" customHeight="1">
      <c r="A1067" s="493">
        <f t="shared" si="132"/>
        <v>10</v>
      </c>
      <c r="B1067" s="705" t="s">
        <v>1157</v>
      </c>
      <c r="C1067" s="455" t="s">
        <v>222</v>
      </c>
      <c r="D1067" s="747">
        <v>9790</v>
      </c>
      <c r="E1067" s="748">
        <v>390</v>
      </c>
      <c r="F1067" s="748" t="s">
        <v>228</v>
      </c>
      <c r="G1067" s="748">
        <v>830</v>
      </c>
      <c r="H1067" s="676">
        <v>5</v>
      </c>
      <c r="I1067" s="446">
        <v>3</v>
      </c>
      <c r="J1067" s="749">
        <v>56</v>
      </c>
      <c r="K1067" s="750" t="s">
        <v>426</v>
      </c>
      <c r="L1067" s="650">
        <f t="shared" si="131"/>
        <v>920865</v>
      </c>
      <c r="M1067" s="751">
        <v>888030</v>
      </c>
      <c r="N1067" s="752">
        <v>32835</v>
      </c>
      <c r="O1067" s="753"/>
      <c r="P1067" s="752"/>
      <c r="Q1067" s="388"/>
      <c r="R1067" s="528">
        <f>M1067/E1067</f>
        <v>2277</v>
      </c>
      <c r="S1067" s="383">
        <f t="shared" si="130"/>
        <v>0</v>
      </c>
      <c r="T1067" s="398"/>
      <c r="U1067" s="406"/>
      <c r="V1067" s="390"/>
      <c r="W1067" s="393"/>
      <c r="X1067" s="393"/>
      <c r="Y1067" s="419">
        <f t="shared" si="128"/>
        <v>920865</v>
      </c>
      <c r="Z1067" s="419"/>
    </row>
    <row r="1068" spans="1:26" s="992" customFormat="1" ht="37.5" hidden="1" customHeight="1">
      <c r="A1068" s="493">
        <f t="shared" si="132"/>
        <v>11</v>
      </c>
      <c r="B1068" s="705" t="s">
        <v>1158</v>
      </c>
      <c r="C1068" s="617" t="s">
        <v>222</v>
      </c>
      <c r="D1068" s="755">
        <v>14717</v>
      </c>
      <c r="E1068" s="756">
        <v>2600</v>
      </c>
      <c r="F1068" s="756" t="s">
        <v>252</v>
      </c>
      <c r="G1068" s="756">
        <v>2137</v>
      </c>
      <c r="H1068" s="755">
        <v>4</v>
      </c>
      <c r="I1068" s="755">
        <v>3</v>
      </c>
      <c r="J1068" s="755">
        <v>48</v>
      </c>
      <c r="K1068" s="757" t="s">
        <v>38</v>
      </c>
      <c r="L1068" s="650">
        <f t="shared" si="131"/>
        <v>4179247.7600000002</v>
      </c>
      <c r="M1068" s="751">
        <v>4166830.16</v>
      </c>
      <c r="N1068" s="758"/>
      <c r="O1068" s="759">
        <v>12417.6</v>
      </c>
      <c r="P1068" s="756"/>
      <c r="Q1068" s="388"/>
      <c r="R1068" s="528">
        <f>M1068/E1068</f>
        <v>1602.6269846153846</v>
      </c>
      <c r="S1068" s="383">
        <f t="shared" si="130"/>
        <v>9.276845958083868E-11</v>
      </c>
      <c r="T1068" s="398"/>
      <c r="U1068" s="406"/>
      <c r="V1068" s="390"/>
      <c r="W1068" s="393"/>
      <c r="X1068" s="393"/>
      <c r="Y1068" s="419">
        <f t="shared" si="128"/>
        <v>4179247.7600000002</v>
      </c>
      <c r="Z1068" s="419"/>
    </row>
    <row r="1069" spans="1:26" s="992" customFormat="1" ht="35.25" hidden="1" customHeight="1">
      <c r="A1069" s="493">
        <f t="shared" si="132"/>
        <v>12</v>
      </c>
      <c r="B1069" s="705" t="s">
        <v>1159</v>
      </c>
      <c r="C1069" s="760" t="s">
        <v>240</v>
      </c>
      <c r="D1069" s="755">
        <v>1955</v>
      </c>
      <c r="E1069" s="756">
        <v>764</v>
      </c>
      <c r="F1069" s="756" t="s">
        <v>252</v>
      </c>
      <c r="G1069" s="756">
        <v>786</v>
      </c>
      <c r="H1069" s="755">
        <v>2</v>
      </c>
      <c r="I1069" s="755">
        <v>2</v>
      </c>
      <c r="J1069" s="755">
        <v>12</v>
      </c>
      <c r="K1069" s="757" t="s">
        <v>33</v>
      </c>
      <c r="L1069" s="650">
        <f t="shared" si="131"/>
        <v>2041144.28</v>
      </c>
      <c r="M1069" s="751">
        <v>2002836.78</v>
      </c>
      <c r="N1069" s="752">
        <v>38307.5</v>
      </c>
      <c r="O1069" s="759"/>
      <c r="P1069" s="756"/>
      <c r="Q1069" s="388"/>
      <c r="R1069" s="446">
        <f>M1069/G1069</f>
        <v>2548.1383969465651</v>
      </c>
      <c r="S1069" s="383">
        <f t="shared" si="130"/>
        <v>0</v>
      </c>
      <c r="T1069" s="398"/>
      <c r="U1069" s="406"/>
      <c r="V1069" s="390"/>
      <c r="W1069" s="393"/>
      <c r="X1069" s="393"/>
      <c r="Y1069" s="419">
        <f t="shared" si="128"/>
        <v>2041144.28</v>
      </c>
      <c r="Z1069" s="419"/>
    </row>
    <row r="1070" spans="1:26" s="403" customFormat="1" ht="35.25" hidden="1" customHeight="1">
      <c r="A1070" s="493">
        <f t="shared" si="132"/>
        <v>13</v>
      </c>
      <c r="B1070" s="705" t="s">
        <v>1160</v>
      </c>
      <c r="C1070" s="455" t="s">
        <v>240</v>
      </c>
      <c r="D1070" s="747">
        <v>1892</v>
      </c>
      <c r="E1070" s="748">
        <v>440</v>
      </c>
      <c r="F1070" s="748" t="s">
        <v>252</v>
      </c>
      <c r="G1070" s="748">
        <v>374</v>
      </c>
      <c r="H1070" s="676">
        <v>2</v>
      </c>
      <c r="I1070" s="446">
        <v>1</v>
      </c>
      <c r="J1070" s="749">
        <v>8</v>
      </c>
      <c r="K1070" s="750" t="s">
        <v>33</v>
      </c>
      <c r="L1070" s="650">
        <f t="shared" si="131"/>
        <v>1173230.78</v>
      </c>
      <c r="M1070" s="751">
        <v>1140395.78</v>
      </c>
      <c r="N1070" s="752">
        <v>32835</v>
      </c>
      <c r="O1070" s="753"/>
      <c r="P1070" s="752"/>
      <c r="Q1070" s="388"/>
      <c r="R1070" s="528">
        <f>M1070/G1070</f>
        <v>3049.186577540107</v>
      </c>
      <c r="S1070" s="383">
        <f t="shared" si="130"/>
        <v>0</v>
      </c>
      <c r="T1070" s="398"/>
      <c r="U1070" s="406"/>
      <c r="V1070" s="390"/>
      <c r="W1070" s="393"/>
      <c r="X1070" s="393"/>
      <c r="Y1070" s="419">
        <f t="shared" si="128"/>
        <v>1173230.78</v>
      </c>
      <c r="Z1070" s="419"/>
    </row>
    <row r="1071" spans="1:26" s="403" customFormat="1" ht="35.25" hidden="1" customHeight="1">
      <c r="A1071" s="493">
        <f t="shared" si="132"/>
        <v>14</v>
      </c>
      <c r="B1071" s="705" t="s">
        <v>1161</v>
      </c>
      <c r="C1071" s="455" t="s">
        <v>240</v>
      </c>
      <c r="D1071" s="747">
        <v>2861</v>
      </c>
      <c r="E1071" s="748">
        <v>534</v>
      </c>
      <c r="F1071" s="748" t="s">
        <v>252</v>
      </c>
      <c r="G1071" s="748">
        <v>702</v>
      </c>
      <c r="H1071" s="676">
        <v>2</v>
      </c>
      <c r="I1071" s="446">
        <v>2</v>
      </c>
      <c r="J1071" s="749">
        <v>12</v>
      </c>
      <c r="K1071" s="750" t="s">
        <v>33</v>
      </c>
      <c r="L1071" s="650">
        <f t="shared" si="131"/>
        <v>1565477.99</v>
      </c>
      <c r="M1071" s="751">
        <v>1532642.99</v>
      </c>
      <c r="N1071" s="752">
        <v>32835</v>
      </c>
      <c r="O1071" s="753"/>
      <c r="P1071" s="752"/>
      <c r="Q1071" s="388"/>
      <c r="R1071" s="528">
        <f>M1071/G1071</f>
        <v>2183.2521225071223</v>
      </c>
      <c r="S1071" s="383">
        <f t="shared" si="130"/>
        <v>0</v>
      </c>
      <c r="T1071" s="398"/>
      <c r="U1071" s="406"/>
      <c r="V1071" s="390"/>
      <c r="W1071" s="393"/>
      <c r="X1071" s="393"/>
      <c r="Y1071" s="419">
        <f t="shared" si="128"/>
        <v>1565477.99</v>
      </c>
      <c r="Z1071" s="419"/>
    </row>
    <row r="1072" spans="1:26" s="403" customFormat="1" ht="35.25" hidden="1" customHeight="1">
      <c r="A1072" s="493">
        <f t="shared" si="132"/>
        <v>15</v>
      </c>
      <c r="B1072" s="705" t="s">
        <v>1162</v>
      </c>
      <c r="C1072" s="455" t="s">
        <v>240</v>
      </c>
      <c r="D1072" s="747">
        <v>3262</v>
      </c>
      <c r="E1072" s="748">
        <v>684</v>
      </c>
      <c r="F1072" s="748" t="s">
        <v>252</v>
      </c>
      <c r="G1072" s="748">
        <v>639</v>
      </c>
      <c r="H1072" s="676">
        <v>2</v>
      </c>
      <c r="I1072" s="446">
        <v>2</v>
      </c>
      <c r="J1072" s="749">
        <v>12</v>
      </c>
      <c r="K1072" s="750" t="s">
        <v>38</v>
      </c>
      <c r="L1072" s="650">
        <f t="shared" si="131"/>
        <v>1195067.8600000001</v>
      </c>
      <c r="M1072" s="751">
        <v>1191801.28</v>
      </c>
      <c r="N1072" s="752"/>
      <c r="O1072" s="753">
        <v>3266.58</v>
      </c>
      <c r="P1072" s="752"/>
      <c r="Q1072" s="388"/>
      <c r="R1072" s="528">
        <f>M1072/E1072</f>
        <v>1742.3995321637428</v>
      </c>
      <c r="S1072" s="383">
        <f t="shared" si="130"/>
        <v>7.4578565545380116E-11</v>
      </c>
      <c r="T1072" s="398"/>
      <c r="U1072" s="406"/>
      <c r="V1072" s="390"/>
      <c r="W1072" s="393"/>
      <c r="X1072" s="393"/>
      <c r="Y1072" s="419">
        <f t="shared" si="128"/>
        <v>1195067.8600000001</v>
      </c>
      <c r="Z1072" s="419"/>
    </row>
    <row r="1073" spans="1:26" s="403" customFormat="1" ht="35.25" hidden="1" customHeight="1">
      <c r="A1073" s="493">
        <f t="shared" si="132"/>
        <v>16</v>
      </c>
      <c r="B1073" s="705" t="s">
        <v>1163</v>
      </c>
      <c r="C1073" s="455" t="s">
        <v>240</v>
      </c>
      <c r="D1073" s="747">
        <v>3359</v>
      </c>
      <c r="E1073" s="748">
        <v>684</v>
      </c>
      <c r="F1073" s="748" t="s">
        <v>252</v>
      </c>
      <c r="G1073" s="748">
        <v>656</v>
      </c>
      <c r="H1073" s="676">
        <v>2</v>
      </c>
      <c r="I1073" s="446">
        <v>2</v>
      </c>
      <c r="J1073" s="749">
        <v>12</v>
      </c>
      <c r="K1073" s="750" t="s">
        <v>38</v>
      </c>
      <c r="L1073" s="650">
        <f t="shared" si="131"/>
        <v>1195067.8600000001</v>
      </c>
      <c r="M1073" s="751">
        <v>1191801.28</v>
      </c>
      <c r="N1073" s="752"/>
      <c r="O1073" s="753">
        <v>3266.58</v>
      </c>
      <c r="P1073" s="752"/>
      <c r="Q1073" s="388"/>
      <c r="R1073" s="528">
        <f>M1073/E1073</f>
        <v>1742.3995321637428</v>
      </c>
      <c r="S1073" s="383">
        <f t="shared" si="130"/>
        <v>7.4578565545380116E-11</v>
      </c>
      <c r="T1073" s="398"/>
      <c r="U1073" s="406"/>
      <c r="V1073" s="390"/>
      <c r="W1073" s="393"/>
      <c r="X1073" s="393"/>
      <c r="Y1073" s="419">
        <f t="shared" si="128"/>
        <v>1195067.8600000001</v>
      </c>
      <c r="Z1073" s="419"/>
    </row>
    <row r="1074" spans="1:26" s="992" customFormat="1" ht="35.25" hidden="1" customHeight="1">
      <c r="A1074" s="493">
        <f t="shared" si="132"/>
        <v>17</v>
      </c>
      <c r="B1074" s="705" t="s">
        <v>1164</v>
      </c>
      <c r="C1074" s="760" t="s">
        <v>240</v>
      </c>
      <c r="D1074" s="755">
        <v>2841</v>
      </c>
      <c r="E1074" s="756">
        <v>636</v>
      </c>
      <c r="F1074" s="756" t="s">
        <v>252</v>
      </c>
      <c r="G1074" s="756">
        <v>558</v>
      </c>
      <c r="H1074" s="755">
        <v>2</v>
      </c>
      <c r="I1074" s="755">
        <v>2</v>
      </c>
      <c r="J1074" s="755">
        <v>12</v>
      </c>
      <c r="K1074" s="757" t="s">
        <v>33</v>
      </c>
      <c r="L1074" s="650">
        <f t="shared" si="131"/>
        <v>1514080.35</v>
      </c>
      <c r="M1074" s="751">
        <v>1475772.85</v>
      </c>
      <c r="N1074" s="752">
        <v>38307.5</v>
      </c>
      <c r="O1074" s="759"/>
      <c r="P1074" s="756"/>
      <c r="Q1074" s="388"/>
      <c r="R1074" s="446">
        <f>M1074/G1074</f>
        <v>2644.7542114695343</v>
      </c>
      <c r="S1074" s="383">
        <f t="shared" si="130"/>
        <v>0</v>
      </c>
      <c r="T1074" s="398"/>
      <c r="U1074" s="388"/>
      <c r="V1074" s="390"/>
      <c r="W1074" s="393"/>
      <c r="X1074" s="393"/>
      <c r="Y1074" s="419">
        <f t="shared" si="128"/>
        <v>1514080.35</v>
      </c>
      <c r="Z1074" s="419"/>
    </row>
    <row r="1075" spans="1:26" s="403" customFormat="1" ht="35.25" hidden="1" customHeight="1">
      <c r="A1075" s="493">
        <f t="shared" si="132"/>
        <v>18</v>
      </c>
      <c r="B1075" s="705" t="s">
        <v>1165</v>
      </c>
      <c r="C1075" s="455" t="s">
        <v>240</v>
      </c>
      <c r="D1075" s="747">
        <v>3381</v>
      </c>
      <c r="E1075" s="748">
        <v>740</v>
      </c>
      <c r="F1075" s="748" t="s">
        <v>252</v>
      </c>
      <c r="G1075" s="748">
        <v>656</v>
      </c>
      <c r="H1075" s="676">
        <v>2</v>
      </c>
      <c r="I1075" s="446">
        <v>2</v>
      </c>
      <c r="J1075" s="749">
        <v>12</v>
      </c>
      <c r="K1075" s="750" t="s">
        <v>33</v>
      </c>
      <c r="L1075" s="650">
        <f t="shared" si="131"/>
        <v>1668552.05</v>
      </c>
      <c r="M1075" s="751">
        <v>1635717.05</v>
      </c>
      <c r="N1075" s="752">
        <v>32835</v>
      </c>
      <c r="O1075" s="753"/>
      <c r="P1075" s="752"/>
      <c r="Q1075" s="388"/>
      <c r="R1075" s="528">
        <f>M1075/G1075</f>
        <v>2493.471112804878</v>
      </c>
      <c r="S1075" s="383">
        <f t="shared" si="130"/>
        <v>0</v>
      </c>
      <c r="T1075" s="398"/>
      <c r="U1075" s="406"/>
      <c r="V1075" s="390"/>
      <c r="W1075" s="393"/>
      <c r="X1075" s="393"/>
      <c r="Y1075" s="419">
        <f t="shared" si="128"/>
        <v>1668552.05</v>
      </c>
      <c r="Z1075" s="419"/>
    </row>
    <row r="1076" spans="1:26" s="403" customFormat="1" ht="35.25" hidden="1" customHeight="1">
      <c r="A1076" s="493">
        <f t="shared" si="132"/>
        <v>19</v>
      </c>
      <c r="B1076" s="705" t="s">
        <v>1166</v>
      </c>
      <c r="C1076" s="455" t="s">
        <v>240</v>
      </c>
      <c r="D1076" s="747">
        <v>1912</v>
      </c>
      <c r="E1076" s="748">
        <v>441</v>
      </c>
      <c r="F1076" s="748" t="s">
        <v>252</v>
      </c>
      <c r="G1076" s="748">
        <v>478</v>
      </c>
      <c r="H1076" s="676">
        <v>2</v>
      </c>
      <c r="I1076" s="446">
        <v>1</v>
      </c>
      <c r="J1076" s="749">
        <v>8</v>
      </c>
      <c r="K1076" s="750" t="s">
        <v>33</v>
      </c>
      <c r="L1076" s="650">
        <f t="shared" si="131"/>
        <v>1047901.1699999999</v>
      </c>
      <c r="M1076" s="751">
        <v>1015066.1699999999</v>
      </c>
      <c r="N1076" s="752">
        <v>32835</v>
      </c>
      <c r="O1076" s="753"/>
      <c r="P1076" s="752"/>
      <c r="Q1076" s="388"/>
      <c r="R1076" s="528">
        <f>M1076/G1076</f>
        <v>2123.569393305439</v>
      </c>
      <c r="S1076" s="383">
        <f t="shared" si="130"/>
        <v>0</v>
      </c>
      <c r="T1076" s="398"/>
      <c r="U1076" s="388"/>
      <c r="V1076" s="390"/>
      <c r="W1076" s="393"/>
      <c r="X1076" s="393"/>
      <c r="Y1076" s="419">
        <f t="shared" si="128"/>
        <v>1047901.1699999999</v>
      </c>
      <c r="Z1076" s="419"/>
    </row>
    <row r="1077" spans="1:26" s="403" customFormat="1" ht="35.25" hidden="1" customHeight="1">
      <c r="A1077" s="493">
        <f t="shared" si="132"/>
        <v>20</v>
      </c>
      <c r="B1077" s="705" t="s">
        <v>1167</v>
      </c>
      <c r="C1077" s="455" t="s">
        <v>240</v>
      </c>
      <c r="D1077" s="747">
        <v>1854</v>
      </c>
      <c r="E1077" s="748">
        <v>440</v>
      </c>
      <c r="F1077" s="748" t="s">
        <v>252</v>
      </c>
      <c r="G1077" s="748">
        <v>478</v>
      </c>
      <c r="H1077" s="676">
        <v>2</v>
      </c>
      <c r="I1077" s="446">
        <v>1</v>
      </c>
      <c r="J1077" s="749">
        <v>8</v>
      </c>
      <c r="K1077" s="750" t="s">
        <v>33</v>
      </c>
      <c r="L1077" s="650">
        <f t="shared" si="131"/>
        <v>1254255.47</v>
      </c>
      <c r="M1077" s="751">
        <v>1221420.47</v>
      </c>
      <c r="N1077" s="752">
        <v>32835</v>
      </c>
      <c r="O1077" s="753"/>
      <c r="P1077" s="752"/>
      <c r="Q1077" s="388"/>
      <c r="R1077" s="528">
        <f>M1077/G1077</f>
        <v>2555.2729497907949</v>
      </c>
      <c r="S1077" s="383">
        <f t="shared" si="130"/>
        <v>0</v>
      </c>
      <c r="T1077" s="398"/>
      <c r="U1077" s="406"/>
      <c r="V1077" s="390"/>
      <c r="W1077" s="393"/>
      <c r="X1077" s="393"/>
      <c r="Y1077" s="419">
        <f t="shared" si="128"/>
        <v>1254255.47</v>
      </c>
      <c r="Z1077" s="419"/>
    </row>
    <row r="1078" spans="1:26" s="403" customFormat="1" ht="35.25" hidden="1" customHeight="1">
      <c r="A1078" s="493">
        <f t="shared" si="132"/>
        <v>21</v>
      </c>
      <c r="B1078" s="705" t="s">
        <v>1168</v>
      </c>
      <c r="C1078" s="455" t="s">
        <v>218</v>
      </c>
      <c r="D1078" s="747">
        <v>19010</v>
      </c>
      <c r="E1078" s="748">
        <v>3780</v>
      </c>
      <c r="F1078" s="748" t="s">
        <v>288</v>
      </c>
      <c r="G1078" s="748">
        <v>1680</v>
      </c>
      <c r="H1078" s="676">
        <v>5</v>
      </c>
      <c r="I1078" s="446">
        <v>6</v>
      </c>
      <c r="J1078" s="749">
        <v>120</v>
      </c>
      <c r="K1078" s="750" t="s">
        <v>227</v>
      </c>
      <c r="L1078" s="650">
        <f t="shared" si="131"/>
        <v>9483508.7399999984</v>
      </c>
      <c r="M1078" s="751">
        <v>9445274.8699999992</v>
      </c>
      <c r="N1078" s="752">
        <v>38233.870000000003</v>
      </c>
      <c r="O1078" s="753"/>
      <c r="P1078" s="752"/>
      <c r="Q1078" s="388"/>
      <c r="R1078" s="528">
        <f>M1078/E1078</f>
        <v>2498.7499656084656</v>
      </c>
      <c r="S1078" s="383">
        <f t="shared" si="130"/>
        <v>-8.2218321040272713E-10</v>
      </c>
      <c r="T1078" s="398"/>
      <c r="U1078" s="406"/>
      <c r="V1078" s="390"/>
      <c r="W1078" s="393"/>
      <c r="X1078" s="393"/>
      <c r="Y1078" s="419">
        <f t="shared" si="128"/>
        <v>9483508.7399999984</v>
      </c>
      <c r="Z1078" s="419"/>
    </row>
    <row r="1079" spans="1:26" s="403" customFormat="1" ht="37.5" hidden="1" customHeight="1">
      <c r="A1079" s="493">
        <f t="shared" si="132"/>
        <v>22</v>
      </c>
      <c r="B1079" s="705" t="s">
        <v>1169</v>
      </c>
      <c r="C1079" s="455" t="s">
        <v>222</v>
      </c>
      <c r="D1079" s="747">
        <v>12342</v>
      </c>
      <c r="E1079" s="748">
        <v>1824.4</v>
      </c>
      <c r="F1079" s="748" t="s">
        <v>228</v>
      </c>
      <c r="G1079" s="748">
        <v>480</v>
      </c>
      <c r="H1079" s="676">
        <v>9</v>
      </c>
      <c r="I1079" s="446">
        <v>1</v>
      </c>
      <c r="J1079" s="749">
        <v>50</v>
      </c>
      <c r="K1079" s="750" t="s">
        <v>220</v>
      </c>
      <c r="L1079" s="650">
        <f t="shared" si="131"/>
        <v>2017385.92</v>
      </c>
      <c r="M1079" s="751">
        <v>1936635.92</v>
      </c>
      <c r="N1079" s="752">
        <v>80750</v>
      </c>
      <c r="O1079" s="753"/>
      <c r="P1079" s="752"/>
      <c r="Q1079" s="752"/>
      <c r="R1079" s="528">
        <f>M1079</f>
        <v>1936635.92</v>
      </c>
      <c r="S1079" s="383">
        <f t="shared" si="130"/>
        <v>0</v>
      </c>
      <c r="T1079" s="398"/>
      <c r="U1079" s="406"/>
      <c r="V1079" s="390"/>
      <c r="W1079" s="393"/>
      <c r="X1079" s="393"/>
      <c r="Y1079" s="419">
        <f t="shared" si="128"/>
        <v>2017385.92</v>
      </c>
      <c r="Z1079" s="419"/>
    </row>
    <row r="1080" spans="1:26" s="403" customFormat="1" ht="37.5" hidden="1" customHeight="1">
      <c r="A1080" s="493">
        <f t="shared" si="132"/>
        <v>23</v>
      </c>
      <c r="B1080" s="705" t="s">
        <v>1170</v>
      </c>
      <c r="C1080" s="455" t="s">
        <v>222</v>
      </c>
      <c r="D1080" s="747">
        <v>12170</v>
      </c>
      <c r="E1080" s="748">
        <v>1812.6</v>
      </c>
      <c r="F1080" s="748" t="s">
        <v>228</v>
      </c>
      <c r="G1080" s="748">
        <v>480</v>
      </c>
      <c r="H1080" s="676">
        <v>9</v>
      </c>
      <c r="I1080" s="446">
        <v>1</v>
      </c>
      <c r="J1080" s="749">
        <v>50</v>
      </c>
      <c r="K1080" s="750" t="s">
        <v>220</v>
      </c>
      <c r="L1080" s="650">
        <f t="shared" si="131"/>
        <v>2017385.92</v>
      </c>
      <c r="M1080" s="751">
        <v>1936635.92</v>
      </c>
      <c r="N1080" s="752">
        <v>80750</v>
      </c>
      <c r="O1080" s="753"/>
      <c r="P1080" s="752"/>
      <c r="Q1080" s="752"/>
      <c r="R1080" s="528">
        <f>M1080</f>
        <v>1936635.92</v>
      </c>
      <c r="S1080" s="383">
        <f t="shared" si="130"/>
        <v>0</v>
      </c>
      <c r="T1080" s="398"/>
      <c r="U1080" s="406"/>
      <c r="V1080" s="390"/>
      <c r="W1080" s="393"/>
      <c r="X1080" s="393"/>
      <c r="Y1080" s="419">
        <f t="shared" si="128"/>
        <v>2017385.92</v>
      </c>
      <c r="Z1080" s="419"/>
    </row>
    <row r="1081" spans="1:26" s="403" customFormat="1" ht="37.5" hidden="1" customHeight="1">
      <c r="A1081" s="493">
        <f t="shared" si="132"/>
        <v>24</v>
      </c>
      <c r="B1081" s="705" t="s">
        <v>1171</v>
      </c>
      <c r="C1081" s="455" t="s">
        <v>222</v>
      </c>
      <c r="D1081" s="747">
        <v>91610</v>
      </c>
      <c r="E1081" s="748">
        <v>14220</v>
      </c>
      <c r="F1081" s="748" t="s">
        <v>228</v>
      </c>
      <c r="G1081" s="748">
        <v>3171</v>
      </c>
      <c r="H1081" s="676">
        <v>9</v>
      </c>
      <c r="I1081" s="446">
        <v>9</v>
      </c>
      <c r="J1081" s="749">
        <v>288</v>
      </c>
      <c r="K1081" s="750" t="s">
        <v>38</v>
      </c>
      <c r="L1081" s="650">
        <f t="shared" si="131"/>
        <v>13994615.67</v>
      </c>
      <c r="M1081" s="751">
        <v>13956550.949999999</v>
      </c>
      <c r="N1081" s="752"/>
      <c r="O1081" s="753">
        <v>38064.720000000001</v>
      </c>
      <c r="P1081" s="752"/>
      <c r="Q1081" s="388"/>
      <c r="R1081" s="528">
        <f>M1081/E1081</f>
        <v>981.47334388185652</v>
      </c>
      <c r="S1081" s="383">
        <f t="shared" si="130"/>
        <v>6.6938810050487518E-10</v>
      </c>
      <c r="T1081" s="398"/>
      <c r="U1081" s="406"/>
      <c r="V1081" s="390"/>
      <c r="W1081" s="393"/>
      <c r="X1081" s="393"/>
      <c r="Y1081" s="419">
        <f t="shared" si="128"/>
        <v>13994615.67</v>
      </c>
      <c r="Z1081" s="419"/>
    </row>
    <row r="1082" spans="1:26" s="403" customFormat="1" ht="39" hidden="1" customHeight="1">
      <c r="A1082" s="493">
        <f t="shared" si="132"/>
        <v>25</v>
      </c>
      <c r="B1082" s="705" t="s">
        <v>1172</v>
      </c>
      <c r="C1082" s="455" t="s">
        <v>218</v>
      </c>
      <c r="D1082" s="747">
        <v>20860</v>
      </c>
      <c r="E1082" s="748">
        <v>4170</v>
      </c>
      <c r="F1082" s="748" t="s">
        <v>228</v>
      </c>
      <c r="G1082" s="748">
        <v>1827</v>
      </c>
      <c r="H1082" s="676">
        <v>5</v>
      </c>
      <c r="I1082" s="446">
        <v>7</v>
      </c>
      <c r="J1082" s="749">
        <v>140</v>
      </c>
      <c r="K1082" s="750" t="s">
        <v>227</v>
      </c>
      <c r="L1082" s="650">
        <f t="shared" si="131"/>
        <v>6774092.8199999994</v>
      </c>
      <c r="M1082" s="751">
        <v>6741257.8199999994</v>
      </c>
      <c r="N1082" s="752">
        <v>32835</v>
      </c>
      <c r="O1082" s="753"/>
      <c r="P1082" s="752"/>
      <c r="Q1082" s="388"/>
      <c r="R1082" s="528">
        <f>M1082/E1082</f>
        <v>1616.6085899280574</v>
      </c>
      <c r="S1082" s="383">
        <f t="shared" si="130"/>
        <v>0</v>
      </c>
      <c r="T1082" s="398"/>
      <c r="U1082" s="406" t="s">
        <v>3803</v>
      </c>
      <c r="V1082" s="390"/>
      <c r="W1082" s="393"/>
      <c r="X1082" s="393"/>
      <c r="Y1082" s="419">
        <f t="shared" si="128"/>
        <v>6774092.8199999994</v>
      </c>
      <c r="Z1082" s="419"/>
    </row>
    <row r="1083" spans="1:26" s="403" customFormat="1" ht="37.5" hidden="1" customHeight="1">
      <c r="A1083" s="493">
        <f t="shared" si="132"/>
        <v>26</v>
      </c>
      <c r="B1083" s="705" t="s">
        <v>1173</v>
      </c>
      <c r="C1083" s="455" t="s">
        <v>218</v>
      </c>
      <c r="D1083" s="747">
        <v>30623</v>
      </c>
      <c r="E1083" s="748">
        <v>7348.3</v>
      </c>
      <c r="F1083" s="748" t="s">
        <v>228</v>
      </c>
      <c r="G1083" s="748">
        <v>2658</v>
      </c>
      <c r="H1083" s="676">
        <v>5</v>
      </c>
      <c r="I1083" s="446">
        <v>10</v>
      </c>
      <c r="J1083" s="749">
        <v>152</v>
      </c>
      <c r="K1083" s="750" t="s">
        <v>33</v>
      </c>
      <c r="L1083" s="650">
        <f t="shared" si="131"/>
        <v>4577378.6100000003</v>
      </c>
      <c r="M1083" s="751">
        <v>4559923.32</v>
      </c>
      <c r="N1083" s="752"/>
      <c r="O1083" s="753">
        <v>17455.29</v>
      </c>
      <c r="P1083" s="752"/>
      <c r="Q1083" s="388"/>
      <c r="R1083" s="528">
        <f>M1083/G1083</f>
        <v>1715.5467720090294</v>
      </c>
      <c r="S1083" s="383">
        <f t="shared" si="130"/>
        <v>3.637978807091713E-11</v>
      </c>
      <c r="T1083" s="398"/>
      <c r="U1083" s="406"/>
      <c r="V1083" s="390"/>
      <c r="W1083" s="393"/>
      <c r="X1083" s="393"/>
      <c r="Y1083" s="419">
        <f t="shared" si="128"/>
        <v>4577378.6100000003</v>
      </c>
      <c r="Z1083" s="419"/>
    </row>
    <row r="1084" spans="1:26" s="403" customFormat="1" ht="37.5" hidden="1" customHeight="1">
      <c r="A1084" s="493">
        <f t="shared" si="132"/>
        <v>27</v>
      </c>
      <c r="B1084" s="705" t="s">
        <v>1174</v>
      </c>
      <c r="C1084" s="455" t="s">
        <v>218</v>
      </c>
      <c r="D1084" s="747">
        <v>21867</v>
      </c>
      <c r="E1084" s="748">
        <v>810</v>
      </c>
      <c r="F1084" s="748" t="s">
        <v>228</v>
      </c>
      <c r="G1084" s="748">
        <v>796</v>
      </c>
      <c r="H1084" s="676">
        <v>9</v>
      </c>
      <c r="I1084" s="446">
        <v>2</v>
      </c>
      <c r="J1084" s="749">
        <v>79</v>
      </c>
      <c r="K1084" s="750" t="s">
        <v>227</v>
      </c>
      <c r="L1084" s="650">
        <f t="shared" si="131"/>
        <v>7786154.6899999995</v>
      </c>
      <c r="M1084" s="751">
        <v>7732045.5899999999</v>
      </c>
      <c r="N1084" s="752">
        <v>24259.1</v>
      </c>
      <c r="O1084" s="753"/>
      <c r="P1084" s="752"/>
      <c r="Q1084" s="388">
        <v>29850</v>
      </c>
      <c r="R1084" s="528">
        <f>M1084/E1084</f>
        <v>9545.7352962962959</v>
      </c>
      <c r="S1084" s="383">
        <f t="shared" si="130"/>
        <v>-3.7107383832335472E-10</v>
      </c>
      <c r="T1084" s="398"/>
      <c r="U1084" s="390" t="s">
        <v>3486</v>
      </c>
      <c r="V1084" s="390"/>
      <c r="X1084" s="393"/>
      <c r="Y1084" s="419">
        <f t="shared" si="128"/>
        <v>7786154.6899999995</v>
      </c>
      <c r="Z1084" s="419"/>
    </row>
    <row r="1085" spans="1:26" s="403" customFormat="1" ht="37.5" hidden="1" customHeight="1">
      <c r="A1085" s="493">
        <f t="shared" si="132"/>
        <v>28</v>
      </c>
      <c r="B1085" s="705" t="s">
        <v>1175</v>
      </c>
      <c r="C1085" s="455" t="s">
        <v>218</v>
      </c>
      <c r="D1085" s="747">
        <v>22932</v>
      </c>
      <c r="E1085" s="748">
        <v>4680</v>
      </c>
      <c r="F1085" s="748" t="s">
        <v>228</v>
      </c>
      <c r="G1085" s="748">
        <v>1800</v>
      </c>
      <c r="H1085" s="676">
        <v>5</v>
      </c>
      <c r="I1085" s="446">
        <v>8</v>
      </c>
      <c r="J1085" s="749">
        <v>120</v>
      </c>
      <c r="K1085" s="750" t="s">
        <v>33</v>
      </c>
      <c r="L1085" s="650">
        <f t="shared" si="131"/>
        <v>3507300.35</v>
      </c>
      <c r="M1085" s="751">
        <v>3495479.75</v>
      </c>
      <c r="N1085" s="752"/>
      <c r="O1085" s="753">
        <v>11820.6</v>
      </c>
      <c r="P1085" s="752"/>
      <c r="Q1085" s="388"/>
      <c r="R1085" s="528">
        <f>M1085/G1085</f>
        <v>1941.9331944444446</v>
      </c>
      <c r="S1085" s="383">
        <f t="shared" si="130"/>
        <v>9.276845958083868E-11</v>
      </c>
      <c r="T1085" s="398"/>
      <c r="U1085" s="406"/>
      <c r="V1085" s="390"/>
      <c r="W1085" s="393"/>
      <c r="X1085" s="393"/>
      <c r="Y1085" s="419">
        <f t="shared" si="128"/>
        <v>3507300.35</v>
      </c>
      <c r="Z1085" s="419"/>
    </row>
    <row r="1086" spans="1:26" s="403" customFormat="1" ht="37.5" hidden="1" customHeight="1">
      <c r="A1086" s="493">
        <f t="shared" si="132"/>
        <v>29</v>
      </c>
      <c r="B1086" s="705" t="s">
        <v>1176</v>
      </c>
      <c r="C1086" s="455" t="s">
        <v>222</v>
      </c>
      <c r="D1086" s="747">
        <v>12023</v>
      </c>
      <c r="E1086" s="748">
        <v>195</v>
      </c>
      <c r="F1086" s="748" t="s">
        <v>289</v>
      </c>
      <c r="G1086" s="748">
        <v>1036</v>
      </c>
      <c r="H1086" s="676">
        <v>5</v>
      </c>
      <c r="I1086" s="446">
        <v>4</v>
      </c>
      <c r="J1086" s="749">
        <v>55</v>
      </c>
      <c r="K1086" s="750" t="s">
        <v>426</v>
      </c>
      <c r="L1086" s="650">
        <f t="shared" si="131"/>
        <v>510485</v>
      </c>
      <c r="M1086" s="751">
        <v>482625</v>
      </c>
      <c r="N1086" s="752">
        <v>27860</v>
      </c>
      <c r="O1086" s="753"/>
      <c r="P1086" s="752"/>
      <c r="Q1086" s="388"/>
      <c r="R1086" s="528">
        <f>M1086/E1086</f>
        <v>2475</v>
      </c>
      <c r="S1086" s="383">
        <f t="shared" si="130"/>
        <v>0</v>
      </c>
      <c r="T1086" s="398"/>
      <c r="U1086" s="406"/>
      <c r="V1086" s="390"/>
      <c r="W1086" s="393"/>
      <c r="X1086" s="393"/>
      <c r="Y1086" s="419">
        <f t="shared" si="128"/>
        <v>510485</v>
      </c>
      <c r="Z1086" s="419"/>
    </row>
    <row r="1087" spans="1:26" s="403" customFormat="1" ht="37.5" hidden="1" customHeight="1">
      <c r="A1087" s="493">
        <f t="shared" si="132"/>
        <v>30</v>
      </c>
      <c r="B1087" s="705" t="s">
        <v>1177</v>
      </c>
      <c r="C1087" s="455" t="s">
        <v>218</v>
      </c>
      <c r="D1087" s="747">
        <v>22123</v>
      </c>
      <c r="E1087" s="748">
        <v>3500</v>
      </c>
      <c r="F1087" s="748" t="s">
        <v>228</v>
      </c>
      <c r="G1087" s="748">
        <v>1000</v>
      </c>
      <c r="H1087" s="676">
        <v>9</v>
      </c>
      <c r="I1087" s="446">
        <v>1</v>
      </c>
      <c r="J1087" s="749">
        <v>144</v>
      </c>
      <c r="K1087" s="750" t="s">
        <v>220</v>
      </c>
      <c r="L1087" s="650">
        <f t="shared" si="131"/>
        <v>2053724.88</v>
      </c>
      <c r="M1087" s="751">
        <v>1972974.88</v>
      </c>
      <c r="N1087" s="752">
        <v>80750</v>
      </c>
      <c r="O1087" s="753"/>
      <c r="P1087" s="752"/>
      <c r="Q1087" s="752"/>
      <c r="R1087" s="528">
        <f>M1087</f>
        <v>1972974.88</v>
      </c>
      <c r="S1087" s="383">
        <f t="shared" si="130"/>
        <v>0</v>
      </c>
      <c r="T1087" s="398"/>
      <c r="U1087" s="406"/>
      <c r="V1087" s="390"/>
      <c r="W1087" s="393"/>
      <c r="X1087" s="393"/>
      <c r="Y1087" s="419">
        <f t="shared" si="128"/>
        <v>2053724.88</v>
      </c>
      <c r="Z1087" s="419"/>
    </row>
    <row r="1088" spans="1:26" s="403" customFormat="1" ht="37.5" hidden="1" customHeight="1">
      <c r="A1088" s="493">
        <f t="shared" si="132"/>
        <v>31</v>
      </c>
      <c r="B1088" s="705" t="s">
        <v>1178</v>
      </c>
      <c r="C1088" s="455" t="s">
        <v>218</v>
      </c>
      <c r="D1088" s="747">
        <v>24432</v>
      </c>
      <c r="E1088" s="748">
        <v>6190</v>
      </c>
      <c r="F1088" s="748" t="s">
        <v>228</v>
      </c>
      <c r="G1088" s="748">
        <v>1154</v>
      </c>
      <c r="H1088" s="676">
        <v>9</v>
      </c>
      <c r="I1088" s="446">
        <v>3</v>
      </c>
      <c r="J1088" s="749">
        <v>129</v>
      </c>
      <c r="K1088" s="750" t="s">
        <v>220</v>
      </c>
      <c r="L1088" s="650">
        <f t="shared" si="131"/>
        <v>5976710.8899999997</v>
      </c>
      <c r="M1088" s="751">
        <v>5855585.8899999997</v>
      </c>
      <c r="N1088" s="752">
        <v>121125</v>
      </c>
      <c r="O1088" s="753"/>
      <c r="P1088" s="752"/>
      <c r="Q1088" s="752"/>
      <c r="R1088" s="528">
        <f>M1088/3</f>
        <v>1951861.9633333331</v>
      </c>
      <c r="S1088" s="383">
        <f t="shared" ref="S1088:S1119" si="133">L1088-M1088-N1088-O1088-P1088-Q1088</f>
        <v>0</v>
      </c>
      <c r="T1088" s="398"/>
      <c r="U1088" s="406"/>
      <c r="V1088" s="390"/>
      <c r="W1088" s="393"/>
      <c r="X1088" s="393"/>
      <c r="Y1088" s="419">
        <f t="shared" si="128"/>
        <v>5976710.8899999997</v>
      </c>
      <c r="Z1088" s="419"/>
    </row>
    <row r="1089" spans="1:26" s="403" customFormat="1" ht="37.5" hidden="1">
      <c r="A1089" s="493">
        <f t="shared" si="132"/>
        <v>32</v>
      </c>
      <c r="B1089" s="705" t="s">
        <v>1180</v>
      </c>
      <c r="C1089" s="455" t="s">
        <v>222</v>
      </c>
      <c r="D1089" s="747">
        <v>11457</v>
      </c>
      <c r="E1089" s="748">
        <v>2168</v>
      </c>
      <c r="F1089" s="748" t="s">
        <v>254</v>
      </c>
      <c r="G1089" s="748">
        <v>961</v>
      </c>
      <c r="H1089" s="676">
        <v>5</v>
      </c>
      <c r="I1089" s="446">
        <v>4</v>
      </c>
      <c r="J1089" s="749">
        <v>70</v>
      </c>
      <c r="K1089" s="750" t="s">
        <v>33</v>
      </c>
      <c r="L1089" s="650">
        <f t="shared" si="131"/>
        <v>1588665.72</v>
      </c>
      <c r="M1089" s="751">
        <v>1582354.43</v>
      </c>
      <c r="N1089" s="752"/>
      <c r="O1089" s="753">
        <v>6311.29</v>
      </c>
      <c r="P1089" s="752"/>
      <c r="Q1089" s="388"/>
      <c r="R1089" s="528">
        <f>M1089/G1089</f>
        <v>1646.5706867845993</v>
      </c>
      <c r="S1089" s="383">
        <f t="shared" si="133"/>
        <v>3.7289282772690058E-11</v>
      </c>
      <c r="T1089" s="398"/>
      <c r="U1089" s="406"/>
      <c r="V1089" s="390"/>
      <c r="W1089" s="393"/>
      <c r="X1089" s="393"/>
      <c r="Y1089" s="419">
        <f t="shared" si="128"/>
        <v>1588665.72</v>
      </c>
      <c r="Z1089" s="419"/>
    </row>
    <row r="1090" spans="1:26" s="403" customFormat="1" ht="56.25" hidden="1" customHeight="1">
      <c r="A1090" s="493">
        <f t="shared" si="132"/>
        <v>33</v>
      </c>
      <c r="B1090" s="705" t="s">
        <v>1181</v>
      </c>
      <c r="C1090" s="455" t="s">
        <v>222</v>
      </c>
      <c r="D1090" s="747">
        <v>26666</v>
      </c>
      <c r="E1090" s="748">
        <v>5577</v>
      </c>
      <c r="F1090" s="748" t="s">
        <v>234</v>
      </c>
      <c r="G1090" s="748">
        <v>2269</v>
      </c>
      <c r="H1090" s="676">
        <v>5</v>
      </c>
      <c r="I1090" s="446">
        <v>10</v>
      </c>
      <c r="J1090" s="749">
        <v>127</v>
      </c>
      <c r="K1090" s="750" t="s">
        <v>30</v>
      </c>
      <c r="L1090" s="650">
        <f t="shared" ref="L1090:L1121" si="134">M1090+N1090+O1090+P1090+Q1090</f>
        <v>3175638.52</v>
      </c>
      <c r="M1090" s="751">
        <v>3165402.95</v>
      </c>
      <c r="N1090" s="752"/>
      <c r="O1090" s="753">
        <v>10235.57</v>
      </c>
      <c r="P1090" s="752"/>
      <c r="Q1090" s="388"/>
      <c r="R1090" s="528">
        <f>M1090/J1090</f>
        <v>24924.432677165354</v>
      </c>
      <c r="S1090" s="383">
        <f t="shared" si="133"/>
        <v>-1.673470251262188E-10</v>
      </c>
      <c r="T1090" s="398"/>
      <c r="U1090" s="388"/>
      <c r="V1090" s="390"/>
      <c r="W1090" s="393"/>
      <c r="X1090" s="393"/>
      <c r="Y1090" s="419">
        <f t="shared" si="128"/>
        <v>3175638.52</v>
      </c>
      <c r="Z1090" s="419"/>
    </row>
    <row r="1091" spans="1:26" s="403" customFormat="1" ht="33.75" hidden="1" customHeight="1">
      <c r="A1091" s="493">
        <f t="shared" si="132"/>
        <v>34</v>
      </c>
      <c r="B1091" s="705" t="s">
        <v>1182</v>
      </c>
      <c r="C1091" s="455" t="s">
        <v>240</v>
      </c>
      <c r="D1091" s="747">
        <v>6456</v>
      </c>
      <c r="E1091" s="748">
        <v>1445</v>
      </c>
      <c r="F1091" s="748" t="s">
        <v>252</v>
      </c>
      <c r="G1091" s="748">
        <v>1242</v>
      </c>
      <c r="H1091" s="676">
        <v>2</v>
      </c>
      <c r="I1091" s="446">
        <v>3</v>
      </c>
      <c r="J1091" s="749">
        <v>18</v>
      </c>
      <c r="K1091" s="750" t="s">
        <v>33</v>
      </c>
      <c r="L1091" s="650">
        <f t="shared" si="134"/>
        <v>3397084.84</v>
      </c>
      <c r="M1091" s="751">
        <v>3364249.84</v>
      </c>
      <c r="N1091" s="752">
        <v>32835</v>
      </c>
      <c r="O1091" s="753"/>
      <c r="P1091" s="752"/>
      <c r="Q1091" s="388"/>
      <c r="R1091" s="528">
        <f>M1091/G1091</f>
        <v>2708.7357809983896</v>
      </c>
      <c r="S1091" s="383">
        <f t="shared" si="133"/>
        <v>0</v>
      </c>
      <c r="T1091" s="398"/>
      <c r="U1091" s="406"/>
      <c r="V1091" s="390"/>
      <c r="W1091" s="393"/>
      <c r="X1091" s="393"/>
      <c r="Y1091" s="419">
        <f t="shared" si="128"/>
        <v>3397084.84</v>
      </c>
      <c r="Z1091" s="419"/>
    </row>
    <row r="1092" spans="1:26" s="403" customFormat="1" ht="37.5" hidden="1" customHeight="1">
      <c r="A1092" s="493">
        <f t="shared" si="132"/>
        <v>35</v>
      </c>
      <c r="B1092" s="705" t="s">
        <v>1183</v>
      </c>
      <c r="C1092" s="455" t="s">
        <v>222</v>
      </c>
      <c r="D1092" s="747">
        <v>7529</v>
      </c>
      <c r="E1092" s="748">
        <v>7988.64</v>
      </c>
      <c r="F1092" s="748" t="s">
        <v>290</v>
      </c>
      <c r="G1092" s="748">
        <v>990</v>
      </c>
      <c r="H1092" s="676">
        <v>4</v>
      </c>
      <c r="I1092" s="446">
        <v>2</v>
      </c>
      <c r="J1092" s="749">
        <v>16</v>
      </c>
      <c r="K1092" s="750" t="s">
        <v>33</v>
      </c>
      <c r="L1092" s="650">
        <f t="shared" si="134"/>
        <v>2102926.7800000003</v>
      </c>
      <c r="M1092" s="751">
        <v>2064619.28</v>
      </c>
      <c r="N1092" s="752">
        <v>38307.5</v>
      </c>
      <c r="O1092" s="753"/>
      <c r="P1092" s="752"/>
      <c r="Q1092" s="388"/>
      <c r="R1092" s="528">
        <f>M1092/G1092</f>
        <v>2085.4740202020203</v>
      </c>
      <c r="S1092" s="383">
        <f t="shared" si="133"/>
        <v>2.3283064365386963E-10</v>
      </c>
      <c r="T1092" s="398"/>
      <c r="U1092" s="388"/>
      <c r="V1092" s="390"/>
      <c r="W1092" s="393"/>
      <c r="X1092" s="393"/>
      <c r="Y1092" s="419">
        <f t="shared" si="128"/>
        <v>2102926.7800000003</v>
      </c>
      <c r="Z1092" s="419"/>
    </row>
    <row r="1093" spans="1:26" s="403" customFormat="1" ht="37.5" hidden="1" customHeight="1">
      <c r="A1093" s="493">
        <f t="shared" si="132"/>
        <v>36</v>
      </c>
      <c r="B1093" s="705" t="s">
        <v>1184</v>
      </c>
      <c r="C1093" s="455" t="s">
        <v>222</v>
      </c>
      <c r="D1093" s="747">
        <v>13401</v>
      </c>
      <c r="E1093" s="748">
        <v>2600</v>
      </c>
      <c r="F1093" s="748" t="s">
        <v>291</v>
      </c>
      <c r="G1093" s="748">
        <v>1200</v>
      </c>
      <c r="H1093" s="676">
        <v>5</v>
      </c>
      <c r="I1093" s="446">
        <v>5</v>
      </c>
      <c r="J1093" s="749">
        <v>74</v>
      </c>
      <c r="K1093" s="750" t="s">
        <v>33</v>
      </c>
      <c r="L1093" s="650">
        <f t="shared" si="134"/>
        <v>2439868.94</v>
      </c>
      <c r="M1093" s="751">
        <v>2431988.54</v>
      </c>
      <c r="N1093" s="752"/>
      <c r="O1093" s="753">
        <v>7880.4</v>
      </c>
      <c r="P1093" s="752"/>
      <c r="Q1093" s="388"/>
      <c r="R1093" s="528">
        <f>M1093/G1093</f>
        <v>2026.6571166666668</v>
      </c>
      <c r="S1093" s="383">
        <f t="shared" si="133"/>
        <v>-9.276845958083868E-11</v>
      </c>
      <c r="T1093" s="398"/>
      <c r="U1093" s="406"/>
      <c r="V1093" s="390"/>
      <c r="W1093" s="393"/>
      <c r="X1093" s="393"/>
      <c r="Y1093" s="419">
        <f t="shared" si="128"/>
        <v>2439868.94</v>
      </c>
      <c r="Z1093" s="419"/>
    </row>
    <row r="1094" spans="1:26" s="403" customFormat="1" ht="35.25" hidden="1" customHeight="1">
      <c r="A1094" s="493">
        <f t="shared" si="132"/>
        <v>37</v>
      </c>
      <c r="B1094" s="705" t="s">
        <v>1185</v>
      </c>
      <c r="C1094" s="455" t="s">
        <v>240</v>
      </c>
      <c r="D1094" s="747">
        <v>3251</v>
      </c>
      <c r="E1094" s="748">
        <v>684</v>
      </c>
      <c r="F1094" s="748" t="s">
        <v>252</v>
      </c>
      <c r="G1094" s="748">
        <v>654</v>
      </c>
      <c r="H1094" s="676">
        <v>2</v>
      </c>
      <c r="I1094" s="446">
        <v>2</v>
      </c>
      <c r="J1094" s="749">
        <v>12</v>
      </c>
      <c r="K1094" s="750" t="s">
        <v>38</v>
      </c>
      <c r="L1094" s="650">
        <f t="shared" si="134"/>
        <v>1195068.05</v>
      </c>
      <c r="M1094" s="751">
        <v>1191801.47</v>
      </c>
      <c r="N1094" s="752"/>
      <c r="O1094" s="753">
        <v>3266.58</v>
      </c>
      <c r="P1094" s="752"/>
      <c r="Q1094" s="388"/>
      <c r="R1094" s="528">
        <f>M1094/E1094</f>
        <v>1742.3998099415205</v>
      </c>
      <c r="S1094" s="383">
        <f t="shared" si="133"/>
        <v>7.4578565545380116E-11</v>
      </c>
      <c r="T1094" s="398"/>
      <c r="U1094" s="406"/>
      <c r="V1094" s="390"/>
      <c r="W1094" s="393"/>
      <c r="X1094" s="393"/>
      <c r="Y1094" s="419">
        <f t="shared" si="128"/>
        <v>1195068.05</v>
      </c>
      <c r="Z1094" s="419"/>
    </row>
    <row r="1095" spans="1:26" s="403" customFormat="1" ht="42.75" hidden="1" customHeight="1">
      <c r="A1095" s="493">
        <f t="shared" si="132"/>
        <v>38</v>
      </c>
      <c r="B1095" s="705" t="s">
        <v>1186</v>
      </c>
      <c r="C1095" s="455" t="s">
        <v>240</v>
      </c>
      <c r="D1095" s="747">
        <v>2911</v>
      </c>
      <c r="E1095" s="748">
        <v>621</v>
      </c>
      <c r="F1095" s="748" t="s">
        <v>252</v>
      </c>
      <c r="G1095" s="748">
        <v>561</v>
      </c>
      <c r="H1095" s="676">
        <v>2</v>
      </c>
      <c r="I1095" s="446">
        <v>2</v>
      </c>
      <c r="J1095" s="749">
        <v>12</v>
      </c>
      <c r="K1095" s="750" t="s">
        <v>33</v>
      </c>
      <c r="L1095" s="650">
        <f t="shared" si="134"/>
        <v>1720502.42</v>
      </c>
      <c r="M1095" s="751">
        <v>1687667.42</v>
      </c>
      <c r="N1095" s="752">
        <v>32835</v>
      </c>
      <c r="O1095" s="753"/>
      <c r="P1095" s="752"/>
      <c r="Q1095" s="388"/>
      <c r="R1095" s="528">
        <f>M1095/G1095</f>
        <v>3008.3198217468803</v>
      </c>
      <c r="S1095" s="383">
        <f t="shared" si="133"/>
        <v>0</v>
      </c>
      <c r="T1095" s="398"/>
      <c r="U1095" s="406"/>
      <c r="V1095" s="390"/>
      <c r="W1095" s="393"/>
      <c r="X1095" s="393"/>
      <c r="Y1095" s="419">
        <f t="shared" si="128"/>
        <v>1720502.42</v>
      </c>
      <c r="Z1095" s="419"/>
    </row>
    <row r="1096" spans="1:26" s="403" customFormat="1" ht="37.5" hidden="1" customHeight="1">
      <c r="A1096" s="493">
        <f t="shared" si="132"/>
        <v>39</v>
      </c>
      <c r="B1096" s="705" t="s">
        <v>1187</v>
      </c>
      <c r="C1096" s="455" t="s">
        <v>222</v>
      </c>
      <c r="D1096" s="747">
        <v>691</v>
      </c>
      <c r="E1096" s="748">
        <v>680</v>
      </c>
      <c r="F1096" s="748" t="s">
        <v>252</v>
      </c>
      <c r="G1096" s="748">
        <v>680</v>
      </c>
      <c r="H1096" s="676">
        <v>2</v>
      </c>
      <c r="I1096" s="446">
        <v>1</v>
      </c>
      <c r="J1096" s="749">
        <v>20</v>
      </c>
      <c r="K1096" s="750" t="s">
        <v>33</v>
      </c>
      <c r="L1096" s="650">
        <f t="shared" si="134"/>
        <v>2106226.88</v>
      </c>
      <c r="M1096" s="751">
        <v>2073391.88</v>
      </c>
      <c r="N1096" s="752">
        <v>32835</v>
      </c>
      <c r="O1096" s="753"/>
      <c r="P1096" s="752"/>
      <c r="Q1096" s="388"/>
      <c r="R1096" s="528">
        <f>M1096/G1096</f>
        <v>3049.1057058823526</v>
      </c>
      <c r="S1096" s="383">
        <f t="shared" si="133"/>
        <v>0</v>
      </c>
      <c r="T1096" s="398"/>
      <c r="U1096" s="406"/>
      <c r="V1096" s="390"/>
      <c r="W1096" s="393"/>
      <c r="X1096" s="393"/>
      <c r="Y1096" s="419">
        <f t="shared" ref="Y1096:Y1159" si="135">M1096+N1096+O1096+Q1096</f>
        <v>2106226.88</v>
      </c>
      <c r="Z1096" s="419"/>
    </row>
    <row r="1097" spans="1:26" s="403" customFormat="1" ht="37.5" hidden="1" customHeight="1">
      <c r="A1097" s="493">
        <f t="shared" si="132"/>
        <v>40</v>
      </c>
      <c r="B1097" s="705" t="s">
        <v>1188</v>
      </c>
      <c r="C1097" s="455" t="s">
        <v>222</v>
      </c>
      <c r="D1097" s="747">
        <v>11227</v>
      </c>
      <c r="E1097" s="748">
        <v>2124</v>
      </c>
      <c r="F1097" s="748" t="s">
        <v>254</v>
      </c>
      <c r="G1097" s="748">
        <v>962</v>
      </c>
      <c r="H1097" s="676">
        <v>5</v>
      </c>
      <c r="I1097" s="446">
        <v>4</v>
      </c>
      <c r="J1097" s="749">
        <v>80</v>
      </c>
      <c r="K1097" s="750" t="s">
        <v>33</v>
      </c>
      <c r="L1097" s="650">
        <f t="shared" si="134"/>
        <v>1605154.67</v>
      </c>
      <c r="M1097" s="751">
        <v>1598837.41</v>
      </c>
      <c r="N1097" s="752"/>
      <c r="O1097" s="753">
        <v>6317.26</v>
      </c>
      <c r="P1097" s="752"/>
      <c r="Q1097" s="388"/>
      <c r="R1097" s="528">
        <f>M1097/G1097</f>
        <v>1661.9931496881495</v>
      </c>
      <c r="S1097" s="383">
        <f t="shared" si="133"/>
        <v>9.0949470177292824E-12</v>
      </c>
      <c r="T1097" s="398"/>
      <c r="U1097" s="406"/>
      <c r="V1097" s="390"/>
      <c r="W1097" s="393"/>
      <c r="X1097" s="393"/>
      <c r="Y1097" s="419">
        <f t="shared" si="135"/>
        <v>1605154.67</v>
      </c>
      <c r="Z1097" s="419"/>
    </row>
    <row r="1098" spans="1:26" s="403" customFormat="1" ht="37.5" hidden="1" customHeight="1">
      <c r="A1098" s="493">
        <f t="shared" si="132"/>
        <v>41</v>
      </c>
      <c r="B1098" s="705" t="s">
        <v>1189</v>
      </c>
      <c r="C1098" s="455" t="s">
        <v>222</v>
      </c>
      <c r="D1098" s="747">
        <v>21151</v>
      </c>
      <c r="E1098" s="748">
        <v>3975</v>
      </c>
      <c r="F1098" s="748" t="s">
        <v>228</v>
      </c>
      <c r="G1098" s="748">
        <v>999</v>
      </c>
      <c r="H1098" s="676">
        <v>9</v>
      </c>
      <c r="I1098" s="446">
        <v>1</v>
      </c>
      <c r="J1098" s="749">
        <v>143</v>
      </c>
      <c r="K1098" s="750" t="s">
        <v>220</v>
      </c>
      <c r="L1098" s="650">
        <f t="shared" si="134"/>
        <v>2021436.93</v>
      </c>
      <c r="M1098" s="751">
        <v>1940686.93</v>
      </c>
      <c r="N1098" s="752">
        <v>80750</v>
      </c>
      <c r="O1098" s="753"/>
      <c r="P1098" s="752"/>
      <c r="Q1098" s="752"/>
      <c r="R1098" s="528">
        <f>M1098</f>
        <v>1940686.93</v>
      </c>
      <c r="S1098" s="383">
        <f t="shared" si="133"/>
        <v>0</v>
      </c>
      <c r="T1098" s="398"/>
      <c r="U1098" s="406"/>
      <c r="V1098" s="390"/>
      <c r="W1098" s="393"/>
      <c r="X1098" s="393"/>
      <c r="Y1098" s="419">
        <f t="shared" si="135"/>
        <v>2021436.93</v>
      </c>
      <c r="Z1098" s="419"/>
    </row>
    <row r="1099" spans="1:26" s="403" customFormat="1" ht="37.5" hidden="1" customHeight="1">
      <c r="A1099" s="493">
        <f t="shared" si="132"/>
        <v>42</v>
      </c>
      <c r="B1099" s="705" t="s">
        <v>1190</v>
      </c>
      <c r="C1099" s="455" t="s">
        <v>222</v>
      </c>
      <c r="D1099" s="747">
        <v>21664</v>
      </c>
      <c r="E1099" s="748">
        <v>3975</v>
      </c>
      <c r="F1099" s="748" t="s">
        <v>228</v>
      </c>
      <c r="G1099" s="748">
        <v>1008</v>
      </c>
      <c r="H1099" s="676">
        <v>9</v>
      </c>
      <c r="I1099" s="446">
        <v>1</v>
      </c>
      <c r="J1099" s="749">
        <v>144</v>
      </c>
      <c r="K1099" s="750" t="s">
        <v>220</v>
      </c>
      <c r="L1099" s="650">
        <f t="shared" si="134"/>
        <v>2021643.28</v>
      </c>
      <c r="M1099" s="751">
        <v>1940893.28</v>
      </c>
      <c r="N1099" s="752">
        <v>80750</v>
      </c>
      <c r="O1099" s="753"/>
      <c r="P1099" s="752"/>
      <c r="Q1099" s="752"/>
      <c r="R1099" s="528">
        <f>M1099</f>
        <v>1940893.28</v>
      </c>
      <c r="S1099" s="383">
        <f t="shared" si="133"/>
        <v>0</v>
      </c>
      <c r="T1099" s="398"/>
      <c r="U1099" s="406"/>
      <c r="V1099" s="390"/>
      <c r="W1099" s="393"/>
      <c r="X1099" s="393"/>
      <c r="Y1099" s="419">
        <f t="shared" si="135"/>
        <v>2021643.28</v>
      </c>
      <c r="Z1099" s="419"/>
    </row>
    <row r="1100" spans="1:26" s="403" customFormat="1" ht="37.5" hidden="1" customHeight="1">
      <c r="A1100" s="493">
        <f t="shared" si="132"/>
        <v>43</v>
      </c>
      <c r="B1100" s="705" t="s">
        <v>1191</v>
      </c>
      <c r="C1100" s="455" t="s">
        <v>222</v>
      </c>
      <c r="D1100" s="747">
        <v>21794</v>
      </c>
      <c r="E1100" s="748">
        <v>4175</v>
      </c>
      <c r="F1100" s="748" t="s">
        <v>228</v>
      </c>
      <c r="G1100" s="748">
        <v>1010</v>
      </c>
      <c r="H1100" s="676">
        <v>9</v>
      </c>
      <c r="I1100" s="446">
        <v>1</v>
      </c>
      <c r="J1100" s="749">
        <v>136</v>
      </c>
      <c r="K1100" s="750" t="s">
        <v>220</v>
      </c>
      <c r="L1100" s="650">
        <f t="shared" si="134"/>
        <v>2030158.58</v>
      </c>
      <c r="M1100" s="751">
        <v>1949408.58</v>
      </c>
      <c r="N1100" s="752">
        <v>80750</v>
      </c>
      <c r="O1100" s="753"/>
      <c r="P1100" s="752"/>
      <c r="Q1100" s="752"/>
      <c r="R1100" s="528">
        <f>M1100</f>
        <v>1949408.58</v>
      </c>
      <c r="S1100" s="383">
        <f t="shared" si="133"/>
        <v>0</v>
      </c>
      <c r="T1100" s="398"/>
      <c r="U1100" s="406"/>
      <c r="V1100" s="390"/>
      <c r="W1100" s="393"/>
      <c r="X1100" s="393"/>
      <c r="Y1100" s="419">
        <f t="shared" si="135"/>
        <v>2030158.58</v>
      </c>
      <c r="Z1100" s="419"/>
    </row>
    <row r="1101" spans="1:26" s="403" customFormat="1" ht="36.75" hidden="1" customHeight="1">
      <c r="A1101" s="493">
        <f t="shared" si="132"/>
        <v>44</v>
      </c>
      <c r="B1101" s="705" t="s">
        <v>1192</v>
      </c>
      <c r="C1101" s="455" t="s">
        <v>240</v>
      </c>
      <c r="D1101" s="747">
        <v>2854</v>
      </c>
      <c r="E1101" s="748">
        <v>629</v>
      </c>
      <c r="F1101" s="748" t="s">
        <v>252</v>
      </c>
      <c r="G1101" s="748">
        <v>564</v>
      </c>
      <c r="H1101" s="676">
        <v>2</v>
      </c>
      <c r="I1101" s="446">
        <v>2</v>
      </c>
      <c r="J1101" s="749">
        <v>12</v>
      </c>
      <c r="K1101" s="750" t="s">
        <v>33</v>
      </c>
      <c r="L1101" s="650">
        <f t="shared" si="134"/>
        <v>1644749.04</v>
      </c>
      <c r="M1101" s="751">
        <v>1611914.04</v>
      </c>
      <c r="N1101" s="752">
        <v>32835</v>
      </c>
      <c r="O1101" s="753"/>
      <c r="P1101" s="752"/>
      <c r="Q1101" s="388"/>
      <c r="R1101" s="528">
        <f t="shared" ref="R1101:R1116" si="136">M1101/G1101</f>
        <v>2858.0036170212766</v>
      </c>
      <c r="S1101" s="383">
        <f t="shared" si="133"/>
        <v>0</v>
      </c>
      <c r="T1101" s="398"/>
      <c r="U1101" s="406"/>
      <c r="V1101" s="390"/>
      <c r="W1101" s="393"/>
      <c r="X1101" s="393"/>
      <c r="Y1101" s="419">
        <f t="shared" si="135"/>
        <v>1644749.04</v>
      </c>
      <c r="Z1101" s="419"/>
    </row>
    <row r="1102" spans="1:26" s="403" customFormat="1" ht="36.75" hidden="1" customHeight="1">
      <c r="A1102" s="493">
        <f t="shared" si="132"/>
        <v>45</v>
      </c>
      <c r="B1102" s="705" t="s">
        <v>1193</v>
      </c>
      <c r="C1102" s="455" t="s">
        <v>240</v>
      </c>
      <c r="D1102" s="747">
        <v>2505</v>
      </c>
      <c r="E1102" s="748">
        <v>524</v>
      </c>
      <c r="F1102" s="748" t="s">
        <v>252</v>
      </c>
      <c r="G1102" s="748">
        <v>474</v>
      </c>
      <c r="H1102" s="676">
        <v>2</v>
      </c>
      <c r="I1102" s="446">
        <v>1</v>
      </c>
      <c r="J1102" s="749">
        <v>8</v>
      </c>
      <c r="K1102" s="750" t="s">
        <v>33</v>
      </c>
      <c r="L1102" s="650">
        <f t="shared" si="134"/>
        <v>1265146.1499999999</v>
      </c>
      <c r="M1102" s="751">
        <v>1232311.1499999999</v>
      </c>
      <c r="N1102" s="752">
        <v>32835</v>
      </c>
      <c r="O1102" s="753"/>
      <c r="P1102" s="752"/>
      <c r="Q1102" s="388"/>
      <c r="R1102" s="528">
        <f t="shared" si="136"/>
        <v>2599.8125527426159</v>
      </c>
      <c r="S1102" s="383">
        <f t="shared" si="133"/>
        <v>0</v>
      </c>
      <c r="T1102" s="398"/>
      <c r="U1102" s="388"/>
      <c r="V1102" s="390"/>
      <c r="W1102" s="393"/>
      <c r="X1102" s="393"/>
      <c r="Y1102" s="419">
        <f t="shared" si="135"/>
        <v>1265146.1499999999</v>
      </c>
      <c r="Z1102" s="419"/>
    </row>
    <row r="1103" spans="1:26" s="403" customFormat="1" ht="36.75" hidden="1" customHeight="1">
      <c r="A1103" s="493">
        <f t="shared" si="132"/>
        <v>46</v>
      </c>
      <c r="B1103" s="705" t="s">
        <v>1194</v>
      </c>
      <c r="C1103" s="455" t="s">
        <v>240</v>
      </c>
      <c r="D1103" s="747">
        <v>1934</v>
      </c>
      <c r="E1103" s="748">
        <v>437</v>
      </c>
      <c r="F1103" s="748" t="s">
        <v>252</v>
      </c>
      <c r="G1103" s="748">
        <v>381</v>
      </c>
      <c r="H1103" s="676">
        <v>2</v>
      </c>
      <c r="I1103" s="446">
        <v>1</v>
      </c>
      <c r="J1103" s="749">
        <v>8</v>
      </c>
      <c r="K1103" s="750" t="s">
        <v>33</v>
      </c>
      <c r="L1103" s="650">
        <f t="shared" si="134"/>
        <v>1194571.71</v>
      </c>
      <c r="M1103" s="751">
        <v>1161736.71</v>
      </c>
      <c r="N1103" s="752">
        <v>32835</v>
      </c>
      <c r="O1103" s="753"/>
      <c r="P1103" s="752"/>
      <c r="Q1103" s="388"/>
      <c r="R1103" s="528">
        <f t="shared" si="136"/>
        <v>3049.1777165354329</v>
      </c>
      <c r="S1103" s="383">
        <f t="shared" si="133"/>
        <v>0</v>
      </c>
      <c r="T1103" s="398"/>
      <c r="U1103" s="388"/>
      <c r="V1103" s="390"/>
      <c r="W1103" s="393"/>
      <c r="X1103" s="393"/>
      <c r="Y1103" s="419">
        <f t="shared" si="135"/>
        <v>1194571.71</v>
      </c>
      <c r="Z1103" s="419"/>
    </row>
    <row r="1104" spans="1:26" s="403" customFormat="1" ht="37.5" hidden="1" customHeight="1">
      <c r="A1104" s="493">
        <f t="shared" si="132"/>
        <v>47</v>
      </c>
      <c r="B1104" s="705" t="s">
        <v>1195</v>
      </c>
      <c r="C1104" s="455" t="s">
        <v>222</v>
      </c>
      <c r="D1104" s="747">
        <v>17805</v>
      </c>
      <c r="E1104" s="748">
        <v>3249</v>
      </c>
      <c r="F1104" s="748" t="s">
        <v>234</v>
      </c>
      <c r="G1104" s="748">
        <v>1526</v>
      </c>
      <c r="H1104" s="676">
        <v>5</v>
      </c>
      <c r="I1104" s="446">
        <v>6</v>
      </c>
      <c r="J1104" s="749">
        <v>90</v>
      </c>
      <c r="K1104" s="750" t="s">
        <v>33</v>
      </c>
      <c r="L1104" s="650">
        <f t="shared" si="134"/>
        <v>3287568.16</v>
      </c>
      <c r="M1104" s="751">
        <v>3277546.52</v>
      </c>
      <c r="N1104" s="752"/>
      <c r="O1104" s="753">
        <v>10021.64</v>
      </c>
      <c r="P1104" s="752"/>
      <c r="Q1104" s="388"/>
      <c r="R1104" s="528">
        <f t="shared" si="136"/>
        <v>2147.8024377457405</v>
      </c>
      <c r="S1104" s="383">
        <f t="shared" si="133"/>
        <v>1.3096723705530167E-10</v>
      </c>
      <c r="T1104" s="398"/>
      <c r="U1104" s="406"/>
      <c r="V1104" s="390"/>
      <c r="W1104" s="393"/>
      <c r="X1104" s="393"/>
      <c r="Y1104" s="419">
        <f t="shared" si="135"/>
        <v>3287568.16</v>
      </c>
      <c r="Z1104" s="419"/>
    </row>
    <row r="1105" spans="1:26" s="403" customFormat="1" ht="36" hidden="1" customHeight="1">
      <c r="A1105" s="493">
        <f t="shared" si="132"/>
        <v>48</v>
      </c>
      <c r="B1105" s="705" t="s">
        <v>1196</v>
      </c>
      <c r="C1105" s="455" t="s">
        <v>240</v>
      </c>
      <c r="D1105" s="747">
        <v>3192</v>
      </c>
      <c r="E1105" s="748">
        <v>684</v>
      </c>
      <c r="F1105" s="748" t="s">
        <v>252</v>
      </c>
      <c r="G1105" s="748">
        <v>644</v>
      </c>
      <c r="H1105" s="676">
        <v>2</v>
      </c>
      <c r="I1105" s="446">
        <v>2</v>
      </c>
      <c r="J1105" s="749">
        <v>12</v>
      </c>
      <c r="K1105" s="750" t="s">
        <v>33</v>
      </c>
      <c r="L1105" s="650">
        <f t="shared" si="134"/>
        <v>1703582.8</v>
      </c>
      <c r="M1105" s="751">
        <v>1670747.8</v>
      </c>
      <c r="N1105" s="752">
        <v>32835</v>
      </c>
      <c r="O1105" s="753"/>
      <c r="P1105" s="752"/>
      <c r="Q1105" s="388"/>
      <c r="R1105" s="528">
        <f t="shared" si="136"/>
        <v>2594.3288819875779</v>
      </c>
      <c r="S1105" s="383">
        <f t="shared" si="133"/>
        <v>0</v>
      </c>
      <c r="T1105" s="398"/>
      <c r="U1105" s="388"/>
      <c r="V1105" s="390"/>
      <c r="W1105" s="393"/>
      <c r="X1105" s="393"/>
      <c r="Y1105" s="419">
        <f t="shared" si="135"/>
        <v>1703582.8</v>
      </c>
      <c r="Z1105" s="419"/>
    </row>
    <row r="1106" spans="1:26" s="403" customFormat="1" ht="36" hidden="1" customHeight="1">
      <c r="A1106" s="493">
        <f t="shared" si="132"/>
        <v>49</v>
      </c>
      <c r="B1106" s="705" t="s">
        <v>1197</v>
      </c>
      <c r="C1106" s="455" t="s">
        <v>240</v>
      </c>
      <c r="D1106" s="747">
        <v>1920</v>
      </c>
      <c r="E1106" s="748">
        <v>450</v>
      </c>
      <c r="F1106" s="748" t="s">
        <v>252</v>
      </c>
      <c r="G1106" s="748">
        <v>378</v>
      </c>
      <c r="H1106" s="676">
        <v>2</v>
      </c>
      <c r="I1106" s="446">
        <v>1</v>
      </c>
      <c r="J1106" s="749">
        <v>8</v>
      </c>
      <c r="K1106" s="750" t="s">
        <v>33</v>
      </c>
      <c r="L1106" s="650">
        <f t="shared" si="134"/>
        <v>1080651</v>
      </c>
      <c r="M1106" s="751">
        <v>1047816</v>
      </c>
      <c r="N1106" s="752">
        <v>32835</v>
      </c>
      <c r="O1106" s="753"/>
      <c r="P1106" s="752"/>
      <c r="Q1106" s="388"/>
      <c r="R1106" s="528">
        <f t="shared" si="136"/>
        <v>2772</v>
      </c>
      <c r="S1106" s="383">
        <f t="shared" si="133"/>
        <v>0</v>
      </c>
      <c r="T1106" s="398"/>
      <c r="U1106" s="406"/>
      <c r="V1106" s="390"/>
      <c r="W1106" s="393"/>
      <c r="X1106" s="393"/>
      <c r="Y1106" s="419">
        <f t="shared" si="135"/>
        <v>1080651</v>
      </c>
      <c r="Z1106" s="419"/>
    </row>
    <row r="1107" spans="1:26" s="403" customFormat="1" ht="36" hidden="1" customHeight="1">
      <c r="A1107" s="493">
        <f t="shared" si="132"/>
        <v>50</v>
      </c>
      <c r="B1107" s="705" t="s">
        <v>1198</v>
      </c>
      <c r="C1107" s="455" t="s">
        <v>240</v>
      </c>
      <c r="D1107" s="747">
        <v>4092</v>
      </c>
      <c r="E1107" s="748">
        <v>779</v>
      </c>
      <c r="F1107" s="748" t="s">
        <v>252</v>
      </c>
      <c r="G1107" s="748">
        <v>787</v>
      </c>
      <c r="H1107" s="676">
        <v>2</v>
      </c>
      <c r="I1107" s="446">
        <v>2</v>
      </c>
      <c r="J1107" s="749">
        <v>12</v>
      </c>
      <c r="K1107" s="750" t="s">
        <v>33</v>
      </c>
      <c r="L1107" s="650">
        <f t="shared" si="134"/>
        <v>1964751.59</v>
      </c>
      <c r="M1107" s="751">
        <v>1931916.59</v>
      </c>
      <c r="N1107" s="752">
        <v>32835</v>
      </c>
      <c r="O1107" s="753"/>
      <c r="P1107" s="752"/>
      <c r="Q1107" s="388"/>
      <c r="R1107" s="528">
        <f t="shared" si="136"/>
        <v>2454.7860101651845</v>
      </c>
      <c r="S1107" s="383">
        <f t="shared" si="133"/>
        <v>0</v>
      </c>
      <c r="T1107" s="398"/>
      <c r="U1107" s="388"/>
      <c r="V1107" s="390"/>
      <c r="W1107" s="393"/>
      <c r="X1107" s="393"/>
      <c r="Y1107" s="419">
        <f t="shared" si="135"/>
        <v>1964751.59</v>
      </c>
      <c r="Z1107" s="419"/>
    </row>
    <row r="1108" spans="1:26" s="403" customFormat="1" ht="37.5" hidden="1" customHeight="1">
      <c r="A1108" s="493">
        <f t="shared" si="132"/>
        <v>51</v>
      </c>
      <c r="B1108" s="705" t="s">
        <v>2088</v>
      </c>
      <c r="C1108" s="455" t="s">
        <v>222</v>
      </c>
      <c r="D1108" s="747">
        <v>19626</v>
      </c>
      <c r="E1108" s="748">
        <v>2430</v>
      </c>
      <c r="F1108" s="748" t="s">
        <v>228</v>
      </c>
      <c r="G1108" s="748">
        <v>1768</v>
      </c>
      <c r="H1108" s="676">
        <v>5</v>
      </c>
      <c r="I1108" s="446">
        <v>8</v>
      </c>
      <c r="J1108" s="749">
        <v>128</v>
      </c>
      <c r="K1108" s="750" t="s">
        <v>33</v>
      </c>
      <c r="L1108" s="650">
        <f t="shared" si="134"/>
        <v>3520455.07</v>
      </c>
      <c r="M1108" s="751">
        <v>3485630.07</v>
      </c>
      <c r="N1108" s="752">
        <v>34825</v>
      </c>
      <c r="O1108" s="753"/>
      <c r="P1108" s="752"/>
      <c r="Q1108" s="391"/>
      <c r="R1108" s="761">
        <f t="shared" si="136"/>
        <v>1971.5102205882351</v>
      </c>
      <c r="S1108" s="383">
        <f t="shared" si="133"/>
        <v>0</v>
      </c>
      <c r="T1108" s="454"/>
      <c r="U1108" s="404"/>
      <c r="W1108" s="393"/>
      <c r="X1108" s="393"/>
      <c r="Y1108" s="419">
        <f t="shared" si="135"/>
        <v>3520455.07</v>
      </c>
      <c r="Z1108" s="419"/>
    </row>
    <row r="1109" spans="1:26" s="403" customFormat="1" ht="41.25" hidden="1" customHeight="1">
      <c r="A1109" s="493">
        <f t="shared" si="132"/>
        <v>52</v>
      </c>
      <c r="B1109" s="705" t="s">
        <v>3612</v>
      </c>
      <c r="C1109" s="455" t="s">
        <v>240</v>
      </c>
      <c r="D1109" s="747">
        <v>1928</v>
      </c>
      <c r="E1109" s="748">
        <v>440</v>
      </c>
      <c r="F1109" s="748" t="s">
        <v>252</v>
      </c>
      <c r="G1109" s="748">
        <v>374</v>
      </c>
      <c r="H1109" s="676">
        <v>2</v>
      </c>
      <c r="I1109" s="446">
        <v>1</v>
      </c>
      <c r="J1109" s="749">
        <v>8</v>
      </c>
      <c r="K1109" s="750" t="s">
        <v>33</v>
      </c>
      <c r="L1109" s="650">
        <f t="shared" si="134"/>
        <v>943685.39</v>
      </c>
      <c r="M1109" s="751">
        <v>916300</v>
      </c>
      <c r="N1109" s="752">
        <v>17991.59</v>
      </c>
      <c r="O1109" s="762"/>
      <c r="P1109" s="763"/>
      <c r="Q1109" s="391">
        <v>9393.7999999999993</v>
      </c>
      <c r="R1109" s="761">
        <f t="shared" si="136"/>
        <v>2450</v>
      </c>
      <c r="S1109" s="383">
        <f t="shared" si="133"/>
        <v>1.4551915228366852E-11</v>
      </c>
      <c r="T1109" s="454"/>
      <c r="U1109" s="404"/>
      <c r="W1109" s="393"/>
      <c r="X1109" s="393"/>
      <c r="Y1109" s="419">
        <f t="shared" si="135"/>
        <v>943685.39</v>
      </c>
      <c r="Z1109" s="419"/>
    </row>
    <row r="1110" spans="1:26" s="403" customFormat="1" ht="37.5" hidden="1" customHeight="1">
      <c r="A1110" s="493">
        <f t="shared" si="132"/>
        <v>53</v>
      </c>
      <c r="B1110" s="705" t="s">
        <v>3442</v>
      </c>
      <c r="C1110" s="455" t="s">
        <v>222</v>
      </c>
      <c r="D1110" s="747">
        <v>9594</v>
      </c>
      <c r="E1110" s="748">
        <v>1987</v>
      </c>
      <c r="F1110" s="748" t="s">
        <v>252</v>
      </c>
      <c r="G1110" s="748">
        <v>871</v>
      </c>
      <c r="H1110" s="676">
        <v>5</v>
      </c>
      <c r="I1110" s="446">
        <v>3</v>
      </c>
      <c r="J1110" s="749">
        <v>60</v>
      </c>
      <c r="K1110" s="750" t="s">
        <v>33</v>
      </c>
      <c r="L1110" s="650">
        <f t="shared" si="134"/>
        <v>2535291.2999999998</v>
      </c>
      <c r="M1110" s="751">
        <v>2489286.48</v>
      </c>
      <c r="N1110" s="752">
        <v>16425.46</v>
      </c>
      <c r="O1110" s="762"/>
      <c r="P1110" s="763"/>
      <c r="Q1110" s="391">
        <v>29579.360000000001</v>
      </c>
      <c r="R1110" s="761">
        <f t="shared" si="136"/>
        <v>2857.9638117106774</v>
      </c>
      <c r="S1110" s="383">
        <f t="shared" si="133"/>
        <v>-1.673470251262188E-10</v>
      </c>
      <c r="T1110" s="454"/>
      <c r="U1110" s="404"/>
      <c r="W1110" s="393"/>
      <c r="X1110" s="393"/>
      <c r="Y1110" s="419">
        <f t="shared" si="135"/>
        <v>2535291.2999999998</v>
      </c>
      <c r="Z1110" s="419"/>
    </row>
    <row r="1111" spans="1:26" s="403" customFormat="1" ht="39.75" hidden="1" customHeight="1">
      <c r="A1111" s="493">
        <f t="shared" si="132"/>
        <v>54</v>
      </c>
      <c r="B1111" s="705" t="s">
        <v>3613</v>
      </c>
      <c r="C1111" s="455" t="s">
        <v>240</v>
      </c>
      <c r="D1111" s="747">
        <v>4208</v>
      </c>
      <c r="E1111" s="748">
        <v>800</v>
      </c>
      <c r="F1111" s="748" t="s">
        <v>252</v>
      </c>
      <c r="G1111" s="748">
        <v>545</v>
      </c>
      <c r="H1111" s="676">
        <v>3</v>
      </c>
      <c r="I1111" s="446">
        <v>2</v>
      </c>
      <c r="J1111" s="749">
        <v>12</v>
      </c>
      <c r="K1111" s="750" t="s">
        <v>33</v>
      </c>
      <c r="L1111" s="650">
        <f t="shared" si="134"/>
        <v>1504508.7600000002</v>
      </c>
      <c r="M1111" s="751">
        <v>1474042.85</v>
      </c>
      <c r="N1111" s="752">
        <v>17492.099999999999</v>
      </c>
      <c r="O1111" s="762"/>
      <c r="P1111" s="763"/>
      <c r="Q1111" s="391">
        <v>12973.81</v>
      </c>
      <c r="R1111" s="761">
        <f t="shared" si="136"/>
        <v>2704.6657798165138</v>
      </c>
      <c r="S1111" s="383">
        <f t="shared" si="133"/>
        <v>1.5097612049430609E-10</v>
      </c>
      <c r="T1111" s="454"/>
      <c r="U1111" s="404"/>
      <c r="W1111" s="393"/>
      <c r="X1111" s="393"/>
      <c r="Y1111" s="419">
        <f t="shared" si="135"/>
        <v>1504508.7600000002</v>
      </c>
      <c r="Z1111" s="419"/>
    </row>
    <row r="1112" spans="1:26" s="403" customFormat="1" ht="39.75" hidden="1" customHeight="1">
      <c r="A1112" s="493">
        <f t="shared" si="132"/>
        <v>55</v>
      </c>
      <c r="B1112" s="705" t="s">
        <v>3614</v>
      </c>
      <c r="C1112" s="455" t="s">
        <v>240</v>
      </c>
      <c r="D1112" s="747">
        <v>1942</v>
      </c>
      <c r="E1112" s="748">
        <v>420</v>
      </c>
      <c r="F1112" s="748" t="s">
        <v>252</v>
      </c>
      <c r="G1112" s="748">
        <v>385</v>
      </c>
      <c r="H1112" s="676">
        <v>2</v>
      </c>
      <c r="I1112" s="446">
        <v>1</v>
      </c>
      <c r="J1112" s="749">
        <v>8</v>
      </c>
      <c r="K1112" s="750" t="s">
        <v>33</v>
      </c>
      <c r="L1112" s="650">
        <f t="shared" si="134"/>
        <v>1112730.04</v>
      </c>
      <c r="M1112" s="751">
        <v>1085254.1100000001</v>
      </c>
      <c r="N1112" s="752">
        <v>18014.48</v>
      </c>
      <c r="O1112" s="762"/>
      <c r="P1112" s="763"/>
      <c r="Q1112" s="391">
        <v>9461.4500000000007</v>
      </c>
      <c r="R1112" s="761">
        <f t="shared" si="136"/>
        <v>2818.8418441558442</v>
      </c>
      <c r="S1112" s="383">
        <f t="shared" si="133"/>
        <v>-6.5483618527650833E-11</v>
      </c>
      <c r="T1112" s="454"/>
      <c r="U1112" s="404"/>
      <c r="W1112" s="393"/>
      <c r="X1112" s="393"/>
      <c r="Y1112" s="419">
        <f t="shared" si="135"/>
        <v>1112730.04</v>
      </c>
      <c r="Z1112" s="419"/>
    </row>
    <row r="1113" spans="1:26" s="403" customFormat="1" ht="56.25" hidden="1" customHeight="1">
      <c r="A1113" s="493">
        <f t="shared" si="132"/>
        <v>56</v>
      </c>
      <c r="B1113" s="705" t="s">
        <v>3615</v>
      </c>
      <c r="C1113" s="455" t="s">
        <v>240</v>
      </c>
      <c r="D1113" s="747">
        <v>2808</v>
      </c>
      <c r="E1113" s="748">
        <v>620</v>
      </c>
      <c r="F1113" s="748" t="s">
        <v>314</v>
      </c>
      <c r="G1113" s="748">
        <v>403</v>
      </c>
      <c r="H1113" s="676">
        <v>2</v>
      </c>
      <c r="I1113" s="446">
        <v>2</v>
      </c>
      <c r="J1113" s="749">
        <v>12</v>
      </c>
      <c r="K1113" s="750" t="s">
        <v>3610</v>
      </c>
      <c r="L1113" s="650">
        <f t="shared" si="134"/>
        <v>365852.54</v>
      </c>
      <c r="M1113" s="751">
        <v>356821.92</v>
      </c>
      <c r="N1113" s="763"/>
      <c r="O1113" s="753">
        <v>2190</v>
      </c>
      <c r="P1113" s="763"/>
      <c r="Q1113" s="391">
        <v>6840.62</v>
      </c>
      <c r="R1113" s="761">
        <f t="shared" si="136"/>
        <v>885.41419354838706</v>
      </c>
      <c r="S1113" s="383">
        <f t="shared" si="133"/>
        <v>0</v>
      </c>
      <c r="T1113" s="454"/>
      <c r="U1113" s="404"/>
      <c r="W1113" s="393"/>
      <c r="X1113" s="393"/>
      <c r="Y1113" s="419">
        <f t="shared" si="135"/>
        <v>365852.54</v>
      </c>
      <c r="Z1113" s="419"/>
    </row>
    <row r="1114" spans="1:26" s="403" customFormat="1" ht="39" hidden="1" customHeight="1">
      <c r="A1114" s="493">
        <f t="shared" si="132"/>
        <v>57</v>
      </c>
      <c r="B1114" s="705" t="s">
        <v>3616</v>
      </c>
      <c r="C1114" s="455" t="s">
        <v>240</v>
      </c>
      <c r="D1114" s="747">
        <v>1881</v>
      </c>
      <c r="E1114" s="748">
        <v>440</v>
      </c>
      <c r="F1114" s="748" t="s">
        <v>252</v>
      </c>
      <c r="G1114" s="748">
        <v>374</v>
      </c>
      <c r="H1114" s="676">
        <v>2</v>
      </c>
      <c r="I1114" s="446">
        <v>1</v>
      </c>
      <c r="J1114" s="749">
        <v>8</v>
      </c>
      <c r="K1114" s="750" t="s">
        <v>33</v>
      </c>
      <c r="L1114" s="650">
        <f t="shared" si="134"/>
        <v>1061831.5900000001</v>
      </c>
      <c r="M1114" s="751">
        <v>1034752.66</v>
      </c>
      <c r="N1114" s="752">
        <v>17913.98</v>
      </c>
      <c r="O1114" s="762"/>
      <c r="P1114" s="763"/>
      <c r="Q1114" s="391">
        <v>9164.9500000000007</v>
      </c>
      <c r="R1114" s="761">
        <f t="shared" si="136"/>
        <v>2766.7183422459893</v>
      </c>
      <c r="S1114" s="383">
        <f t="shared" si="133"/>
        <v>5.0931703299283981E-11</v>
      </c>
      <c r="T1114" s="454"/>
      <c r="U1114" s="404"/>
      <c r="W1114" s="393"/>
      <c r="X1114" s="393"/>
      <c r="Y1114" s="419">
        <f t="shared" si="135"/>
        <v>1061831.5900000001</v>
      </c>
      <c r="Z1114" s="419"/>
    </row>
    <row r="1115" spans="1:26" s="403" customFormat="1" ht="56.25" hidden="1" customHeight="1">
      <c r="A1115" s="493">
        <f t="shared" si="132"/>
        <v>58</v>
      </c>
      <c r="B1115" s="705" t="s">
        <v>3617</v>
      </c>
      <c r="C1115" s="455" t="s">
        <v>240</v>
      </c>
      <c r="D1115" s="747">
        <v>3241</v>
      </c>
      <c r="E1115" s="748">
        <v>714</v>
      </c>
      <c r="F1115" s="748" t="s">
        <v>314</v>
      </c>
      <c r="G1115" s="748">
        <v>403</v>
      </c>
      <c r="H1115" s="676">
        <v>2</v>
      </c>
      <c r="I1115" s="446">
        <v>2</v>
      </c>
      <c r="J1115" s="749">
        <v>12</v>
      </c>
      <c r="K1115" s="750" t="s">
        <v>3610</v>
      </c>
      <c r="L1115" s="650">
        <f t="shared" si="134"/>
        <v>439318.33</v>
      </c>
      <c r="M1115" s="751">
        <v>429152.41</v>
      </c>
      <c r="N1115" s="763"/>
      <c r="O1115" s="753">
        <v>2270.59</v>
      </c>
      <c r="P1115" s="763"/>
      <c r="Q1115" s="391">
        <v>7895.33</v>
      </c>
      <c r="R1115" s="761">
        <f t="shared" si="136"/>
        <v>1064.8943176178659</v>
      </c>
      <c r="S1115" s="383">
        <f t="shared" si="133"/>
        <v>4.1836756281554699E-11</v>
      </c>
      <c r="T1115" s="454"/>
      <c r="U1115" s="404"/>
      <c r="W1115" s="393"/>
      <c r="X1115" s="393"/>
      <c r="Y1115" s="419">
        <f t="shared" si="135"/>
        <v>439318.33</v>
      </c>
      <c r="Z1115" s="419"/>
    </row>
    <row r="1116" spans="1:26" s="403" customFormat="1" ht="33.75" hidden="1" customHeight="1">
      <c r="A1116" s="493">
        <f t="shared" si="132"/>
        <v>59</v>
      </c>
      <c r="B1116" s="705" t="s">
        <v>3618</v>
      </c>
      <c r="C1116" s="455" t="s">
        <v>240</v>
      </c>
      <c r="D1116" s="747">
        <v>3197</v>
      </c>
      <c r="E1116" s="748">
        <v>678</v>
      </c>
      <c r="F1116" s="748" t="s">
        <v>252</v>
      </c>
      <c r="G1116" s="748">
        <v>645</v>
      </c>
      <c r="H1116" s="676">
        <v>2</v>
      </c>
      <c r="I1116" s="446">
        <v>2</v>
      </c>
      <c r="J1116" s="749">
        <v>12</v>
      </c>
      <c r="K1116" s="750" t="s">
        <v>33</v>
      </c>
      <c r="L1116" s="650">
        <f t="shared" si="134"/>
        <v>1548484.08</v>
      </c>
      <c r="M1116" s="751">
        <v>1512826.26</v>
      </c>
      <c r="N1116" s="752">
        <v>20081.09</v>
      </c>
      <c r="O1116" s="762"/>
      <c r="P1116" s="763"/>
      <c r="Q1116" s="391">
        <v>15576.73</v>
      </c>
      <c r="R1116" s="761">
        <f t="shared" si="136"/>
        <v>2345.4670697674419</v>
      </c>
      <c r="S1116" s="383">
        <f t="shared" si="133"/>
        <v>6.5483618527650833E-11</v>
      </c>
      <c r="T1116" s="454"/>
      <c r="U1116" s="404"/>
      <c r="W1116" s="393"/>
      <c r="X1116" s="393"/>
      <c r="Y1116" s="419">
        <f t="shared" si="135"/>
        <v>1548484.08</v>
      </c>
      <c r="Z1116" s="419"/>
    </row>
    <row r="1117" spans="1:26" s="403" customFormat="1" ht="37.5" hidden="1" customHeight="1">
      <c r="A1117" s="493">
        <f t="shared" si="132"/>
        <v>60</v>
      </c>
      <c r="B1117" s="705" t="s">
        <v>3029</v>
      </c>
      <c r="C1117" s="455" t="s">
        <v>222</v>
      </c>
      <c r="D1117" s="747">
        <v>10138</v>
      </c>
      <c r="E1117" s="748">
        <v>1936</v>
      </c>
      <c r="F1117" s="748" t="s">
        <v>228</v>
      </c>
      <c r="G1117" s="748" t="s">
        <v>3619</v>
      </c>
      <c r="H1117" s="676">
        <v>5</v>
      </c>
      <c r="I1117" s="446">
        <v>3</v>
      </c>
      <c r="J1117" s="749">
        <v>60</v>
      </c>
      <c r="K1117" s="750" t="s">
        <v>225</v>
      </c>
      <c r="L1117" s="650">
        <f t="shared" si="134"/>
        <v>575225.46</v>
      </c>
      <c r="M1117" s="751">
        <v>545819.23</v>
      </c>
      <c r="N1117" s="752">
        <v>21025.35</v>
      </c>
      <c r="O1117" s="762"/>
      <c r="P1117" s="763"/>
      <c r="Q1117" s="391">
        <v>8380.8799999999992</v>
      </c>
      <c r="R1117" s="761">
        <f>M1117/J1117</f>
        <v>9096.9871666666659</v>
      </c>
      <c r="S1117" s="383">
        <f t="shared" si="133"/>
        <v>-1.6370904631912708E-11</v>
      </c>
      <c r="T1117" s="454"/>
      <c r="U1117" s="404"/>
      <c r="W1117" s="393"/>
      <c r="X1117" s="393"/>
      <c r="Y1117" s="419">
        <f t="shared" si="135"/>
        <v>575225.46</v>
      </c>
      <c r="Z1117" s="419"/>
    </row>
    <row r="1118" spans="1:26" s="403" customFormat="1" ht="37.5" hidden="1" customHeight="1">
      <c r="A1118" s="493">
        <f t="shared" si="132"/>
        <v>61</v>
      </c>
      <c r="B1118" s="705" t="s">
        <v>3030</v>
      </c>
      <c r="C1118" s="455" t="s">
        <v>222</v>
      </c>
      <c r="D1118" s="747">
        <v>10022</v>
      </c>
      <c r="E1118" s="748">
        <v>1916</v>
      </c>
      <c r="F1118" s="748" t="s">
        <v>252</v>
      </c>
      <c r="G1118" s="748">
        <v>864</v>
      </c>
      <c r="H1118" s="676">
        <v>5</v>
      </c>
      <c r="I1118" s="446">
        <v>3</v>
      </c>
      <c r="J1118" s="749">
        <v>60</v>
      </c>
      <c r="K1118" s="750" t="s">
        <v>225</v>
      </c>
      <c r="L1118" s="650">
        <f t="shared" si="134"/>
        <v>571235.93000000005</v>
      </c>
      <c r="M1118" s="751">
        <v>541969</v>
      </c>
      <c r="N1118" s="752">
        <v>20982.560000000001</v>
      </c>
      <c r="O1118" s="762"/>
      <c r="P1118" s="763"/>
      <c r="Q1118" s="391">
        <v>8284.3700000000008</v>
      </c>
      <c r="R1118" s="761">
        <f>M1118/J1118</f>
        <v>9032.8166666666675</v>
      </c>
      <c r="S1118" s="383">
        <f t="shared" si="133"/>
        <v>4.9112713895738125E-11</v>
      </c>
      <c r="T1118" s="454"/>
      <c r="U1118" s="404"/>
      <c r="W1118" s="393"/>
      <c r="X1118" s="393"/>
      <c r="Y1118" s="419">
        <f t="shared" si="135"/>
        <v>571235.93000000005</v>
      </c>
      <c r="Z1118" s="419"/>
    </row>
    <row r="1119" spans="1:26" s="403" customFormat="1" ht="37.5" hidden="1" customHeight="1">
      <c r="A1119" s="493">
        <f t="shared" si="132"/>
        <v>62</v>
      </c>
      <c r="B1119" s="705" t="s">
        <v>3620</v>
      </c>
      <c r="C1119" s="455" t="s">
        <v>240</v>
      </c>
      <c r="D1119" s="747">
        <v>2506</v>
      </c>
      <c r="E1119" s="748">
        <v>524</v>
      </c>
      <c r="F1119" s="748" t="s">
        <v>252</v>
      </c>
      <c r="G1119" s="748">
        <v>475</v>
      </c>
      <c r="H1119" s="676">
        <v>2</v>
      </c>
      <c r="I1119" s="446">
        <v>1</v>
      </c>
      <c r="J1119" s="749">
        <v>8</v>
      </c>
      <c r="K1119" s="750" t="s">
        <v>33</v>
      </c>
      <c r="L1119" s="650">
        <f t="shared" si="134"/>
        <v>1266861.8899999999</v>
      </c>
      <c r="M1119" s="751">
        <v>1235709.4399999999</v>
      </c>
      <c r="N1119" s="752">
        <v>18942.8</v>
      </c>
      <c r="O1119" s="762"/>
      <c r="P1119" s="763"/>
      <c r="Q1119" s="391">
        <v>12209.65</v>
      </c>
      <c r="R1119" s="761">
        <f t="shared" ref="R1119:R1124" si="137">M1119/G1119</f>
        <v>2601.4935578947366</v>
      </c>
      <c r="S1119" s="383">
        <f t="shared" si="133"/>
        <v>-4.5474735088646412E-11</v>
      </c>
      <c r="T1119" s="454"/>
      <c r="U1119" s="404"/>
      <c r="W1119" s="393"/>
      <c r="X1119" s="393"/>
      <c r="Y1119" s="419">
        <f t="shared" si="135"/>
        <v>1266861.8899999999</v>
      </c>
      <c r="Z1119" s="419"/>
    </row>
    <row r="1120" spans="1:26" s="403" customFormat="1" ht="37.5" hidden="1" customHeight="1">
      <c r="A1120" s="493">
        <f t="shared" si="132"/>
        <v>63</v>
      </c>
      <c r="B1120" s="705" t="s">
        <v>3621</v>
      </c>
      <c r="C1120" s="455" t="s">
        <v>240</v>
      </c>
      <c r="D1120" s="747">
        <v>2754</v>
      </c>
      <c r="E1120" s="748">
        <v>610</v>
      </c>
      <c r="F1120" s="748" t="s">
        <v>252</v>
      </c>
      <c r="G1120" s="748">
        <v>551</v>
      </c>
      <c r="H1120" s="676">
        <v>2</v>
      </c>
      <c r="I1120" s="446">
        <v>2</v>
      </c>
      <c r="J1120" s="749">
        <v>12</v>
      </c>
      <c r="K1120" s="750" t="s">
        <v>33</v>
      </c>
      <c r="L1120" s="650">
        <f t="shared" si="134"/>
        <v>1582893.56</v>
      </c>
      <c r="M1120" s="751">
        <v>1550124.23</v>
      </c>
      <c r="N1120" s="752">
        <v>19351.759999999998</v>
      </c>
      <c r="O1120" s="753"/>
      <c r="P1120" s="752"/>
      <c r="Q1120" s="391">
        <v>13417.57</v>
      </c>
      <c r="R1120" s="761">
        <f t="shared" si="137"/>
        <v>2813.2926134301269</v>
      </c>
      <c r="S1120" s="383">
        <f t="shared" ref="S1120:S1144" si="138">L1120-M1120-N1120-O1120-P1120-Q1120</f>
        <v>7.6397554948925972E-11</v>
      </c>
      <c r="T1120" s="454"/>
      <c r="U1120" s="404"/>
      <c r="W1120" s="393"/>
      <c r="X1120" s="393"/>
      <c r="Y1120" s="419">
        <f t="shared" si="135"/>
        <v>1582893.56</v>
      </c>
      <c r="Z1120" s="419"/>
    </row>
    <row r="1121" spans="1:26" s="403" customFormat="1" ht="37.5" hidden="1" customHeight="1">
      <c r="A1121" s="493">
        <f>A1120+1</f>
        <v>64</v>
      </c>
      <c r="B1121" s="705" t="s">
        <v>3622</v>
      </c>
      <c r="C1121" s="455" t="s">
        <v>240</v>
      </c>
      <c r="D1121" s="747">
        <v>4186</v>
      </c>
      <c r="E1121" s="748">
        <v>868</v>
      </c>
      <c r="F1121" s="748" t="s">
        <v>252</v>
      </c>
      <c r="G1121" s="748">
        <v>799</v>
      </c>
      <c r="H1121" s="676">
        <v>2</v>
      </c>
      <c r="I1121" s="446">
        <v>2</v>
      </c>
      <c r="J1121" s="749">
        <v>12</v>
      </c>
      <c r="K1121" s="750" t="s">
        <v>33</v>
      </c>
      <c r="L1121" s="650">
        <f t="shared" si="134"/>
        <v>2103220.15</v>
      </c>
      <c r="M1121" s="751">
        <v>2061116.73</v>
      </c>
      <c r="N1121" s="752">
        <v>21708.91</v>
      </c>
      <c r="O1121" s="762"/>
      <c r="P1121" s="763"/>
      <c r="Q1121" s="391">
        <v>20394.509999999998</v>
      </c>
      <c r="R1121" s="761">
        <f t="shared" si="137"/>
        <v>2579.6204380475592</v>
      </c>
      <c r="S1121" s="383">
        <f t="shared" si="138"/>
        <v>-7.2759576141834259E-11</v>
      </c>
      <c r="T1121" s="454"/>
      <c r="U1121" s="404"/>
      <c r="W1121" s="393"/>
      <c r="X1121" s="393"/>
      <c r="Y1121" s="419">
        <f t="shared" si="135"/>
        <v>2103220.15</v>
      </c>
      <c r="Z1121" s="419"/>
    </row>
    <row r="1122" spans="1:26" s="403" customFormat="1" ht="37.5" hidden="1" customHeight="1">
      <c r="A1122" s="493">
        <f>A1121+1</f>
        <v>65</v>
      </c>
      <c r="B1122" s="705" t="s">
        <v>3623</v>
      </c>
      <c r="C1122" s="455" t="s">
        <v>222</v>
      </c>
      <c r="D1122" s="747">
        <v>13056</v>
      </c>
      <c r="E1122" s="748">
        <v>2160</v>
      </c>
      <c r="F1122" s="748" t="s">
        <v>252</v>
      </c>
      <c r="G1122" s="748">
        <v>1624</v>
      </c>
      <c r="H1122" s="676">
        <v>3</v>
      </c>
      <c r="I1122" s="446">
        <v>4</v>
      </c>
      <c r="J1122" s="749">
        <v>48</v>
      </c>
      <c r="K1122" s="750" t="s">
        <v>33</v>
      </c>
      <c r="L1122" s="650">
        <f>M1122+N1122+O1122+P1122+Q1122</f>
        <v>4398390.2699999996</v>
      </c>
      <c r="M1122" s="751">
        <v>4332357.0999999996</v>
      </c>
      <c r="N1122" s="752">
        <v>26233.17</v>
      </c>
      <c r="O1122" s="762"/>
      <c r="P1122" s="763"/>
      <c r="Q1122" s="391">
        <v>39800</v>
      </c>
      <c r="R1122" s="761">
        <f t="shared" si="137"/>
        <v>2667.7075738916255</v>
      </c>
      <c r="S1122" s="383">
        <f t="shared" si="138"/>
        <v>-7.2759576141834259E-11</v>
      </c>
      <c r="T1122" s="454"/>
      <c r="U1122" s="404"/>
      <c r="W1122" s="393"/>
      <c r="X1122" s="393"/>
      <c r="Y1122" s="419">
        <f t="shared" si="135"/>
        <v>4398390.2699999996</v>
      </c>
      <c r="Z1122" s="419"/>
    </row>
    <row r="1123" spans="1:26" s="403" customFormat="1" ht="39.75" hidden="1" customHeight="1">
      <c r="A1123" s="493">
        <f>A1122+1</f>
        <v>66</v>
      </c>
      <c r="B1123" s="705" t="s">
        <v>3624</v>
      </c>
      <c r="C1123" s="455" t="s">
        <v>240</v>
      </c>
      <c r="D1123" s="747">
        <v>9375</v>
      </c>
      <c r="E1123" s="748">
        <v>1618</v>
      </c>
      <c r="F1123" s="748" t="s">
        <v>252</v>
      </c>
      <c r="G1123" s="748">
        <v>1155</v>
      </c>
      <c r="H1123" s="676">
        <v>3</v>
      </c>
      <c r="I1123" s="446">
        <v>3</v>
      </c>
      <c r="J1123" s="749">
        <v>36</v>
      </c>
      <c r="K1123" s="750" t="s">
        <v>33</v>
      </c>
      <c r="L1123" s="650">
        <f>M1123+N1123+O1123+P1123+Q1123</f>
        <v>2708756.91</v>
      </c>
      <c r="M1123" s="751">
        <v>2657255.71</v>
      </c>
      <c r="N1123" s="752">
        <v>22596.45</v>
      </c>
      <c r="O1123" s="762"/>
      <c r="P1123" s="763"/>
      <c r="Q1123" s="391">
        <v>28904.75</v>
      </c>
      <c r="R1123" s="761">
        <f t="shared" si="137"/>
        <v>2300.6542943722943</v>
      </c>
      <c r="S1123" s="383">
        <f t="shared" si="138"/>
        <v>1.8553691916167736E-10</v>
      </c>
      <c r="T1123" s="454"/>
      <c r="U1123" s="404"/>
      <c r="W1123" s="393"/>
      <c r="X1123" s="393"/>
      <c r="Y1123" s="419">
        <f t="shared" si="135"/>
        <v>2708756.91</v>
      </c>
      <c r="Z1123" s="419"/>
    </row>
    <row r="1124" spans="1:26" s="403" customFormat="1" ht="56.25" hidden="1" customHeight="1">
      <c r="A1124" s="493">
        <f>A1123+1</f>
        <v>67</v>
      </c>
      <c r="B1124" s="705" t="s">
        <v>3625</v>
      </c>
      <c r="C1124" s="455" t="s">
        <v>240</v>
      </c>
      <c r="D1124" s="747">
        <v>1920</v>
      </c>
      <c r="E1124" s="748">
        <v>714</v>
      </c>
      <c r="F1124" s="748" t="s">
        <v>314</v>
      </c>
      <c r="G1124" s="748">
        <v>425</v>
      </c>
      <c r="H1124" s="676">
        <v>2</v>
      </c>
      <c r="I1124" s="446">
        <v>2</v>
      </c>
      <c r="J1124" s="749">
        <v>12</v>
      </c>
      <c r="K1124" s="750" t="s">
        <v>3610</v>
      </c>
      <c r="L1124" s="650">
        <f>M1124+N1124+O1124+P1124+Q1124</f>
        <v>433731.64</v>
      </c>
      <c r="M1124" s="751">
        <v>427028.32</v>
      </c>
      <c r="N1124" s="763"/>
      <c r="O1124" s="753">
        <v>2025.82</v>
      </c>
      <c r="P1124" s="763"/>
      <c r="Q1124" s="391">
        <v>4677.5</v>
      </c>
      <c r="R1124" s="761">
        <f t="shared" si="137"/>
        <v>1004.7725176470589</v>
      </c>
      <c r="S1124" s="383">
        <f t="shared" si="138"/>
        <v>7.2759576141834259E-12</v>
      </c>
      <c r="T1124" s="454"/>
      <c r="U1124" s="404"/>
      <c r="W1124" s="393"/>
      <c r="X1124" s="393"/>
      <c r="Y1124" s="419">
        <f t="shared" si="135"/>
        <v>433731.64</v>
      </c>
      <c r="Z1124" s="419"/>
    </row>
    <row r="1125" spans="1:26" s="403" customFormat="1" ht="48.75" hidden="1" customHeight="1">
      <c r="A1125" s="493">
        <f>A1124+1</f>
        <v>68</v>
      </c>
      <c r="B1125" s="705" t="s">
        <v>3626</v>
      </c>
      <c r="C1125" s="455" t="s">
        <v>240</v>
      </c>
      <c r="D1125" s="747">
        <v>1710</v>
      </c>
      <c r="E1125" s="748">
        <v>441</v>
      </c>
      <c r="F1125" s="748" t="s">
        <v>252</v>
      </c>
      <c r="G1125" s="748">
        <v>361</v>
      </c>
      <c r="H1125" s="676">
        <v>2</v>
      </c>
      <c r="I1125" s="446">
        <v>2</v>
      </c>
      <c r="J1125" s="749">
        <v>8</v>
      </c>
      <c r="K1125" s="750" t="s">
        <v>38</v>
      </c>
      <c r="L1125" s="650">
        <f>M1125+N1125+O1125+P1125+Q1125</f>
        <v>780567.14</v>
      </c>
      <c r="M1125" s="751">
        <v>767928.65</v>
      </c>
      <c r="N1125" s="763"/>
      <c r="O1125" s="753">
        <v>1987.02</v>
      </c>
      <c r="P1125" s="763"/>
      <c r="Q1125" s="391">
        <v>10651.47</v>
      </c>
      <c r="R1125" s="528">
        <f>M1125/E1125</f>
        <v>1741.334807256236</v>
      </c>
      <c r="S1125" s="383">
        <f t="shared" si="138"/>
        <v>0</v>
      </c>
      <c r="T1125" s="454"/>
      <c r="U1125" s="404"/>
      <c r="W1125" s="393"/>
      <c r="X1125" s="393"/>
      <c r="Y1125" s="419">
        <f t="shared" si="135"/>
        <v>780567.14</v>
      </c>
      <c r="Z1125" s="419"/>
    </row>
    <row r="1126" spans="1:26" s="455" customFormat="1" ht="42.75" hidden="1" customHeight="1">
      <c r="A1126" s="1112" t="s">
        <v>143</v>
      </c>
      <c r="B1126" s="1112"/>
      <c r="C1126" s="446" t="s">
        <v>28</v>
      </c>
      <c r="D1126" s="388">
        <f>SUM(D1058:D1125)</f>
        <v>718365</v>
      </c>
      <c r="E1126" s="388">
        <f>SUM(E1058:E1125)</f>
        <v>135036.64000000001</v>
      </c>
      <c r="F1126" s="388" t="s">
        <v>28</v>
      </c>
      <c r="G1126" s="388">
        <f>SUM(G1058:G1125)</f>
        <v>62547</v>
      </c>
      <c r="H1126" s="446" t="s">
        <v>28</v>
      </c>
      <c r="I1126" s="446" t="s">
        <v>28</v>
      </c>
      <c r="J1126" s="446">
        <f>SUM(J1058:J1125)</f>
        <v>3612</v>
      </c>
      <c r="K1126" s="458" t="s">
        <v>28</v>
      </c>
      <c r="L1126" s="519">
        <f t="shared" ref="L1126:Q1126" si="139">SUM(L1058:L1125)</f>
        <v>173472381</v>
      </c>
      <c r="M1126" s="519">
        <f t="shared" si="139"/>
        <v>171135284.12</v>
      </c>
      <c r="N1126" s="388">
        <f t="shared" si="139"/>
        <v>1851224.6700000002</v>
      </c>
      <c r="O1126" s="473">
        <f t="shared" si="139"/>
        <v>158779.13</v>
      </c>
      <c r="P1126" s="388">
        <f t="shared" si="139"/>
        <v>0</v>
      </c>
      <c r="Q1126" s="388">
        <f t="shared" si="139"/>
        <v>327093.08</v>
      </c>
      <c r="R1126" s="446" t="s">
        <v>28</v>
      </c>
      <c r="S1126" s="383">
        <f t="shared" si="138"/>
        <v>-4.9476511776447296E-9</v>
      </c>
      <c r="T1126" s="387"/>
      <c r="U1126" s="390"/>
      <c r="V1126" s="459"/>
      <c r="W1126" s="459"/>
      <c r="X1126" s="408"/>
      <c r="Y1126" s="419">
        <f t="shared" si="135"/>
        <v>173472381</v>
      </c>
      <c r="Z1126" s="419"/>
    </row>
    <row r="1127" spans="1:26" s="455" customFormat="1" ht="31.5" hidden="1" customHeight="1">
      <c r="A1127" s="1113" t="s">
        <v>3769</v>
      </c>
      <c r="B1127" s="1113"/>
      <c r="C1127" s="1113"/>
      <c r="D1127" s="1113"/>
      <c r="E1127" s="1113"/>
      <c r="F1127" s="1113"/>
      <c r="G1127" s="1113"/>
      <c r="H1127" s="1113"/>
      <c r="I1127" s="1113"/>
      <c r="J1127" s="1113"/>
      <c r="K1127" s="1113"/>
      <c r="L1127" s="1113"/>
      <c r="M1127" s="1113"/>
      <c r="N1127" s="1113"/>
      <c r="O1127" s="1113"/>
      <c r="P1127" s="1113"/>
      <c r="Q1127" s="1113"/>
      <c r="R1127" s="1113"/>
      <c r="S1127" s="383">
        <f t="shared" si="138"/>
        <v>0</v>
      </c>
      <c r="T1127" s="387"/>
      <c r="U1127" s="390"/>
      <c r="V1127" s="390"/>
      <c r="X1127" s="408"/>
      <c r="Y1127" s="419">
        <f t="shared" si="135"/>
        <v>0</v>
      </c>
      <c r="Z1127" s="419"/>
    </row>
    <row r="1128" spans="1:26" s="403" customFormat="1" ht="37.5" hidden="1" customHeight="1">
      <c r="A1128" s="404">
        <v>1</v>
      </c>
      <c r="B1128" s="403" t="s">
        <v>1199</v>
      </c>
      <c r="C1128" s="531" t="s">
        <v>283</v>
      </c>
      <c r="D1128" s="747"/>
      <c r="E1128" s="748">
        <v>3238.33</v>
      </c>
      <c r="F1128" s="748" t="s">
        <v>292</v>
      </c>
      <c r="G1128" s="748">
        <v>1632</v>
      </c>
      <c r="H1128" s="764">
        <v>5</v>
      </c>
      <c r="I1128" s="764">
        <v>6</v>
      </c>
      <c r="J1128" s="749">
        <v>100</v>
      </c>
      <c r="K1128" s="750" t="s">
        <v>33</v>
      </c>
      <c r="L1128" s="650">
        <f>M1128+N1128+O1128+P1128+Q1128</f>
        <v>4436818.5999999996</v>
      </c>
      <c r="M1128" s="751">
        <v>4401993.5999999996</v>
      </c>
      <c r="N1128" s="752">
        <v>34825</v>
      </c>
      <c r="O1128" s="753"/>
      <c r="P1128" s="752"/>
      <c r="Q1128" s="391"/>
      <c r="R1128" s="765">
        <f>M1128/G1128</f>
        <v>2697.2999999999997</v>
      </c>
      <c r="S1128" s="383">
        <f t="shared" si="138"/>
        <v>0</v>
      </c>
      <c r="T1128" s="391"/>
      <c r="U1128" s="388"/>
      <c r="V1128" s="390"/>
      <c r="Y1128" s="419">
        <f t="shared" si="135"/>
        <v>4436818.5999999996</v>
      </c>
      <c r="Z1128" s="419"/>
    </row>
    <row r="1129" spans="1:26" s="403" customFormat="1" ht="75" hidden="1" customHeight="1">
      <c r="A1129" s="404">
        <f>A1128+1</f>
        <v>2</v>
      </c>
      <c r="B1129" s="403" t="s">
        <v>1200</v>
      </c>
      <c r="C1129" s="531" t="s">
        <v>293</v>
      </c>
      <c r="D1129" s="747"/>
      <c r="E1129" s="748">
        <v>3147</v>
      </c>
      <c r="F1129" s="748" t="s">
        <v>292</v>
      </c>
      <c r="G1129" s="748">
        <v>1642</v>
      </c>
      <c r="H1129" s="764">
        <v>5</v>
      </c>
      <c r="I1129" s="764">
        <v>6</v>
      </c>
      <c r="J1129" s="749">
        <v>101</v>
      </c>
      <c r="K1129" s="750" t="s">
        <v>3800</v>
      </c>
      <c r="L1129" s="650">
        <f>M1129+N1129+O1129+P1129+Q1129</f>
        <v>2598790.09</v>
      </c>
      <c r="M1129" s="751">
        <v>2590650</v>
      </c>
      <c r="N1129" s="752"/>
      <c r="O1129" s="753">
        <v>8140.09</v>
      </c>
      <c r="P1129" s="752"/>
      <c r="Q1129" s="391"/>
      <c r="R1129" s="765">
        <f>M1129/J1129</f>
        <v>25650</v>
      </c>
      <c r="S1129" s="383">
        <f t="shared" si="138"/>
        <v>-1.4915713109076023E-10</v>
      </c>
      <c r="T1129" s="391"/>
      <c r="U1129" s="388"/>
      <c r="V1129" s="390"/>
      <c r="Y1129" s="419">
        <f t="shared" si="135"/>
        <v>2598790.09</v>
      </c>
      <c r="Z1129" s="419"/>
    </row>
    <row r="1130" spans="1:26" s="403" customFormat="1" ht="37.5" hidden="1" customHeight="1">
      <c r="A1130" s="404">
        <v>3</v>
      </c>
      <c r="B1130" s="403" t="s">
        <v>1201</v>
      </c>
      <c r="C1130" s="531" t="s">
        <v>294</v>
      </c>
      <c r="D1130" s="747"/>
      <c r="E1130" s="748">
        <v>499</v>
      </c>
      <c r="F1130" s="748" t="s">
        <v>292</v>
      </c>
      <c r="G1130" s="748">
        <v>859</v>
      </c>
      <c r="H1130" s="764">
        <v>2</v>
      </c>
      <c r="I1130" s="764">
        <v>3</v>
      </c>
      <c r="J1130" s="749">
        <v>8</v>
      </c>
      <c r="K1130" s="750" t="s">
        <v>33</v>
      </c>
      <c r="L1130" s="650">
        <f>M1130+N1130+O1130+P1130+Q1130</f>
        <v>2312505.06</v>
      </c>
      <c r="M1130" s="751">
        <v>2282655.06</v>
      </c>
      <c r="N1130" s="752">
        <v>29850</v>
      </c>
      <c r="O1130" s="753"/>
      <c r="P1130" s="752"/>
      <c r="Q1130" s="391"/>
      <c r="R1130" s="765">
        <f>M1130/G1130</f>
        <v>2657.34</v>
      </c>
      <c r="S1130" s="383">
        <f t="shared" si="138"/>
        <v>0</v>
      </c>
      <c r="T1130" s="391"/>
      <c r="U1130" s="406"/>
      <c r="V1130" s="390"/>
      <c r="Y1130" s="419">
        <f t="shared" si="135"/>
        <v>2312505.06</v>
      </c>
      <c r="Z1130" s="419"/>
    </row>
    <row r="1131" spans="1:26" s="403" customFormat="1" ht="37.5" hidden="1" customHeight="1">
      <c r="A1131" s="404">
        <v>4</v>
      </c>
      <c r="B1131" s="1124" t="s">
        <v>1202</v>
      </c>
      <c r="C1131" s="531" t="s">
        <v>294</v>
      </c>
      <c r="D1131" s="747"/>
      <c r="E1131" s="748">
        <v>499</v>
      </c>
      <c r="F1131" s="748" t="s">
        <v>292</v>
      </c>
      <c r="G1131" s="748">
        <v>430</v>
      </c>
      <c r="H1131" s="764">
        <v>2</v>
      </c>
      <c r="I1131" s="764">
        <v>2</v>
      </c>
      <c r="J1131" s="749">
        <v>8</v>
      </c>
      <c r="K1131" s="750" t="s">
        <v>33</v>
      </c>
      <c r="L1131" s="1129">
        <f>M1131+N1131+O1131+P1131+Q1131+M1132+N1132+O1132+P1132+Q1132</f>
        <v>1985725.2</v>
      </c>
      <c r="M1131" s="751">
        <v>1208869.67</v>
      </c>
      <c r="N1131" s="752">
        <v>29850</v>
      </c>
      <c r="O1131" s="753"/>
      <c r="P1131" s="752"/>
      <c r="Q1131" s="391"/>
      <c r="R1131" s="765">
        <f>M1131/G1131</f>
        <v>2811.324813953488</v>
      </c>
      <c r="S1131" s="383">
        <f t="shared" si="138"/>
        <v>747005.53</v>
      </c>
      <c r="T1131" s="391"/>
      <c r="U1131" s="388"/>
      <c r="V1131" s="390"/>
      <c r="W1131" s="393"/>
      <c r="Y1131" s="419">
        <f t="shared" si="135"/>
        <v>1238719.67</v>
      </c>
      <c r="Z1131" s="419"/>
    </row>
    <row r="1132" spans="1:26" s="403" customFormat="1" ht="39" hidden="1" customHeight="1">
      <c r="A1132" s="404"/>
      <c r="B1132" s="1124"/>
      <c r="C1132" s="531"/>
      <c r="D1132" s="747"/>
      <c r="E1132" s="388"/>
      <c r="F1132" s="748"/>
      <c r="G1132" s="748"/>
      <c r="H1132" s="764"/>
      <c r="I1132" s="764"/>
      <c r="J1132" s="749"/>
      <c r="K1132" s="750" t="s">
        <v>38</v>
      </c>
      <c r="L1132" s="1129"/>
      <c r="M1132" s="751">
        <v>744713.05</v>
      </c>
      <c r="N1132" s="752"/>
      <c r="O1132" s="753">
        <v>2292.48</v>
      </c>
      <c r="P1132" s="752"/>
      <c r="Q1132" s="391"/>
      <c r="R1132" s="528">
        <f>M1132/E1131</f>
        <v>1492.4109218436874</v>
      </c>
      <c r="S1132" s="383">
        <f t="shared" si="138"/>
        <v>-747005.53</v>
      </c>
      <c r="T1132" s="391"/>
      <c r="U1132" s="388"/>
      <c r="V1132" s="390"/>
      <c r="Y1132" s="419">
        <f t="shared" si="135"/>
        <v>747005.53</v>
      </c>
      <c r="Z1132" s="419"/>
    </row>
    <row r="1133" spans="1:26" s="403" customFormat="1" ht="75" hidden="1" customHeight="1">
      <c r="A1133" s="404">
        <f>A1131+1</f>
        <v>5</v>
      </c>
      <c r="B1133" s="403" t="s">
        <v>1203</v>
      </c>
      <c r="C1133" s="531" t="s">
        <v>295</v>
      </c>
      <c r="D1133" s="747"/>
      <c r="E1133" s="748">
        <v>2460.1</v>
      </c>
      <c r="F1133" s="748" t="s">
        <v>252</v>
      </c>
      <c r="G1133" s="748">
        <v>1220.28</v>
      </c>
      <c r="H1133" s="764">
        <v>5</v>
      </c>
      <c r="I1133" s="764">
        <v>2</v>
      </c>
      <c r="J1133" s="749">
        <v>146</v>
      </c>
      <c r="K1133" s="750" t="s">
        <v>3801</v>
      </c>
      <c r="L1133" s="650">
        <f>M1133+N1133+O1133+P1133+Q1133</f>
        <v>2264732.1599999997</v>
      </c>
      <c r="M1133" s="751">
        <v>2255144.34</v>
      </c>
      <c r="N1133" s="752"/>
      <c r="O1133" s="753">
        <v>9587.82</v>
      </c>
      <c r="P1133" s="752"/>
      <c r="Q1133" s="391"/>
      <c r="R1133" s="765">
        <f>M1133/J1133</f>
        <v>15446.19410958904</v>
      </c>
      <c r="S1133" s="383">
        <f t="shared" si="138"/>
        <v>-1.673470251262188E-10</v>
      </c>
      <c r="T1133" s="391"/>
      <c r="U1133" s="406"/>
      <c r="V1133" s="390"/>
      <c r="Y1133" s="419">
        <f t="shared" si="135"/>
        <v>2264732.1599999997</v>
      </c>
      <c r="Z1133" s="419"/>
    </row>
    <row r="1134" spans="1:26" s="403" customFormat="1" ht="37.5" hidden="1" customHeight="1">
      <c r="A1134" s="404">
        <f>A1133+1</f>
        <v>6</v>
      </c>
      <c r="B1134" s="1124" t="s">
        <v>1204</v>
      </c>
      <c r="C1134" s="531" t="s">
        <v>296</v>
      </c>
      <c r="D1134" s="747"/>
      <c r="E1134" s="748">
        <v>390</v>
      </c>
      <c r="F1134" s="748" t="s">
        <v>292</v>
      </c>
      <c r="G1134" s="748">
        <v>432</v>
      </c>
      <c r="H1134" s="764">
        <v>2</v>
      </c>
      <c r="I1134" s="764">
        <v>2</v>
      </c>
      <c r="J1134" s="749">
        <v>8</v>
      </c>
      <c r="K1134" s="750" t="s">
        <v>33</v>
      </c>
      <c r="L1134" s="519">
        <f>M1134+N1134+O1134+P1134+Q1134+M1135+N1135+O1135+P1135+Q1135</f>
        <v>1959803.6400000001</v>
      </c>
      <c r="M1134" s="751">
        <v>1166669.29</v>
      </c>
      <c r="N1134" s="752">
        <v>29850</v>
      </c>
      <c r="O1134" s="753"/>
      <c r="P1134" s="752"/>
      <c r="Q1134" s="391"/>
      <c r="R1134" s="765">
        <f>M1134/G1134</f>
        <v>2700.6233564814816</v>
      </c>
      <c r="S1134" s="383">
        <f t="shared" si="138"/>
        <v>763284.35000000009</v>
      </c>
      <c r="T1134" s="391"/>
      <c r="U1134" s="406"/>
      <c r="V1134" s="390"/>
      <c r="Y1134" s="419">
        <f t="shared" si="135"/>
        <v>1196519.29</v>
      </c>
      <c r="Z1134" s="419"/>
    </row>
    <row r="1135" spans="1:26" s="403" customFormat="1" ht="43.5" hidden="1" customHeight="1">
      <c r="A1135" s="404"/>
      <c r="B1135" s="1124"/>
      <c r="C1135" s="531"/>
      <c r="D1135" s="747"/>
      <c r="E1135" s="388"/>
      <c r="F1135" s="748"/>
      <c r="G1135" s="748"/>
      <c r="H1135" s="764"/>
      <c r="I1135" s="764"/>
      <c r="J1135" s="749"/>
      <c r="K1135" s="750" t="s">
        <v>38</v>
      </c>
      <c r="L1135" s="519"/>
      <c r="M1135" s="751">
        <v>760991.87</v>
      </c>
      <c r="N1135" s="752"/>
      <c r="O1135" s="753">
        <v>2292.48</v>
      </c>
      <c r="P1135" s="752"/>
      <c r="Q1135" s="391"/>
      <c r="R1135" s="528">
        <f>M1135/E1134</f>
        <v>1951.2612051282051</v>
      </c>
      <c r="S1135" s="383">
        <f t="shared" si="138"/>
        <v>-763284.35</v>
      </c>
      <c r="T1135" s="391"/>
      <c r="U1135" s="406"/>
      <c r="V1135" s="390"/>
      <c r="Y1135" s="419">
        <f t="shared" si="135"/>
        <v>763284.35</v>
      </c>
      <c r="Z1135" s="419"/>
    </row>
    <row r="1136" spans="1:26" s="403" customFormat="1" ht="37.5" hidden="1" customHeight="1">
      <c r="A1136" s="404">
        <f>A1134+1</f>
        <v>7</v>
      </c>
      <c r="B1136" s="403" t="s">
        <v>1205</v>
      </c>
      <c r="C1136" s="531" t="s">
        <v>222</v>
      </c>
      <c r="D1136" s="747"/>
      <c r="E1136" s="748">
        <v>3844.65</v>
      </c>
      <c r="F1136" s="748" t="s">
        <v>224</v>
      </c>
      <c r="G1136" s="748">
        <v>1131</v>
      </c>
      <c r="H1136" s="764">
        <v>5</v>
      </c>
      <c r="I1136" s="764">
        <v>6</v>
      </c>
      <c r="J1136" s="749">
        <v>77</v>
      </c>
      <c r="K1136" s="750" t="s">
        <v>33</v>
      </c>
      <c r="L1136" s="650">
        <f t="shared" ref="L1136:L1144" si="140">M1136+N1136+O1136+P1136+Q1136</f>
        <v>2481257.6800000002</v>
      </c>
      <c r="M1136" s="751">
        <v>2473840.9500000002</v>
      </c>
      <c r="N1136" s="752"/>
      <c r="O1136" s="753">
        <v>7416.73</v>
      </c>
      <c r="P1136" s="752"/>
      <c r="Q1136" s="391"/>
      <c r="R1136" s="765">
        <f>M1136/G1136</f>
        <v>2187.3041114058356</v>
      </c>
      <c r="S1136" s="383">
        <f t="shared" si="138"/>
        <v>-1.8189894035458565E-11</v>
      </c>
      <c r="T1136" s="391"/>
      <c r="U1136" s="406"/>
      <c r="V1136" s="390"/>
      <c r="Y1136" s="419">
        <f t="shared" si="135"/>
        <v>2481257.6800000002</v>
      </c>
      <c r="Z1136" s="419"/>
    </row>
    <row r="1137" spans="1:26" s="403" customFormat="1" ht="37.5" hidden="1" customHeight="1">
      <c r="A1137" s="404">
        <v>8</v>
      </c>
      <c r="B1137" s="403" t="s">
        <v>1206</v>
      </c>
      <c r="C1137" s="531" t="s">
        <v>222</v>
      </c>
      <c r="D1137" s="747"/>
      <c r="E1137" s="748">
        <v>3844.65</v>
      </c>
      <c r="F1137" s="748" t="s">
        <v>224</v>
      </c>
      <c r="G1137" s="748">
        <v>1544</v>
      </c>
      <c r="H1137" s="764">
        <v>5</v>
      </c>
      <c r="I1137" s="764">
        <v>7</v>
      </c>
      <c r="J1137" s="749">
        <v>106</v>
      </c>
      <c r="K1137" s="750" t="s">
        <v>33</v>
      </c>
      <c r="L1137" s="650">
        <f t="shared" si="140"/>
        <v>2246813.1799999997</v>
      </c>
      <c r="M1137" s="751">
        <v>2236719.9</v>
      </c>
      <c r="N1137" s="752"/>
      <c r="O1137" s="753">
        <v>10093.280000000001</v>
      </c>
      <c r="P1137" s="752"/>
      <c r="Q1137" s="391"/>
      <c r="R1137" s="765">
        <f>M1137/G1137</f>
        <v>1448.6527849740933</v>
      </c>
      <c r="S1137" s="383">
        <f t="shared" si="138"/>
        <v>-2.0554580260068178E-10</v>
      </c>
      <c r="T1137" s="391"/>
      <c r="U1137" s="406"/>
      <c r="V1137" s="390"/>
      <c r="Y1137" s="419">
        <f t="shared" si="135"/>
        <v>2246813.1799999997</v>
      </c>
      <c r="Z1137" s="419"/>
    </row>
    <row r="1138" spans="1:26" s="403" customFormat="1" ht="37.5" hidden="1" customHeight="1">
      <c r="A1138" s="404">
        <v>9</v>
      </c>
      <c r="B1138" s="403" t="s">
        <v>1207</v>
      </c>
      <c r="C1138" s="531" t="s">
        <v>295</v>
      </c>
      <c r="D1138" s="747"/>
      <c r="E1138" s="748">
        <v>1820</v>
      </c>
      <c r="F1138" s="748" t="s">
        <v>292</v>
      </c>
      <c r="G1138" s="748">
        <v>1006</v>
      </c>
      <c r="H1138" s="764">
        <v>5</v>
      </c>
      <c r="I1138" s="764">
        <v>4</v>
      </c>
      <c r="J1138" s="749">
        <v>70</v>
      </c>
      <c r="K1138" s="750" t="s">
        <v>33</v>
      </c>
      <c r="L1138" s="650">
        <f t="shared" si="140"/>
        <v>2440023.0100000002</v>
      </c>
      <c r="M1138" s="751">
        <v>2405198.0100000002</v>
      </c>
      <c r="N1138" s="752">
        <v>34825</v>
      </c>
      <c r="O1138" s="753"/>
      <c r="P1138" s="752"/>
      <c r="Q1138" s="391"/>
      <c r="R1138" s="765">
        <f>M1138/G1138</f>
        <v>2390.8528926441354</v>
      </c>
      <c r="S1138" s="383">
        <f t="shared" si="138"/>
        <v>0</v>
      </c>
      <c r="T1138" s="391"/>
      <c r="U1138" s="406"/>
      <c r="V1138" s="390"/>
      <c r="Y1138" s="419">
        <f t="shared" si="135"/>
        <v>2440023.0100000002</v>
      </c>
      <c r="Z1138" s="419"/>
    </row>
    <row r="1139" spans="1:26" s="403" customFormat="1" ht="37.5" hidden="1" customHeight="1">
      <c r="A1139" s="404">
        <f t="shared" ref="A1139:A1145" si="141">A1138+1</f>
        <v>10</v>
      </c>
      <c r="B1139" s="403" t="s">
        <v>1208</v>
      </c>
      <c r="C1139" s="531" t="s">
        <v>295</v>
      </c>
      <c r="D1139" s="747"/>
      <c r="E1139" s="748">
        <v>3259</v>
      </c>
      <c r="F1139" s="748" t="s">
        <v>292</v>
      </c>
      <c r="G1139" s="748">
        <v>1006</v>
      </c>
      <c r="H1139" s="764">
        <v>5</v>
      </c>
      <c r="I1139" s="764">
        <v>4</v>
      </c>
      <c r="J1139" s="749">
        <v>70</v>
      </c>
      <c r="K1139" s="750" t="s">
        <v>33</v>
      </c>
      <c r="L1139" s="650">
        <f t="shared" si="140"/>
        <v>2174653.35</v>
      </c>
      <c r="M1139" s="751">
        <v>2139828.35</v>
      </c>
      <c r="N1139" s="752">
        <v>34825</v>
      </c>
      <c r="O1139" s="753"/>
      <c r="P1139" s="752"/>
      <c r="Q1139" s="391"/>
      <c r="R1139" s="765">
        <f>M1139/G1139</f>
        <v>2127.0659542743538</v>
      </c>
      <c r="S1139" s="383">
        <f t="shared" si="138"/>
        <v>0</v>
      </c>
      <c r="T1139" s="391"/>
      <c r="U1139" s="388"/>
      <c r="V1139" s="390"/>
      <c r="Y1139" s="419">
        <f t="shared" si="135"/>
        <v>2174653.35</v>
      </c>
      <c r="Z1139" s="419"/>
    </row>
    <row r="1140" spans="1:26" s="403" customFormat="1" ht="37.5" hidden="1" customHeight="1">
      <c r="A1140" s="404">
        <f t="shared" si="141"/>
        <v>11</v>
      </c>
      <c r="B1140" s="403" t="s">
        <v>1209</v>
      </c>
      <c r="C1140" s="531" t="s">
        <v>297</v>
      </c>
      <c r="D1140" s="747"/>
      <c r="E1140" s="748">
        <v>4300</v>
      </c>
      <c r="F1140" s="748" t="s">
        <v>224</v>
      </c>
      <c r="G1140" s="748">
        <v>1169.4000000000001</v>
      </c>
      <c r="H1140" s="764">
        <v>9</v>
      </c>
      <c r="I1140" s="764">
        <v>3</v>
      </c>
      <c r="J1140" s="749">
        <v>108</v>
      </c>
      <c r="K1140" s="750" t="s">
        <v>220</v>
      </c>
      <c r="L1140" s="650">
        <f t="shared" si="140"/>
        <v>5890337.7199999997</v>
      </c>
      <c r="M1140" s="751">
        <v>5743818.9699999997</v>
      </c>
      <c r="N1140" s="388">
        <v>146518.75</v>
      </c>
      <c r="O1140" s="753"/>
      <c r="P1140" s="752"/>
      <c r="Q1140" s="391"/>
      <c r="R1140" s="765">
        <f>M1140/I1140</f>
        <v>1914606.3233333332</v>
      </c>
      <c r="S1140" s="383">
        <f t="shared" si="138"/>
        <v>0</v>
      </c>
      <c r="T1140" s="391"/>
      <c r="U1140" s="404" t="s">
        <v>3495</v>
      </c>
      <c r="V1140" s="390"/>
      <c r="Y1140" s="419">
        <f t="shared" si="135"/>
        <v>5890337.7199999997</v>
      </c>
      <c r="Z1140" s="419"/>
    </row>
    <row r="1141" spans="1:26" s="403" customFormat="1" ht="37.5" hidden="1" customHeight="1">
      <c r="A1141" s="404">
        <f t="shared" si="141"/>
        <v>12</v>
      </c>
      <c r="B1141" s="403" t="s">
        <v>1210</v>
      </c>
      <c r="C1141" s="531" t="s">
        <v>293</v>
      </c>
      <c r="D1141" s="747"/>
      <c r="E1141" s="748">
        <v>3123</v>
      </c>
      <c r="F1141" s="748" t="s">
        <v>292</v>
      </c>
      <c r="G1141" s="748">
        <v>1629</v>
      </c>
      <c r="H1141" s="764">
        <v>5</v>
      </c>
      <c r="I1141" s="764">
        <v>6</v>
      </c>
      <c r="J1141" s="749">
        <v>100</v>
      </c>
      <c r="K1141" s="750" t="s">
        <v>33</v>
      </c>
      <c r="L1141" s="650">
        <f t="shared" si="140"/>
        <v>4519375.38</v>
      </c>
      <c r="M1141" s="751">
        <v>4484550.38</v>
      </c>
      <c r="N1141" s="752">
        <v>34825</v>
      </c>
      <c r="O1141" s="753"/>
      <c r="P1141" s="752"/>
      <c r="Q1141" s="391"/>
      <c r="R1141" s="765">
        <f>M1141/G1141</f>
        <v>2752.9468262737873</v>
      </c>
      <c r="S1141" s="383">
        <f t="shared" si="138"/>
        <v>0</v>
      </c>
      <c r="T1141" s="391"/>
      <c r="U1141" s="406"/>
      <c r="V1141" s="390"/>
      <c r="Y1141" s="419">
        <f t="shared" si="135"/>
        <v>4519375.38</v>
      </c>
      <c r="Z1141" s="419"/>
    </row>
    <row r="1142" spans="1:26" s="403" customFormat="1" ht="51" hidden="1" customHeight="1">
      <c r="A1142" s="404">
        <f t="shared" si="141"/>
        <v>13</v>
      </c>
      <c r="B1142" s="403" t="s">
        <v>1211</v>
      </c>
      <c r="C1142" s="531" t="s">
        <v>293</v>
      </c>
      <c r="D1142" s="747"/>
      <c r="E1142" s="748">
        <v>2228</v>
      </c>
      <c r="F1142" s="748" t="s">
        <v>234</v>
      </c>
      <c r="G1142" s="748">
        <v>766</v>
      </c>
      <c r="H1142" s="764">
        <v>5</v>
      </c>
      <c r="I1142" s="764">
        <v>1</v>
      </c>
      <c r="J1142" s="749">
        <v>70</v>
      </c>
      <c r="K1142" s="750" t="s">
        <v>33</v>
      </c>
      <c r="L1142" s="650">
        <f t="shared" si="140"/>
        <v>1648949.5999999999</v>
      </c>
      <c r="M1142" s="751">
        <v>1643918.88</v>
      </c>
      <c r="N1142" s="752"/>
      <c r="O1142" s="753">
        <v>5030.72</v>
      </c>
      <c r="P1142" s="752"/>
      <c r="Q1142" s="391"/>
      <c r="R1142" s="765">
        <f>M1142/G1142</f>
        <v>2146.1081984334201</v>
      </c>
      <c r="S1142" s="383">
        <f t="shared" si="138"/>
        <v>-2.8194335754960775E-11</v>
      </c>
      <c r="T1142" s="391"/>
      <c r="U1142" s="388"/>
      <c r="V1142" s="390"/>
      <c r="Y1142" s="419">
        <f t="shared" si="135"/>
        <v>1648949.5999999999</v>
      </c>
      <c r="Z1142" s="419"/>
    </row>
    <row r="1143" spans="1:26" s="403" customFormat="1" ht="37.5" hidden="1" customHeight="1">
      <c r="A1143" s="404">
        <f t="shared" si="141"/>
        <v>14</v>
      </c>
      <c r="B1143" s="403" t="s">
        <v>1212</v>
      </c>
      <c r="C1143" s="531" t="s">
        <v>222</v>
      </c>
      <c r="D1143" s="747"/>
      <c r="E1143" s="748">
        <v>3760</v>
      </c>
      <c r="F1143" s="748" t="s">
        <v>252</v>
      </c>
      <c r="G1143" s="748">
        <v>2212</v>
      </c>
      <c r="H1143" s="764">
        <v>5</v>
      </c>
      <c r="I1143" s="764">
        <v>8</v>
      </c>
      <c r="J1143" s="749">
        <v>128</v>
      </c>
      <c r="K1143" s="750" t="s">
        <v>33</v>
      </c>
      <c r="L1143" s="650">
        <f t="shared" si="140"/>
        <v>6105348.8300000001</v>
      </c>
      <c r="M1143" s="751">
        <v>6070523.8300000001</v>
      </c>
      <c r="N1143" s="752">
        <v>34825</v>
      </c>
      <c r="O1143" s="753"/>
      <c r="P1143" s="752"/>
      <c r="Q1143" s="391"/>
      <c r="R1143" s="765">
        <f>M1143/G1143</f>
        <v>2744.3597784810127</v>
      </c>
      <c r="S1143" s="383">
        <f t="shared" si="138"/>
        <v>0</v>
      </c>
      <c r="T1143" s="391"/>
      <c r="U1143" s="406"/>
      <c r="V1143" s="390"/>
      <c r="Y1143" s="419">
        <f t="shared" si="135"/>
        <v>6105348.8300000001</v>
      </c>
      <c r="Z1143" s="419"/>
    </row>
    <row r="1144" spans="1:26" s="403" customFormat="1" ht="37.5" hidden="1" customHeight="1">
      <c r="A1144" s="404">
        <f t="shared" si="141"/>
        <v>15</v>
      </c>
      <c r="B1144" s="403" t="s">
        <v>1213</v>
      </c>
      <c r="C1144" s="531" t="s">
        <v>296</v>
      </c>
      <c r="D1144" s="747"/>
      <c r="E1144" s="748">
        <v>652</v>
      </c>
      <c r="F1144" s="748" t="s">
        <v>292</v>
      </c>
      <c r="G1144" s="748">
        <v>743</v>
      </c>
      <c r="H1144" s="764">
        <v>2</v>
      </c>
      <c r="I1144" s="764">
        <v>2</v>
      </c>
      <c r="J1144" s="749">
        <v>12</v>
      </c>
      <c r="K1144" s="750" t="s">
        <v>33</v>
      </c>
      <c r="L1144" s="650">
        <f t="shared" si="140"/>
        <v>2095390</v>
      </c>
      <c r="M1144" s="751">
        <v>2065540</v>
      </c>
      <c r="N1144" s="752">
        <v>29850</v>
      </c>
      <c r="O1144" s="753"/>
      <c r="P1144" s="752"/>
      <c r="Q1144" s="391"/>
      <c r="R1144" s="765">
        <f>M1144/G1144</f>
        <v>2780</v>
      </c>
      <c r="S1144" s="383">
        <f t="shared" si="138"/>
        <v>0</v>
      </c>
      <c r="T1144" s="391"/>
      <c r="U1144" s="406"/>
      <c r="V1144" s="390"/>
      <c r="Y1144" s="419">
        <f t="shared" si="135"/>
        <v>2095390</v>
      </c>
      <c r="Z1144" s="419"/>
    </row>
    <row r="1145" spans="1:26" s="403" customFormat="1" ht="37.5" hidden="1" customHeight="1">
      <c r="A1145" s="404">
        <f t="shared" si="141"/>
        <v>16</v>
      </c>
      <c r="B1145" s="1124" t="s">
        <v>3573</v>
      </c>
      <c r="C1145" s="531" t="s">
        <v>3574</v>
      </c>
      <c r="D1145" s="747">
        <v>1696</v>
      </c>
      <c r="E1145" s="748">
        <v>490</v>
      </c>
      <c r="F1145" s="748" t="s">
        <v>252</v>
      </c>
      <c r="G1145" s="748">
        <v>450</v>
      </c>
      <c r="H1145" s="764">
        <v>2</v>
      </c>
      <c r="I1145" s="764">
        <v>2</v>
      </c>
      <c r="J1145" s="749">
        <v>8</v>
      </c>
      <c r="K1145" s="750" t="s">
        <v>33</v>
      </c>
      <c r="L1145" s="1142">
        <f>M1145+N1145+O1145+P1145+Q1145+M1146+N1146+O1146+P1146+Q1146</f>
        <v>1793779.2199999997</v>
      </c>
      <c r="M1145" s="751">
        <v>856961.63</v>
      </c>
      <c r="N1145" s="752">
        <v>17609.5</v>
      </c>
      <c r="O1145" s="762"/>
      <c r="P1145" s="763"/>
      <c r="Q1145" s="391">
        <v>8263.48</v>
      </c>
      <c r="R1145" s="765">
        <f>M1145/G1145</f>
        <v>1904.3591777777779</v>
      </c>
      <c r="S1145" s="383"/>
      <c r="T1145" s="391"/>
      <c r="U1145" s="406"/>
      <c r="V1145" s="390"/>
      <c r="Y1145" s="419">
        <f t="shared" si="135"/>
        <v>882834.61</v>
      </c>
      <c r="Z1145" s="419"/>
    </row>
    <row r="1146" spans="1:26" s="403" customFormat="1" ht="32.25" hidden="1" customHeight="1">
      <c r="A1146" s="404"/>
      <c r="B1146" s="1124"/>
      <c r="C1146" s="531"/>
      <c r="D1146" s="747"/>
      <c r="E1146" s="748"/>
      <c r="F1146" s="748"/>
      <c r="G1146" s="748"/>
      <c r="H1146" s="764"/>
      <c r="I1146" s="764"/>
      <c r="J1146" s="749"/>
      <c r="K1146" s="750" t="s">
        <v>38</v>
      </c>
      <c r="L1146" s="1142"/>
      <c r="M1146" s="751">
        <v>898395.66999999993</v>
      </c>
      <c r="N1146" s="763"/>
      <c r="O1146" s="753">
        <v>1984.03</v>
      </c>
      <c r="P1146" s="763"/>
      <c r="Q1146" s="391">
        <v>10564.91</v>
      </c>
      <c r="R1146" s="528">
        <f>M1146/E1145</f>
        <v>1833.460551020408</v>
      </c>
      <c r="S1146" s="383"/>
      <c r="T1146" s="391"/>
      <c r="U1146" s="406"/>
      <c r="V1146" s="390"/>
      <c r="Y1146" s="419">
        <f t="shared" si="135"/>
        <v>910944.61</v>
      </c>
      <c r="Z1146" s="419"/>
    </row>
    <row r="1147" spans="1:26" s="403" customFormat="1" ht="37.5" hidden="1" customHeight="1">
      <c r="A1147" s="404">
        <v>17</v>
      </c>
      <c r="B1147" s="1124" t="s">
        <v>3575</v>
      </c>
      <c r="C1147" s="531" t="s">
        <v>3574</v>
      </c>
      <c r="D1147" s="747">
        <v>3583</v>
      </c>
      <c r="E1147" s="748">
        <v>768.3</v>
      </c>
      <c r="F1147" s="748" t="s">
        <v>252</v>
      </c>
      <c r="G1147" s="748">
        <v>751.3</v>
      </c>
      <c r="H1147" s="764">
        <v>2</v>
      </c>
      <c r="I1147" s="764">
        <v>2</v>
      </c>
      <c r="J1147" s="749">
        <v>12</v>
      </c>
      <c r="K1147" s="750" t="s">
        <v>33</v>
      </c>
      <c r="L1147" s="1142">
        <f>M1147+N1147+O1147+P1147+Q1147+M1148+N1148+O1148+P1148+Q1148</f>
        <v>3818788.29</v>
      </c>
      <c r="M1147" s="751">
        <v>2237736.23</v>
      </c>
      <c r="N1147" s="752">
        <v>20716.900000000001</v>
      </c>
      <c r="O1147" s="762"/>
      <c r="P1147" s="763"/>
      <c r="Q1147" s="391">
        <v>17457.27</v>
      </c>
      <c r="R1147" s="765">
        <f>M1147/G1147</f>
        <v>2978.4855982962868</v>
      </c>
      <c r="S1147" s="383"/>
      <c r="T1147" s="391"/>
      <c r="U1147" s="406"/>
      <c r="V1147" s="390"/>
      <c r="Y1147" s="419">
        <f t="shared" si="135"/>
        <v>2275910.4</v>
      </c>
      <c r="Z1147" s="419"/>
    </row>
    <row r="1148" spans="1:26" s="403" customFormat="1" ht="45" hidden="1" customHeight="1">
      <c r="A1148" s="404"/>
      <c r="B1148" s="1124"/>
      <c r="C1148" s="531"/>
      <c r="D1148" s="747"/>
      <c r="E1148" s="748"/>
      <c r="F1148" s="748"/>
      <c r="G1148" s="748"/>
      <c r="H1148" s="764"/>
      <c r="I1148" s="764"/>
      <c r="J1148" s="749"/>
      <c r="K1148" s="750" t="s">
        <v>38</v>
      </c>
      <c r="L1148" s="1142"/>
      <c r="M1148" s="751">
        <v>1518224.77</v>
      </c>
      <c r="N1148" s="763"/>
      <c r="O1148" s="753">
        <v>2334.27</v>
      </c>
      <c r="P1148" s="763"/>
      <c r="Q1148" s="391">
        <v>22318.85</v>
      </c>
      <c r="R1148" s="528">
        <f>M1148/E1147</f>
        <v>1976.0832617467136</v>
      </c>
      <c r="S1148" s="383"/>
      <c r="T1148" s="391"/>
      <c r="U1148" s="406"/>
      <c r="V1148" s="390"/>
      <c r="Y1148" s="419">
        <f t="shared" si="135"/>
        <v>1542877.8900000001</v>
      </c>
      <c r="Z1148" s="419"/>
    </row>
    <row r="1149" spans="1:26" s="455" customFormat="1" ht="42.75" hidden="1" customHeight="1">
      <c r="A1149" s="1112" t="s">
        <v>144</v>
      </c>
      <c r="B1149" s="1112"/>
      <c r="C1149" s="446" t="s">
        <v>28</v>
      </c>
      <c r="D1149" s="446"/>
      <c r="E1149" s="388">
        <f>SUM(E1128:E1148)</f>
        <v>38323.03</v>
      </c>
      <c r="F1149" s="388" t="s">
        <v>28</v>
      </c>
      <c r="G1149" s="388">
        <f>SUM(G1128:G1148)</f>
        <v>18622.98</v>
      </c>
      <c r="H1149" s="446" t="s">
        <v>28</v>
      </c>
      <c r="I1149" s="446" t="s">
        <v>28</v>
      </c>
      <c r="J1149" s="446">
        <f>SUM(J1128:J1148)</f>
        <v>1132</v>
      </c>
      <c r="K1149" s="458" t="s">
        <v>28</v>
      </c>
      <c r="L1149" s="519">
        <f t="shared" ref="L1149:Q1149" si="142">SUM(L1128:L1148)</f>
        <v>50773091.009999998</v>
      </c>
      <c r="M1149" s="519">
        <f t="shared" si="142"/>
        <v>50186944.45000001</v>
      </c>
      <c r="N1149" s="388">
        <f t="shared" si="142"/>
        <v>478370.15</v>
      </c>
      <c r="O1149" s="473">
        <f t="shared" si="142"/>
        <v>49171.899999999994</v>
      </c>
      <c r="P1149" s="388">
        <f t="shared" si="142"/>
        <v>0</v>
      </c>
      <c r="Q1149" s="388">
        <f t="shared" si="142"/>
        <v>58604.51</v>
      </c>
      <c r="R1149" s="446" t="s">
        <v>28</v>
      </c>
      <c r="S1149" s="383">
        <f>L1149-M1149-N1149-O1149-P1149-Q1149</f>
        <v>-1.2536474969238043E-8</v>
      </c>
      <c r="T1149" s="387"/>
      <c r="U1149" s="404"/>
      <c r="V1149" s="459"/>
      <c r="W1149" s="459"/>
      <c r="X1149" s="408"/>
      <c r="Y1149" s="419">
        <f t="shared" si="135"/>
        <v>50773091.010000005</v>
      </c>
      <c r="Z1149" s="419"/>
    </row>
    <row r="1150" spans="1:26" s="455" customFormat="1" ht="42.75" hidden="1" customHeight="1">
      <c r="A1150" s="1113" t="s">
        <v>167</v>
      </c>
      <c r="B1150" s="1113"/>
      <c r="C1150" s="1113"/>
      <c r="D1150" s="1113"/>
      <c r="E1150" s="1113"/>
      <c r="F1150" s="1113"/>
      <c r="G1150" s="1113"/>
      <c r="H1150" s="1113"/>
      <c r="I1150" s="1113"/>
      <c r="J1150" s="1113"/>
      <c r="K1150" s="1113"/>
      <c r="L1150" s="1113"/>
      <c r="M1150" s="1113"/>
      <c r="N1150" s="1113"/>
      <c r="O1150" s="1113"/>
      <c r="P1150" s="1113"/>
      <c r="Q1150" s="1113"/>
      <c r="R1150" s="1113"/>
      <c r="S1150" s="383"/>
      <c r="T1150" s="387"/>
      <c r="U1150" s="404"/>
      <c r="V1150" s="390"/>
      <c r="X1150" s="408"/>
      <c r="Y1150" s="419">
        <f t="shared" si="135"/>
        <v>0</v>
      </c>
      <c r="Z1150" s="419"/>
    </row>
    <row r="1151" spans="1:26" s="403" customFormat="1" ht="37.5" hidden="1" customHeight="1">
      <c r="A1151" s="493">
        <v>1</v>
      </c>
      <c r="B1151" s="403" t="s">
        <v>1214</v>
      </c>
      <c r="C1151" s="617" t="s">
        <v>218</v>
      </c>
      <c r="D1151" s="766">
        <f t="shared" ref="D1151:D1188" si="143">E1151/1.16/2*13</f>
        <v>23142.241379310344</v>
      </c>
      <c r="E1151" s="388">
        <v>4130</v>
      </c>
      <c r="F1151" s="388" t="s">
        <v>219</v>
      </c>
      <c r="G1151" s="388">
        <v>1694</v>
      </c>
      <c r="H1151" s="446">
        <v>5</v>
      </c>
      <c r="I1151" s="446">
        <v>8</v>
      </c>
      <c r="J1151" s="446">
        <v>160</v>
      </c>
      <c r="K1151" s="767" t="s">
        <v>33</v>
      </c>
      <c r="L1151" s="650">
        <f t="shared" ref="L1151:L1182" si="144">M1151+N1151+O1151+P1151+Q1151</f>
        <v>3252166.6599999997</v>
      </c>
      <c r="M1151" s="519">
        <v>3240536.11</v>
      </c>
      <c r="N1151" s="388"/>
      <c r="O1151" s="473">
        <v>11630.55</v>
      </c>
      <c r="P1151" s="388"/>
      <c r="Q1151" s="388"/>
      <c r="R1151" s="446">
        <f>M1151/G1151</f>
        <v>1912.949297520661</v>
      </c>
      <c r="S1151" s="383">
        <f t="shared" ref="S1151:S1182" si="145">L1151-M1151-N1151-O1151-P1151-Q1151</f>
        <v>-1.8553691916167736E-10</v>
      </c>
      <c r="T1151" s="388"/>
      <c r="U1151" s="390"/>
      <c r="V1151" s="390"/>
      <c r="Y1151" s="419">
        <f t="shared" si="135"/>
        <v>3252166.6599999997</v>
      </c>
      <c r="Z1151" s="419"/>
    </row>
    <row r="1152" spans="1:26" s="403" customFormat="1" ht="37.5" hidden="1" customHeight="1">
      <c r="A1152" s="493">
        <f>A1151+1</f>
        <v>2</v>
      </c>
      <c r="B1152" s="403" t="s">
        <v>1216</v>
      </c>
      <c r="C1152" s="617" t="s">
        <v>218</v>
      </c>
      <c r="D1152" s="766">
        <f t="shared" si="143"/>
        <v>28577.586206896551</v>
      </c>
      <c r="E1152" s="748">
        <v>5100</v>
      </c>
      <c r="F1152" s="388" t="s">
        <v>219</v>
      </c>
      <c r="G1152" s="388">
        <v>990</v>
      </c>
      <c r="H1152" s="446">
        <v>9</v>
      </c>
      <c r="I1152" s="446">
        <v>3</v>
      </c>
      <c r="J1152" s="446">
        <v>108</v>
      </c>
      <c r="K1152" s="767" t="s">
        <v>227</v>
      </c>
      <c r="L1152" s="650">
        <f t="shared" si="144"/>
        <v>12194352.33</v>
      </c>
      <c r="M1152" s="519">
        <v>12156044.83</v>
      </c>
      <c r="N1152" s="388">
        <v>38307.5</v>
      </c>
      <c r="O1152" s="473"/>
      <c r="P1152" s="388"/>
      <c r="Q1152" s="388"/>
      <c r="R1152" s="528">
        <f>M1152/E1152</f>
        <v>2383.5382019607841</v>
      </c>
      <c r="S1152" s="383">
        <f t="shared" si="145"/>
        <v>0</v>
      </c>
      <c r="T1152" s="388"/>
      <c r="U1152" s="390"/>
      <c r="V1152" s="390"/>
      <c r="Y1152" s="419">
        <f t="shared" si="135"/>
        <v>12194352.33</v>
      </c>
      <c r="Z1152" s="419"/>
    </row>
    <row r="1153" spans="1:26" s="403" customFormat="1" ht="37.5" hidden="1" customHeight="1">
      <c r="A1153" s="493">
        <f t="shared" ref="A1153:A1213" si="146">A1152+1</f>
        <v>3</v>
      </c>
      <c r="B1153" s="403" t="s">
        <v>1217</v>
      </c>
      <c r="C1153" s="617" t="s">
        <v>299</v>
      </c>
      <c r="D1153" s="766">
        <f t="shared" si="143"/>
        <v>16401.293103448275</v>
      </c>
      <c r="E1153" s="388">
        <v>2927</v>
      </c>
      <c r="F1153" s="388" t="s">
        <v>219</v>
      </c>
      <c r="G1153" s="388">
        <v>948</v>
      </c>
      <c r="H1153" s="446">
        <v>5</v>
      </c>
      <c r="I1153" s="446">
        <v>4</v>
      </c>
      <c r="J1153" s="446">
        <v>69</v>
      </c>
      <c r="K1153" s="767" t="s">
        <v>33</v>
      </c>
      <c r="L1153" s="650">
        <f t="shared" si="144"/>
        <v>1841574.01</v>
      </c>
      <c r="M1153" s="751">
        <v>1835065.72</v>
      </c>
      <c r="N1153" s="388"/>
      <c r="O1153" s="473">
        <v>6508.29</v>
      </c>
      <c r="P1153" s="388"/>
      <c r="Q1153" s="388"/>
      <c r="R1153" s="446">
        <f>M1153/G1153</f>
        <v>1935.7233333333334</v>
      </c>
      <c r="S1153" s="383">
        <f t="shared" si="145"/>
        <v>3.7289282772690058E-11</v>
      </c>
      <c r="T1153" s="388"/>
      <c r="U1153" s="390"/>
      <c r="V1153" s="390"/>
      <c r="Y1153" s="419">
        <f t="shared" si="135"/>
        <v>1841574.01</v>
      </c>
      <c r="Z1153" s="419"/>
    </row>
    <row r="1154" spans="1:26" s="403" customFormat="1" ht="37.5" hidden="1" customHeight="1">
      <c r="A1154" s="493">
        <f t="shared" si="146"/>
        <v>4</v>
      </c>
      <c r="B1154" s="403" t="s">
        <v>1218</v>
      </c>
      <c r="C1154" s="617" t="s">
        <v>299</v>
      </c>
      <c r="D1154" s="766">
        <f t="shared" si="143"/>
        <v>16306.034482758621</v>
      </c>
      <c r="E1154" s="388">
        <v>2910</v>
      </c>
      <c r="F1154" s="388" t="s">
        <v>219</v>
      </c>
      <c r="G1154" s="388">
        <v>937.9</v>
      </c>
      <c r="H1154" s="446">
        <v>5</v>
      </c>
      <c r="I1154" s="446">
        <v>4</v>
      </c>
      <c r="J1154" s="446">
        <v>68</v>
      </c>
      <c r="K1154" s="767" t="s">
        <v>33</v>
      </c>
      <c r="L1154" s="650">
        <f t="shared" si="144"/>
        <v>1848592.63</v>
      </c>
      <c r="M1154" s="519">
        <v>1842152.99</v>
      </c>
      <c r="N1154" s="388"/>
      <c r="O1154" s="473">
        <v>6439.64</v>
      </c>
      <c r="P1154" s="388"/>
      <c r="Q1154" s="388"/>
      <c r="R1154" s="446">
        <f>M1154/G1154</f>
        <v>1964.1251625972918</v>
      </c>
      <c r="S1154" s="383">
        <f t="shared" si="145"/>
        <v>-1.0277290130034089E-10</v>
      </c>
      <c r="T1154" s="388"/>
      <c r="U1154" s="390"/>
      <c r="V1154" s="390"/>
      <c r="Y1154" s="419">
        <f t="shared" si="135"/>
        <v>1848592.63</v>
      </c>
      <c r="Z1154" s="419"/>
    </row>
    <row r="1155" spans="1:26" s="403" customFormat="1" ht="37.5" hidden="1" customHeight="1">
      <c r="A1155" s="493">
        <f t="shared" si="146"/>
        <v>5</v>
      </c>
      <c r="B1155" s="403" t="s">
        <v>1219</v>
      </c>
      <c r="C1155" s="617" t="s">
        <v>299</v>
      </c>
      <c r="D1155" s="766">
        <f t="shared" si="143"/>
        <v>16289.224137931036</v>
      </c>
      <c r="E1155" s="388">
        <v>2907</v>
      </c>
      <c r="F1155" s="388" t="s">
        <v>219</v>
      </c>
      <c r="G1155" s="388">
        <v>936</v>
      </c>
      <c r="H1155" s="446">
        <v>5</v>
      </c>
      <c r="I1155" s="446">
        <v>4</v>
      </c>
      <c r="J1155" s="446">
        <v>70</v>
      </c>
      <c r="K1155" s="767" t="s">
        <v>33</v>
      </c>
      <c r="L1155" s="650">
        <f t="shared" si="144"/>
        <v>1837269.9200000002</v>
      </c>
      <c r="M1155" s="751">
        <v>1830844.2100000002</v>
      </c>
      <c r="N1155" s="388"/>
      <c r="O1155" s="473">
        <v>6425.71</v>
      </c>
      <c r="P1155" s="388"/>
      <c r="Q1155" s="388"/>
      <c r="R1155" s="446">
        <f>M1155/G1155</f>
        <v>1956.030138888889</v>
      </c>
      <c r="S1155" s="383">
        <f t="shared" si="145"/>
        <v>-3.7289282772690058E-11</v>
      </c>
      <c r="T1155" s="388"/>
      <c r="U1155" s="390"/>
      <c r="V1155" s="390"/>
      <c r="Y1155" s="419">
        <f t="shared" si="135"/>
        <v>1837269.9200000002</v>
      </c>
      <c r="Z1155" s="419"/>
    </row>
    <row r="1156" spans="1:26" s="403" customFormat="1" ht="37.5" hidden="1" customHeight="1">
      <c r="A1156" s="493">
        <f t="shared" si="146"/>
        <v>6</v>
      </c>
      <c r="B1156" s="403" t="s">
        <v>1220</v>
      </c>
      <c r="C1156" s="617" t="s">
        <v>222</v>
      </c>
      <c r="D1156" s="766">
        <f t="shared" si="143"/>
        <v>20340.517241379312</v>
      </c>
      <c r="E1156" s="748">
        <v>3630</v>
      </c>
      <c r="F1156" s="388" t="s">
        <v>219</v>
      </c>
      <c r="G1156" s="388">
        <v>547</v>
      </c>
      <c r="H1156" s="446">
        <v>9</v>
      </c>
      <c r="I1156" s="446">
        <v>1</v>
      </c>
      <c r="J1156" s="446">
        <v>62</v>
      </c>
      <c r="K1156" s="767" t="s">
        <v>227</v>
      </c>
      <c r="L1156" s="650">
        <f t="shared" si="144"/>
        <v>8842686.8800000008</v>
      </c>
      <c r="M1156" s="519">
        <f>8340651+469200.88</f>
        <v>8809851.8800000008</v>
      </c>
      <c r="N1156" s="388">
        <v>32835</v>
      </c>
      <c r="O1156" s="473"/>
      <c r="P1156" s="388"/>
      <c r="Q1156" s="388"/>
      <c r="R1156" s="528">
        <f>M1156/E1156</f>
        <v>2426.9564407713501</v>
      </c>
      <c r="S1156" s="383">
        <f t="shared" si="145"/>
        <v>0</v>
      </c>
      <c r="T1156" s="388"/>
      <c r="U1156" s="390"/>
      <c r="V1156" s="390"/>
      <c r="Y1156" s="419">
        <f t="shared" si="135"/>
        <v>8842686.8800000008</v>
      </c>
      <c r="Z1156" s="419"/>
    </row>
    <row r="1157" spans="1:26" s="403" customFormat="1" ht="37.5" hidden="1" customHeight="1">
      <c r="A1157" s="493">
        <f t="shared" si="146"/>
        <v>7</v>
      </c>
      <c r="B1157" s="403" t="s">
        <v>1221</v>
      </c>
      <c r="C1157" s="617" t="s">
        <v>299</v>
      </c>
      <c r="D1157" s="766">
        <f t="shared" si="143"/>
        <v>46648.706896551732</v>
      </c>
      <c r="E1157" s="388">
        <v>8325</v>
      </c>
      <c r="F1157" s="388" t="s">
        <v>219</v>
      </c>
      <c r="G1157" s="388">
        <v>3484</v>
      </c>
      <c r="H1157" s="446">
        <v>5</v>
      </c>
      <c r="I1157" s="446">
        <v>15</v>
      </c>
      <c r="J1157" s="446">
        <v>239</v>
      </c>
      <c r="K1157" s="767" t="s">
        <v>33</v>
      </c>
      <c r="L1157" s="650">
        <f t="shared" si="144"/>
        <v>6884629.4500000002</v>
      </c>
      <c r="M1157" s="519">
        <v>6860709.6500000004</v>
      </c>
      <c r="N1157" s="388"/>
      <c r="O1157" s="473">
        <v>23919.8</v>
      </c>
      <c r="P1157" s="388"/>
      <c r="Q1157" s="388"/>
      <c r="R1157" s="446">
        <f>M1157/G1157</f>
        <v>1969.2048363949484</v>
      </c>
      <c r="S1157" s="383">
        <f t="shared" si="145"/>
        <v>-1.8553691916167736E-10</v>
      </c>
      <c r="T1157" s="388"/>
      <c r="U1157" s="390"/>
      <c r="V1157" s="390"/>
      <c r="Y1157" s="419">
        <f t="shared" si="135"/>
        <v>6884629.4500000002</v>
      </c>
      <c r="Z1157" s="419"/>
    </row>
    <row r="1158" spans="1:26" s="403" customFormat="1" ht="37.5" hidden="1" customHeight="1">
      <c r="A1158" s="493">
        <f t="shared" si="146"/>
        <v>8</v>
      </c>
      <c r="B1158" s="403" t="s">
        <v>1222</v>
      </c>
      <c r="C1158" s="617" t="s">
        <v>299</v>
      </c>
      <c r="D1158" s="766">
        <f t="shared" si="143"/>
        <v>14120.689655172415</v>
      </c>
      <c r="E1158" s="388">
        <v>2520</v>
      </c>
      <c r="F1158" s="388" t="s">
        <v>219</v>
      </c>
      <c r="G1158" s="388">
        <v>991.7</v>
      </c>
      <c r="H1158" s="446">
        <v>5</v>
      </c>
      <c r="I1158" s="446">
        <v>4</v>
      </c>
      <c r="J1158" s="446">
        <v>70</v>
      </c>
      <c r="K1158" s="767" t="s">
        <v>227</v>
      </c>
      <c r="L1158" s="650">
        <f t="shared" si="144"/>
        <v>5446139.5299999993</v>
      </c>
      <c r="M1158" s="519">
        <v>5411314.5299999993</v>
      </c>
      <c r="N1158" s="388">
        <v>34825</v>
      </c>
      <c r="O1158" s="473"/>
      <c r="P1158" s="388"/>
      <c r="Q1158" s="388"/>
      <c r="R1158" s="528">
        <f>M1158/E1158</f>
        <v>2147.3470357142855</v>
      </c>
      <c r="S1158" s="383">
        <f t="shared" si="145"/>
        <v>0</v>
      </c>
      <c r="T1158" s="388"/>
      <c r="U1158" s="390"/>
      <c r="V1158" s="390"/>
      <c r="Y1158" s="419">
        <f t="shared" si="135"/>
        <v>5446139.5299999993</v>
      </c>
      <c r="Z1158" s="419"/>
    </row>
    <row r="1159" spans="1:26" s="403" customFormat="1" ht="37.5" hidden="1" customHeight="1">
      <c r="A1159" s="493">
        <f t="shared" si="146"/>
        <v>9</v>
      </c>
      <c r="B1159" s="403" t="s">
        <v>1223</v>
      </c>
      <c r="C1159" s="617" t="s">
        <v>299</v>
      </c>
      <c r="D1159" s="766">
        <f t="shared" si="143"/>
        <v>9839.6551724137935</v>
      </c>
      <c r="E1159" s="388">
        <v>1756</v>
      </c>
      <c r="F1159" s="388" t="s">
        <v>252</v>
      </c>
      <c r="G1159" s="388">
        <v>1200</v>
      </c>
      <c r="H1159" s="446">
        <v>5</v>
      </c>
      <c r="I1159" s="446">
        <v>4</v>
      </c>
      <c r="J1159" s="446">
        <v>76</v>
      </c>
      <c r="K1159" s="767" t="s">
        <v>33</v>
      </c>
      <c r="L1159" s="650">
        <f t="shared" si="144"/>
        <v>3496298.63</v>
      </c>
      <c r="M1159" s="519">
        <v>3457991.13</v>
      </c>
      <c r="N1159" s="388">
        <v>38307.5</v>
      </c>
      <c r="O1159" s="473"/>
      <c r="P1159" s="388"/>
      <c r="Q1159" s="388"/>
      <c r="R1159" s="446">
        <f>M1159/G1159</f>
        <v>2881.659275</v>
      </c>
      <c r="S1159" s="383">
        <f t="shared" si="145"/>
        <v>0</v>
      </c>
      <c r="T1159" s="388"/>
      <c r="U1159" s="390"/>
      <c r="V1159" s="390"/>
      <c r="Y1159" s="419">
        <f t="shared" si="135"/>
        <v>3496298.63</v>
      </c>
      <c r="Z1159" s="419"/>
    </row>
    <row r="1160" spans="1:26" s="403" customFormat="1" ht="56.25" hidden="1">
      <c r="A1160" s="493">
        <f t="shared" si="146"/>
        <v>10</v>
      </c>
      <c r="B1160" s="403" t="s">
        <v>1224</v>
      </c>
      <c r="C1160" s="617" t="s">
        <v>299</v>
      </c>
      <c r="D1160" s="766">
        <f t="shared" si="143"/>
        <v>3922.4137931034484</v>
      </c>
      <c r="E1160" s="388">
        <v>700</v>
      </c>
      <c r="F1160" s="388" t="s">
        <v>252</v>
      </c>
      <c r="G1160" s="388">
        <v>1092</v>
      </c>
      <c r="H1160" s="446">
        <v>5</v>
      </c>
      <c r="I1160" s="446">
        <v>2</v>
      </c>
      <c r="J1160" s="446">
        <v>39</v>
      </c>
      <c r="K1160" s="767" t="s">
        <v>378</v>
      </c>
      <c r="L1160" s="650">
        <f t="shared" si="144"/>
        <v>859463.74</v>
      </c>
      <c r="M1160" s="519">
        <v>857135.44</v>
      </c>
      <c r="N1160" s="388"/>
      <c r="O1160" s="473">
        <v>2328.3000000000002</v>
      </c>
      <c r="P1160" s="388"/>
      <c r="Q1160" s="388"/>
      <c r="R1160" s="446">
        <f>M1160/J1160</f>
        <v>21977.831794871792</v>
      </c>
      <c r="S1160" s="383">
        <f t="shared" si="145"/>
        <v>4.638422979041934E-11</v>
      </c>
      <c r="T1160" s="388"/>
      <c r="U1160" s="390"/>
      <c r="V1160" s="390"/>
      <c r="Y1160" s="419">
        <f t="shared" ref="Y1160:Y1223" si="147">M1160+N1160+O1160+Q1160</f>
        <v>859463.74</v>
      </c>
      <c r="Z1160" s="419"/>
    </row>
    <row r="1161" spans="1:26" s="403" customFormat="1" ht="37.5" hidden="1" customHeight="1">
      <c r="A1161" s="493">
        <f t="shared" si="146"/>
        <v>11</v>
      </c>
      <c r="B1161" s="403" t="s">
        <v>1225</v>
      </c>
      <c r="C1161" s="617" t="s">
        <v>299</v>
      </c>
      <c r="D1161" s="766">
        <f t="shared" si="143"/>
        <v>9441.810344827587</v>
      </c>
      <c r="E1161" s="388">
        <v>1685</v>
      </c>
      <c r="F1161" s="388" t="s">
        <v>252</v>
      </c>
      <c r="G1161" s="388">
        <v>1200</v>
      </c>
      <c r="H1161" s="446">
        <v>5</v>
      </c>
      <c r="I1161" s="446">
        <v>4</v>
      </c>
      <c r="J1161" s="446">
        <v>76</v>
      </c>
      <c r="K1161" s="767" t="s">
        <v>33</v>
      </c>
      <c r="L1161" s="650">
        <f t="shared" si="144"/>
        <v>2695463.15</v>
      </c>
      <c r="M1161" s="519">
        <v>2657155.65</v>
      </c>
      <c r="N1161" s="388">
        <v>38307.5</v>
      </c>
      <c r="O1161" s="473"/>
      <c r="P1161" s="388"/>
      <c r="Q1161" s="388"/>
      <c r="R1161" s="446">
        <f>M1161/G1161</f>
        <v>2214.2963749999999</v>
      </c>
      <c r="S1161" s="383">
        <f t="shared" si="145"/>
        <v>0</v>
      </c>
      <c r="T1161" s="388"/>
      <c r="U1161" s="390"/>
      <c r="V1161" s="390"/>
      <c r="Y1161" s="419">
        <f t="shared" si="147"/>
        <v>2695463.15</v>
      </c>
      <c r="Z1161" s="419"/>
    </row>
    <row r="1162" spans="1:26" s="403" customFormat="1" ht="37.5" hidden="1" customHeight="1">
      <c r="A1162" s="493">
        <f t="shared" si="146"/>
        <v>12</v>
      </c>
      <c r="B1162" s="403" t="s">
        <v>1226</v>
      </c>
      <c r="C1162" s="617" t="s">
        <v>299</v>
      </c>
      <c r="D1162" s="766">
        <f t="shared" si="143"/>
        <v>11599.137931034484</v>
      </c>
      <c r="E1162" s="748">
        <v>2070</v>
      </c>
      <c r="F1162" s="388" t="s">
        <v>219</v>
      </c>
      <c r="G1162" s="388">
        <v>828</v>
      </c>
      <c r="H1162" s="446">
        <v>5</v>
      </c>
      <c r="I1162" s="446">
        <v>1</v>
      </c>
      <c r="J1162" s="446">
        <v>111</v>
      </c>
      <c r="K1162" s="767" t="s">
        <v>227</v>
      </c>
      <c r="L1162" s="650">
        <f t="shared" si="144"/>
        <v>4978299.04</v>
      </c>
      <c r="M1162" s="519">
        <v>4945464.04</v>
      </c>
      <c r="N1162" s="388">
        <v>32835</v>
      </c>
      <c r="O1162" s="473"/>
      <c r="P1162" s="388"/>
      <c r="Q1162" s="388"/>
      <c r="R1162" s="528">
        <f>M1162/E1162</f>
        <v>2389.1130628019323</v>
      </c>
      <c r="S1162" s="383">
        <f t="shared" si="145"/>
        <v>0</v>
      </c>
      <c r="T1162" s="388"/>
      <c r="U1162" s="390"/>
      <c r="V1162" s="390"/>
      <c r="Y1162" s="419">
        <f t="shared" si="147"/>
        <v>4978299.04</v>
      </c>
      <c r="Z1162" s="419"/>
    </row>
    <row r="1163" spans="1:26" s="403" customFormat="1" ht="56.25" hidden="1" customHeight="1">
      <c r="A1163" s="493">
        <f t="shared" si="146"/>
        <v>13</v>
      </c>
      <c r="B1163" s="403" t="s">
        <v>1227</v>
      </c>
      <c r="C1163" s="617" t="s">
        <v>299</v>
      </c>
      <c r="D1163" s="766">
        <f t="shared" si="143"/>
        <v>6737.0258620689656</v>
      </c>
      <c r="E1163" s="388">
        <v>1202.3</v>
      </c>
      <c r="F1163" s="388" t="s">
        <v>219</v>
      </c>
      <c r="G1163" s="388">
        <v>720</v>
      </c>
      <c r="H1163" s="446">
        <v>5</v>
      </c>
      <c r="I1163" s="446">
        <v>1</v>
      </c>
      <c r="J1163" s="446">
        <v>50</v>
      </c>
      <c r="K1163" s="767" t="s">
        <v>30</v>
      </c>
      <c r="L1163" s="650">
        <f t="shared" si="144"/>
        <v>1297410.1800000002</v>
      </c>
      <c r="M1163" s="751">
        <v>1293380.4300000002</v>
      </c>
      <c r="N1163" s="388"/>
      <c r="O1163" s="473">
        <v>4029.75</v>
      </c>
      <c r="P1163" s="388"/>
      <c r="Q1163" s="388"/>
      <c r="R1163" s="446">
        <f>M1163/J1163</f>
        <v>25867.608600000003</v>
      </c>
      <c r="S1163" s="383">
        <f t="shared" si="145"/>
        <v>0</v>
      </c>
      <c r="T1163" s="388"/>
      <c r="U1163" s="388"/>
      <c r="V1163" s="390"/>
      <c r="Y1163" s="419">
        <f t="shared" si="147"/>
        <v>1297410.1800000002</v>
      </c>
      <c r="Z1163" s="419"/>
    </row>
    <row r="1164" spans="1:26" s="403" customFormat="1" ht="56.25" hidden="1" customHeight="1">
      <c r="A1164" s="493">
        <f t="shared" si="146"/>
        <v>14</v>
      </c>
      <c r="B1164" s="403" t="s">
        <v>1228</v>
      </c>
      <c r="C1164" s="617" t="s">
        <v>299</v>
      </c>
      <c r="D1164" s="766">
        <f t="shared" si="143"/>
        <v>8758.1896551724149</v>
      </c>
      <c r="E1164" s="388">
        <v>1563</v>
      </c>
      <c r="F1164" s="388" t="s">
        <v>219</v>
      </c>
      <c r="G1164" s="388">
        <v>450</v>
      </c>
      <c r="H1164" s="446">
        <v>5</v>
      </c>
      <c r="I1164" s="446">
        <v>2</v>
      </c>
      <c r="J1164" s="446">
        <v>34</v>
      </c>
      <c r="K1164" s="767" t="s">
        <v>30</v>
      </c>
      <c r="L1164" s="650">
        <f t="shared" si="144"/>
        <v>747860.85</v>
      </c>
      <c r="M1164" s="751">
        <v>745120.62</v>
      </c>
      <c r="N1164" s="388"/>
      <c r="O1164" s="473">
        <v>2740.23</v>
      </c>
      <c r="P1164" s="388"/>
      <c r="Q1164" s="388"/>
      <c r="R1164" s="446">
        <f>M1164/J1164</f>
        <v>21915.312352941175</v>
      </c>
      <c r="S1164" s="383">
        <f t="shared" si="145"/>
        <v>-1.8644641386345029E-11</v>
      </c>
      <c r="T1164" s="388"/>
      <c r="U1164" s="390"/>
      <c r="V1164" s="390"/>
      <c r="Y1164" s="419">
        <f t="shared" si="147"/>
        <v>747860.85</v>
      </c>
      <c r="Z1164" s="419"/>
    </row>
    <row r="1165" spans="1:26" s="403" customFormat="1" ht="56.25" hidden="1" customHeight="1">
      <c r="A1165" s="493">
        <f t="shared" si="146"/>
        <v>15</v>
      </c>
      <c r="B1165" s="403" t="s">
        <v>1229</v>
      </c>
      <c r="C1165" s="617" t="s">
        <v>299</v>
      </c>
      <c r="D1165" s="766">
        <f t="shared" si="143"/>
        <v>16328.448275862069</v>
      </c>
      <c r="E1165" s="388">
        <v>2914</v>
      </c>
      <c r="F1165" s="388" t="s">
        <v>219</v>
      </c>
      <c r="G1165" s="388">
        <v>935</v>
      </c>
      <c r="H1165" s="446">
        <v>5</v>
      </c>
      <c r="I1165" s="446">
        <v>4</v>
      </c>
      <c r="J1165" s="446">
        <v>68</v>
      </c>
      <c r="K1165" s="767" t="s">
        <v>30</v>
      </c>
      <c r="L1165" s="650">
        <f t="shared" si="144"/>
        <v>1781758.6400000001</v>
      </c>
      <c r="M1165" s="751">
        <v>1776278.1800000002</v>
      </c>
      <c r="N1165" s="388"/>
      <c r="O1165" s="473">
        <v>5480.46</v>
      </c>
      <c r="P1165" s="388"/>
      <c r="Q1165" s="388"/>
      <c r="R1165" s="446">
        <f>M1165/J1165</f>
        <v>26121.737941176474</v>
      </c>
      <c r="S1165" s="383">
        <f t="shared" si="145"/>
        <v>-3.7289282772690058E-11</v>
      </c>
      <c r="T1165" s="388"/>
      <c r="U1165" s="390"/>
      <c r="V1165" s="390"/>
      <c r="Y1165" s="419">
        <f t="shared" si="147"/>
        <v>1781758.6400000001</v>
      </c>
      <c r="Z1165" s="419"/>
    </row>
    <row r="1166" spans="1:26" s="403" customFormat="1" ht="37.5" hidden="1" customHeight="1">
      <c r="A1166" s="493">
        <f t="shared" si="146"/>
        <v>16</v>
      </c>
      <c r="B1166" s="403" t="s">
        <v>1230</v>
      </c>
      <c r="C1166" s="617" t="s">
        <v>299</v>
      </c>
      <c r="D1166" s="766">
        <f t="shared" si="143"/>
        <v>25253.060344827587</v>
      </c>
      <c r="E1166" s="388">
        <v>4506.7</v>
      </c>
      <c r="F1166" s="388" t="s">
        <v>219</v>
      </c>
      <c r="G1166" s="388">
        <v>1980.1</v>
      </c>
      <c r="H1166" s="446">
        <v>5</v>
      </c>
      <c r="I1166" s="446">
        <v>9</v>
      </c>
      <c r="J1166" s="446">
        <v>115</v>
      </c>
      <c r="K1166" s="767" t="s">
        <v>33</v>
      </c>
      <c r="L1166" s="650">
        <f t="shared" si="144"/>
        <v>3572610.0500000003</v>
      </c>
      <c r="M1166" s="519">
        <v>3559015.37</v>
      </c>
      <c r="N1166" s="388"/>
      <c r="O1166" s="473">
        <v>13594.68</v>
      </c>
      <c r="P1166" s="388"/>
      <c r="Q1166" s="388"/>
      <c r="R1166" s="446">
        <f>M1166/G1166</f>
        <v>1797.3917327407707</v>
      </c>
      <c r="S1166" s="383">
        <f t="shared" si="145"/>
        <v>1.673470251262188E-10</v>
      </c>
      <c r="T1166" s="388"/>
      <c r="U1166" s="390"/>
      <c r="V1166" s="390"/>
      <c r="Y1166" s="419">
        <f t="shared" si="147"/>
        <v>3572610.0500000003</v>
      </c>
      <c r="Z1166" s="419"/>
    </row>
    <row r="1167" spans="1:26" s="403" customFormat="1" ht="37.5" hidden="1" customHeight="1">
      <c r="A1167" s="493">
        <f t="shared" si="146"/>
        <v>17</v>
      </c>
      <c r="B1167" s="403" t="s">
        <v>1231</v>
      </c>
      <c r="C1167" s="617" t="s">
        <v>299</v>
      </c>
      <c r="D1167" s="766">
        <f t="shared" si="143"/>
        <v>12708.620689655172</v>
      </c>
      <c r="E1167" s="388">
        <v>2268</v>
      </c>
      <c r="F1167" s="388" t="s">
        <v>219</v>
      </c>
      <c r="G1167" s="388">
        <v>1339</v>
      </c>
      <c r="H1167" s="446">
        <v>5</v>
      </c>
      <c r="I1167" s="446">
        <v>6</v>
      </c>
      <c r="J1167" s="446">
        <v>119</v>
      </c>
      <c r="K1167" s="767" t="s">
        <v>33</v>
      </c>
      <c r="L1167" s="650">
        <f t="shared" si="144"/>
        <v>2615774.21</v>
      </c>
      <c r="M1167" s="519">
        <v>2606581.41</v>
      </c>
      <c r="N1167" s="388"/>
      <c r="O1167" s="473">
        <v>9192.7999999999993</v>
      </c>
      <c r="P1167" s="388"/>
      <c r="Q1167" s="388"/>
      <c r="R1167" s="446">
        <f>M1167/G1167</f>
        <v>1946.6627408513818</v>
      </c>
      <c r="S1167" s="383">
        <f t="shared" si="145"/>
        <v>-1.8553691916167736E-10</v>
      </c>
      <c r="T1167" s="388"/>
      <c r="U1167" s="390"/>
      <c r="V1167" s="390"/>
      <c r="Y1167" s="419">
        <f t="shared" si="147"/>
        <v>2615774.21</v>
      </c>
      <c r="Z1167" s="419"/>
    </row>
    <row r="1168" spans="1:26" s="403" customFormat="1" ht="37.5" hidden="1" customHeight="1">
      <c r="A1168" s="493">
        <f t="shared" si="146"/>
        <v>18</v>
      </c>
      <c r="B1168" s="403" t="s">
        <v>1232</v>
      </c>
      <c r="C1168" s="617" t="s">
        <v>299</v>
      </c>
      <c r="D1168" s="766">
        <f t="shared" si="143"/>
        <v>17107.327586206899</v>
      </c>
      <c r="E1168" s="388">
        <v>3053</v>
      </c>
      <c r="F1168" s="388" t="s">
        <v>219</v>
      </c>
      <c r="G1168" s="388">
        <v>1300</v>
      </c>
      <c r="H1168" s="446">
        <v>5</v>
      </c>
      <c r="I1168" s="446">
        <v>6</v>
      </c>
      <c r="J1168" s="446">
        <v>90</v>
      </c>
      <c r="K1168" s="767" t="s">
        <v>33</v>
      </c>
      <c r="L1168" s="650">
        <f t="shared" si="144"/>
        <v>2890009.28</v>
      </c>
      <c r="M1168" s="519">
        <v>2881084.13</v>
      </c>
      <c r="N1168" s="388"/>
      <c r="O1168" s="473">
        <v>8925.15</v>
      </c>
      <c r="P1168" s="388"/>
      <c r="Q1168" s="388"/>
      <c r="R1168" s="446">
        <f>M1168/G1168</f>
        <v>2216.2185615384615</v>
      </c>
      <c r="S1168" s="383">
        <f t="shared" si="145"/>
        <v>-9.276845958083868E-11</v>
      </c>
      <c r="T1168" s="388"/>
      <c r="U1168" s="390"/>
      <c r="V1168" s="390"/>
      <c r="Y1168" s="419">
        <f t="shared" si="147"/>
        <v>2890009.28</v>
      </c>
      <c r="Z1168" s="419"/>
    </row>
    <row r="1169" spans="1:26" s="403" customFormat="1" ht="37.5" hidden="1" customHeight="1">
      <c r="A1169" s="493">
        <f t="shared" si="146"/>
        <v>19</v>
      </c>
      <c r="B1169" s="403" t="s">
        <v>1233</v>
      </c>
      <c r="C1169" s="617" t="s">
        <v>218</v>
      </c>
      <c r="D1169" s="766">
        <f t="shared" si="143"/>
        <v>16266.810344827589</v>
      </c>
      <c r="E1169" s="388">
        <v>2903</v>
      </c>
      <c r="F1169" s="388" t="s">
        <v>219</v>
      </c>
      <c r="G1169" s="388">
        <v>1226.5999999999999</v>
      </c>
      <c r="H1169" s="446">
        <v>5</v>
      </c>
      <c r="I1169" s="446">
        <v>5</v>
      </c>
      <c r="J1169" s="446">
        <v>70</v>
      </c>
      <c r="K1169" s="767" t="s">
        <v>33</v>
      </c>
      <c r="L1169" s="650">
        <f t="shared" si="144"/>
        <v>2605690.6500000004</v>
      </c>
      <c r="M1169" s="519">
        <v>2597268.9700000002</v>
      </c>
      <c r="N1169" s="388"/>
      <c r="O1169" s="473">
        <v>8421.68</v>
      </c>
      <c r="P1169" s="388"/>
      <c r="Q1169" s="388"/>
      <c r="R1169" s="446">
        <f>M1169/G1169</f>
        <v>2117.4539132561554</v>
      </c>
      <c r="S1169" s="383">
        <f t="shared" si="145"/>
        <v>1.673470251262188E-10</v>
      </c>
      <c r="T1169" s="388"/>
      <c r="U1169" s="390"/>
      <c r="V1169" s="390"/>
      <c r="Y1169" s="419">
        <f t="shared" si="147"/>
        <v>2605690.6500000004</v>
      </c>
      <c r="Z1169" s="419"/>
    </row>
    <row r="1170" spans="1:26" s="403" customFormat="1" ht="56.25" hidden="1" customHeight="1">
      <c r="A1170" s="493">
        <f t="shared" si="146"/>
        <v>20</v>
      </c>
      <c r="B1170" s="403" t="s">
        <v>1234</v>
      </c>
      <c r="C1170" s="617" t="s">
        <v>299</v>
      </c>
      <c r="D1170" s="766">
        <f t="shared" si="143"/>
        <v>6550.4310344827591</v>
      </c>
      <c r="E1170" s="388">
        <v>1169</v>
      </c>
      <c r="F1170" s="388" t="s">
        <v>219</v>
      </c>
      <c r="G1170" s="388">
        <v>680</v>
      </c>
      <c r="H1170" s="446">
        <v>3</v>
      </c>
      <c r="I1170" s="446">
        <v>2</v>
      </c>
      <c r="J1170" s="446">
        <v>18</v>
      </c>
      <c r="K1170" s="767" t="s">
        <v>30</v>
      </c>
      <c r="L1170" s="650">
        <f t="shared" si="144"/>
        <v>449924</v>
      </c>
      <c r="M1170" s="751">
        <v>448473.29</v>
      </c>
      <c r="N1170" s="388"/>
      <c r="O1170" s="473">
        <v>1450.71</v>
      </c>
      <c r="P1170" s="388"/>
      <c r="Q1170" s="388"/>
      <c r="R1170" s="446">
        <f>M1170/J1170</f>
        <v>24915.182777777776</v>
      </c>
      <c r="S1170" s="383">
        <f t="shared" si="145"/>
        <v>2.0918378140777349E-11</v>
      </c>
      <c r="T1170" s="388"/>
      <c r="U1170" s="390"/>
      <c r="V1170" s="390"/>
      <c r="Y1170" s="419">
        <f t="shared" si="147"/>
        <v>449924</v>
      </c>
      <c r="Z1170" s="419"/>
    </row>
    <row r="1171" spans="1:26" s="403" customFormat="1" ht="37.5" hidden="1" customHeight="1">
      <c r="A1171" s="493">
        <f t="shared" si="146"/>
        <v>21</v>
      </c>
      <c r="B1171" s="403" t="s">
        <v>1235</v>
      </c>
      <c r="C1171" s="617" t="s">
        <v>299</v>
      </c>
      <c r="D1171" s="766">
        <f t="shared" si="143"/>
        <v>20120.189655172413</v>
      </c>
      <c r="E1171" s="388">
        <v>3590.68</v>
      </c>
      <c r="F1171" s="388" t="s">
        <v>219</v>
      </c>
      <c r="G1171" s="388">
        <v>2887</v>
      </c>
      <c r="H1171" s="446">
        <v>5</v>
      </c>
      <c r="I1171" s="446">
        <v>11</v>
      </c>
      <c r="J1171" s="446">
        <v>147</v>
      </c>
      <c r="K1171" s="767" t="s">
        <v>33</v>
      </c>
      <c r="L1171" s="650">
        <f t="shared" si="144"/>
        <v>5572339.5700000003</v>
      </c>
      <c r="M1171" s="519">
        <v>5552519.1699999999</v>
      </c>
      <c r="N1171" s="388"/>
      <c r="O1171" s="473">
        <v>19820.400000000001</v>
      </c>
      <c r="P1171" s="388"/>
      <c r="Q1171" s="388"/>
      <c r="R1171" s="446">
        <f>M1171/G1171</f>
        <v>1923.283397990994</v>
      </c>
      <c r="S1171" s="383">
        <f t="shared" si="145"/>
        <v>3.7107383832335472E-10</v>
      </c>
      <c r="T1171" s="388"/>
      <c r="U1171" s="390"/>
      <c r="V1171" s="390"/>
      <c r="Y1171" s="419">
        <f t="shared" si="147"/>
        <v>5572339.5700000003</v>
      </c>
      <c r="Z1171" s="419"/>
    </row>
    <row r="1172" spans="1:26" s="403" customFormat="1" ht="37.5" hidden="1" customHeight="1">
      <c r="A1172" s="493">
        <f t="shared" si="146"/>
        <v>22</v>
      </c>
      <c r="B1172" s="403" t="s">
        <v>1236</v>
      </c>
      <c r="C1172" s="617" t="s">
        <v>299</v>
      </c>
      <c r="D1172" s="766">
        <f t="shared" si="143"/>
        <v>6969.7931034482763</v>
      </c>
      <c r="E1172" s="388">
        <v>1243.8399999999999</v>
      </c>
      <c r="F1172" s="388" t="s">
        <v>219</v>
      </c>
      <c r="G1172" s="388">
        <v>627</v>
      </c>
      <c r="H1172" s="446">
        <v>3</v>
      </c>
      <c r="I1172" s="446">
        <v>2</v>
      </c>
      <c r="J1172" s="446">
        <v>25</v>
      </c>
      <c r="K1172" s="767" t="s">
        <v>33</v>
      </c>
      <c r="L1172" s="650">
        <f t="shared" si="144"/>
        <v>3676992.12</v>
      </c>
      <c r="M1172" s="519">
        <v>3637032.12</v>
      </c>
      <c r="N1172" s="388">
        <v>39960</v>
      </c>
      <c r="O1172" s="473"/>
      <c r="P1172" s="388"/>
      <c r="Q1172" s="388"/>
      <c r="R1172" s="446">
        <f>M1172/G1172</f>
        <v>5800.6891866028709</v>
      </c>
      <c r="S1172" s="383">
        <f t="shared" si="145"/>
        <v>0</v>
      </c>
      <c r="T1172" s="388"/>
      <c r="U1172" s="390"/>
      <c r="V1172" s="390"/>
      <c r="Y1172" s="419">
        <f t="shared" si="147"/>
        <v>3676992.12</v>
      </c>
      <c r="Z1172" s="419"/>
    </row>
    <row r="1173" spans="1:26" s="403" customFormat="1" ht="37.5" hidden="1" customHeight="1">
      <c r="A1173" s="493">
        <f t="shared" si="146"/>
        <v>23</v>
      </c>
      <c r="B1173" s="403" t="s">
        <v>1238</v>
      </c>
      <c r="C1173" s="617" t="s">
        <v>299</v>
      </c>
      <c r="D1173" s="766">
        <f t="shared" si="143"/>
        <v>25304.051724137935</v>
      </c>
      <c r="E1173" s="388">
        <v>4515.8</v>
      </c>
      <c r="F1173" s="388" t="s">
        <v>219</v>
      </c>
      <c r="G1173" s="388">
        <v>2118</v>
      </c>
      <c r="H1173" s="446">
        <v>5</v>
      </c>
      <c r="I1173" s="446">
        <v>9</v>
      </c>
      <c r="J1173" s="446">
        <v>134</v>
      </c>
      <c r="K1173" s="767" t="s">
        <v>33</v>
      </c>
      <c r="L1173" s="650">
        <f t="shared" si="144"/>
        <v>3632130.8600000003</v>
      </c>
      <c r="M1173" s="519">
        <v>3617589.93</v>
      </c>
      <c r="N1173" s="388"/>
      <c r="O1173" s="473">
        <v>14540.93</v>
      </c>
      <c r="P1173" s="388"/>
      <c r="Q1173" s="388"/>
      <c r="R1173" s="446">
        <f>M1173/G1173</f>
        <v>1708.0216855524079</v>
      </c>
      <c r="S1173" s="383">
        <f t="shared" si="145"/>
        <v>1.673470251262188E-10</v>
      </c>
      <c r="T1173" s="388"/>
      <c r="U1173" s="390"/>
      <c r="V1173" s="390"/>
      <c r="Y1173" s="419">
        <f t="shared" si="147"/>
        <v>3632130.8600000003</v>
      </c>
      <c r="Z1173" s="419"/>
    </row>
    <row r="1174" spans="1:26" s="403" customFormat="1" ht="56.25" hidden="1">
      <c r="A1174" s="493">
        <f t="shared" si="146"/>
        <v>24</v>
      </c>
      <c r="B1174" s="403" t="s">
        <v>1239</v>
      </c>
      <c r="C1174" s="617" t="s">
        <v>299</v>
      </c>
      <c r="D1174" s="766">
        <f t="shared" si="143"/>
        <v>7844.8275862068967</v>
      </c>
      <c r="E1174" s="388">
        <v>1400</v>
      </c>
      <c r="F1174" s="388" t="s">
        <v>252</v>
      </c>
      <c r="G1174" s="388">
        <v>562</v>
      </c>
      <c r="H1174" s="446">
        <v>4</v>
      </c>
      <c r="I1174" s="446">
        <v>2</v>
      </c>
      <c r="J1174" s="446">
        <v>24</v>
      </c>
      <c r="K1174" s="767" t="s">
        <v>378</v>
      </c>
      <c r="L1174" s="650">
        <f t="shared" si="144"/>
        <v>469867.72000000003</v>
      </c>
      <c r="M1174" s="519">
        <v>468434.92000000004</v>
      </c>
      <c r="N1174" s="388"/>
      <c r="O1174" s="473">
        <v>1432.8</v>
      </c>
      <c r="P1174" s="388"/>
      <c r="Q1174" s="388"/>
      <c r="R1174" s="446">
        <f>M1174/J1174</f>
        <v>19518.12166666667</v>
      </c>
      <c r="S1174" s="383">
        <f t="shared" si="145"/>
        <v>-1.1596057447604835E-11</v>
      </c>
      <c r="T1174" s="388"/>
      <c r="U1174" s="390"/>
      <c r="V1174" s="390"/>
      <c r="Y1174" s="419">
        <f t="shared" si="147"/>
        <v>469867.72000000003</v>
      </c>
      <c r="Z1174" s="419"/>
    </row>
    <row r="1175" spans="1:26" s="403" customFormat="1" ht="75" hidden="1" customHeight="1">
      <c r="A1175" s="493">
        <f t="shared" si="146"/>
        <v>25</v>
      </c>
      <c r="B1175" s="403" t="s">
        <v>1240</v>
      </c>
      <c r="C1175" s="617" t="s">
        <v>299</v>
      </c>
      <c r="D1175" s="766">
        <f t="shared" si="143"/>
        <v>12943.96551724138</v>
      </c>
      <c r="E1175" s="388">
        <v>2310</v>
      </c>
      <c r="F1175" s="388" t="s">
        <v>252</v>
      </c>
      <c r="G1175" s="388">
        <v>1256.9000000000001</v>
      </c>
      <c r="H1175" s="446">
        <v>4</v>
      </c>
      <c r="I1175" s="446">
        <v>4</v>
      </c>
      <c r="J1175" s="446">
        <v>48</v>
      </c>
      <c r="K1175" s="767" t="s">
        <v>378</v>
      </c>
      <c r="L1175" s="650">
        <f t="shared" si="144"/>
        <v>928982.04999999993</v>
      </c>
      <c r="M1175" s="519">
        <v>926116.45</v>
      </c>
      <c r="N1175" s="388"/>
      <c r="O1175" s="473">
        <v>2865.6</v>
      </c>
      <c r="P1175" s="388"/>
      <c r="Q1175" s="388"/>
      <c r="R1175" s="446">
        <f>M1175/J1175</f>
        <v>19294.092708333334</v>
      </c>
      <c r="S1175" s="383">
        <f t="shared" si="145"/>
        <v>-2.319211489520967E-11</v>
      </c>
      <c r="T1175" s="388"/>
      <c r="U1175" s="390"/>
      <c r="V1175" s="390"/>
      <c r="Y1175" s="419">
        <f t="shared" si="147"/>
        <v>928982.04999999993</v>
      </c>
      <c r="Z1175" s="419"/>
    </row>
    <row r="1176" spans="1:26" s="403" customFormat="1" ht="37.5" hidden="1" customHeight="1">
      <c r="A1176" s="493">
        <f t="shared" si="146"/>
        <v>26</v>
      </c>
      <c r="B1176" s="403" t="s">
        <v>1241</v>
      </c>
      <c r="C1176" s="617" t="s">
        <v>299</v>
      </c>
      <c r="D1176" s="766">
        <f t="shared" si="143"/>
        <v>6443.9655172413795</v>
      </c>
      <c r="E1176" s="388">
        <v>1150</v>
      </c>
      <c r="F1176" s="388" t="s">
        <v>252</v>
      </c>
      <c r="G1176" s="388">
        <v>612</v>
      </c>
      <c r="H1176" s="446">
        <v>4</v>
      </c>
      <c r="I1176" s="446">
        <v>2</v>
      </c>
      <c r="J1176" s="446">
        <v>24</v>
      </c>
      <c r="K1176" s="767" t="s">
        <v>33</v>
      </c>
      <c r="L1176" s="650">
        <f t="shared" si="144"/>
        <v>1458379.76</v>
      </c>
      <c r="M1176" s="519">
        <v>1420072.26</v>
      </c>
      <c r="N1176" s="388">
        <v>38307.5</v>
      </c>
      <c r="O1176" s="473"/>
      <c r="P1176" s="388"/>
      <c r="Q1176" s="388"/>
      <c r="R1176" s="446">
        <f>M1176/G1176</f>
        <v>2320.3795098039218</v>
      </c>
      <c r="S1176" s="383">
        <f t="shared" si="145"/>
        <v>0</v>
      </c>
      <c r="T1176" s="388"/>
      <c r="U1176" s="390"/>
      <c r="V1176" s="390"/>
      <c r="Y1176" s="419">
        <f t="shared" si="147"/>
        <v>1458379.76</v>
      </c>
      <c r="Z1176" s="419"/>
    </row>
    <row r="1177" spans="1:26" s="403" customFormat="1" ht="37.5" hidden="1" customHeight="1">
      <c r="A1177" s="493">
        <f t="shared" si="146"/>
        <v>27</v>
      </c>
      <c r="B1177" s="403" t="s">
        <v>1242</v>
      </c>
      <c r="C1177" s="617" t="s">
        <v>299</v>
      </c>
      <c r="D1177" s="766">
        <f t="shared" si="143"/>
        <v>10573.706896551725</v>
      </c>
      <c r="E1177" s="388">
        <v>1887</v>
      </c>
      <c r="F1177" s="388" t="s">
        <v>219</v>
      </c>
      <c r="G1177" s="388">
        <v>717</v>
      </c>
      <c r="H1177" s="446">
        <v>5</v>
      </c>
      <c r="I1177" s="446">
        <v>3</v>
      </c>
      <c r="J1177" s="446">
        <v>45</v>
      </c>
      <c r="K1177" s="767" t="s">
        <v>33</v>
      </c>
      <c r="L1177" s="650">
        <f t="shared" si="144"/>
        <v>1472546.87</v>
      </c>
      <c r="M1177" s="519">
        <v>1467624.61</v>
      </c>
      <c r="N1177" s="388"/>
      <c r="O1177" s="473">
        <v>4922.26</v>
      </c>
      <c r="P1177" s="388"/>
      <c r="Q1177" s="388"/>
      <c r="R1177" s="446">
        <f>M1177/G1177</f>
        <v>2046.8962482566249</v>
      </c>
      <c r="S1177" s="383">
        <f t="shared" si="145"/>
        <v>9.0949470177292824E-12</v>
      </c>
      <c r="T1177" s="388"/>
      <c r="U1177" s="390"/>
      <c r="V1177" s="390"/>
      <c r="Y1177" s="419">
        <f t="shared" si="147"/>
        <v>1472546.87</v>
      </c>
      <c r="Z1177" s="419"/>
    </row>
    <row r="1178" spans="1:26" s="403" customFormat="1" ht="37.5" hidden="1" customHeight="1">
      <c r="A1178" s="493">
        <f t="shared" si="146"/>
        <v>28</v>
      </c>
      <c r="B1178" s="403" t="s">
        <v>1243</v>
      </c>
      <c r="C1178" s="617" t="s">
        <v>299</v>
      </c>
      <c r="D1178" s="766">
        <f t="shared" si="143"/>
        <v>10573.706896551725</v>
      </c>
      <c r="E1178" s="388">
        <v>1887</v>
      </c>
      <c r="F1178" s="388" t="s">
        <v>219</v>
      </c>
      <c r="G1178" s="388">
        <v>717</v>
      </c>
      <c r="H1178" s="446">
        <v>5</v>
      </c>
      <c r="I1178" s="446">
        <v>3</v>
      </c>
      <c r="J1178" s="446">
        <v>45</v>
      </c>
      <c r="K1178" s="767" t="s">
        <v>33</v>
      </c>
      <c r="L1178" s="650">
        <f t="shared" si="144"/>
        <v>1479714.33</v>
      </c>
      <c r="M1178" s="519">
        <v>1474792.07</v>
      </c>
      <c r="N1178" s="388"/>
      <c r="O1178" s="473">
        <v>4922.26</v>
      </c>
      <c r="P1178" s="388"/>
      <c r="Q1178" s="388"/>
      <c r="R1178" s="446">
        <f>M1178/G1178</f>
        <v>2056.8927057182705</v>
      </c>
      <c r="S1178" s="383">
        <f t="shared" si="145"/>
        <v>9.0949470177292824E-12</v>
      </c>
      <c r="T1178" s="388"/>
      <c r="U1178" s="390"/>
      <c r="V1178" s="390"/>
      <c r="Y1178" s="419">
        <f t="shared" si="147"/>
        <v>1479714.33</v>
      </c>
      <c r="Z1178" s="419"/>
    </row>
    <row r="1179" spans="1:26" s="403" customFormat="1" ht="37.5" hidden="1" customHeight="1">
      <c r="A1179" s="493">
        <f t="shared" si="146"/>
        <v>29</v>
      </c>
      <c r="B1179" s="403" t="s">
        <v>1244</v>
      </c>
      <c r="C1179" s="617" t="s">
        <v>299</v>
      </c>
      <c r="D1179" s="766">
        <f t="shared" si="143"/>
        <v>16306.034482758621</v>
      </c>
      <c r="E1179" s="388">
        <v>2910</v>
      </c>
      <c r="F1179" s="388" t="s">
        <v>219</v>
      </c>
      <c r="G1179" s="388">
        <v>938</v>
      </c>
      <c r="H1179" s="446">
        <v>5</v>
      </c>
      <c r="I1179" s="446">
        <v>4</v>
      </c>
      <c r="J1179" s="446">
        <v>56</v>
      </c>
      <c r="K1179" s="767" t="s">
        <v>33</v>
      </c>
      <c r="L1179" s="650">
        <f t="shared" si="144"/>
        <v>1665893.82</v>
      </c>
      <c r="M1179" s="751">
        <f>1510488+150892.5</f>
        <v>1661380.5</v>
      </c>
      <c r="N1179" s="388"/>
      <c r="O1179" s="473">
        <v>4513.32</v>
      </c>
      <c r="P1179" s="388"/>
      <c r="Q1179" s="388"/>
      <c r="R1179" s="446">
        <f>M1179/J1179</f>
        <v>29667.508928571428</v>
      </c>
      <c r="S1179" s="383">
        <f t="shared" si="145"/>
        <v>6.5483618527650833E-11</v>
      </c>
      <c r="T1179" s="388"/>
      <c r="U1179" s="390"/>
      <c r="V1179" s="390"/>
      <c r="Y1179" s="419">
        <f t="shared" si="147"/>
        <v>1665893.82</v>
      </c>
      <c r="Z1179" s="419"/>
    </row>
    <row r="1180" spans="1:26" s="403" customFormat="1" ht="37.5" hidden="1" customHeight="1">
      <c r="A1180" s="493">
        <f t="shared" si="146"/>
        <v>30</v>
      </c>
      <c r="B1180" s="403" t="s">
        <v>1245</v>
      </c>
      <c r="C1180" s="617" t="s">
        <v>299</v>
      </c>
      <c r="D1180" s="766">
        <f t="shared" si="143"/>
        <v>13224.137931034484</v>
      </c>
      <c r="E1180" s="388">
        <v>2360</v>
      </c>
      <c r="F1180" s="388" t="s">
        <v>219</v>
      </c>
      <c r="G1180" s="388">
        <v>930</v>
      </c>
      <c r="H1180" s="446">
        <v>5</v>
      </c>
      <c r="I1180" s="446">
        <v>2</v>
      </c>
      <c r="J1180" s="446">
        <v>156</v>
      </c>
      <c r="K1180" s="767" t="s">
        <v>33</v>
      </c>
      <c r="L1180" s="650">
        <f t="shared" si="144"/>
        <v>1507854</v>
      </c>
      <c r="M1180" s="519">
        <v>1501469.08</v>
      </c>
      <c r="N1180" s="388"/>
      <c r="O1180" s="473">
        <v>6384.92</v>
      </c>
      <c r="P1180" s="388"/>
      <c r="Q1180" s="388"/>
      <c r="R1180" s="446">
        <f>M1180/G1180</f>
        <v>1614.4828817204302</v>
      </c>
      <c r="S1180" s="383">
        <f t="shared" si="145"/>
        <v>-7.4578565545380116E-11</v>
      </c>
      <c r="T1180" s="388"/>
      <c r="U1180" s="390"/>
      <c r="V1180" s="390"/>
      <c r="Y1180" s="419">
        <f t="shared" si="147"/>
        <v>1507854</v>
      </c>
      <c r="Z1180" s="419"/>
    </row>
    <row r="1181" spans="1:26" s="403" customFormat="1" ht="37.5" hidden="1" customHeight="1">
      <c r="A1181" s="493">
        <f t="shared" si="146"/>
        <v>31</v>
      </c>
      <c r="B1181" s="403" t="s">
        <v>1246</v>
      </c>
      <c r="C1181" s="617" t="s">
        <v>299</v>
      </c>
      <c r="D1181" s="766">
        <f t="shared" si="143"/>
        <v>13212.931034482759</v>
      </c>
      <c r="E1181" s="388">
        <v>2358</v>
      </c>
      <c r="F1181" s="388" t="s">
        <v>219</v>
      </c>
      <c r="G1181" s="388">
        <v>930</v>
      </c>
      <c r="H1181" s="446">
        <v>5</v>
      </c>
      <c r="I1181" s="446">
        <v>2</v>
      </c>
      <c r="J1181" s="446">
        <v>154</v>
      </c>
      <c r="K1181" s="767" t="s">
        <v>33</v>
      </c>
      <c r="L1181" s="650">
        <f t="shared" si="144"/>
        <v>1500594.0899999999</v>
      </c>
      <c r="M1181" s="519">
        <v>1494209.17</v>
      </c>
      <c r="N1181" s="388"/>
      <c r="O1181" s="473">
        <v>6384.92</v>
      </c>
      <c r="P1181" s="388"/>
      <c r="Q1181" s="388"/>
      <c r="R1181" s="446">
        <f>M1181/G1181</f>
        <v>1606.6765268817203</v>
      </c>
      <c r="S1181" s="383">
        <f t="shared" si="145"/>
        <v>-7.4578565545380116E-11</v>
      </c>
      <c r="T1181" s="388"/>
      <c r="U1181" s="390"/>
      <c r="V1181" s="390"/>
      <c r="Y1181" s="419">
        <f t="shared" si="147"/>
        <v>1500594.0899999999</v>
      </c>
      <c r="Z1181" s="419"/>
    </row>
    <row r="1182" spans="1:26" s="403" customFormat="1" ht="37.5" hidden="1" customHeight="1">
      <c r="A1182" s="493">
        <f t="shared" si="146"/>
        <v>32</v>
      </c>
      <c r="B1182" s="403" t="s">
        <v>1247</v>
      </c>
      <c r="C1182" s="617" t="s">
        <v>299</v>
      </c>
      <c r="D1182" s="766">
        <f t="shared" si="143"/>
        <v>16838.362068965518</v>
      </c>
      <c r="E1182" s="388">
        <v>3005</v>
      </c>
      <c r="F1182" s="388" t="s">
        <v>219</v>
      </c>
      <c r="G1182" s="388">
        <v>1376</v>
      </c>
      <c r="H1182" s="446">
        <v>5</v>
      </c>
      <c r="I1182" s="446">
        <v>6</v>
      </c>
      <c r="J1182" s="446">
        <v>116</v>
      </c>
      <c r="K1182" s="767" t="s">
        <v>33</v>
      </c>
      <c r="L1182" s="650">
        <f t="shared" si="144"/>
        <v>2899579.66</v>
      </c>
      <c r="M1182" s="519">
        <v>2874302.66</v>
      </c>
      <c r="N1182" s="388"/>
      <c r="O1182" s="473">
        <v>25277</v>
      </c>
      <c r="P1182" s="388"/>
      <c r="Q1182" s="388"/>
      <c r="R1182" s="446">
        <f>M1182/G1182</f>
        <v>2088.8827470930232</v>
      </c>
      <c r="S1182" s="383">
        <f t="shared" si="145"/>
        <v>0</v>
      </c>
      <c r="T1182" s="388"/>
      <c r="U1182" s="390"/>
      <c r="V1182" s="390"/>
      <c r="Y1182" s="419">
        <f t="shared" si="147"/>
        <v>2899579.66</v>
      </c>
      <c r="Z1182" s="419"/>
    </row>
    <row r="1183" spans="1:26" s="403" customFormat="1" ht="37.5" hidden="1" customHeight="1">
      <c r="A1183" s="493">
        <f t="shared" si="146"/>
        <v>33</v>
      </c>
      <c r="B1183" s="403" t="s">
        <v>1248</v>
      </c>
      <c r="C1183" s="617" t="s">
        <v>299</v>
      </c>
      <c r="D1183" s="766">
        <f t="shared" si="143"/>
        <v>12450.862068965518</v>
      </c>
      <c r="E1183" s="388">
        <v>2222</v>
      </c>
      <c r="F1183" s="388" t="s">
        <v>219</v>
      </c>
      <c r="G1183" s="388">
        <v>1640</v>
      </c>
      <c r="H1183" s="446">
        <v>5</v>
      </c>
      <c r="I1183" s="446">
        <v>7</v>
      </c>
      <c r="J1183" s="446">
        <v>105</v>
      </c>
      <c r="K1183" s="767" t="s">
        <v>33</v>
      </c>
      <c r="L1183" s="650">
        <f t="shared" ref="L1183:L1212" si="148">M1183+N1183+O1183+P1183+Q1183</f>
        <v>3188681.76</v>
      </c>
      <c r="M1183" s="519">
        <v>3177422.34</v>
      </c>
      <c r="N1183" s="388"/>
      <c r="O1183" s="473">
        <v>11259.42</v>
      </c>
      <c r="P1183" s="388"/>
      <c r="Q1183" s="388"/>
      <c r="R1183" s="446">
        <f>M1183/G1183</f>
        <v>1937.4526463414634</v>
      </c>
      <c r="S1183" s="383">
        <f t="shared" ref="S1183:S1214" si="149">L1183-M1183-N1183-O1183-P1183-Q1183</f>
        <v>-7.4578565545380116E-11</v>
      </c>
      <c r="T1183" s="388"/>
      <c r="U1183" s="390"/>
      <c r="V1183" s="390"/>
      <c r="Y1183" s="419">
        <f t="shared" si="147"/>
        <v>3188681.76</v>
      </c>
      <c r="Z1183" s="419"/>
    </row>
    <row r="1184" spans="1:26" s="403" customFormat="1" ht="37.5" hidden="1" customHeight="1">
      <c r="A1184" s="493">
        <f t="shared" si="146"/>
        <v>34</v>
      </c>
      <c r="B1184" s="403" t="s">
        <v>1249</v>
      </c>
      <c r="C1184" s="617" t="s">
        <v>299</v>
      </c>
      <c r="D1184" s="766">
        <f t="shared" si="143"/>
        <v>18995.689655172413</v>
      </c>
      <c r="E1184" s="748">
        <f>(100+13)*2*15</f>
        <v>3390</v>
      </c>
      <c r="F1184" s="388" t="s">
        <v>219</v>
      </c>
      <c r="G1184" s="388">
        <v>1902</v>
      </c>
      <c r="H1184" s="446">
        <v>5</v>
      </c>
      <c r="I1184" s="446">
        <v>6</v>
      </c>
      <c r="J1184" s="446">
        <v>90</v>
      </c>
      <c r="K1184" s="767" t="s">
        <v>227</v>
      </c>
      <c r="L1184" s="650">
        <f t="shared" si="148"/>
        <v>7357413.8399999999</v>
      </c>
      <c r="M1184" s="519">
        <v>7324578.8399999999</v>
      </c>
      <c r="N1184" s="388">
        <v>32835</v>
      </c>
      <c r="O1184" s="473"/>
      <c r="P1184" s="388"/>
      <c r="Q1184" s="388"/>
      <c r="R1184" s="528">
        <f>M1184/E1184</f>
        <v>2160.6427256637166</v>
      </c>
      <c r="S1184" s="383">
        <f t="shared" si="149"/>
        <v>0</v>
      </c>
      <c r="T1184" s="388"/>
      <c r="U1184" s="390"/>
      <c r="V1184" s="390"/>
      <c r="Y1184" s="419">
        <f t="shared" si="147"/>
        <v>7357413.8399999999</v>
      </c>
      <c r="Z1184" s="419"/>
    </row>
    <row r="1185" spans="1:26" s="403" customFormat="1" ht="37.5" hidden="1" customHeight="1">
      <c r="A1185" s="493">
        <f t="shared" si="146"/>
        <v>35</v>
      </c>
      <c r="B1185" s="403" t="s">
        <v>1250</v>
      </c>
      <c r="C1185" s="617" t="s">
        <v>299</v>
      </c>
      <c r="D1185" s="766">
        <f t="shared" si="143"/>
        <v>18995.689655172413</v>
      </c>
      <c r="E1185" s="748">
        <f>(100+13)*2*15</f>
        <v>3390</v>
      </c>
      <c r="F1185" s="388" t="s">
        <v>219</v>
      </c>
      <c r="G1185" s="388">
        <v>1902</v>
      </c>
      <c r="H1185" s="446">
        <v>5</v>
      </c>
      <c r="I1185" s="446">
        <v>6</v>
      </c>
      <c r="J1185" s="446">
        <v>89</v>
      </c>
      <c r="K1185" s="767" t="s">
        <v>227</v>
      </c>
      <c r="L1185" s="650">
        <f t="shared" si="148"/>
        <v>7274051.25</v>
      </c>
      <c r="M1185" s="519">
        <v>7241216.25</v>
      </c>
      <c r="N1185" s="388">
        <v>32835</v>
      </c>
      <c r="O1185" s="473"/>
      <c r="P1185" s="388"/>
      <c r="Q1185" s="388"/>
      <c r="R1185" s="528">
        <f>M1185/E1185</f>
        <v>2136.0519911504425</v>
      </c>
      <c r="S1185" s="383">
        <f t="shared" si="149"/>
        <v>0</v>
      </c>
      <c r="T1185" s="388"/>
      <c r="U1185" s="390"/>
      <c r="V1185" s="390"/>
      <c r="Y1185" s="419">
        <f t="shared" si="147"/>
        <v>7274051.25</v>
      </c>
      <c r="Z1185" s="419"/>
    </row>
    <row r="1186" spans="1:26" s="403" customFormat="1" ht="56.25" hidden="1" customHeight="1">
      <c r="A1186" s="493">
        <f t="shared" si="146"/>
        <v>36</v>
      </c>
      <c r="B1186" s="403" t="s">
        <v>1251</v>
      </c>
      <c r="C1186" s="617" t="s">
        <v>299</v>
      </c>
      <c r="D1186" s="766">
        <f t="shared" si="143"/>
        <v>21780.603448275866</v>
      </c>
      <c r="E1186" s="388">
        <v>3887</v>
      </c>
      <c r="F1186" s="388" t="s">
        <v>219</v>
      </c>
      <c r="G1186" s="388">
        <v>1580</v>
      </c>
      <c r="H1186" s="446">
        <v>5</v>
      </c>
      <c r="I1186" s="446">
        <v>7</v>
      </c>
      <c r="J1186" s="446">
        <v>105</v>
      </c>
      <c r="K1186" s="767" t="s">
        <v>30</v>
      </c>
      <c r="L1186" s="650">
        <f t="shared" si="148"/>
        <v>3123840.02</v>
      </c>
      <c r="M1186" s="751">
        <v>3115377.55</v>
      </c>
      <c r="N1186" s="388"/>
      <c r="O1186" s="473">
        <v>8462.4699999999993</v>
      </c>
      <c r="P1186" s="388"/>
      <c r="Q1186" s="388"/>
      <c r="R1186" s="446">
        <f>M1186/J1186</f>
        <v>29670.262380952379</v>
      </c>
      <c r="S1186" s="383">
        <f t="shared" si="149"/>
        <v>2.0554580260068178E-10</v>
      </c>
      <c r="T1186" s="388"/>
      <c r="U1186" s="390"/>
      <c r="V1186" s="390"/>
      <c r="Y1186" s="419">
        <f t="shared" si="147"/>
        <v>3123840.02</v>
      </c>
      <c r="Z1186" s="419"/>
    </row>
    <row r="1187" spans="1:26" s="403" customFormat="1" ht="56.25" hidden="1" customHeight="1">
      <c r="A1187" s="493">
        <f t="shared" si="146"/>
        <v>37</v>
      </c>
      <c r="B1187" s="403" t="s">
        <v>1252</v>
      </c>
      <c r="C1187" s="617" t="s">
        <v>299</v>
      </c>
      <c r="D1187" s="766">
        <f t="shared" si="143"/>
        <v>21780.603448275866</v>
      </c>
      <c r="E1187" s="388">
        <v>3887</v>
      </c>
      <c r="F1187" s="388" t="s">
        <v>219</v>
      </c>
      <c r="G1187" s="388">
        <v>1580</v>
      </c>
      <c r="H1187" s="446">
        <v>5</v>
      </c>
      <c r="I1187" s="446">
        <v>7</v>
      </c>
      <c r="J1187" s="446">
        <v>105</v>
      </c>
      <c r="K1187" s="767" t="s">
        <v>30</v>
      </c>
      <c r="L1187" s="650">
        <f t="shared" si="148"/>
        <v>2928421.66</v>
      </c>
      <c r="M1187" s="751">
        <v>2919959.19</v>
      </c>
      <c r="N1187" s="388"/>
      <c r="O1187" s="473">
        <v>8462.4699999999993</v>
      </c>
      <c r="P1187" s="388"/>
      <c r="Q1187" s="388"/>
      <c r="R1187" s="446">
        <f>M1187/J1187</f>
        <v>27809.135142857143</v>
      </c>
      <c r="S1187" s="383">
        <f t="shared" si="149"/>
        <v>2.0554580260068178E-10</v>
      </c>
      <c r="T1187" s="388"/>
      <c r="U1187" s="390"/>
      <c r="V1187" s="390"/>
      <c r="Y1187" s="419">
        <f t="shared" si="147"/>
        <v>2928421.66</v>
      </c>
      <c r="Z1187" s="419"/>
    </row>
    <row r="1188" spans="1:26" s="403" customFormat="1" ht="37.5" hidden="1" customHeight="1">
      <c r="A1188" s="493">
        <f t="shared" si="146"/>
        <v>38</v>
      </c>
      <c r="B1188" s="403" t="s">
        <v>1253</v>
      </c>
      <c r="C1188" s="617" t="s">
        <v>299</v>
      </c>
      <c r="D1188" s="766">
        <f t="shared" si="143"/>
        <v>6443.9655172413795</v>
      </c>
      <c r="E1188" s="388">
        <v>1150</v>
      </c>
      <c r="F1188" s="388" t="s">
        <v>219</v>
      </c>
      <c r="G1188" s="388">
        <v>609</v>
      </c>
      <c r="H1188" s="446">
        <v>3</v>
      </c>
      <c r="I1188" s="446">
        <v>2</v>
      </c>
      <c r="J1188" s="446">
        <v>24</v>
      </c>
      <c r="K1188" s="767" t="s">
        <v>33</v>
      </c>
      <c r="L1188" s="650">
        <f t="shared" si="148"/>
        <v>1338334.3400000001</v>
      </c>
      <c r="M1188" s="519">
        <v>1334153.3500000001</v>
      </c>
      <c r="N1188" s="388"/>
      <c r="O1188" s="473">
        <v>4180.99</v>
      </c>
      <c r="P1188" s="388"/>
      <c r="Q1188" s="388"/>
      <c r="R1188" s="446">
        <f t="shared" ref="R1188:R1212" si="150">M1188/G1188</f>
        <v>2190.7279967159279</v>
      </c>
      <c r="S1188" s="383">
        <f t="shared" si="149"/>
        <v>-9.0949470177292824E-12</v>
      </c>
      <c r="T1188" s="388"/>
      <c r="U1188" s="390"/>
      <c r="V1188" s="390"/>
      <c r="Y1188" s="419">
        <f t="shared" si="147"/>
        <v>1338334.3400000001</v>
      </c>
      <c r="Z1188" s="419"/>
    </row>
    <row r="1189" spans="1:26" s="403" customFormat="1" ht="37.5" hidden="1" customHeight="1">
      <c r="A1189" s="493">
        <f t="shared" si="146"/>
        <v>39</v>
      </c>
      <c r="B1189" s="403" t="s">
        <v>1254</v>
      </c>
      <c r="C1189" s="617" t="s">
        <v>299</v>
      </c>
      <c r="D1189" s="766">
        <v>18547</v>
      </c>
      <c r="E1189" s="388">
        <v>3310</v>
      </c>
      <c r="F1189" s="388" t="s">
        <v>219</v>
      </c>
      <c r="G1189" s="388">
        <v>1414</v>
      </c>
      <c r="H1189" s="446">
        <v>5</v>
      </c>
      <c r="I1189" s="446">
        <v>7</v>
      </c>
      <c r="J1189" s="446">
        <v>95</v>
      </c>
      <c r="K1189" s="767" t="s">
        <v>33</v>
      </c>
      <c r="L1189" s="650">
        <f t="shared" si="148"/>
        <v>2954813.16</v>
      </c>
      <c r="M1189" s="519">
        <v>2945104.95</v>
      </c>
      <c r="N1189" s="388"/>
      <c r="O1189" s="473">
        <v>9708.2099999999991</v>
      </c>
      <c r="P1189" s="388"/>
      <c r="Q1189" s="388"/>
      <c r="R1189" s="446">
        <f t="shared" si="150"/>
        <v>2082.8182107496464</v>
      </c>
      <c r="S1189" s="383">
        <f t="shared" si="149"/>
        <v>-3.637978807091713E-11</v>
      </c>
      <c r="T1189" s="388"/>
      <c r="U1189" s="390"/>
      <c r="V1189" s="390"/>
      <c r="Y1189" s="419">
        <f t="shared" si="147"/>
        <v>2954813.16</v>
      </c>
      <c r="Z1189" s="419"/>
    </row>
    <row r="1190" spans="1:26" s="403" customFormat="1" ht="37.5" hidden="1" customHeight="1">
      <c r="A1190" s="493">
        <f t="shared" si="146"/>
        <v>40</v>
      </c>
      <c r="B1190" s="403" t="s">
        <v>1255</v>
      </c>
      <c r="C1190" s="617" t="s">
        <v>299</v>
      </c>
      <c r="D1190" s="766">
        <f t="shared" ref="D1190:D1215" si="151">E1190/1.16/2*13</f>
        <v>7368.5344827586214</v>
      </c>
      <c r="E1190" s="748">
        <v>1315</v>
      </c>
      <c r="F1190" s="388" t="s">
        <v>219</v>
      </c>
      <c r="G1190" s="388">
        <v>466</v>
      </c>
      <c r="H1190" s="446">
        <v>5</v>
      </c>
      <c r="I1190" s="446">
        <v>1</v>
      </c>
      <c r="J1190" s="446">
        <v>20</v>
      </c>
      <c r="K1190" s="767" t="s">
        <v>33</v>
      </c>
      <c r="L1190" s="650">
        <f t="shared" si="148"/>
        <v>989733.34</v>
      </c>
      <c r="M1190" s="751">
        <v>986534.41999999993</v>
      </c>
      <c r="N1190" s="388"/>
      <c r="O1190" s="473">
        <v>3198.92</v>
      </c>
      <c r="P1190" s="388"/>
      <c r="Q1190" s="388"/>
      <c r="R1190" s="446">
        <f t="shared" si="150"/>
        <v>2117.0266523605151</v>
      </c>
      <c r="S1190" s="383">
        <f t="shared" si="149"/>
        <v>4.1836756281554699E-11</v>
      </c>
      <c r="T1190" s="388"/>
      <c r="U1190" s="390"/>
      <c r="V1190" s="390"/>
      <c r="Y1190" s="419">
        <f t="shared" si="147"/>
        <v>989733.34</v>
      </c>
      <c r="Z1190" s="419"/>
    </row>
    <row r="1191" spans="1:26" s="403" customFormat="1" ht="37.5" hidden="1" customHeight="1">
      <c r="A1191" s="493">
        <f t="shared" si="146"/>
        <v>41</v>
      </c>
      <c r="B1191" s="403" t="s">
        <v>1256</v>
      </c>
      <c r="C1191" s="455" t="s">
        <v>299</v>
      </c>
      <c r="D1191" s="768">
        <f t="shared" si="151"/>
        <v>7850.43103448276</v>
      </c>
      <c r="E1191" s="388">
        <v>1401</v>
      </c>
      <c r="F1191" s="388" t="s">
        <v>219</v>
      </c>
      <c r="G1191" s="388">
        <v>355</v>
      </c>
      <c r="H1191" s="446">
        <v>5</v>
      </c>
      <c r="I1191" s="446">
        <v>2</v>
      </c>
      <c r="J1191" s="446">
        <v>30</v>
      </c>
      <c r="K1191" s="670" t="s">
        <v>33</v>
      </c>
      <c r="L1191" s="650">
        <f t="shared" si="148"/>
        <v>900497.83</v>
      </c>
      <c r="M1191" s="751">
        <f>816418.35+81641.73</f>
        <v>898060.08</v>
      </c>
      <c r="N1191" s="388"/>
      <c r="O1191" s="473">
        <v>2437.75</v>
      </c>
      <c r="P1191" s="388"/>
      <c r="Q1191" s="388"/>
      <c r="R1191" s="446">
        <f t="shared" si="150"/>
        <v>2529.746704225352</v>
      </c>
      <c r="S1191" s="383">
        <f t="shared" si="149"/>
        <v>0</v>
      </c>
      <c r="T1191" s="388"/>
      <c r="U1191" s="390"/>
      <c r="V1191" s="390"/>
      <c r="Y1191" s="419">
        <f t="shared" si="147"/>
        <v>900497.83</v>
      </c>
      <c r="Z1191" s="419"/>
    </row>
    <row r="1192" spans="1:26" s="403" customFormat="1" ht="37.5" hidden="1" customHeight="1">
      <c r="A1192" s="493">
        <f t="shared" si="146"/>
        <v>42</v>
      </c>
      <c r="B1192" s="403" t="s">
        <v>1257</v>
      </c>
      <c r="C1192" s="455" t="s">
        <v>299</v>
      </c>
      <c r="D1192" s="768">
        <f t="shared" si="151"/>
        <v>12983.189655172415</v>
      </c>
      <c r="E1192" s="388">
        <v>2317</v>
      </c>
      <c r="F1192" s="388" t="s">
        <v>219</v>
      </c>
      <c r="G1192" s="388">
        <v>2100</v>
      </c>
      <c r="H1192" s="446">
        <v>5</v>
      </c>
      <c r="I1192" s="446">
        <v>8</v>
      </c>
      <c r="J1192" s="446">
        <v>110</v>
      </c>
      <c r="K1192" s="670" t="s">
        <v>33</v>
      </c>
      <c r="L1192" s="650">
        <f t="shared" si="148"/>
        <v>3019579</v>
      </c>
      <c r="M1192" s="751">
        <v>3005161.45</v>
      </c>
      <c r="N1192" s="388"/>
      <c r="O1192" s="473">
        <v>14417.55</v>
      </c>
      <c r="P1192" s="388"/>
      <c r="Q1192" s="388"/>
      <c r="R1192" s="446">
        <f t="shared" si="150"/>
        <v>1431.0292619047621</v>
      </c>
      <c r="S1192" s="383">
        <f t="shared" si="149"/>
        <v>-1.8553691916167736E-10</v>
      </c>
      <c r="T1192" s="388"/>
      <c r="U1192" s="390"/>
      <c r="V1192" s="390"/>
      <c r="Y1192" s="419">
        <f t="shared" si="147"/>
        <v>3019579</v>
      </c>
      <c r="Z1192" s="419"/>
    </row>
    <row r="1193" spans="1:26" s="403" customFormat="1" ht="37.5" hidden="1" customHeight="1">
      <c r="A1193" s="493">
        <f t="shared" si="146"/>
        <v>43</v>
      </c>
      <c r="B1193" s="403" t="s">
        <v>1258</v>
      </c>
      <c r="C1193" s="455" t="s">
        <v>299</v>
      </c>
      <c r="D1193" s="768">
        <f t="shared" si="151"/>
        <v>7222.8448275862074</v>
      </c>
      <c r="E1193" s="388">
        <v>1289</v>
      </c>
      <c r="F1193" s="388" t="s">
        <v>219</v>
      </c>
      <c r="G1193" s="388">
        <v>655</v>
      </c>
      <c r="H1193" s="446">
        <v>5</v>
      </c>
      <c r="I1193" s="446">
        <v>2</v>
      </c>
      <c r="J1193" s="446">
        <v>58</v>
      </c>
      <c r="K1193" s="670" t="s">
        <v>33</v>
      </c>
      <c r="L1193" s="650">
        <f t="shared" si="148"/>
        <v>1158582.1499999999</v>
      </c>
      <c r="M1193" s="751">
        <v>1154084.75</v>
      </c>
      <c r="N1193" s="388"/>
      <c r="O1193" s="473">
        <v>4497.3999999999996</v>
      </c>
      <c r="P1193" s="388"/>
      <c r="Q1193" s="388"/>
      <c r="R1193" s="446">
        <f t="shared" si="150"/>
        <v>1761.9614503816795</v>
      </c>
      <c r="S1193" s="383">
        <f t="shared" si="149"/>
        <v>-9.276845958083868E-11</v>
      </c>
      <c r="T1193" s="388"/>
      <c r="U1193" s="390"/>
      <c r="V1193" s="390"/>
      <c r="Y1193" s="419">
        <f t="shared" si="147"/>
        <v>1158582.1499999999</v>
      </c>
      <c r="Z1193" s="419"/>
    </row>
    <row r="1194" spans="1:26" s="403" customFormat="1" ht="37.5" hidden="1" customHeight="1">
      <c r="A1194" s="493">
        <f t="shared" si="146"/>
        <v>44</v>
      </c>
      <c r="B1194" s="403" t="s">
        <v>1259</v>
      </c>
      <c r="C1194" s="455" t="s">
        <v>299</v>
      </c>
      <c r="D1194" s="768">
        <f t="shared" si="151"/>
        <v>21595.689655172413</v>
      </c>
      <c r="E1194" s="388">
        <v>3854</v>
      </c>
      <c r="F1194" s="388" t="s">
        <v>219</v>
      </c>
      <c r="G1194" s="388">
        <v>1470</v>
      </c>
      <c r="H1194" s="446">
        <v>5</v>
      </c>
      <c r="I1194" s="446">
        <v>6</v>
      </c>
      <c r="J1194" s="446">
        <v>94</v>
      </c>
      <c r="K1194" s="670" t="s">
        <v>33</v>
      </c>
      <c r="L1194" s="650">
        <f t="shared" si="148"/>
        <v>3257268.81</v>
      </c>
      <c r="M1194" s="751">
        <v>3247176.5300000003</v>
      </c>
      <c r="N1194" s="388"/>
      <c r="O1194" s="473">
        <v>10092.280000000001</v>
      </c>
      <c r="P1194" s="388"/>
      <c r="Q1194" s="388"/>
      <c r="R1194" s="446">
        <f t="shared" si="150"/>
        <v>2208.9636258503401</v>
      </c>
      <c r="S1194" s="383">
        <f t="shared" si="149"/>
        <v>-2.0554580260068178E-10</v>
      </c>
      <c r="T1194" s="388"/>
      <c r="U1194" s="390"/>
      <c r="V1194" s="390"/>
      <c r="Y1194" s="419">
        <f t="shared" si="147"/>
        <v>3257268.81</v>
      </c>
      <c r="Z1194" s="419"/>
    </row>
    <row r="1195" spans="1:26" s="403" customFormat="1" ht="37.5" hidden="1" customHeight="1">
      <c r="A1195" s="493">
        <f t="shared" si="146"/>
        <v>45</v>
      </c>
      <c r="B1195" s="403" t="s">
        <v>1260</v>
      </c>
      <c r="C1195" s="455" t="s">
        <v>299</v>
      </c>
      <c r="D1195" s="768">
        <f>E1195/1.16/2*13</f>
        <v>6191.8103448275861</v>
      </c>
      <c r="E1195" s="388">
        <v>1105</v>
      </c>
      <c r="F1195" s="388" t="s">
        <v>219</v>
      </c>
      <c r="G1195" s="388">
        <v>937</v>
      </c>
      <c r="H1195" s="446">
        <v>4</v>
      </c>
      <c r="I1195" s="446">
        <v>1</v>
      </c>
      <c r="J1195" s="446">
        <v>24</v>
      </c>
      <c r="K1195" s="504" t="s">
        <v>235</v>
      </c>
      <c r="L1195" s="650">
        <f t="shared" si="148"/>
        <v>2008223.46</v>
      </c>
      <c r="M1195" s="751">
        <v>2001790.78</v>
      </c>
      <c r="N1195" s="388"/>
      <c r="O1195" s="473">
        <v>6432.68</v>
      </c>
      <c r="P1195" s="388"/>
      <c r="Q1195" s="388"/>
      <c r="R1195" s="446">
        <f t="shared" si="150"/>
        <v>2136.3829028815367</v>
      </c>
      <c r="S1195" s="383">
        <f t="shared" si="149"/>
        <v>-6.5483618527650833E-11</v>
      </c>
      <c r="T1195" s="388"/>
      <c r="U1195" s="390"/>
      <c r="V1195" s="390"/>
      <c r="Y1195" s="419">
        <f t="shared" si="147"/>
        <v>2008223.46</v>
      </c>
      <c r="Z1195" s="419"/>
    </row>
    <row r="1196" spans="1:26" s="403" customFormat="1" ht="37.5" hidden="1" customHeight="1">
      <c r="A1196" s="493">
        <f t="shared" si="146"/>
        <v>46</v>
      </c>
      <c r="B1196" s="403" t="s">
        <v>1261</v>
      </c>
      <c r="C1196" s="455" t="s">
        <v>299</v>
      </c>
      <c r="D1196" s="768">
        <f t="shared" si="151"/>
        <v>15622.413793103451</v>
      </c>
      <c r="E1196" s="388">
        <v>2788</v>
      </c>
      <c r="F1196" s="388" t="s">
        <v>219</v>
      </c>
      <c r="G1196" s="388">
        <v>1008</v>
      </c>
      <c r="H1196" s="446">
        <v>5</v>
      </c>
      <c r="I1196" s="446">
        <v>1</v>
      </c>
      <c r="J1196" s="446">
        <v>180</v>
      </c>
      <c r="K1196" s="504" t="s">
        <v>235</v>
      </c>
      <c r="L1196" s="650">
        <f t="shared" si="148"/>
        <v>1849815.8399999999</v>
      </c>
      <c r="M1196" s="751">
        <v>1842895.6099999999</v>
      </c>
      <c r="N1196" s="388"/>
      <c r="O1196" s="473">
        <v>6920.23</v>
      </c>
      <c r="P1196" s="388"/>
      <c r="Q1196" s="388"/>
      <c r="R1196" s="446">
        <f t="shared" si="150"/>
        <v>1828.2694543650791</v>
      </c>
      <c r="S1196" s="383">
        <f t="shared" si="149"/>
        <v>-1.8189894035458565E-11</v>
      </c>
      <c r="T1196" s="388"/>
      <c r="U1196" s="390"/>
      <c r="V1196" s="390"/>
      <c r="Y1196" s="419">
        <f t="shared" si="147"/>
        <v>1849815.8399999999</v>
      </c>
      <c r="Z1196" s="419"/>
    </row>
    <row r="1197" spans="1:26" s="403" customFormat="1" ht="37.5" hidden="1" customHeight="1">
      <c r="A1197" s="493">
        <f t="shared" si="146"/>
        <v>47</v>
      </c>
      <c r="B1197" s="403" t="s">
        <v>1262</v>
      </c>
      <c r="C1197" s="455" t="s">
        <v>299</v>
      </c>
      <c r="D1197" s="768">
        <f t="shared" si="151"/>
        <v>14300</v>
      </c>
      <c r="E1197" s="391">
        <v>2552</v>
      </c>
      <c r="F1197" s="388" t="s">
        <v>219</v>
      </c>
      <c r="G1197" s="391">
        <v>966</v>
      </c>
      <c r="H1197" s="528">
        <v>5</v>
      </c>
      <c r="I1197" s="528">
        <v>3</v>
      </c>
      <c r="J1197" s="528">
        <v>90</v>
      </c>
      <c r="K1197" s="504" t="s">
        <v>235</v>
      </c>
      <c r="L1197" s="650">
        <f t="shared" si="148"/>
        <v>2089526.48</v>
      </c>
      <c r="M1197" s="751">
        <v>2082894.8</v>
      </c>
      <c r="N1197" s="388"/>
      <c r="O1197" s="473">
        <v>6631.68</v>
      </c>
      <c r="P1197" s="388"/>
      <c r="Q1197" s="388"/>
      <c r="R1197" s="446">
        <f t="shared" si="150"/>
        <v>2156.2057971014492</v>
      </c>
      <c r="S1197" s="383">
        <f t="shared" si="149"/>
        <v>-6.5483618527650833E-11</v>
      </c>
      <c r="T1197" s="388"/>
      <c r="U1197" s="390"/>
      <c r="V1197" s="390"/>
      <c r="Y1197" s="419">
        <f t="shared" si="147"/>
        <v>2089526.48</v>
      </c>
      <c r="Z1197" s="419"/>
    </row>
    <row r="1198" spans="1:26" s="403" customFormat="1" ht="37.5" hidden="1" customHeight="1">
      <c r="A1198" s="493">
        <f t="shared" si="146"/>
        <v>48</v>
      </c>
      <c r="B1198" s="403" t="s">
        <v>1263</v>
      </c>
      <c r="C1198" s="455" t="s">
        <v>299</v>
      </c>
      <c r="D1198" s="768">
        <f t="shared" si="151"/>
        <v>26392.241379310344</v>
      </c>
      <c r="E1198" s="391">
        <v>4710</v>
      </c>
      <c r="F1198" s="388" t="s">
        <v>219</v>
      </c>
      <c r="G1198" s="391">
        <v>1846</v>
      </c>
      <c r="H1198" s="528">
        <v>5</v>
      </c>
      <c r="I1198" s="528">
        <v>8</v>
      </c>
      <c r="J1198" s="528">
        <v>128</v>
      </c>
      <c r="K1198" s="458" t="s">
        <v>33</v>
      </c>
      <c r="L1198" s="650">
        <f t="shared" si="148"/>
        <v>3443596.46</v>
      </c>
      <c r="M1198" s="751">
        <v>3430923.15</v>
      </c>
      <c r="N1198" s="388"/>
      <c r="O1198" s="473">
        <v>12673.31</v>
      </c>
      <c r="P1198" s="388"/>
      <c r="Q1198" s="388"/>
      <c r="R1198" s="446">
        <f t="shared" si="150"/>
        <v>1858.5715872156013</v>
      </c>
      <c r="S1198" s="383">
        <f t="shared" si="149"/>
        <v>5.6388671509921551E-11</v>
      </c>
      <c r="T1198" s="388"/>
      <c r="U1198" s="390"/>
      <c r="V1198" s="390"/>
      <c r="Y1198" s="419">
        <f t="shared" si="147"/>
        <v>3443596.46</v>
      </c>
      <c r="Z1198" s="419"/>
    </row>
    <row r="1199" spans="1:26" s="403" customFormat="1" ht="37.5" hidden="1" customHeight="1">
      <c r="A1199" s="493">
        <f t="shared" si="146"/>
        <v>49</v>
      </c>
      <c r="B1199" s="403" t="s">
        <v>1264</v>
      </c>
      <c r="C1199" s="455" t="s">
        <v>299</v>
      </c>
      <c r="D1199" s="768">
        <f t="shared" si="151"/>
        <v>14120.689655172415</v>
      </c>
      <c r="E1199" s="391">
        <v>2520</v>
      </c>
      <c r="F1199" s="388" t="s">
        <v>219</v>
      </c>
      <c r="G1199" s="391">
        <v>1423</v>
      </c>
      <c r="H1199" s="528">
        <v>5</v>
      </c>
      <c r="I1199" s="528">
        <v>6</v>
      </c>
      <c r="J1199" s="528">
        <v>120</v>
      </c>
      <c r="K1199" s="458" t="s">
        <v>33</v>
      </c>
      <c r="L1199" s="650">
        <f t="shared" si="148"/>
        <v>2655209.66</v>
      </c>
      <c r="M1199" s="751">
        <v>2645439.75</v>
      </c>
      <c r="N1199" s="388"/>
      <c r="O1199" s="473">
        <v>9769.91</v>
      </c>
      <c r="P1199" s="388"/>
      <c r="Q1199" s="388"/>
      <c r="R1199" s="446">
        <f t="shared" si="150"/>
        <v>1859.0581517919888</v>
      </c>
      <c r="S1199" s="383">
        <f t="shared" si="149"/>
        <v>1.4915713109076023E-10</v>
      </c>
      <c r="T1199" s="388"/>
      <c r="U1199" s="390"/>
      <c r="V1199" s="390"/>
      <c r="Y1199" s="419">
        <f t="shared" si="147"/>
        <v>2655209.66</v>
      </c>
      <c r="Z1199" s="419"/>
    </row>
    <row r="1200" spans="1:26" s="403" customFormat="1" ht="37.5" hidden="1" customHeight="1">
      <c r="A1200" s="493">
        <f t="shared" si="146"/>
        <v>50</v>
      </c>
      <c r="B1200" s="403" t="s">
        <v>1265</v>
      </c>
      <c r="C1200" s="455" t="s">
        <v>299</v>
      </c>
      <c r="D1200" s="768">
        <f t="shared" si="151"/>
        <v>8035.3448275862074</v>
      </c>
      <c r="E1200" s="391">
        <v>1434</v>
      </c>
      <c r="F1200" s="388" t="s">
        <v>219</v>
      </c>
      <c r="G1200" s="391">
        <v>490</v>
      </c>
      <c r="H1200" s="528">
        <v>5</v>
      </c>
      <c r="I1200" s="528">
        <v>2</v>
      </c>
      <c r="J1200" s="528">
        <v>37</v>
      </c>
      <c r="K1200" s="458" t="s">
        <v>33</v>
      </c>
      <c r="L1200" s="650">
        <f t="shared" si="148"/>
        <v>987192.74</v>
      </c>
      <c r="M1200" s="751">
        <v>983828.64</v>
      </c>
      <c r="N1200" s="388"/>
      <c r="O1200" s="473">
        <v>3364.1</v>
      </c>
      <c r="P1200" s="388"/>
      <c r="Q1200" s="388"/>
      <c r="R1200" s="446">
        <f t="shared" si="150"/>
        <v>2007.8135510204081</v>
      </c>
      <c r="S1200" s="383">
        <f t="shared" si="149"/>
        <v>-2.319211489520967E-11</v>
      </c>
      <c r="T1200" s="388"/>
      <c r="U1200" s="390"/>
      <c r="V1200" s="390"/>
      <c r="Y1200" s="419">
        <f t="shared" si="147"/>
        <v>987192.74</v>
      </c>
      <c r="Z1200" s="419"/>
    </row>
    <row r="1201" spans="1:26" s="403" customFormat="1" ht="37.5" hidden="1" customHeight="1">
      <c r="A1201" s="493">
        <f t="shared" si="146"/>
        <v>51</v>
      </c>
      <c r="B1201" s="403" t="s">
        <v>1266</v>
      </c>
      <c r="C1201" s="455" t="s">
        <v>299</v>
      </c>
      <c r="D1201" s="531">
        <f t="shared" si="151"/>
        <v>12742.241379310346</v>
      </c>
      <c r="E1201" s="391">
        <v>2274</v>
      </c>
      <c r="F1201" s="391" t="s">
        <v>252</v>
      </c>
      <c r="G1201" s="391">
        <v>1150</v>
      </c>
      <c r="H1201" s="528">
        <v>3</v>
      </c>
      <c r="I1201" s="528">
        <v>4</v>
      </c>
      <c r="J1201" s="528">
        <v>64</v>
      </c>
      <c r="K1201" s="504" t="s">
        <v>33</v>
      </c>
      <c r="L1201" s="650">
        <f t="shared" si="148"/>
        <v>2873979.1100000003</v>
      </c>
      <c r="M1201" s="751">
        <v>2844129.1100000003</v>
      </c>
      <c r="N1201" s="388">
        <v>29850</v>
      </c>
      <c r="O1201" s="473"/>
      <c r="P1201" s="388"/>
      <c r="Q1201" s="388"/>
      <c r="R1201" s="446">
        <f t="shared" si="150"/>
        <v>2473.1557478260875</v>
      </c>
      <c r="S1201" s="383">
        <f t="shared" si="149"/>
        <v>0</v>
      </c>
      <c r="T1201" s="388"/>
      <c r="U1201" s="390"/>
      <c r="V1201" s="390"/>
      <c r="Y1201" s="419">
        <f t="shared" si="147"/>
        <v>2873979.1100000003</v>
      </c>
      <c r="Z1201" s="419"/>
    </row>
    <row r="1202" spans="1:26" s="403" customFormat="1" ht="37.5" hidden="1" customHeight="1">
      <c r="A1202" s="493">
        <f t="shared" si="146"/>
        <v>52</v>
      </c>
      <c r="B1202" s="403" t="s">
        <v>1267</v>
      </c>
      <c r="C1202" s="455" t="s">
        <v>299</v>
      </c>
      <c r="D1202" s="768">
        <f t="shared" si="151"/>
        <v>19382.327586206899</v>
      </c>
      <c r="E1202" s="391">
        <v>3459</v>
      </c>
      <c r="F1202" s="388" t="s">
        <v>219</v>
      </c>
      <c r="G1202" s="391">
        <v>1400</v>
      </c>
      <c r="H1202" s="528">
        <v>5</v>
      </c>
      <c r="I1202" s="528">
        <v>6</v>
      </c>
      <c r="J1202" s="528">
        <v>104</v>
      </c>
      <c r="K1202" s="458" t="s">
        <v>33</v>
      </c>
      <c r="L1202" s="650">
        <f t="shared" si="148"/>
        <v>2258562.6100000003</v>
      </c>
      <c r="M1202" s="751">
        <v>2248950.91</v>
      </c>
      <c r="N1202" s="388"/>
      <c r="O1202" s="473">
        <v>9611.7000000000007</v>
      </c>
      <c r="P1202" s="388"/>
      <c r="Q1202" s="388"/>
      <c r="R1202" s="446">
        <f t="shared" si="150"/>
        <v>1606.3935071428573</v>
      </c>
      <c r="S1202" s="383">
        <f t="shared" si="149"/>
        <v>1.8553691916167736E-10</v>
      </c>
      <c r="T1202" s="388"/>
      <c r="U1202" s="390"/>
      <c r="V1202" s="390"/>
      <c r="Y1202" s="419">
        <f t="shared" si="147"/>
        <v>2258562.6100000003</v>
      </c>
      <c r="Z1202" s="419"/>
    </row>
    <row r="1203" spans="1:26" s="403" customFormat="1" ht="37.5" hidden="1" customHeight="1">
      <c r="A1203" s="493">
        <f t="shared" si="146"/>
        <v>53</v>
      </c>
      <c r="B1203" s="403" t="s">
        <v>1268</v>
      </c>
      <c r="C1203" s="455" t="s">
        <v>299</v>
      </c>
      <c r="D1203" s="531">
        <f t="shared" si="151"/>
        <v>9637.9310344827591</v>
      </c>
      <c r="E1203" s="391">
        <v>1720</v>
      </c>
      <c r="F1203" s="391" t="s">
        <v>252</v>
      </c>
      <c r="G1203" s="391">
        <v>1005</v>
      </c>
      <c r="H1203" s="528">
        <v>5</v>
      </c>
      <c r="I1203" s="528">
        <v>4</v>
      </c>
      <c r="J1203" s="528">
        <v>76</v>
      </c>
      <c r="K1203" s="504" t="s">
        <v>33</v>
      </c>
      <c r="L1203" s="650">
        <f t="shared" si="148"/>
        <v>2848543.53</v>
      </c>
      <c r="M1203" s="751">
        <v>2813718.53</v>
      </c>
      <c r="N1203" s="388">
        <v>34825</v>
      </c>
      <c r="O1203" s="473"/>
      <c r="P1203" s="388"/>
      <c r="Q1203" s="388"/>
      <c r="R1203" s="446">
        <f t="shared" si="150"/>
        <v>2799.7199303482585</v>
      </c>
      <c r="S1203" s="383">
        <f t="shared" si="149"/>
        <v>0</v>
      </c>
      <c r="T1203" s="388"/>
      <c r="U1203" s="390"/>
      <c r="V1203" s="390"/>
      <c r="Y1203" s="419">
        <f t="shared" si="147"/>
        <v>2848543.53</v>
      </c>
      <c r="Z1203" s="419"/>
    </row>
    <row r="1204" spans="1:26" s="403" customFormat="1" ht="37.5" hidden="1" customHeight="1">
      <c r="A1204" s="493">
        <f t="shared" si="146"/>
        <v>54</v>
      </c>
      <c r="B1204" s="543" t="s">
        <v>1269</v>
      </c>
      <c r="C1204" s="455" t="s">
        <v>299</v>
      </c>
      <c r="D1204" s="768">
        <f t="shared" si="151"/>
        <v>0</v>
      </c>
      <c r="E1204" s="388"/>
      <c r="F1204" s="388" t="s">
        <v>219</v>
      </c>
      <c r="G1204" s="388">
        <v>1261</v>
      </c>
      <c r="H1204" s="446">
        <v>5</v>
      </c>
      <c r="I1204" s="446">
        <v>5</v>
      </c>
      <c r="J1204" s="446">
        <v>80</v>
      </c>
      <c r="K1204" s="458" t="s">
        <v>33</v>
      </c>
      <c r="L1204" s="650">
        <f t="shared" si="148"/>
        <v>2377251.96</v>
      </c>
      <c r="M1204" s="751">
        <v>2368594.46</v>
      </c>
      <c r="N1204" s="388"/>
      <c r="O1204" s="473">
        <v>8657.5</v>
      </c>
      <c r="P1204" s="388"/>
      <c r="Q1204" s="388"/>
      <c r="R1204" s="446">
        <f t="shared" si="150"/>
        <v>1878.3461221252974</v>
      </c>
      <c r="S1204" s="383">
        <f t="shared" si="149"/>
        <v>0</v>
      </c>
      <c r="T1204" s="388"/>
      <c r="U1204" s="390"/>
      <c r="V1204" s="390"/>
      <c r="Y1204" s="419">
        <f t="shared" si="147"/>
        <v>2377251.96</v>
      </c>
      <c r="Z1204" s="419"/>
    </row>
    <row r="1205" spans="1:26" s="403" customFormat="1" ht="37.5" hidden="1" customHeight="1">
      <c r="A1205" s="493">
        <f t="shared" si="146"/>
        <v>55</v>
      </c>
      <c r="B1205" s="543" t="s">
        <v>1270</v>
      </c>
      <c r="C1205" s="455" t="s">
        <v>299</v>
      </c>
      <c r="D1205" s="768">
        <f t="shared" si="151"/>
        <v>0</v>
      </c>
      <c r="E1205" s="388"/>
      <c r="F1205" s="388" t="s">
        <v>219</v>
      </c>
      <c r="G1205" s="388">
        <v>1161</v>
      </c>
      <c r="H1205" s="446">
        <v>5</v>
      </c>
      <c r="I1205" s="446">
        <v>3</v>
      </c>
      <c r="J1205" s="446">
        <v>90</v>
      </c>
      <c r="K1205" s="458" t="s">
        <v>33</v>
      </c>
      <c r="L1205" s="650">
        <f t="shared" si="148"/>
        <v>1999604.68</v>
      </c>
      <c r="M1205" s="751">
        <v>1991633.73</v>
      </c>
      <c r="N1205" s="388"/>
      <c r="O1205" s="473">
        <v>7970.95</v>
      </c>
      <c r="P1205" s="388"/>
      <c r="Q1205" s="388"/>
      <c r="R1205" s="446">
        <f t="shared" si="150"/>
        <v>1715.446795865633</v>
      </c>
      <c r="S1205" s="383">
        <f t="shared" si="149"/>
        <v>-4.638422979041934E-11</v>
      </c>
      <c r="T1205" s="388"/>
      <c r="U1205" s="390"/>
      <c r="V1205" s="390"/>
      <c r="Y1205" s="419">
        <f t="shared" si="147"/>
        <v>1999604.68</v>
      </c>
      <c r="Z1205" s="419"/>
    </row>
    <row r="1206" spans="1:26" s="403" customFormat="1" ht="37.5" hidden="1" customHeight="1">
      <c r="A1206" s="493">
        <f t="shared" si="146"/>
        <v>56</v>
      </c>
      <c r="B1206" s="543" t="s">
        <v>1271</v>
      </c>
      <c r="C1206" s="455" t="s">
        <v>299</v>
      </c>
      <c r="D1206" s="768">
        <f t="shared" si="151"/>
        <v>14871.551724137931</v>
      </c>
      <c r="E1206" s="388">
        <v>2654</v>
      </c>
      <c r="F1206" s="388" t="s">
        <v>219</v>
      </c>
      <c r="G1206" s="388">
        <v>2083</v>
      </c>
      <c r="H1206" s="446">
        <v>5</v>
      </c>
      <c r="I1206" s="446">
        <v>10</v>
      </c>
      <c r="J1206" s="446">
        <v>137</v>
      </c>
      <c r="K1206" s="504" t="s">
        <v>33</v>
      </c>
      <c r="L1206" s="650">
        <f t="shared" si="148"/>
        <v>4365089.8499999996</v>
      </c>
      <c r="M1206" s="751">
        <v>4350788.71</v>
      </c>
      <c r="N1206" s="388"/>
      <c r="O1206" s="473">
        <v>14301.14</v>
      </c>
      <c r="P1206" s="388"/>
      <c r="Q1206" s="388"/>
      <c r="R1206" s="446">
        <f t="shared" si="150"/>
        <v>2088.7127748439752</v>
      </c>
      <c r="S1206" s="383">
        <f t="shared" si="149"/>
        <v>-3.3469405025243759E-10</v>
      </c>
      <c r="T1206" s="388"/>
      <c r="U1206" s="390"/>
      <c r="V1206" s="390"/>
      <c r="Y1206" s="419">
        <f t="shared" si="147"/>
        <v>4365089.8499999996</v>
      </c>
      <c r="Z1206" s="419"/>
    </row>
    <row r="1207" spans="1:26" s="403" customFormat="1" ht="37.5" hidden="1" customHeight="1">
      <c r="A1207" s="493">
        <f t="shared" si="146"/>
        <v>57</v>
      </c>
      <c r="B1207" s="543" t="s">
        <v>1272</v>
      </c>
      <c r="C1207" s="455" t="s">
        <v>299</v>
      </c>
      <c r="D1207" s="768">
        <f t="shared" si="151"/>
        <v>11212.500000000002</v>
      </c>
      <c r="E1207" s="769">
        <v>2001</v>
      </c>
      <c r="F1207" s="388" t="s">
        <v>219</v>
      </c>
      <c r="G1207" s="388">
        <v>950</v>
      </c>
      <c r="H1207" s="446">
        <v>5</v>
      </c>
      <c r="I1207" s="446">
        <v>4</v>
      </c>
      <c r="J1207" s="446">
        <v>60</v>
      </c>
      <c r="K1207" s="504" t="s">
        <v>33</v>
      </c>
      <c r="L1207" s="650">
        <f t="shared" si="148"/>
        <v>1827597.43</v>
      </c>
      <c r="M1207" s="751">
        <v>1821075.2</v>
      </c>
      <c r="N1207" s="388"/>
      <c r="O1207" s="473">
        <v>6522.23</v>
      </c>
      <c r="P1207" s="388"/>
      <c r="Q1207" s="388"/>
      <c r="R1207" s="446">
        <f t="shared" si="150"/>
        <v>1916.9212631578946</v>
      </c>
      <c r="S1207" s="383">
        <f t="shared" si="149"/>
        <v>-1.8189894035458565E-11</v>
      </c>
      <c r="T1207" s="388"/>
      <c r="U1207" s="390"/>
      <c r="V1207" s="390"/>
      <c r="Y1207" s="419">
        <f t="shared" si="147"/>
        <v>1827597.43</v>
      </c>
      <c r="Z1207" s="419"/>
    </row>
    <row r="1208" spans="1:26" s="403" customFormat="1" ht="37.5" hidden="1" customHeight="1">
      <c r="A1208" s="493">
        <f t="shared" si="146"/>
        <v>58</v>
      </c>
      <c r="B1208" s="543" t="s">
        <v>1273</v>
      </c>
      <c r="C1208" s="455" t="s">
        <v>299</v>
      </c>
      <c r="D1208" s="768">
        <f t="shared" si="151"/>
        <v>10965.948275862069</v>
      </c>
      <c r="E1208" s="388">
        <v>1957</v>
      </c>
      <c r="F1208" s="388" t="s">
        <v>219</v>
      </c>
      <c r="G1208" s="388">
        <v>1020</v>
      </c>
      <c r="H1208" s="446">
        <v>5</v>
      </c>
      <c r="I1208" s="446">
        <v>4</v>
      </c>
      <c r="J1208" s="446">
        <v>64</v>
      </c>
      <c r="K1208" s="504" t="s">
        <v>33</v>
      </c>
      <c r="L1208" s="650">
        <f t="shared" si="148"/>
        <v>1754867.04</v>
      </c>
      <c r="M1208" s="751">
        <v>1747864.23</v>
      </c>
      <c r="N1208" s="388"/>
      <c r="O1208" s="473">
        <v>7002.81</v>
      </c>
      <c r="P1208" s="388"/>
      <c r="Q1208" s="388"/>
      <c r="R1208" s="446">
        <f t="shared" si="150"/>
        <v>1713.5923823529411</v>
      </c>
      <c r="S1208" s="383">
        <f t="shared" si="149"/>
        <v>5.5479176808148623E-11</v>
      </c>
      <c r="T1208" s="388"/>
      <c r="U1208" s="390"/>
      <c r="V1208" s="390"/>
      <c r="Y1208" s="419">
        <f t="shared" si="147"/>
        <v>1754867.04</v>
      </c>
      <c r="Z1208" s="419"/>
    </row>
    <row r="1209" spans="1:26" s="403" customFormat="1" ht="37.5" hidden="1" customHeight="1">
      <c r="A1209" s="493">
        <f t="shared" si="146"/>
        <v>59</v>
      </c>
      <c r="B1209" s="543" t="s">
        <v>1274</v>
      </c>
      <c r="C1209" s="455" t="s">
        <v>299</v>
      </c>
      <c r="D1209" s="768">
        <f t="shared" si="151"/>
        <v>10355.172413793103</v>
      </c>
      <c r="E1209" s="769">
        <v>1848</v>
      </c>
      <c r="F1209" s="388" t="s">
        <v>219</v>
      </c>
      <c r="G1209" s="388">
        <v>845</v>
      </c>
      <c r="H1209" s="446">
        <v>5</v>
      </c>
      <c r="I1209" s="446">
        <v>4</v>
      </c>
      <c r="J1209" s="446">
        <v>60</v>
      </c>
      <c r="K1209" s="504" t="s">
        <v>33</v>
      </c>
      <c r="L1209" s="650">
        <f t="shared" si="148"/>
        <v>1803535.3800000001</v>
      </c>
      <c r="M1209" s="751">
        <v>1797733.53</v>
      </c>
      <c r="N1209" s="388"/>
      <c r="O1209" s="473">
        <v>5801.85</v>
      </c>
      <c r="P1209" s="388"/>
      <c r="Q1209" s="388"/>
      <c r="R1209" s="446">
        <f t="shared" si="150"/>
        <v>2127.4953017751482</v>
      </c>
      <c r="S1209" s="383">
        <f t="shared" si="149"/>
        <v>9.276845958083868E-11</v>
      </c>
      <c r="T1209" s="388"/>
      <c r="U1209" s="390"/>
      <c r="V1209" s="390"/>
      <c r="Y1209" s="419">
        <f t="shared" si="147"/>
        <v>1803535.3800000001</v>
      </c>
      <c r="Z1209" s="419"/>
    </row>
    <row r="1210" spans="1:26" s="403" customFormat="1" ht="37.5" hidden="1" customHeight="1">
      <c r="A1210" s="493">
        <f t="shared" si="146"/>
        <v>60</v>
      </c>
      <c r="B1210" s="543" t="s">
        <v>1275</v>
      </c>
      <c r="C1210" s="455" t="s">
        <v>299</v>
      </c>
      <c r="D1210" s="768">
        <f t="shared" si="151"/>
        <v>3916.8103448275865</v>
      </c>
      <c r="E1210" s="388">
        <v>699</v>
      </c>
      <c r="F1210" s="388" t="s">
        <v>219</v>
      </c>
      <c r="G1210" s="388">
        <v>459</v>
      </c>
      <c r="H1210" s="446">
        <v>5</v>
      </c>
      <c r="I1210" s="446">
        <v>2</v>
      </c>
      <c r="J1210" s="446">
        <v>40</v>
      </c>
      <c r="K1210" s="504" t="s">
        <v>225</v>
      </c>
      <c r="L1210" s="650">
        <f t="shared" si="148"/>
        <v>668780.35</v>
      </c>
      <c r="M1210" s="751">
        <v>647214.72</v>
      </c>
      <c r="N1210" s="388">
        <v>21565.63</v>
      </c>
      <c r="O1210" s="473"/>
      <c r="P1210" s="388"/>
      <c r="Q1210" s="388"/>
      <c r="R1210" s="446">
        <f t="shared" si="150"/>
        <v>1410.0538562091504</v>
      </c>
      <c r="S1210" s="383">
        <f t="shared" si="149"/>
        <v>3.637978807091713E-12</v>
      </c>
      <c r="T1210" s="388"/>
      <c r="U1210" s="390"/>
      <c r="V1210" s="390"/>
      <c r="Y1210" s="419">
        <f t="shared" si="147"/>
        <v>668780.35</v>
      </c>
      <c r="Z1210" s="419"/>
    </row>
    <row r="1211" spans="1:26" s="403" customFormat="1" ht="37.5" hidden="1" customHeight="1">
      <c r="A1211" s="493">
        <f t="shared" si="146"/>
        <v>61</v>
      </c>
      <c r="B1211" s="543" t="s">
        <v>1276</v>
      </c>
      <c r="C1211" s="455" t="s">
        <v>299</v>
      </c>
      <c r="D1211" s="768">
        <f t="shared" si="151"/>
        <v>6242.2413793103451</v>
      </c>
      <c r="E1211" s="388">
        <v>1114</v>
      </c>
      <c r="F1211" s="388" t="s">
        <v>219</v>
      </c>
      <c r="G1211" s="388">
        <v>455</v>
      </c>
      <c r="H1211" s="446">
        <v>5</v>
      </c>
      <c r="I1211" s="446">
        <v>2</v>
      </c>
      <c r="J1211" s="446">
        <v>30</v>
      </c>
      <c r="K1211" s="504" t="s">
        <v>33</v>
      </c>
      <c r="L1211" s="650">
        <f t="shared" si="148"/>
        <v>1019092.5800000001</v>
      </c>
      <c r="M1211" s="751">
        <v>1015968.28</v>
      </c>
      <c r="N1211" s="388"/>
      <c r="O1211" s="473">
        <v>3124.3</v>
      </c>
      <c r="P1211" s="388"/>
      <c r="Q1211" s="388"/>
      <c r="R1211" s="446">
        <f t="shared" si="150"/>
        <v>2232.8973186813187</v>
      </c>
      <c r="S1211" s="383">
        <f t="shared" si="149"/>
        <v>4.638422979041934E-11</v>
      </c>
      <c r="T1211" s="388"/>
      <c r="U1211" s="390"/>
      <c r="V1211" s="390"/>
      <c r="Y1211" s="419">
        <f t="shared" si="147"/>
        <v>1019092.5800000001</v>
      </c>
      <c r="Z1211" s="419"/>
    </row>
    <row r="1212" spans="1:26" s="403" customFormat="1" ht="37.5" hidden="1" customHeight="1">
      <c r="A1212" s="493">
        <f t="shared" si="146"/>
        <v>62</v>
      </c>
      <c r="B1212" s="770" t="s">
        <v>1277</v>
      </c>
      <c r="C1212" s="544" t="s">
        <v>299</v>
      </c>
      <c r="D1212" s="531">
        <f t="shared" si="151"/>
        <v>6057.3275862068967</v>
      </c>
      <c r="E1212" s="388">
        <v>1081</v>
      </c>
      <c r="F1212" s="388" t="s">
        <v>219</v>
      </c>
      <c r="G1212" s="388">
        <v>456</v>
      </c>
      <c r="H1212" s="446">
        <v>5</v>
      </c>
      <c r="I1212" s="446">
        <v>2</v>
      </c>
      <c r="J1212" s="446">
        <v>30</v>
      </c>
      <c r="K1212" s="537" t="s">
        <v>33</v>
      </c>
      <c r="L1212" s="650">
        <f t="shared" si="148"/>
        <v>1014039.37</v>
      </c>
      <c r="M1212" s="519">
        <v>1010909.1</v>
      </c>
      <c r="N1212" s="388"/>
      <c r="O1212" s="473">
        <v>3130.27</v>
      </c>
      <c r="P1212" s="388"/>
      <c r="Q1212" s="388"/>
      <c r="R1212" s="446">
        <f t="shared" si="150"/>
        <v>2216.9059210526316</v>
      </c>
      <c r="S1212" s="383">
        <f t="shared" si="149"/>
        <v>1.8644641386345029E-11</v>
      </c>
      <c r="T1212" s="388"/>
      <c r="U1212" s="390"/>
      <c r="V1212" s="390"/>
      <c r="Y1212" s="419">
        <f t="shared" si="147"/>
        <v>1014039.37</v>
      </c>
      <c r="Z1212" s="419"/>
    </row>
    <row r="1213" spans="1:26" s="403" customFormat="1" ht="37.5" hidden="1" customHeight="1">
      <c r="A1213" s="493">
        <f t="shared" si="146"/>
        <v>63</v>
      </c>
      <c r="B1213" s="1166" t="s">
        <v>1278</v>
      </c>
      <c r="C1213" s="617" t="s">
        <v>299</v>
      </c>
      <c r="D1213" s="766">
        <f t="shared" si="151"/>
        <v>31603.448275862072</v>
      </c>
      <c r="E1213" s="388">
        <v>5640</v>
      </c>
      <c r="F1213" s="388" t="s">
        <v>234</v>
      </c>
      <c r="G1213" s="388">
        <v>1185</v>
      </c>
      <c r="H1213" s="446">
        <v>9</v>
      </c>
      <c r="I1213" s="446">
        <v>3</v>
      </c>
      <c r="J1213" s="446">
        <v>108</v>
      </c>
      <c r="K1213" s="458" t="s">
        <v>38</v>
      </c>
      <c r="L1213" s="1142">
        <f>M1213+N1213+O1213+P1213+Q1213+M1214+N1214+O1214+P1214+Q1214</f>
        <v>13683121.67</v>
      </c>
      <c r="M1213" s="751">
        <v>7603005.29</v>
      </c>
      <c r="N1213" s="388"/>
      <c r="O1213" s="473">
        <v>26936.639999999999</v>
      </c>
      <c r="P1213" s="388"/>
      <c r="Q1213" s="388"/>
      <c r="R1213" s="528">
        <f>M1213/E1213</f>
        <v>1348.0505833333334</v>
      </c>
      <c r="S1213" s="383">
        <f t="shared" si="149"/>
        <v>6053179.7400000002</v>
      </c>
      <c r="T1213" s="388"/>
      <c r="U1213" s="390"/>
      <c r="V1213" s="390"/>
      <c r="Y1213" s="419">
        <f t="shared" si="147"/>
        <v>7629941.9299999997</v>
      </c>
      <c r="Z1213" s="419"/>
    </row>
    <row r="1214" spans="1:26" s="403" customFormat="1" ht="37.5" hidden="1" customHeight="1">
      <c r="A1214" s="493"/>
      <c r="B1214" s="1166"/>
      <c r="C1214" s="617"/>
      <c r="D1214" s="766"/>
      <c r="E1214" s="388"/>
      <c r="F1214" s="388"/>
      <c r="G1214" s="388"/>
      <c r="H1214" s="446"/>
      <c r="I1214" s="446"/>
      <c r="J1214" s="446"/>
      <c r="K1214" s="458" t="s">
        <v>220</v>
      </c>
      <c r="L1214" s="1142"/>
      <c r="M1214" s="751">
        <v>5931417.2400000002</v>
      </c>
      <c r="N1214" s="388">
        <v>121762.5</v>
      </c>
      <c r="O1214" s="473"/>
      <c r="P1214" s="388"/>
      <c r="Q1214" s="388"/>
      <c r="R1214" s="446">
        <f>M1214/I1213</f>
        <v>1977139.08</v>
      </c>
      <c r="S1214" s="383">
        <f t="shared" si="149"/>
        <v>-6053179.7400000002</v>
      </c>
      <c r="T1214" s="388"/>
      <c r="U1214" s="404"/>
      <c r="V1214" s="390"/>
      <c r="Y1214" s="419">
        <f t="shared" si="147"/>
        <v>6053179.7400000002</v>
      </c>
      <c r="Z1214" s="419"/>
    </row>
    <row r="1215" spans="1:26" s="403" customFormat="1" ht="37.5" hidden="1" customHeight="1">
      <c r="A1215" s="493">
        <f>A1213+1</f>
        <v>64</v>
      </c>
      <c r="B1215" s="543" t="s">
        <v>1279</v>
      </c>
      <c r="C1215" s="617" t="s">
        <v>299</v>
      </c>
      <c r="D1215" s="766">
        <f t="shared" si="151"/>
        <v>25904.741379310344</v>
      </c>
      <c r="E1215" s="388">
        <v>4623</v>
      </c>
      <c r="F1215" s="388" t="s">
        <v>234</v>
      </c>
      <c r="G1215" s="388">
        <v>2000</v>
      </c>
      <c r="H1215" s="446">
        <v>5</v>
      </c>
      <c r="I1215" s="446">
        <v>8</v>
      </c>
      <c r="J1215" s="446">
        <v>140</v>
      </c>
      <c r="K1215" s="767" t="s">
        <v>33</v>
      </c>
      <c r="L1215" s="650">
        <f t="shared" ref="L1215:L1233" si="152">M1215+N1215+O1215+P1215+Q1215</f>
        <v>8676554.4399999995</v>
      </c>
      <c r="M1215" s="751">
        <v>8662823.4399999995</v>
      </c>
      <c r="N1215" s="388">
        <v>13731</v>
      </c>
      <c r="O1215" s="473"/>
      <c r="P1215" s="388"/>
      <c r="Q1215" s="388"/>
      <c r="R1215" s="446">
        <f>M1215/G1215</f>
        <v>4331.4117200000001</v>
      </c>
      <c r="S1215" s="383">
        <f t="shared" ref="S1215:S1236" si="153">L1215-M1215-N1215-O1215-P1215-Q1215</f>
        <v>0</v>
      </c>
      <c r="T1215" s="388"/>
      <c r="U1215" s="390"/>
      <c r="V1215" s="390"/>
      <c r="Y1215" s="419">
        <f t="shared" si="147"/>
        <v>8676554.4399999995</v>
      </c>
      <c r="Z1215" s="419"/>
    </row>
    <row r="1216" spans="1:26" s="455" customFormat="1" ht="37.5" hidden="1" customHeight="1" outlineLevel="1">
      <c r="A1216" s="493">
        <f>A1215+1</f>
        <v>65</v>
      </c>
      <c r="B1216" s="543" t="s">
        <v>3789</v>
      </c>
      <c r="C1216" s="487" t="s">
        <v>315</v>
      </c>
      <c r="E1216" s="388">
        <v>2735</v>
      </c>
      <c r="F1216" s="391" t="s">
        <v>219</v>
      </c>
      <c r="G1216" s="388">
        <v>542</v>
      </c>
      <c r="H1216" s="446">
        <v>9</v>
      </c>
      <c r="I1216" s="528">
        <v>1</v>
      </c>
      <c r="J1216" s="528">
        <v>64</v>
      </c>
      <c r="K1216" s="504" t="s">
        <v>227</v>
      </c>
      <c r="L1216" s="650">
        <f t="shared" si="152"/>
        <v>8648825.7899999991</v>
      </c>
      <c r="M1216" s="519">
        <v>8618975.7899999991</v>
      </c>
      <c r="N1216" s="388">
        <v>29850</v>
      </c>
      <c r="O1216" s="473"/>
      <c r="P1216" s="388"/>
      <c r="Q1216" s="388"/>
      <c r="R1216" s="528">
        <f>M1216/E1216</f>
        <v>3151.3622632541128</v>
      </c>
      <c r="S1216" s="383">
        <f t="shared" si="153"/>
        <v>0</v>
      </c>
      <c r="U1216" s="404"/>
      <c r="V1216" s="390"/>
      <c r="Y1216" s="419">
        <f t="shared" si="147"/>
        <v>8648825.7899999991</v>
      </c>
      <c r="Z1216" s="419"/>
    </row>
    <row r="1217" spans="1:26" s="455" customFormat="1" ht="37.5" hidden="1" customHeight="1" outlineLevel="1">
      <c r="A1217" s="493">
        <f t="shared" ref="A1217:A1235" si="154">A1216+1</f>
        <v>66</v>
      </c>
      <c r="B1217" s="543" t="s">
        <v>3790</v>
      </c>
      <c r="C1217" s="487" t="s">
        <v>315</v>
      </c>
      <c r="E1217" s="388">
        <v>3088</v>
      </c>
      <c r="F1217" s="391" t="s">
        <v>219</v>
      </c>
      <c r="G1217" s="388">
        <v>986</v>
      </c>
      <c r="H1217" s="446">
        <v>5</v>
      </c>
      <c r="I1217" s="528">
        <v>2</v>
      </c>
      <c r="J1217" s="528">
        <v>138</v>
      </c>
      <c r="K1217" s="504" t="s">
        <v>227</v>
      </c>
      <c r="L1217" s="650">
        <f t="shared" si="152"/>
        <v>6669252.5</v>
      </c>
      <c r="M1217" s="519">
        <v>6636417.5</v>
      </c>
      <c r="N1217" s="388">
        <v>32835</v>
      </c>
      <c r="O1217" s="473"/>
      <c r="P1217" s="388"/>
      <c r="Q1217" s="388"/>
      <c r="R1217" s="528">
        <f>M1217/E1217</f>
        <v>2149.0989313471505</v>
      </c>
      <c r="S1217" s="383">
        <f t="shared" si="153"/>
        <v>0</v>
      </c>
      <c r="U1217" s="404"/>
      <c r="V1217" s="390"/>
      <c r="Y1217" s="419">
        <f t="shared" si="147"/>
        <v>6669252.5</v>
      </c>
      <c r="Z1217" s="419"/>
    </row>
    <row r="1218" spans="1:26" s="455" customFormat="1" ht="37.5" hidden="1" customHeight="1" outlineLevel="1">
      <c r="A1218" s="493">
        <f t="shared" si="154"/>
        <v>67</v>
      </c>
      <c r="B1218" s="543" t="s">
        <v>3791</v>
      </c>
      <c r="C1218" s="487" t="s">
        <v>315</v>
      </c>
      <c r="E1218" s="388">
        <v>3087</v>
      </c>
      <c r="F1218" s="391" t="s">
        <v>219</v>
      </c>
      <c r="G1218" s="388">
        <v>1243</v>
      </c>
      <c r="H1218" s="446">
        <v>5</v>
      </c>
      <c r="I1218" s="528">
        <v>6</v>
      </c>
      <c r="J1218" s="528">
        <v>91</v>
      </c>
      <c r="K1218" s="504" t="s">
        <v>227</v>
      </c>
      <c r="L1218" s="650">
        <f t="shared" si="152"/>
        <v>6599723.6299999999</v>
      </c>
      <c r="M1218" s="519">
        <v>6566888.6299999999</v>
      </c>
      <c r="N1218" s="388">
        <v>32835</v>
      </c>
      <c r="O1218" s="473"/>
      <c r="P1218" s="388"/>
      <c r="Q1218" s="388"/>
      <c r="R1218" s="528">
        <f>M1218/E1218</f>
        <v>2127.2719889860705</v>
      </c>
      <c r="S1218" s="383">
        <f t="shared" si="153"/>
        <v>0</v>
      </c>
      <c r="U1218" s="404"/>
      <c r="V1218" s="390"/>
      <c r="Y1218" s="419">
        <f t="shared" si="147"/>
        <v>6599723.6299999999</v>
      </c>
      <c r="Z1218" s="419"/>
    </row>
    <row r="1219" spans="1:26" s="455" customFormat="1" ht="37.5" hidden="1" customHeight="1" outlineLevel="1">
      <c r="A1219" s="493">
        <f t="shared" si="154"/>
        <v>68</v>
      </c>
      <c r="B1219" s="543" t="s">
        <v>3950</v>
      </c>
      <c r="C1219" s="487" t="s">
        <v>315</v>
      </c>
      <c r="E1219" s="388">
        <v>3174</v>
      </c>
      <c r="F1219" s="391" t="s">
        <v>219</v>
      </c>
      <c r="G1219" s="388">
        <v>1288</v>
      </c>
      <c r="H1219" s="446">
        <v>5</v>
      </c>
      <c r="I1219" s="446">
        <v>6</v>
      </c>
      <c r="J1219" s="446">
        <v>96</v>
      </c>
      <c r="K1219" s="504" t="s">
        <v>227</v>
      </c>
      <c r="L1219" s="650">
        <f t="shared" si="152"/>
        <v>6568518.3899999997</v>
      </c>
      <c r="M1219" s="519">
        <v>6535683.3899999997</v>
      </c>
      <c r="N1219" s="388">
        <v>32835</v>
      </c>
      <c r="O1219" s="473"/>
      <c r="P1219" s="388"/>
      <c r="Q1219" s="388"/>
      <c r="R1219" s="528">
        <f>M1219/E1219</f>
        <v>2059.1315028355389</v>
      </c>
      <c r="S1219" s="383">
        <f t="shared" si="153"/>
        <v>0</v>
      </c>
      <c r="U1219" s="404"/>
      <c r="V1219" s="390"/>
      <c r="Y1219" s="419">
        <f t="shared" si="147"/>
        <v>6568518.3899999997</v>
      </c>
      <c r="Z1219" s="419"/>
    </row>
    <row r="1220" spans="1:26" s="458" customFormat="1" ht="37.5" hidden="1" customHeight="1">
      <c r="A1220" s="493">
        <f t="shared" si="154"/>
        <v>69</v>
      </c>
      <c r="B1220" s="457" t="s">
        <v>3487</v>
      </c>
      <c r="C1220" s="446" t="s">
        <v>218</v>
      </c>
      <c r="D1220" s="446">
        <v>11806</v>
      </c>
      <c r="E1220" s="388">
        <v>2107</v>
      </c>
      <c r="F1220" s="388" t="s">
        <v>234</v>
      </c>
      <c r="G1220" s="388">
        <v>755</v>
      </c>
      <c r="H1220" s="446">
        <v>5</v>
      </c>
      <c r="I1220" s="446">
        <v>4</v>
      </c>
      <c r="J1220" s="446">
        <v>60</v>
      </c>
      <c r="K1220" s="767" t="s">
        <v>33</v>
      </c>
      <c r="L1220" s="650">
        <f t="shared" si="152"/>
        <v>3554261.85</v>
      </c>
      <c r="M1220" s="519">
        <f>3319101.6+196655.25</f>
        <v>3515756.85</v>
      </c>
      <c r="N1220" s="388">
        <v>38505</v>
      </c>
      <c r="O1220" s="473"/>
      <c r="P1220" s="388"/>
      <c r="Q1220" s="388"/>
      <c r="R1220" s="446">
        <f>M1220/G1220</f>
        <v>4656.6315894039735</v>
      </c>
      <c r="S1220" s="383">
        <f t="shared" si="153"/>
        <v>0</v>
      </c>
      <c r="T1220" s="389"/>
      <c r="U1220" s="404"/>
      <c r="V1220" s="390"/>
      <c r="Y1220" s="419">
        <f t="shared" si="147"/>
        <v>3554261.85</v>
      </c>
      <c r="Z1220" s="419"/>
    </row>
    <row r="1221" spans="1:26" s="458" customFormat="1" ht="37.5" hidden="1" customHeight="1">
      <c r="A1221" s="493">
        <f t="shared" si="154"/>
        <v>70</v>
      </c>
      <c r="B1221" s="403" t="s">
        <v>3488</v>
      </c>
      <c r="C1221" s="518" t="s">
        <v>222</v>
      </c>
      <c r="D1221" s="446">
        <v>2622.4137931034484</v>
      </c>
      <c r="E1221" s="388">
        <v>468</v>
      </c>
      <c r="F1221" s="388" t="s">
        <v>219</v>
      </c>
      <c r="G1221" s="388">
        <v>1050</v>
      </c>
      <c r="H1221" s="446">
        <v>5</v>
      </c>
      <c r="I1221" s="446">
        <v>4</v>
      </c>
      <c r="J1221" s="446">
        <v>56</v>
      </c>
      <c r="K1221" s="767" t="s">
        <v>33</v>
      </c>
      <c r="L1221" s="650">
        <f t="shared" si="152"/>
        <v>4485560.75</v>
      </c>
      <c r="M1221" s="519">
        <f>4059000+386660.75</f>
        <v>4445660.75</v>
      </c>
      <c r="N1221" s="388">
        <v>39900</v>
      </c>
      <c r="O1221" s="473"/>
      <c r="P1221" s="388"/>
      <c r="Q1221" s="388"/>
      <c r="R1221" s="446">
        <f>M1221/G1221</f>
        <v>4233.9626190476192</v>
      </c>
      <c r="S1221" s="383">
        <f t="shared" si="153"/>
        <v>0</v>
      </c>
      <c r="T1221" s="389"/>
      <c r="U1221" s="404"/>
      <c r="V1221" s="390"/>
      <c r="Y1221" s="419">
        <f t="shared" si="147"/>
        <v>4485560.75</v>
      </c>
      <c r="Z1221" s="419"/>
    </row>
    <row r="1222" spans="1:26" s="458" customFormat="1" ht="56.25" hidden="1" customHeight="1">
      <c r="A1222" s="493">
        <f t="shared" si="154"/>
        <v>71</v>
      </c>
      <c r="B1222" s="457" t="s">
        <v>3489</v>
      </c>
      <c r="C1222" s="518" t="s">
        <v>3490</v>
      </c>
      <c r="D1222" s="446">
        <v>4713</v>
      </c>
      <c r="E1222" s="388">
        <v>841</v>
      </c>
      <c r="F1222" s="388" t="s">
        <v>234</v>
      </c>
      <c r="G1222" s="388">
        <v>1172</v>
      </c>
      <c r="H1222" s="446">
        <v>5</v>
      </c>
      <c r="I1222" s="446">
        <v>1</v>
      </c>
      <c r="J1222" s="446">
        <v>169</v>
      </c>
      <c r="K1222" s="767" t="s">
        <v>33</v>
      </c>
      <c r="L1222" s="650">
        <f t="shared" si="152"/>
        <v>4798811.21</v>
      </c>
      <c r="M1222" s="519">
        <v>4760135.21</v>
      </c>
      <c r="N1222" s="388">
        <v>38676.000000000007</v>
      </c>
      <c r="O1222" s="473"/>
      <c r="P1222" s="388"/>
      <c r="Q1222" s="388"/>
      <c r="R1222" s="446">
        <f>M1222/G1222</f>
        <v>4061.548813993174</v>
      </c>
      <c r="S1222" s="383">
        <f t="shared" si="153"/>
        <v>-7.2759576141834259E-12</v>
      </c>
      <c r="T1222" s="389"/>
      <c r="U1222" s="404"/>
      <c r="V1222" s="390"/>
      <c r="Y1222" s="419">
        <f t="shared" si="147"/>
        <v>4798811.21</v>
      </c>
      <c r="Z1222" s="419"/>
    </row>
    <row r="1223" spans="1:26" s="458" customFormat="1" ht="56.25" hidden="1" customHeight="1">
      <c r="A1223" s="493">
        <f t="shared" si="154"/>
        <v>72</v>
      </c>
      <c r="B1223" s="457" t="s">
        <v>3491</v>
      </c>
      <c r="C1223" s="518" t="s">
        <v>299</v>
      </c>
      <c r="D1223" s="446">
        <v>13257.758620689656</v>
      </c>
      <c r="E1223" s="388">
        <v>2366</v>
      </c>
      <c r="F1223" s="388" t="s">
        <v>219</v>
      </c>
      <c r="G1223" s="388">
        <v>953</v>
      </c>
      <c r="H1223" s="446">
        <v>4</v>
      </c>
      <c r="I1223" s="446">
        <v>4</v>
      </c>
      <c r="J1223" s="446">
        <v>60</v>
      </c>
      <c r="K1223" s="504" t="s">
        <v>30</v>
      </c>
      <c r="L1223" s="650">
        <f t="shared" si="152"/>
        <v>1478112.9</v>
      </c>
      <c r="M1223" s="519">
        <v>1473277.2</v>
      </c>
      <c r="N1223" s="388"/>
      <c r="O1223" s="473">
        <v>4835.7</v>
      </c>
      <c r="P1223" s="388"/>
      <c r="Q1223" s="388"/>
      <c r="R1223" s="382">
        <f>M1223/J1223</f>
        <v>24554.62</v>
      </c>
      <c r="S1223" s="383">
        <f t="shared" si="153"/>
        <v>-4.638422979041934E-11</v>
      </c>
      <c r="T1223" s="389"/>
      <c r="U1223" s="404"/>
      <c r="V1223" s="390"/>
      <c r="Y1223" s="419">
        <f t="shared" si="147"/>
        <v>1478112.9</v>
      </c>
      <c r="Z1223" s="419"/>
    </row>
    <row r="1224" spans="1:26" s="458" customFormat="1" ht="37.5" hidden="1" customHeight="1">
      <c r="A1224" s="493">
        <f t="shared" si="154"/>
        <v>73</v>
      </c>
      <c r="B1224" s="457" t="s">
        <v>3787</v>
      </c>
      <c r="C1224" s="518" t="s">
        <v>299</v>
      </c>
      <c r="D1224" s="446">
        <f t="shared" ref="D1224:D1232" si="155">E1224/1.16/2*13</f>
        <v>14356.034482758621</v>
      </c>
      <c r="E1224" s="388">
        <v>2562</v>
      </c>
      <c r="F1224" s="388" t="s">
        <v>219</v>
      </c>
      <c r="G1224" s="388">
        <v>793</v>
      </c>
      <c r="H1224" s="446">
        <v>7</v>
      </c>
      <c r="I1224" s="446">
        <v>2</v>
      </c>
      <c r="J1224" s="446">
        <v>86</v>
      </c>
      <c r="K1224" s="504" t="s">
        <v>220</v>
      </c>
      <c r="L1224" s="650">
        <f t="shared" si="152"/>
        <v>3863003.08</v>
      </c>
      <c r="M1224" s="519">
        <v>3761534.33</v>
      </c>
      <c r="N1224" s="388">
        <v>101468.75</v>
      </c>
      <c r="O1224" s="473"/>
      <c r="P1224" s="388"/>
      <c r="Q1224" s="388"/>
      <c r="R1224" s="765">
        <f>M1224/I1224</f>
        <v>1880767.165</v>
      </c>
      <c r="S1224" s="383">
        <f t="shared" si="153"/>
        <v>0</v>
      </c>
      <c r="T1224" s="389"/>
      <c r="U1224" s="404"/>
      <c r="V1224" s="390"/>
      <c r="Y1224" s="419">
        <f t="shared" ref="Y1224:Y1287" si="156">M1224+N1224+O1224+Q1224</f>
        <v>3863003.08</v>
      </c>
      <c r="Z1224" s="419"/>
    </row>
    <row r="1225" spans="1:26" s="458" customFormat="1" ht="37.5" hidden="1" customHeight="1">
      <c r="A1225" s="493">
        <f t="shared" si="154"/>
        <v>74</v>
      </c>
      <c r="B1225" s="457" t="s">
        <v>3786</v>
      </c>
      <c r="C1225" s="518" t="s">
        <v>299</v>
      </c>
      <c r="D1225" s="446">
        <f t="shared" si="155"/>
        <v>26182.784482758623</v>
      </c>
      <c r="E1225" s="388">
        <v>4672.62</v>
      </c>
      <c r="F1225" s="388" t="s">
        <v>219</v>
      </c>
      <c r="G1225" s="388">
        <v>810</v>
      </c>
      <c r="H1225" s="446">
        <v>9</v>
      </c>
      <c r="I1225" s="446">
        <v>3</v>
      </c>
      <c r="J1225" s="446">
        <v>108</v>
      </c>
      <c r="K1225" s="504" t="s">
        <v>220</v>
      </c>
      <c r="L1225" s="650">
        <f t="shared" si="152"/>
        <v>6037670.2400000002</v>
      </c>
      <c r="M1225" s="519">
        <v>5915907.7400000002</v>
      </c>
      <c r="N1225" s="388">
        <v>121762.5</v>
      </c>
      <c r="O1225" s="473"/>
      <c r="P1225" s="388"/>
      <c r="Q1225" s="388"/>
      <c r="R1225" s="765">
        <f>M1225/I1225</f>
        <v>1971969.2466666668</v>
      </c>
      <c r="S1225" s="383">
        <f t="shared" si="153"/>
        <v>0</v>
      </c>
      <c r="T1225" s="389"/>
      <c r="U1225" s="404"/>
      <c r="V1225" s="390"/>
      <c r="Y1225" s="419">
        <f t="shared" si="156"/>
        <v>6037670.2400000002</v>
      </c>
      <c r="Z1225" s="419"/>
    </row>
    <row r="1226" spans="1:26" s="458" customFormat="1" ht="37.5" hidden="1" customHeight="1">
      <c r="A1226" s="493">
        <f t="shared" si="154"/>
        <v>75</v>
      </c>
      <c r="B1226" s="457" t="s">
        <v>3785</v>
      </c>
      <c r="C1226" s="518" t="s">
        <v>299</v>
      </c>
      <c r="D1226" s="446">
        <f t="shared" si="155"/>
        <v>26182.672413793109</v>
      </c>
      <c r="E1226" s="388">
        <v>4672.6000000000004</v>
      </c>
      <c r="F1226" s="388" t="s">
        <v>219</v>
      </c>
      <c r="G1226" s="388">
        <v>815</v>
      </c>
      <c r="H1226" s="446">
        <v>9</v>
      </c>
      <c r="I1226" s="446">
        <v>3</v>
      </c>
      <c r="J1226" s="446">
        <v>108</v>
      </c>
      <c r="K1226" s="504" t="s">
        <v>220</v>
      </c>
      <c r="L1226" s="650">
        <f t="shared" si="152"/>
        <v>6036941.7199999997</v>
      </c>
      <c r="M1226" s="519">
        <v>5915179.2199999997</v>
      </c>
      <c r="N1226" s="388">
        <v>121762.5</v>
      </c>
      <c r="O1226" s="473"/>
      <c r="P1226" s="388"/>
      <c r="Q1226" s="388"/>
      <c r="R1226" s="765">
        <f>M1226/I1226</f>
        <v>1971726.4066666665</v>
      </c>
      <c r="S1226" s="383">
        <f t="shared" si="153"/>
        <v>0</v>
      </c>
      <c r="T1226" s="389"/>
      <c r="U1226" s="404"/>
      <c r="V1226" s="390"/>
      <c r="Y1226" s="419">
        <f t="shared" si="156"/>
        <v>6036941.7199999997</v>
      </c>
      <c r="Z1226" s="419"/>
    </row>
    <row r="1227" spans="1:26" s="458" customFormat="1" ht="37.5" hidden="1" customHeight="1">
      <c r="A1227" s="493">
        <f t="shared" si="154"/>
        <v>76</v>
      </c>
      <c r="B1227" s="457" t="s">
        <v>2149</v>
      </c>
      <c r="C1227" s="518" t="s">
        <v>299</v>
      </c>
      <c r="D1227" s="446">
        <f t="shared" si="155"/>
        <v>80577.586206896551</v>
      </c>
      <c r="E1227" s="388">
        <v>14380</v>
      </c>
      <c r="F1227" s="388" t="s">
        <v>219</v>
      </c>
      <c r="G1227" s="388">
        <v>3570.1</v>
      </c>
      <c r="H1227" s="446">
        <v>9</v>
      </c>
      <c r="I1227" s="446">
        <v>11</v>
      </c>
      <c r="J1227" s="446">
        <v>415</v>
      </c>
      <c r="K1227" s="504" t="s">
        <v>220</v>
      </c>
      <c r="L1227" s="650">
        <f t="shared" si="152"/>
        <v>10027041.15</v>
      </c>
      <c r="M1227" s="519">
        <v>9864691.1500000004</v>
      </c>
      <c r="N1227" s="388">
        <v>162350</v>
      </c>
      <c r="O1227" s="473"/>
      <c r="P1227" s="388"/>
      <c r="Q1227" s="388"/>
      <c r="R1227" s="765">
        <f>M1227/5</f>
        <v>1972938.23</v>
      </c>
      <c r="S1227" s="383">
        <f t="shared" si="153"/>
        <v>0</v>
      </c>
      <c r="T1227" s="389"/>
      <c r="U1227" s="404"/>
      <c r="V1227" s="390"/>
      <c r="Y1227" s="419">
        <f t="shared" si="156"/>
        <v>10027041.15</v>
      </c>
      <c r="Z1227" s="419"/>
    </row>
    <row r="1228" spans="1:26" s="458" customFormat="1" ht="37.5" hidden="1" customHeight="1">
      <c r="A1228" s="493">
        <f t="shared" si="154"/>
        <v>77</v>
      </c>
      <c r="B1228" s="457" t="s">
        <v>3783</v>
      </c>
      <c r="C1228" s="518" t="s">
        <v>299</v>
      </c>
      <c r="D1228" s="446">
        <f t="shared" si="155"/>
        <v>34181.034482758623</v>
      </c>
      <c r="E1228" s="388">
        <v>6100</v>
      </c>
      <c r="F1228" s="388" t="s">
        <v>219</v>
      </c>
      <c r="G1228" s="388">
        <v>1360.3</v>
      </c>
      <c r="H1228" s="446">
        <v>9</v>
      </c>
      <c r="I1228" s="446">
        <v>4</v>
      </c>
      <c r="J1228" s="446">
        <v>145</v>
      </c>
      <c r="K1228" s="504" t="s">
        <v>220</v>
      </c>
      <c r="L1228" s="650">
        <f t="shared" si="152"/>
        <v>7873183.25</v>
      </c>
      <c r="M1228" s="519">
        <v>7731127</v>
      </c>
      <c r="N1228" s="388">
        <v>142056.25</v>
      </c>
      <c r="O1228" s="473"/>
      <c r="P1228" s="388"/>
      <c r="Q1228" s="388"/>
      <c r="R1228" s="765">
        <f>M1228/I1228</f>
        <v>1932781.75</v>
      </c>
      <c r="S1228" s="383">
        <f t="shared" si="153"/>
        <v>0</v>
      </c>
      <c r="T1228" s="389"/>
      <c r="U1228" s="404"/>
      <c r="V1228" s="390"/>
      <c r="Y1228" s="419">
        <f t="shared" si="156"/>
        <v>7873183.25</v>
      </c>
      <c r="Z1228" s="419"/>
    </row>
    <row r="1229" spans="1:26" s="458" customFormat="1" ht="37.5" hidden="1" customHeight="1">
      <c r="A1229" s="493">
        <f t="shared" si="154"/>
        <v>78</v>
      </c>
      <c r="B1229" s="457" t="s">
        <v>3782</v>
      </c>
      <c r="C1229" s="518" t="s">
        <v>299</v>
      </c>
      <c r="D1229" s="446">
        <f t="shared" si="155"/>
        <v>55485.34482758621</v>
      </c>
      <c r="E1229" s="388">
        <v>9902</v>
      </c>
      <c r="F1229" s="388" t="s">
        <v>219</v>
      </c>
      <c r="G1229" s="388">
        <v>1755</v>
      </c>
      <c r="H1229" s="446">
        <v>9</v>
      </c>
      <c r="I1229" s="446">
        <v>5</v>
      </c>
      <c r="J1229" s="446">
        <v>182</v>
      </c>
      <c r="K1229" s="504" t="s">
        <v>220</v>
      </c>
      <c r="L1229" s="650">
        <f t="shared" si="152"/>
        <v>9828482.4499999993</v>
      </c>
      <c r="M1229" s="519">
        <v>9666132.4499999993</v>
      </c>
      <c r="N1229" s="388">
        <v>162350</v>
      </c>
      <c r="O1229" s="473"/>
      <c r="P1229" s="388"/>
      <c r="Q1229" s="388"/>
      <c r="R1229" s="765">
        <f>M1229/I1229</f>
        <v>1933226.4899999998</v>
      </c>
      <c r="S1229" s="383">
        <f t="shared" si="153"/>
        <v>0</v>
      </c>
      <c r="T1229" s="389"/>
      <c r="U1229" s="404"/>
      <c r="V1229" s="390"/>
      <c r="Y1229" s="419">
        <f t="shared" si="156"/>
        <v>9828482.4499999993</v>
      </c>
      <c r="Z1229" s="419"/>
    </row>
    <row r="1230" spans="1:26" s="458" customFormat="1" ht="37.5" hidden="1" customHeight="1">
      <c r="A1230" s="493">
        <f t="shared" si="154"/>
        <v>79</v>
      </c>
      <c r="B1230" s="457" t="s">
        <v>3457</v>
      </c>
      <c r="C1230" s="518" t="s">
        <v>299</v>
      </c>
      <c r="D1230" s="446">
        <f t="shared" si="155"/>
        <v>19992.150862068967</v>
      </c>
      <c r="E1230" s="388">
        <v>3567.83</v>
      </c>
      <c r="F1230" s="388" t="s">
        <v>219</v>
      </c>
      <c r="G1230" s="388">
        <v>847</v>
      </c>
      <c r="H1230" s="446">
        <v>9</v>
      </c>
      <c r="I1230" s="446">
        <v>2</v>
      </c>
      <c r="J1230" s="446">
        <v>102</v>
      </c>
      <c r="K1230" s="504" t="s">
        <v>220</v>
      </c>
      <c r="L1230" s="650">
        <f t="shared" si="152"/>
        <v>3976911.71</v>
      </c>
      <c r="M1230" s="519">
        <v>3875442.96</v>
      </c>
      <c r="N1230" s="388">
        <v>101468.75</v>
      </c>
      <c r="O1230" s="473"/>
      <c r="P1230" s="388"/>
      <c r="Q1230" s="388"/>
      <c r="R1230" s="765">
        <f>M1230/I1230</f>
        <v>1937721.48</v>
      </c>
      <c r="S1230" s="383">
        <f t="shared" si="153"/>
        <v>0</v>
      </c>
      <c r="T1230" s="389"/>
      <c r="U1230" s="404"/>
      <c r="V1230" s="390"/>
      <c r="Y1230" s="419">
        <f t="shared" si="156"/>
        <v>3976911.71</v>
      </c>
      <c r="Z1230" s="419"/>
    </row>
    <row r="1231" spans="1:26" s="458" customFormat="1" ht="37.5" hidden="1" customHeight="1">
      <c r="A1231" s="493">
        <f t="shared" si="154"/>
        <v>80</v>
      </c>
      <c r="B1231" s="457" t="s">
        <v>3781</v>
      </c>
      <c r="C1231" s="518" t="s">
        <v>299</v>
      </c>
      <c r="D1231" s="446">
        <f t="shared" si="155"/>
        <v>13420.258620689654</v>
      </c>
      <c r="E1231" s="388">
        <v>2395</v>
      </c>
      <c r="F1231" s="388" t="s">
        <v>234</v>
      </c>
      <c r="G1231" s="388">
        <v>1010</v>
      </c>
      <c r="H1231" s="446">
        <v>12</v>
      </c>
      <c r="I1231" s="446">
        <v>1</v>
      </c>
      <c r="J1231" s="446">
        <v>62</v>
      </c>
      <c r="K1231" s="504" t="s">
        <v>220</v>
      </c>
      <c r="L1231" s="650">
        <f t="shared" si="152"/>
        <v>4701772.26</v>
      </c>
      <c r="M1231" s="519">
        <v>4600303.51</v>
      </c>
      <c r="N1231" s="388">
        <v>101468.75</v>
      </c>
      <c r="O1231" s="473"/>
      <c r="P1231" s="388"/>
      <c r="Q1231" s="388"/>
      <c r="R1231" s="382">
        <v>2200000</v>
      </c>
      <c r="S1231" s="383">
        <f t="shared" si="153"/>
        <v>0</v>
      </c>
      <c r="T1231" s="389"/>
      <c r="U1231" s="404"/>
      <c r="V1231" s="390"/>
      <c r="Y1231" s="419">
        <f t="shared" si="156"/>
        <v>4701772.26</v>
      </c>
      <c r="Z1231" s="419"/>
    </row>
    <row r="1232" spans="1:26" s="458" customFormat="1" ht="37.5" hidden="1" customHeight="1">
      <c r="A1232" s="493">
        <f t="shared" si="154"/>
        <v>81</v>
      </c>
      <c r="B1232" s="457" t="s">
        <v>3784</v>
      </c>
      <c r="C1232" s="518" t="s">
        <v>218</v>
      </c>
      <c r="D1232" s="446">
        <f t="shared" si="155"/>
        <v>25054.698275862072</v>
      </c>
      <c r="E1232" s="388">
        <v>4471.3</v>
      </c>
      <c r="F1232" s="388" t="s">
        <v>234</v>
      </c>
      <c r="G1232" s="388">
        <v>966</v>
      </c>
      <c r="H1232" s="446">
        <v>9</v>
      </c>
      <c r="I1232" s="446">
        <v>3</v>
      </c>
      <c r="J1232" s="446">
        <v>108</v>
      </c>
      <c r="K1232" s="504" t="s">
        <v>220</v>
      </c>
      <c r="L1232" s="650">
        <f t="shared" si="152"/>
        <v>5998182.2300000004</v>
      </c>
      <c r="M1232" s="519">
        <v>5876419.7300000004</v>
      </c>
      <c r="N1232" s="388">
        <v>121762.5</v>
      </c>
      <c r="O1232" s="473"/>
      <c r="P1232" s="388"/>
      <c r="Q1232" s="388"/>
      <c r="R1232" s="765">
        <f>M1232/I1232</f>
        <v>1958806.5766666669</v>
      </c>
      <c r="S1232" s="383">
        <f t="shared" si="153"/>
        <v>0</v>
      </c>
      <c r="T1232" s="389"/>
      <c r="U1232" s="404"/>
      <c r="V1232" s="390"/>
      <c r="Y1232" s="419">
        <f t="shared" si="156"/>
        <v>5998182.2300000004</v>
      </c>
      <c r="Z1232" s="419"/>
    </row>
    <row r="1233" spans="1:26" s="403" customFormat="1" ht="63.75" hidden="1" customHeight="1">
      <c r="A1233" s="493">
        <f t="shared" si="154"/>
        <v>82</v>
      </c>
      <c r="B1233" s="403" t="s">
        <v>3780</v>
      </c>
      <c r="C1233" s="455" t="s">
        <v>315</v>
      </c>
      <c r="D1233" s="768">
        <v>13650</v>
      </c>
      <c r="E1233" s="391">
        <v>2490</v>
      </c>
      <c r="F1233" s="388" t="s">
        <v>234</v>
      </c>
      <c r="G1233" s="391">
        <v>910</v>
      </c>
      <c r="H1233" s="528">
        <v>5</v>
      </c>
      <c r="I1233" s="528">
        <v>3</v>
      </c>
      <c r="J1233" s="528">
        <v>161</v>
      </c>
      <c r="K1233" s="458" t="s">
        <v>30</v>
      </c>
      <c r="L1233" s="650">
        <f t="shared" si="152"/>
        <v>2465156.79</v>
      </c>
      <c r="M1233" s="751">
        <v>2452245.67</v>
      </c>
      <c r="N1233" s="388"/>
      <c r="O1233" s="473">
        <v>12911.12</v>
      </c>
      <c r="P1233" s="388"/>
      <c r="Q1233" s="388"/>
      <c r="R1233" s="446">
        <f>M1233/J1233</f>
        <v>15231.339565217391</v>
      </c>
      <c r="S1233" s="383">
        <f t="shared" si="153"/>
        <v>1.1095835361629725E-10</v>
      </c>
      <c r="T1233" s="456"/>
      <c r="U1233" s="390"/>
      <c r="V1233" s="390"/>
      <c r="Y1233" s="419">
        <f t="shared" si="156"/>
        <v>2465156.79</v>
      </c>
      <c r="Z1233" s="419"/>
    </row>
    <row r="1234" spans="1:26" s="403" customFormat="1" ht="60.75" hidden="1" customHeight="1">
      <c r="A1234" s="493">
        <f t="shared" si="154"/>
        <v>83</v>
      </c>
      <c r="B1234" s="543" t="s">
        <v>2174</v>
      </c>
      <c r="C1234" s="455" t="s">
        <v>299</v>
      </c>
      <c r="D1234" s="760">
        <f>E1234/1.16/2*13</f>
        <v>11418.931034482759</v>
      </c>
      <c r="E1234" s="388">
        <v>2037.84</v>
      </c>
      <c r="F1234" s="388" t="s">
        <v>219</v>
      </c>
      <c r="G1234" s="388">
        <v>918.9</v>
      </c>
      <c r="H1234" s="446">
        <v>5</v>
      </c>
      <c r="I1234" s="446">
        <v>4</v>
      </c>
      <c r="J1234" s="446">
        <v>70</v>
      </c>
      <c r="K1234" s="397" t="s">
        <v>30</v>
      </c>
      <c r="L1234" s="519">
        <f>SUM(M1234:Q1234)</f>
        <v>1616557.54</v>
      </c>
      <c r="M1234" s="771">
        <v>1601667.54</v>
      </c>
      <c r="N1234" s="756"/>
      <c r="O1234" s="553">
        <v>14890</v>
      </c>
      <c r="P1234" s="388"/>
      <c r="Q1234" s="388"/>
      <c r="R1234" s="446">
        <f>M1234/J1234</f>
        <v>22880.964857142859</v>
      </c>
      <c r="S1234" s="407">
        <f t="shared" si="153"/>
        <v>0</v>
      </c>
      <c r="U1234" s="404"/>
      <c r="V1234" s="390"/>
      <c r="Y1234" s="419">
        <f t="shared" si="156"/>
        <v>1616557.54</v>
      </c>
      <c r="Z1234" s="419"/>
    </row>
    <row r="1235" spans="1:26" s="455" customFormat="1" ht="65.25" hidden="1" customHeight="1">
      <c r="A1235" s="493">
        <f t="shared" si="154"/>
        <v>84</v>
      </c>
      <c r="B1235" s="403" t="s">
        <v>2218</v>
      </c>
      <c r="C1235" s="455" t="s">
        <v>299</v>
      </c>
      <c r="D1235" s="772">
        <f>E1235/1.16/2*13</f>
        <v>4242.5948275862074</v>
      </c>
      <c r="E1235" s="391">
        <v>757.14</v>
      </c>
      <c r="F1235" s="391" t="s">
        <v>252</v>
      </c>
      <c r="G1235" s="391">
        <v>793</v>
      </c>
      <c r="H1235" s="528">
        <v>2</v>
      </c>
      <c r="I1235" s="528">
        <v>2</v>
      </c>
      <c r="J1235" s="528">
        <v>12</v>
      </c>
      <c r="K1235" s="397" t="s">
        <v>30</v>
      </c>
      <c r="L1235" s="384">
        <f>SUM(M1235:Q1235)</f>
        <v>186992.61</v>
      </c>
      <c r="M1235" s="547">
        <v>176190.61</v>
      </c>
      <c r="N1235" s="388"/>
      <c r="O1235" s="553">
        <v>10802</v>
      </c>
      <c r="P1235" s="388"/>
      <c r="Q1235" s="388"/>
      <c r="R1235" s="446">
        <f>M1235/J1235</f>
        <v>14682.550833333333</v>
      </c>
      <c r="S1235" s="407">
        <f t="shared" si="153"/>
        <v>0</v>
      </c>
      <c r="U1235" s="404"/>
      <c r="V1235" s="390"/>
      <c r="Y1235" s="419">
        <f t="shared" si="156"/>
        <v>186992.61</v>
      </c>
      <c r="Z1235" s="419"/>
    </row>
    <row r="1236" spans="1:26" s="403" customFormat="1" ht="42.75" hidden="1" customHeight="1">
      <c r="A1236" s="1112" t="s">
        <v>168</v>
      </c>
      <c r="B1236" s="1112"/>
      <c r="C1236" s="446" t="s">
        <v>28</v>
      </c>
      <c r="D1236" s="388">
        <f>SUM(D1151:D1235)</f>
        <v>1267408.004310345</v>
      </c>
      <c r="E1236" s="388">
        <f>SUM(E1151:E1235)</f>
        <v>238321.65</v>
      </c>
      <c r="F1236" s="388" t="s">
        <v>28</v>
      </c>
      <c r="G1236" s="388">
        <f>SUM(G1151:G1235)</f>
        <v>97460.5</v>
      </c>
      <c r="H1236" s="446" t="s">
        <v>28</v>
      </c>
      <c r="I1236" s="446" t="s">
        <v>28</v>
      </c>
      <c r="J1236" s="446">
        <f>SUM(J1151:J1235)</f>
        <v>7566</v>
      </c>
      <c r="K1236" s="458" t="s">
        <v>28</v>
      </c>
      <c r="L1236" s="519">
        <f t="shared" ref="L1236:Q1236" si="157">SUM(L1151:L1235)</f>
        <v>299513212.53000009</v>
      </c>
      <c r="M1236" s="519">
        <f t="shared" si="157"/>
        <v>297089077.66000009</v>
      </c>
      <c r="N1236" s="388">
        <f t="shared" si="157"/>
        <v>1962975.13</v>
      </c>
      <c r="O1236" s="473">
        <f t="shared" si="157"/>
        <v>461159.74000000005</v>
      </c>
      <c r="P1236" s="388">
        <f t="shared" si="157"/>
        <v>0</v>
      </c>
      <c r="Q1236" s="388">
        <f t="shared" si="157"/>
        <v>0</v>
      </c>
      <c r="R1236" s="446" t="s">
        <v>28</v>
      </c>
      <c r="S1236" s="383">
        <f t="shared" si="153"/>
        <v>4.8312358558177948E-9</v>
      </c>
      <c r="T1236" s="387">
        <f>'1.перечень МКД'!N104</f>
        <v>299513212.53000009</v>
      </c>
      <c r="U1236" s="390">
        <f>L1236-T1236</f>
        <v>0</v>
      </c>
      <c r="V1236" s="459"/>
      <c r="W1236" s="459"/>
      <c r="Y1236" s="419">
        <f t="shared" si="156"/>
        <v>299513212.53000009</v>
      </c>
      <c r="Z1236" s="419"/>
    </row>
    <row r="1237" spans="1:26" s="403" customFormat="1" ht="42.75" hidden="1" customHeight="1">
      <c r="A1237" s="1113" t="s">
        <v>169</v>
      </c>
      <c r="B1237" s="1113"/>
      <c r="C1237" s="1113"/>
      <c r="D1237" s="1113"/>
      <c r="E1237" s="1113"/>
      <c r="F1237" s="1113"/>
      <c r="G1237" s="1113"/>
      <c r="H1237" s="1113"/>
      <c r="I1237" s="1113"/>
      <c r="J1237" s="1113"/>
      <c r="K1237" s="1113"/>
      <c r="L1237" s="1113"/>
      <c r="M1237" s="1113"/>
      <c r="N1237" s="1113"/>
      <c r="O1237" s="1113"/>
      <c r="P1237" s="1113"/>
      <c r="Q1237" s="1113"/>
      <c r="R1237" s="1113"/>
      <c r="S1237" s="383"/>
      <c r="T1237" s="387"/>
      <c r="U1237" s="404"/>
      <c r="V1237" s="390"/>
      <c r="Y1237" s="419">
        <f t="shared" si="156"/>
        <v>0</v>
      </c>
      <c r="Z1237" s="419"/>
    </row>
    <row r="1238" spans="1:26" s="403" customFormat="1" ht="37.5" hidden="1" customHeight="1">
      <c r="A1238" s="493">
        <v>1</v>
      </c>
      <c r="B1238" s="403" t="s">
        <v>1281</v>
      </c>
      <c r="C1238" s="766" t="s">
        <v>218</v>
      </c>
      <c r="D1238" s="455"/>
      <c r="E1238" s="388"/>
      <c r="F1238" s="388" t="s">
        <v>234</v>
      </c>
      <c r="G1238" s="388">
        <v>1235.5</v>
      </c>
      <c r="H1238" s="446">
        <v>9</v>
      </c>
      <c r="I1238" s="446">
        <v>4</v>
      </c>
      <c r="J1238" s="446">
        <v>144</v>
      </c>
      <c r="K1238" s="767" t="s">
        <v>33</v>
      </c>
      <c r="L1238" s="519">
        <f t="shared" ref="L1238:L1247" si="158">SUM(M1238:Q1238)</f>
        <v>2183929.31</v>
      </c>
      <c r="M1238" s="519">
        <v>2176922.52</v>
      </c>
      <c r="N1238" s="388"/>
      <c r="O1238" s="473">
        <v>7006.79</v>
      </c>
      <c r="P1238" s="388"/>
      <c r="Q1238" s="388"/>
      <c r="R1238" s="446">
        <f>M1238/G1238</f>
        <v>1761.9769486038042</v>
      </c>
      <c r="U1238" s="404"/>
      <c r="V1238" s="390"/>
      <c r="Y1238" s="419">
        <f t="shared" si="156"/>
        <v>2183929.31</v>
      </c>
      <c r="Z1238" s="419"/>
    </row>
    <row r="1239" spans="1:26" s="403" customFormat="1" ht="37.5" hidden="1" customHeight="1">
      <c r="A1239" s="493">
        <f>A1238+1</f>
        <v>2</v>
      </c>
      <c r="B1239" s="403" t="s">
        <v>1282</v>
      </c>
      <c r="C1239" s="766" t="s">
        <v>218</v>
      </c>
      <c r="D1239" s="455"/>
      <c r="E1239" s="388"/>
      <c r="F1239" s="388" t="s">
        <v>234</v>
      </c>
      <c r="G1239" s="388">
        <v>1106.7</v>
      </c>
      <c r="H1239" s="446">
        <v>5</v>
      </c>
      <c r="I1239" s="446">
        <v>4</v>
      </c>
      <c r="J1239" s="446">
        <v>62</v>
      </c>
      <c r="K1239" s="767" t="s">
        <v>33</v>
      </c>
      <c r="L1239" s="519">
        <f t="shared" si="158"/>
        <v>2008421.39</v>
      </c>
      <c r="M1239" s="519">
        <v>2002144.93</v>
      </c>
      <c r="N1239" s="388"/>
      <c r="O1239" s="473">
        <v>6276.46</v>
      </c>
      <c r="P1239" s="388"/>
      <c r="Q1239" s="388"/>
      <c r="R1239" s="446">
        <f>M1239/G1239</f>
        <v>1809.112614077889</v>
      </c>
      <c r="U1239" s="404"/>
      <c r="V1239" s="390"/>
      <c r="Y1239" s="419">
        <f t="shared" si="156"/>
        <v>2008421.39</v>
      </c>
      <c r="Z1239" s="419"/>
    </row>
    <row r="1240" spans="1:26" s="403" customFormat="1" ht="37.5" hidden="1" customHeight="1">
      <c r="A1240" s="493">
        <f t="shared" ref="A1240:A1247" si="159">A1239+1</f>
        <v>3</v>
      </c>
      <c r="B1240" s="403" t="s">
        <v>1283</v>
      </c>
      <c r="C1240" s="766" t="s">
        <v>218</v>
      </c>
      <c r="D1240" s="455"/>
      <c r="E1240" s="388"/>
      <c r="F1240" s="388" t="s">
        <v>234</v>
      </c>
      <c r="G1240" s="388">
        <v>1105.9000000000001</v>
      </c>
      <c r="H1240" s="446">
        <v>5</v>
      </c>
      <c r="I1240" s="446">
        <v>4</v>
      </c>
      <c r="J1240" s="446">
        <v>65</v>
      </c>
      <c r="K1240" s="767" t="s">
        <v>33</v>
      </c>
      <c r="L1240" s="519">
        <f t="shared" si="158"/>
        <v>1971689.8599999999</v>
      </c>
      <c r="M1240" s="519">
        <v>1965417.38</v>
      </c>
      <c r="N1240" s="388"/>
      <c r="O1240" s="473">
        <v>6272.48</v>
      </c>
      <c r="P1240" s="388"/>
      <c r="Q1240" s="388"/>
      <c r="R1240" s="446">
        <f>M1240/G1240</f>
        <v>1777.210760466588</v>
      </c>
      <c r="U1240" s="404"/>
      <c r="V1240" s="390"/>
      <c r="Y1240" s="419">
        <f t="shared" si="156"/>
        <v>1971689.8599999999</v>
      </c>
      <c r="Z1240" s="419"/>
    </row>
    <row r="1241" spans="1:26" s="403" customFormat="1" ht="37.5" hidden="1" customHeight="1">
      <c r="A1241" s="493">
        <f t="shared" si="159"/>
        <v>4</v>
      </c>
      <c r="B1241" s="403" t="s">
        <v>1284</v>
      </c>
      <c r="C1241" s="766" t="s">
        <v>218</v>
      </c>
      <c r="D1241" s="455"/>
      <c r="E1241" s="388"/>
      <c r="F1241" s="388" t="s">
        <v>234</v>
      </c>
      <c r="G1241" s="388">
        <v>824.5</v>
      </c>
      <c r="H1241" s="446">
        <v>5</v>
      </c>
      <c r="I1241" s="446">
        <v>4</v>
      </c>
      <c r="J1241" s="446">
        <v>60</v>
      </c>
      <c r="K1241" s="767" t="s">
        <v>33</v>
      </c>
      <c r="L1241" s="519">
        <f t="shared" si="158"/>
        <v>1555454.65</v>
      </c>
      <c r="M1241" s="519">
        <v>1550778.15</v>
      </c>
      <c r="N1241" s="388"/>
      <c r="O1241" s="473">
        <v>4676.5</v>
      </c>
      <c r="P1241" s="388"/>
      <c r="Q1241" s="388"/>
      <c r="R1241" s="446">
        <f>M1241/G1241</f>
        <v>1880.8710127349907</v>
      </c>
      <c r="U1241" s="404"/>
      <c r="V1241" s="390"/>
      <c r="Y1241" s="419">
        <f t="shared" si="156"/>
        <v>1555454.65</v>
      </c>
      <c r="Z1241" s="419"/>
    </row>
    <row r="1242" spans="1:26" s="403" customFormat="1" ht="37.5" hidden="1" customHeight="1">
      <c r="A1242" s="493">
        <f t="shared" si="159"/>
        <v>5</v>
      </c>
      <c r="B1242" s="403" t="s">
        <v>1285</v>
      </c>
      <c r="C1242" s="766" t="s">
        <v>218</v>
      </c>
      <c r="D1242" s="455"/>
      <c r="E1242" s="388"/>
      <c r="F1242" s="388" t="s">
        <v>234</v>
      </c>
      <c r="G1242" s="388"/>
      <c r="H1242" s="446">
        <v>5</v>
      </c>
      <c r="I1242" s="446">
        <v>2</v>
      </c>
      <c r="J1242" s="446">
        <v>72</v>
      </c>
      <c r="K1242" s="767" t="s">
        <v>220</v>
      </c>
      <c r="L1242" s="519">
        <f t="shared" si="158"/>
        <v>4045030.15</v>
      </c>
      <c r="M1242" s="519">
        <v>3940373.9</v>
      </c>
      <c r="N1242" s="388">
        <v>104656.25</v>
      </c>
      <c r="O1242" s="473"/>
      <c r="P1242" s="388"/>
      <c r="Q1242" s="388"/>
      <c r="R1242" s="446">
        <f>M1242/2</f>
        <v>1970186.95</v>
      </c>
      <c r="U1242" s="404"/>
      <c r="V1242" s="390"/>
      <c r="Y1242" s="419">
        <f t="shared" si="156"/>
        <v>4045030.15</v>
      </c>
      <c r="Z1242" s="419"/>
    </row>
    <row r="1243" spans="1:26" s="403" customFormat="1" ht="39" hidden="1" customHeight="1">
      <c r="A1243" s="493">
        <f t="shared" si="159"/>
        <v>6</v>
      </c>
      <c r="B1243" s="403" t="s">
        <v>1286</v>
      </c>
      <c r="C1243" s="766" t="s">
        <v>218</v>
      </c>
      <c r="D1243" s="455"/>
      <c r="E1243" s="388"/>
      <c r="F1243" s="388" t="s">
        <v>234</v>
      </c>
      <c r="G1243" s="388">
        <v>815.3</v>
      </c>
      <c r="H1243" s="446">
        <v>5</v>
      </c>
      <c r="I1243" s="446">
        <v>4</v>
      </c>
      <c r="J1243" s="446">
        <v>60</v>
      </c>
      <c r="K1243" s="767" t="s">
        <v>33</v>
      </c>
      <c r="L1243" s="519">
        <f t="shared" si="158"/>
        <v>1538190.39</v>
      </c>
      <c r="M1243" s="519">
        <v>1533566.63</v>
      </c>
      <c r="N1243" s="388"/>
      <c r="O1243" s="473">
        <v>4623.76</v>
      </c>
      <c r="P1243" s="388"/>
      <c r="Q1243" s="388"/>
      <c r="R1243" s="446">
        <f>M1243/G1243</f>
        <v>1880.9844597080828</v>
      </c>
      <c r="U1243" s="404"/>
      <c r="V1243" s="390"/>
      <c r="Y1243" s="419">
        <f t="shared" si="156"/>
        <v>1538190.39</v>
      </c>
      <c r="Z1243" s="419"/>
    </row>
    <row r="1244" spans="1:26" s="403" customFormat="1" ht="39" hidden="1" customHeight="1">
      <c r="A1244" s="493">
        <f t="shared" si="159"/>
        <v>7</v>
      </c>
      <c r="B1244" s="403" t="s">
        <v>1288</v>
      </c>
      <c r="C1244" s="766" t="s">
        <v>218</v>
      </c>
      <c r="D1244" s="455"/>
      <c r="E1244" s="388"/>
      <c r="F1244" s="388" t="s">
        <v>234</v>
      </c>
      <c r="G1244" s="388">
        <v>896</v>
      </c>
      <c r="H1244" s="446">
        <v>5</v>
      </c>
      <c r="I1244" s="446">
        <v>5</v>
      </c>
      <c r="J1244" s="446">
        <v>74</v>
      </c>
      <c r="K1244" s="767" t="s">
        <v>33</v>
      </c>
      <c r="L1244" s="519">
        <f t="shared" si="158"/>
        <v>1690454.11</v>
      </c>
      <c r="M1244" s="519">
        <v>1685372.6500000001</v>
      </c>
      <c r="N1244" s="388"/>
      <c r="O1244" s="473">
        <v>5081.46</v>
      </c>
      <c r="P1244" s="388"/>
      <c r="Q1244" s="388"/>
      <c r="R1244" s="446">
        <f>M1244/G1244</f>
        <v>1880.9962611607145</v>
      </c>
      <c r="U1244" s="404"/>
      <c r="V1244" s="390"/>
      <c r="Y1244" s="419">
        <f t="shared" si="156"/>
        <v>1690454.11</v>
      </c>
      <c r="Z1244" s="419"/>
    </row>
    <row r="1245" spans="1:26" s="403" customFormat="1" ht="39" hidden="1" customHeight="1">
      <c r="A1245" s="493">
        <f t="shared" si="159"/>
        <v>8</v>
      </c>
      <c r="B1245" s="403" t="s">
        <v>1289</v>
      </c>
      <c r="C1245" s="766" t="s">
        <v>218</v>
      </c>
      <c r="D1245" s="455"/>
      <c r="E1245" s="388"/>
      <c r="F1245" s="388" t="s">
        <v>234</v>
      </c>
      <c r="G1245" s="388">
        <v>930.3</v>
      </c>
      <c r="H1245" s="446">
        <v>5</v>
      </c>
      <c r="I1245" s="446">
        <v>5</v>
      </c>
      <c r="J1245" s="446">
        <v>75</v>
      </c>
      <c r="K1245" s="767" t="s">
        <v>33</v>
      </c>
      <c r="L1245" s="519">
        <f t="shared" si="158"/>
        <v>1599480.83</v>
      </c>
      <c r="M1245" s="519">
        <v>1594204.34</v>
      </c>
      <c r="N1245" s="388"/>
      <c r="O1245" s="473">
        <v>5276.49</v>
      </c>
      <c r="P1245" s="388"/>
      <c r="Q1245" s="388"/>
      <c r="R1245" s="446">
        <f>M1245/G1245</f>
        <v>1713.6454262066002</v>
      </c>
      <c r="U1245" s="404"/>
      <c r="V1245" s="390"/>
      <c r="Y1245" s="419">
        <f t="shared" si="156"/>
        <v>1599480.83</v>
      </c>
      <c r="Z1245" s="419"/>
    </row>
    <row r="1246" spans="1:26" s="403" customFormat="1" ht="39" hidden="1" customHeight="1">
      <c r="A1246" s="493">
        <f t="shared" si="159"/>
        <v>9</v>
      </c>
      <c r="B1246" s="403" t="s">
        <v>1291</v>
      </c>
      <c r="C1246" s="766" t="s">
        <v>218</v>
      </c>
      <c r="D1246" s="455"/>
      <c r="E1246" s="388"/>
      <c r="F1246" s="388" t="s">
        <v>234</v>
      </c>
      <c r="G1246" s="388">
        <v>936.3</v>
      </c>
      <c r="H1246" s="446">
        <v>5</v>
      </c>
      <c r="I1246" s="446">
        <v>5</v>
      </c>
      <c r="J1246" s="446">
        <v>75</v>
      </c>
      <c r="K1246" s="767" t="s">
        <v>33</v>
      </c>
      <c r="L1246" s="519">
        <f t="shared" si="158"/>
        <v>1766350.1700000002</v>
      </c>
      <c r="M1246" s="519">
        <v>1761039.85</v>
      </c>
      <c r="N1246" s="388"/>
      <c r="O1246" s="473">
        <v>5310.32</v>
      </c>
      <c r="P1246" s="388"/>
      <c r="Q1246" s="388"/>
      <c r="R1246" s="446">
        <f>M1246/G1246</f>
        <v>1880.8499946598315</v>
      </c>
      <c r="U1246" s="404"/>
      <c r="V1246" s="390"/>
      <c r="Y1246" s="419">
        <f t="shared" si="156"/>
        <v>1766350.1700000002</v>
      </c>
      <c r="Z1246" s="419"/>
    </row>
    <row r="1247" spans="1:26" s="403" customFormat="1" ht="39" hidden="1" customHeight="1">
      <c r="A1247" s="493">
        <f t="shared" si="159"/>
        <v>10</v>
      </c>
      <c r="B1247" s="403" t="s">
        <v>1292</v>
      </c>
      <c r="C1247" s="766" t="s">
        <v>218</v>
      </c>
      <c r="D1247" s="455"/>
      <c r="E1247" s="388"/>
      <c r="F1247" s="388" t="s">
        <v>234</v>
      </c>
      <c r="G1247" s="388">
        <v>952.4</v>
      </c>
      <c r="H1247" s="446">
        <v>5</v>
      </c>
      <c r="I1247" s="446">
        <v>5</v>
      </c>
      <c r="J1247" s="446">
        <v>60</v>
      </c>
      <c r="K1247" s="767" t="s">
        <v>33</v>
      </c>
      <c r="L1247" s="519">
        <f t="shared" si="158"/>
        <v>1814961.86</v>
      </c>
      <c r="M1247" s="519">
        <v>1809560</v>
      </c>
      <c r="N1247" s="388"/>
      <c r="O1247" s="473">
        <v>5401.86</v>
      </c>
      <c r="P1247" s="388"/>
      <c r="Q1247" s="388"/>
      <c r="R1247" s="446">
        <f>M1247/G1247</f>
        <v>1900</v>
      </c>
      <c r="U1247" s="404"/>
      <c r="V1247" s="390"/>
      <c r="Y1247" s="419">
        <f t="shared" si="156"/>
        <v>1814961.86</v>
      </c>
      <c r="Z1247" s="419"/>
    </row>
    <row r="1248" spans="1:26" s="403" customFormat="1" ht="42.75" hidden="1" customHeight="1">
      <c r="A1248" s="1112" t="s">
        <v>170</v>
      </c>
      <c r="B1248" s="1112"/>
      <c r="C1248" s="446" t="s">
        <v>28</v>
      </c>
      <c r="D1248" s="446"/>
      <c r="E1248" s="388">
        <f>SUM(E1238:E1247)</f>
        <v>0</v>
      </c>
      <c r="F1248" s="388" t="s">
        <v>28</v>
      </c>
      <c r="G1248" s="388">
        <f>SUM(G1238:G1247)</f>
        <v>8802.9000000000015</v>
      </c>
      <c r="H1248" s="446" t="s">
        <v>28</v>
      </c>
      <c r="I1248" s="446" t="s">
        <v>28</v>
      </c>
      <c r="J1248" s="446">
        <f>SUM(J1238:J1247)</f>
        <v>747</v>
      </c>
      <c r="K1248" s="458" t="s">
        <v>28</v>
      </c>
      <c r="L1248" s="519">
        <f t="shared" ref="L1248:Q1248" si="160">SUM(L1238:L1247)</f>
        <v>20173962.720000003</v>
      </c>
      <c r="M1248" s="519">
        <f t="shared" si="160"/>
        <v>20019380.350000001</v>
      </c>
      <c r="N1248" s="388">
        <f t="shared" si="160"/>
        <v>104656.25</v>
      </c>
      <c r="O1248" s="473">
        <f t="shared" si="160"/>
        <v>49926.119999999995</v>
      </c>
      <c r="P1248" s="388">
        <f t="shared" si="160"/>
        <v>0</v>
      </c>
      <c r="Q1248" s="388">
        <f t="shared" si="160"/>
        <v>0</v>
      </c>
      <c r="R1248" s="446" t="s">
        <v>28</v>
      </c>
      <c r="S1248" s="383">
        <f>L1248-M1248-N1248-O1248-P1248-Q1248</f>
        <v>1.0477378964424133E-9</v>
      </c>
      <c r="T1248" s="387" t="e">
        <f>'1.перечень МКД'!#REF!</f>
        <v>#REF!</v>
      </c>
      <c r="U1248" s="390" t="e">
        <f>L1248-T1248</f>
        <v>#REF!</v>
      </c>
      <c r="V1248" s="459"/>
      <c r="W1248" s="459"/>
      <c r="Y1248" s="419">
        <f t="shared" si="156"/>
        <v>20173962.720000003</v>
      </c>
      <c r="Z1248" s="419"/>
    </row>
    <row r="1249" spans="1:26" s="403" customFormat="1" ht="42.75" hidden="1" customHeight="1">
      <c r="A1249" s="1113" t="s">
        <v>171</v>
      </c>
      <c r="B1249" s="1113"/>
      <c r="C1249" s="1113"/>
      <c r="D1249" s="1113"/>
      <c r="E1249" s="1113"/>
      <c r="F1249" s="1113"/>
      <c r="G1249" s="1113"/>
      <c r="H1249" s="1113"/>
      <c r="I1249" s="1113"/>
      <c r="J1249" s="1113"/>
      <c r="K1249" s="1113"/>
      <c r="L1249" s="1113"/>
      <c r="M1249" s="1113"/>
      <c r="N1249" s="1113"/>
      <c r="O1249" s="1113"/>
      <c r="P1249" s="1113"/>
      <c r="Q1249" s="1113"/>
      <c r="R1249" s="1113"/>
      <c r="S1249" s="383">
        <f>L1249-M1249-N1249-O1249-P1249-Q1249</f>
        <v>0</v>
      </c>
      <c r="T1249" s="387"/>
      <c r="U1249" s="404"/>
      <c r="V1249" s="390"/>
      <c r="Y1249" s="419">
        <f t="shared" si="156"/>
        <v>0</v>
      </c>
      <c r="Z1249" s="419"/>
    </row>
    <row r="1250" spans="1:26" s="403" customFormat="1" ht="37.5" hidden="1" customHeight="1">
      <c r="A1250" s="404">
        <v>1</v>
      </c>
      <c r="B1250" s="403" t="s">
        <v>1293</v>
      </c>
      <c r="C1250" s="773" t="s">
        <v>300</v>
      </c>
      <c r="D1250" s="455">
        <v>2041</v>
      </c>
      <c r="E1250" s="388">
        <v>525</v>
      </c>
      <c r="F1250" s="388" t="s">
        <v>252</v>
      </c>
      <c r="G1250" s="388">
        <v>845</v>
      </c>
      <c r="H1250" s="446">
        <v>2</v>
      </c>
      <c r="I1250" s="446">
        <v>2</v>
      </c>
      <c r="J1250" s="446">
        <v>25</v>
      </c>
      <c r="K1250" s="504" t="s">
        <v>33</v>
      </c>
      <c r="L1250" s="519">
        <f>SUM(M1250:Q1250)</f>
        <v>2393484</v>
      </c>
      <c r="M1250" s="519">
        <v>2363634</v>
      </c>
      <c r="N1250" s="388">
        <v>29850</v>
      </c>
      <c r="O1250" s="473"/>
      <c r="P1250" s="388"/>
      <c r="Q1250" s="388"/>
      <c r="R1250" s="446">
        <f>M1250/G1250</f>
        <v>2797.2</v>
      </c>
      <c r="S1250" s="393"/>
      <c r="U1250" s="388"/>
      <c r="V1250" s="390"/>
      <c r="Y1250" s="419">
        <f t="shared" si="156"/>
        <v>2393484</v>
      </c>
      <c r="Z1250" s="419"/>
    </row>
    <row r="1251" spans="1:26" s="403" customFormat="1" ht="37.5" hidden="1" customHeight="1">
      <c r="A1251" s="404">
        <v>2</v>
      </c>
      <c r="B1251" s="403" t="s">
        <v>1294</v>
      </c>
      <c r="C1251" s="773" t="s">
        <v>300</v>
      </c>
      <c r="D1251" s="455">
        <v>2496</v>
      </c>
      <c r="E1251" s="388">
        <v>193</v>
      </c>
      <c r="F1251" s="388" t="s">
        <v>252</v>
      </c>
      <c r="G1251" s="388">
        <v>581.36</v>
      </c>
      <c r="H1251" s="446">
        <v>2</v>
      </c>
      <c r="I1251" s="446">
        <v>2</v>
      </c>
      <c r="J1251" s="446">
        <v>16</v>
      </c>
      <c r="K1251" s="504" t="s">
        <v>33</v>
      </c>
      <c r="L1251" s="519">
        <f>SUM(M1251:Q1251)</f>
        <v>1268009.6800000002</v>
      </c>
      <c r="M1251" s="519">
        <v>1238159.6800000002</v>
      </c>
      <c r="N1251" s="388">
        <v>29850</v>
      </c>
      <c r="O1251" s="473"/>
      <c r="P1251" s="388"/>
      <c r="Q1251" s="388"/>
      <c r="R1251" s="446">
        <f>M1251/G1251</f>
        <v>2129.7641392596674</v>
      </c>
      <c r="S1251" s="393"/>
      <c r="U1251" s="388"/>
      <c r="V1251" s="390"/>
      <c r="Y1251" s="419">
        <f t="shared" si="156"/>
        <v>1268009.6800000002</v>
      </c>
      <c r="Z1251" s="419"/>
    </row>
    <row r="1252" spans="1:26" s="403" customFormat="1" ht="42.75" hidden="1" customHeight="1">
      <c r="A1252" s="1112" t="s">
        <v>172</v>
      </c>
      <c r="B1252" s="1112"/>
      <c r="C1252" s="446"/>
      <c r="D1252" s="446">
        <f>SUM(D1250:D1251)</f>
        <v>4537</v>
      </c>
      <c r="E1252" s="388">
        <f>SUM(E1250:E1251)</f>
        <v>718</v>
      </c>
      <c r="F1252" s="388" t="s">
        <v>28</v>
      </c>
      <c r="G1252" s="388">
        <f>SUM(G1250:G1251)</f>
        <v>1426.3600000000001</v>
      </c>
      <c r="H1252" s="446" t="s">
        <v>28</v>
      </c>
      <c r="I1252" s="446" t="s">
        <v>28</v>
      </c>
      <c r="J1252" s="446">
        <f>SUM(J1250:J1251)</f>
        <v>41</v>
      </c>
      <c r="K1252" s="458" t="s">
        <v>28</v>
      </c>
      <c r="L1252" s="519">
        <f t="shared" ref="L1252:Q1252" si="161">SUM(L1250:L1251)</f>
        <v>3661493.68</v>
      </c>
      <c r="M1252" s="519">
        <f t="shared" si="161"/>
        <v>3601793.68</v>
      </c>
      <c r="N1252" s="388">
        <f t="shared" si="161"/>
        <v>59700</v>
      </c>
      <c r="O1252" s="473">
        <f t="shared" si="161"/>
        <v>0</v>
      </c>
      <c r="P1252" s="388">
        <f t="shared" si="161"/>
        <v>0</v>
      </c>
      <c r="Q1252" s="388">
        <f t="shared" si="161"/>
        <v>0</v>
      </c>
      <c r="R1252" s="446" t="s">
        <v>28</v>
      </c>
      <c r="S1252" s="383">
        <f>L1252-M1252-N1252-O1252-P1252-Q1252</f>
        <v>0</v>
      </c>
      <c r="T1252" s="387" t="e">
        <f>'1.перечень МКД'!#REF!</f>
        <v>#REF!</v>
      </c>
      <c r="U1252" s="390" t="e">
        <f>L1252-T1252</f>
        <v>#REF!</v>
      </c>
      <c r="V1252" s="459"/>
      <c r="W1252" s="459"/>
      <c r="Y1252" s="419">
        <f t="shared" si="156"/>
        <v>3661493.68</v>
      </c>
      <c r="Z1252" s="419"/>
    </row>
    <row r="1253" spans="1:26" s="403" customFormat="1" ht="42.75" hidden="1" customHeight="1">
      <c r="A1253" s="1113" t="s">
        <v>173</v>
      </c>
      <c r="B1253" s="1113"/>
      <c r="C1253" s="1113"/>
      <c r="D1253" s="1113"/>
      <c r="E1253" s="1113"/>
      <c r="F1253" s="1113"/>
      <c r="G1253" s="1113"/>
      <c r="H1253" s="1113"/>
      <c r="I1253" s="1113"/>
      <c r="J1253" s="1113"/>
      <c r="K1253" s="1113"/>
      <c r="L1253" s="1113"/>
      <c r="M1253" s="1113"/>
      <c r="N1253" s="1113"/>
      <c r="O1253" s="1113"/>
      <c r="P1253" s="1113"/>
      <c r="Q1253" s="1113"/>
      <c r="R1253" s="1113"/>
      <c r="S1253" s="383">
        <f>L1253-M1253-N1253-O1253-P1253-Q1253</f>
        <v>0</v>
      </c>
      <c r="T1253" s="387"/>
      <c r="U1253" s="404"/>
      <c r="V1253" s="390"/>
      <c r="Y1253" s="419">
        <f t="shared" si="156"/>
        <v>0</v>
      </c>
      <c r="Z1253" s="419"/>
    </row>
    <row r="1254" spans="1:26" s="403" customFormat="1" ht="46.5" hidden="1" customHeight="1">
      <c r="A1254" s="774">
        <v>1</v>
      </c>
      <c r="B1254" s="775" t="s">
        <v>1295</v>
      </c>
      <c r="C1254" s="773" t="s">
        <v>300</v>
      </c>
      <c r="D1254" s="773"/>
      <c r="E1254" s="539">
        <v>378</v>
      </c>
      <c r="F1254" s="539" t="s">
        <v>252</v>
      </c>
      <c r="G1254" s="675">
        <v>177</v>
      </c>
      <c r="H1254" s="726">
        <v>2</v>
      </c>
      <c r="I1254" s="726">
        <v>1</v>
      </c>
      <c r="J1254" s="599">
        <v>4</v>
      </c>
      <c r="K1254" s="612" t="s">
        <v>33</v>
      </c>
      <c r="L1254" s="1141">
        <f>SUM(M1254:Q1254,M1255:Q1255)</f>
        <v>633064.18999999994</v>
      </c>
      <c r="M1254" s="677">
        <v>516299.67</v>
      </c>
      <c r="N1254" s="675">
        <v>19900</v>
      </c>
      <c r="O1254" s="473"/>
      <c r="P1254" s="388"/>
      <c r="Q1254" s="388"/>
      <c r="R1254" s="446">
        <f>M1254/G1254</f>
        <v>2916.9472881355932</v>
      </c>
      <c r="U1254" s="404"/>
      <c r="V1254" s="390"/>
      <c r="Y1254" s="419">
        <f t="shared" si="156"/>
        <v>536199.66999999993</v>
      </c>
      <c r="Z1254" s="419"/>
    </row>
    <row r="1255" spans="1:26" s="403" customFormat="1" ht="37.5" hidden="1" customHeight="1">
      <c r="A1255" s="774"/>
      <c r="B1255" s="775"/>
      <c r="C1255" s="773"/>
      <c r="D1255" s="773"/>
      <c r="E1255" s="539"/>
      <c r="F1255" s="539"/>
      <c r="G1255" s="675"/>
      <c r="H1255" s="726"/>
      <c r="I1255" s="726"/>
      <c r="J1255" s="599"/>
      <c r="K1255" s="612" t="s">
        <v>301</v>
      </c>
      <c r="L1255" s="1141"/>
      <c r="M1255" s="677">
        <v>76964.52</v>
      </c>
      <c r="N1255" s="675">
        <v>19900</v>
      </c>
      <c r="O1255" s="473"/>
      <c r="P1255" s="388"/>
      <c r="Q1255" s="388"/>
      <c r="R1255" s="446">
        <f>M1255/J1254</f>
        <v>19241.13</v>
      </c>
      <c r="U1255" s="404"/>
      <c r="V1255" s="390"/>
      <c r="Y1255" s="419">
        <f t="shared" si="156"/>
        <v>96864.52</v>
      </c>
      <c r="Z1255" s="419"/>
    </row>
    <row r="1256" spans="1:26" s="403" customFormat="1" ht="24" hidden="1" customHeight="1">
      <c r="A1256" s="774">
        <v>2</v>
      </c>
      <c r="B1256" s="775" t="s">
        <v>1296</v>
      </c>
      <c r="C1256" s="773" t="s">
        <v>300</v>
      </c>
      <c r="D1256" s="773"/>
      <c r="E1256" s="539">
        <v>369</v>
      </c>
      <c r="F1256" s="539" t="s">
        <v>252</v>
      </c>
      <c r="G1256" s="675">
        <v>167</v>
      </c>
      <c r="H1256" s="726">
        <v>2</v>
      </c>
      <c r="I1256" s="726">
        <v>1</v>
      </c>
      <c r="J1256" s="599">
        <v>4</v>
      </c>
      <c r="K1256" s="612" t="s">
        <v>33</v>
      </c>
      <c r="L1256" s="1141">
        <f>SUM(M1256:Q1256,M1257:Q1257)</f>
        <v>640199</v>
      </c>
      <c r="M1256" s="677">
        <v>523434.48</v>
      </c>
      <c r="N1256" s="675">
        <v>19900</v>
      </c>
      <c r="O1256" s="473"/>
      <c r="P1256" s="388"/>
      <c r="Q1256" s="388"/>
      <c r="R1256" s="446">
        <f>M1256/G1256</f>
        <v>3134.3382035928144</v>
      </c>
      <c r="T1256" s="393"/>
      <c r="U1256" s="404"/>
      <c r="V1256" s="390"/>
      <c r="Y1256" s="419">
        <f t="shared" si="156"/>
        <v>543334.48</v>
      </c>
      <c r="Z1256" s="419"/>
    </row>
    <row r="1257" spans="1:26" s="403" customFormat="1" ht="37.5" hidden="1" customHeight="1">
      <c r="A1257" s="774"/>
      <c r="B1257" s="775"/>
      <c r="C1257" s="773"/>
      <c r="D1257" s="773"/>
      <c r="E1257" s="539"/>
      <c r="F1257" s="539"/>
      <c r="G1257" s="675"/>
      <c r="H1257" s="726"/>
      <c r="I1257" s="726"/>
      <c r="J1257" s="599"/>
      <c r="K1257" s="612" t="s">
        <v>301</v>
      </c>
      <c r="L1257" s="1141"/>
      <c r="M1257" s="677">
        <v>76964.52</v>
      </c>
      <c r="N1257" s="675">
        <v>19900</v>
      </c>
      <c r="O1257" s="473"/>
      <c r="P1257" s="388"/>
      <c r="Q1257" s="388"/>
      <c r="R1257" s="446">
        <f>M1257/J1256</f>
        <v>19241.13</v>
      </c>
      <c r="T1257" s="393"/>
      <c r="U1257" s="404"/>
      <c r="V1257" s="390"/>
      <c r="Y1257" s="419">
        <f t="shared" si="156"/>
        <v>96864.52</v>
      </c>
      <c r="Z1257" s="419"/>
    </row>
    <row r="1258" spans="1:26" s="403" customFormat="1" ht="56.25" hidden="1" customHeight="1">
      <c r="A1258" s="774">
        <v>3</v>
      </c>
      <c r="B1258" s="775" t="s">
        <v>1297</v>
      </c>
      <c r="C1258" s="773" t="s">
        <v>283</v>
      </c>
      <c r="D1258" s="773"/>
      <c r="E1258" s="539">
        <v>529</v>
      </c>
      <c r="F1258" s="539" t="s">
        <v>302</v>
      </c>
      <c r="G1258" s="675">
        <v>486</v>
      </c>
      <c r="H1258" s="726">
        <v>2</v>
      </c>
      <c r="I1258" s="726">
        <v>1</v>
      </c>
      <c r="J1258" s="599">
        <v>17</v>
      </c>
      <c r="K1258" s="612" t="s">
        <v>30</v>
      </c>
      <c r="L1258" s="677">
        <f>M1258+N1258+O1258+P1258+Q1258</f>
        <v>208387.93</v>
      </c>
      <c r="M1258" s="519">
        <v>207119.3</v>
      </c>
      <c r="N1258" s="388"/>
      <c r="O1258" s="473">
        <v>1268.6300000000001</v>
      </c>
      <c r="P1258" s="388"/>
      <c r="Q1258" s="388"/>
      <c r="R1258" s="446">
        <f>M1258/J1258</f>
        <v>12183.488235294117</v>
      </c>
      <c r="T1258" s="393"/>
      <c r="U1258" s="404"/>
      <c r="V1258" s="390"/>
      <c r="Y1258" s="419">
        <f t="shared" si="156"/>
        <v>208387.93</v>
      </c>
      <c r="Z1258" s="419"/>
    </row>
    <row r="1259" spans="1:26" s="403" customFormat="1" ht="42.75" hidden="1" customHeight="1">
      <c r="A1259" s="1112" t="s">
        <v>174</v>
      </c>
      <c r="B1259" s="1112"/>
      <c r="C1259" s="446" t="s">
        <v>28</v>
      </c>
      <c r="D1259" s="446"/>
      <c r="E1259" s="388">
        <f>SUM(E1254:E1258)</f>
        <v>1276</v>
      </c>
      <c r="F1259" s="388" t="s">
        <v>28</v>
      </c>
      <c r="G1259" s="388">
        <f>SUM(G1254:G1258)</f>
        <v>830</v>
      </c>
      <c r="H1259" s="446" t="s">
        <v>28</v>
      </c>
      <c r="I1259" s="446" t="s">
        <v>28</v>
      </c>
      <c r="J1259" s="446">
        <f>SUM(J1254:J1258)</f>
        <v>25</v>
      </c>
      <c r="K1259" s="458" t="s">
        <v>28</v>
      </c>
      <c r="L1259" s="519">
        <f t="shared" ref="L1259:Q1259" si="162">SUM(L1254:L1258)</f>
        <v>1481651.1199999999</v>
      </c>
      <c r="M1259" s="519">
        <f t="shared" si="162"/>
        <v>1400782.49</v>
      </c>
      <c r="N1259" s="388">
        <f t="shared" si="162"/>
        <v>79600</v>
      </c>
      <c r="O1259" s="473">
        <f t="shared" si="162"/>
        <v>1268.6300000000001</v>
      </c>
      <c r="P1259" s="388">
        <f t="shared" si="162"/>
        <v>0</v>
      </c>
      <c r="Q1259" s="388">
        <f t="shared" si="162"/>
        <v>0</v>
      </c>
      <c r="R1259" s="446" t="s">
        <v>28</v>
      </c>
      <c r="S1259" s="383">
        <f>L1259-M1259-N1259-O1259-P1259-Q1259</f>
        <v>-1.1186784831807017E-10</v>
      </c>
      <c r="T1259" s="387" t="e">
        <f>'1.перечень МКД'!#REF!</f>
        <v>#REF!</v>
      </c>
      <c r="U1259" s="390" t="e">
        <f>L1259-T1259</f>
        <v>#REF!</v>
      </c>
      <c r="V1259" s="390"/>
      <c r="Y1259" s="419">
        <f t="shared" si="156"/>
        <v>1481651.1199999999</v>
      </c>
      <c r="Z1259" s="419"/>
    </row>
    <row r="1260" spans="1:26" s="403" customFormat="1" ht="42.75" hidden="1" customHeight="1">
      <c r="A1260" s="1113" t="s">
        <v>175</v>
      </c>
      <c r="B1260" s="1113"/>
      <c r="C1260" s="1113"/>
      <c r="D1260" s="1113"/>
      <c r="E1260" s="1113"/>
      <c r="F1260" s="1113"/>
      <c r="G1260" s="1113"/>
      <c r="H1260" s="1113"/>
      <c r="I1260" s="1113"/>
      <c r="J1260" s="1113"/>
      <c r="K1260" s="1113"/>
      <c r="L1260" s="1113"/>
      <c r="M1260" s="1113"/>
      <c r="N1260" s="1113"/>
      <c r="O1260" s="1113"/>
      <c r="P1260" s="1113"/>
      <c r="Q1260" s="1113"/>
      <c r="R1260" s="1113"/>
      <c r="S1260" s="383">
        <f>L1260-M1260-N1260-O1260-P1260-Q1260</f>
        <v>0</v>
      </c>
      <c r="T1260" s="387"/>
      <c r="U1260" s="404"/>
      <c r="V1260" s="390"/>
      <c r="Y1260" s="419">
        <f t="shared" si="156"/>
        <v>0</v>
      </c>
      <c r="Z1260" s="419"/>
    </row>
    <row r="1261" spans="1:26" s="403" customFormat="1" ht="37.5" hidden="1" customHeight="1">
      <c r="A1261" s="774">
        <v>1</v>
      </c>
      <c r="B1261" s="775" t="s">
        <v>1298</v>
      </c>
      <c r="C1261" s="773" t="s">
        <v>303</v>
      </c>
      <c r="D1261" s="773">
        <v>2418</v>
      </c>
      <c r="E1261" s="539">
        <v>2064.4</v>
      </c>
      <c r="F1261" s="539" t="s">
        <v>304</v>
      </c>
      <c r="G1261" s="675">
        <v>460.5</v>
      </c>
      <c r="H1261" s="726">
        <v>2</v>
      </c>
      <c r="I1261" s="726">
        <v>2</v>
      </c>
      <c r="J1261" s="599">
        <v>12</v>
      </c>
      <c r="K1261" s="612" t="s">
        <v>239</v>
      </c>
      <c r="L1261" s="677">
        <f>SUM(M1261:Q1261)</f>
        <v>384515</v>
      </c>
      <c r="M1261" s="677">
        <v>359640</v>
      </c>
      <c r="N1261" s="675">
        <v>24875</v>
      </c>
      <c r="O1261" s="473"/>
      <c r="P1261" s="388"/>
      <c r="Q1261" s="388"/>
      <c r="R1261" s="446">
        <f>M1261/J1261</f>
        <v>29970</v>
      </c>
      <c r="U1261" s="404"/>
      <c r="V1261" s="390"/>
      <c r="Y1261" s="419">
        <f t="shared" si="156"/>
        <v>384515</v>
      </c>
      <c r="Z1261" s="419"/>
    </row>
    <row r="1262" spans="1:26" s="403" customFormat="1" ht="37.5" hidden="1" customHeight="1">
      <c r="A1262" s="774">
        <f>A1261+1</f>
        <v>2</v>
      </c>
      <c r="B1262" s="775" t="s">
        <v>1299</v>
      </c>
      <c r="C1262" s="773" t="s">
        <v>300</v>
      </c>
      <c r="D1262" s="773">
        <v>5628</v>
      </c>
      <c r="E1262" s="539">
        <v>5560</v>
      </c>
      <c r="F1262" s="539" t="s">
        <v>229</v>
      </c>
      <c r="G1262" s="675">
        <v>826</v>
      </c>
      <c r="H1262" s="726">
        <v>2</v>
      </c>
      <c r="I1262" s="726">
        <v>4</v>
      </c>
      <c r="J1262" s="599">
        <v>24</v>
      </c>
      <c r="K1262" s="612" t="s">
        <v>239</v>
      </c>
      <c r="L1262" s="677">
        <f>SUM(M1262:Q1262)</f>
        <v>821124.4</v>
      </c>
      <c r="M1262" s="677">
        <v>791274.4</v>
      </c>
      <c r="N1262" s="675">
        <v>29850</v>
      </c>
      <c r="O1262" s="473"/>
      <c r="P1262" s="388"/>
      <c r="Q1262" s="388"/>
      <c r="R1262" s="446">
        <f>M1262/J1262</f>
        <v>32969.76666666667</v>
      </c>
      <c r="U1262" s="404"/>
      <c r="V1262" s="390"/>
      <c r="Y1262" s="419">
        <f t="shared" si="156"/>
        <v>821124.4</v>
      </c>
      <c r="Z1262" s="419"/>
    </row>
    <row r="1263" spans="1:26" s="403" customFormat="1" ht="37.5" hidden="1" customHeight="1">
      <c r="A1263" s="774">
        <f>A1262+1</f>
        <v>3</v>
      </c>
      <c r="B1263" s="775" t="s">
        <v>4157</v>
      </c>
      <c r="C1263" s="773" t="s">
        <v>300</v>
      </c>
      <c r="D1263" s="773">
        <v>2975</v>
      </c>
      <c r="E1263" s="539">
        <v>2479</v>
      </c>
      <c r="F1263" s="539" t="s">
        <v>252</v>
      </c>
      <c r="G1263" s="675">
        <v>595</v>
      </c>
      <c r="H1263" s="726">
        <v>2</v>
      </c>
      <c r="I1263" s="726">
        <v>2</v>
      </c>
      <c r="J1263" s="599">
        <v>12</v>
      </c>
      <c r="K1263" s="612" t="s">
        <v>33</v>
      </c>
      <c r="L1263" s="677">
        <f>SUM(M1263:Q1263)</f>
        <v>1567527.2200000002</v>
      </c>
      <c r="M1263" s="677">
        <v>1547627.2200000002</v>
      </c>
      <c r="N1263" s="675">
        <v>19900</v>
      </c>
      <c r="O1263" s="473"/>
      <c r="P1263" s="388"/>
      <c r="Q1263" s="388"/>
      <c r="R1263" s="446">
        <f>M1263/G1263</f>
        <v>2601.0541512605046</v>
      </c>
      <c r="U1263" s="404"/>
      <c r="V1263" s="390"/>
      <c r="Y1263" s="419">
        <f t="shared" si="156"/>
        <v>1567527.2200000002</v>
      </c>
      <c r="Z1263" s="419"/>
    </row>
    <row r="1264" spans="1:26" s="403" customFormat="1" ht="37.5" hidden="1" customHeight="1">
      <c r="A1264" s="774">
        <f>A1263+1</f>
        <v>4</v>
      </c>
      <c r="B1264" s="775" t="s">
        <v>1300</v>
      </c>
      <c r="C1264" s="773" t="s">
        <v>300</v>
      </c>
      <c r="D1264" s="773">
        <v>2918</v>
      </c>
      <c r="E1264" s="539">
        <v>1323</v>
      </c>
      <c r="F1264" s="539" t="s">
        <v>252</v>
      </c>
      <c r="G1264" s="675">
        <v>610.55999999999995</v>
      </c>
      <c r="H1264" s="726">
        <v>2</v>
      </c>
      <c r="I1264" s="726">
        <v>2</v>
      </c>
      <c r="J1264" s="599">
        <v>16</v>
      </c>
      <c r="K1264" s="612" t="s">
        <v>301</v>
      </c>
      <c r="L1264" s="677">
        <f>SUM(M1264:Q1264)</f>
        <v>290654.43</v>
      </c>
      <c r="M1264" s="677">
        <v>270754.43</v>
      </c>
      <c r="N1264" s="675">
        <v>19900</v>
      </c>
      <c r="O1264" s="473"/>
      <c r="P1264" s="388"/>
      <c r="Q1264" s="388"/>
      <c r="R1264" s="446">
        <f>M1264/J1264</f>
        <v>16922.151875</v>
      </c>
      <c r="U1264" s="388"/>
      <c r="V1264" s="390"/>
      <c r="Y1264" s="419">
        <f t="shared" si="156"/>
        <v>290654.43</v>
      </c>
      <c r="Z1264" s="419"/>
    </row>
    <row r="1265" spans="1:26" s="403" customFormat="1" ht="42.75" hidden="1" customHeight="1">
      <c r="A1265" s="1112" t="s">
        <v>176</v>
      </c>
      <c r="B1265" s="1112"/>
      <c r="C1265" s="446" t="s">
        <v>28</v>
      </c>
      <c r="D1265" s="446">
        <f>SUM(D1261:D1264)</f>
        <v>13939</v>
      </c>
      <c r="E1265" s="388">
        <f>SUM(E1261:E1264)</f>
        <v>11426.4</v>
      </c>
      <c r="F1265" s="388" t="s">
        <v>28</v>
      </c>
      <c r="G1265" s="388">
        <f>SUM(G1261:G1264)</f>
        <v>2492.06</v>
      </c>
      <c r="H1265" s="446" t="s">
        <v>28</v>
      </c>
      <c r="I1265" s="446" t="s">
        <v>28</v>
      </c>
      <c r="J1265" s="446">
        <f>SUM(J1261:J1264)</f>
        <v>64</v>
      </c>
      <c r="K1265" s="458" t="s">
        <v>28</v>
      </c>
      <c r="L1265" s="519">
        <f t="shared" ref="L1265:Q1265" si="163">SUM(L1261:L1264)</f>
        <v>3063821.0500000003</v>
      </c>
      <c r="M1265" s="519">
        <f t="shared" si="163"/>
        <v>2969296.0500000003</v>
      </c>
      <c r="N1265" s="388">
        <f t="shared" si="163"/>
        <v>94525</v>
      </c>
      <c r="O1265" s="473">
        <f t="shared" si="163"/>
        <v>0</v>
      </c>
      <c r="P1265" s="388">
        <f t="shared" si="163"/>
        <v>0</v>
      </c>
      <c r="Q1265" s="388">
        <f t="shared" si="163"/>
        <v>0</v>
      </c>
      <c r="R1265" s="446" t="s">
        <v>28</v>
      </c>
      <c r="S1265" s="383">
        <f>L1265-M1265-N1265-O1265-P1265-Q1265</f>
        <v>0</v>
      </c>
      <c r="T1265" s="387" t="e">
        <f>'1.перечень МКД'!#REF!</f>
        <v>#REF!</v>
      </c>
      <c r="U1265" s="390" t="e">
        <f>L1265-T1265</f>
        <v>#REF!</v>
      </c>
      <c r="V1265" s="390"/>
      <c r="Y1265" s="419">
        <f t="shared" si="156"/>
        <v>3063821.0500000003</v>
      </c>
      <c r="Z1265" s="419"/>
    </row>
    <row r="1266" spans="1:26" s="403" customFormat="1" ht="42.75" hidden="1" customHeight="1">
      <c r="A1266" s="1113" t="s">
        <v>177</v>
      </c>
      <c r="B1266" s="1113"/>
      <c r="C1266" s="1113"/>
      <c r="D1266" s="1113"/>
      <c r="E1266" s="1113"/>
      <c r="F1266" s="1113"/>
      <c r="G1266" s="1113"/>
      <c r="H1266" s="1113"/>
      <c r="I1266" s="1113"/>
      <c r="J1266" s="1113"/>
      <c r="K1266" s="1113"/>
      <c r="L1266" s="1113"/>
      <c r="M1266" s="1113"/>
      <c r="N1266" s="1113"/>
      <c r="O1266" s="1113"/>
      <c r="P1266" s="1113"/>
      <c r="Q1266" s="1113"/>
      <c r="R1266" s="1113"/>
      <c r="U1266" s="404"/>
      <c r="V1266" s="390"/>
      <c r="Y1266" s="419">
        <f t="shared" si="156"/>
        <v>0</v>
      </c>
      <c r="Z1266" s="419"/>
    </row>
    <row r="1267" spans="1:26" s="403" customFormat="1" ht="37.5" hidden="1" customHeight="1">
      <c r="A1267" s="774">
        <v>1</v>
      </c>
      <c r="B1267" s="775" t="s">
        <v>1301</v>
      </c>
      <c r="C1267" s="773" t="s">
        <v>300</v>
      </c>
      <c r="D1267" s="773"/>
      <c r="E1267" s="539">
        <v>708.51</v>
      </c>
      <c r="F1267" s="539" t="s">
        <v>252</v>
      </c>
      <c r="G1267" s="675">
        <v>642.41999999999996</v>
      </c>
      <c r="H1267" s="726">
        <v>2</v>
      </c>
      <c r="I1267" s="726">
        <v>3</v>
      </c>
      <c r="J1267" s="599">
        <v>22</v>
      </c>
      <c r="K1267" s="612" t="s">
        <v>225</v>
      </c>
      <c r="L1267" s="677">
        <f t="shared" ref="L1267:L1273" si="164">SUM(M1267:Q1267)</f>
        <v>274733.7</v>
      </c>
      <c r="M1267" s="677">
        <v>244883.7</v>
      </c>
      <c r="N1267" s="675">
        <v>29850</v>
      </c>
      <c r="O1267" s="473"/>
      <c r="P1267" s="388"/>
      <c r="Q1267" s="388"/>
      <c r="R1267" s="446">
        <f>M1267/J1267</f>
        <v>11131.077272727272</v>
      </c>
      <c r="S1267" s="383">
        <f t="shared" ref="S1267:S1274" si="165">L1267-M1267-N1267-O1267-P1267-Q1267</f>
        <v>0</v>
      </c>
      <c r="U1267" s="404"/>
      <c r="V1267" s="390"/>
      <c r="Y1267" s="419">
        <f t="shared" si="156"/>
        <v>274733.7</v>
      </c>
      <c r="Z1267" s="419"/>
    </row>
    <row r="1268" spans="1:26" s="403" customFormat="1" ht="37.5" hidden="1" customHeight="1">
      <c r="A1268" s="774">
        <f>A1267+1</f>
        <v>2</v>
      </c>
      <c r="B1268" s="775" t="s">
        <v>1302</v>
      </c>
      <c r="C1268" s="773" t="s">
        <v>240</v>
      </c>
      <c r="D1268" s="773"/>
      <c r="E1268" s="539">
        <v>4387.2</v>
      </c>
      <c r="F1268" s="539" t="s">
        <v>318</v>
      </c>
      <c r="G1268" s="675">
        <v>1426</v>
      </c>
      <c r="H1268" s="726">
        <v>5</v>
      </c>
      <c r="I1268" s="726">
        <v>8</v>
      </c>
      <c r="J1268" s="599">
        <v>91</v>
      </c>
      <c r="K1268" s="612" t="s">
        <v>33</v>
      </c>
      <c r="L1268" s="677">
        <f t="shared" si="164"/>
        <v>2522913.61</v>
      </c>
      <c r="M1268" s="677">
        <v>2513123.81</v>
      </c>
      <c r="N1268" s="675"/>
      <c r="O1268" s="473">
        <v>9789.7999999999993</v>
      </c>
      <c r="P1268" s="388"/>
      <c r="Q1268" s="388"/>
      <c r="R1268" s="446">
        <f>M1268/G1268</f>
        <v>1762.3589130434782</v>
      </c>
      <c r="S1268" s="383">
        <f t="shared" si="165"/>
        <v>-1.8553691916167736E-10</v>
      </c>
      <c r="U1268" s="404"/>
      <c r="V1268" s="390"/>
      <c r="Y1268" s="419">
        <f t="shared" si="156"/>
        <v>2522913.61</v>
      </c>
      <c r="Z1268" s="419"/>
    </row>
    <row r="1269" spans="1:26" s="403" customFormat="1" ht="37.5" hidden="1" customHeight="1">
      <c r="A1269" s="774">
        <f>A1268+1</f>
        <v>3</v>
      </c>
      <c r="B1269" s="775" t="s">
        <v>1303</v>
      </c>
      <c r="C1269" s="773" t="s">
        <v>218</v>
      </c>
      <c r="D1269" s="773"/>
      <c r="E1269" s="539">
        <v>2298.4</v>
      </c>
      <c r="F1269" s="539" t="s">
        <v>252</v>
      </c>
      <c r="G1269" s="675">
        <v>3991</v>
      </c>
      <c r="H1269" s="726">
        <v>4</v>
      </c>
      <c r="I1269" s="726">
        <v>5</v>
      </c>
      <c r="J1269" s="599">
        <v>54</v>
      </c>
      <c r="K1269" s="612" t="s">
        <v>225</v>
      </c>
      <c r="L1269" s="677">
        <f t="shared" si="164"/>
        <v>786328.94</v>
      </c>
      <c r="M1269" s="677">
        <v>751503.94</v>
      </c>
      <c r="N1269" s="675">
        <v>34825</v>
      </c>
      <c r="O1269" s="473"/>
      <c r="P1269" s="388"/>
      <c r="Q1269" s="388"/>
      <c r="R1269" s="446">
        <f>M1269/J1269</f>
        <v>13916.739629629628</v>
      </c>
      <c r="S1269" s="383">
        <f t="shared" si="165"/>
        <v>0</v>
      </c>
      <c r="T1269" s="393"/>
      <c r="U1269" s="404"/>
      <c r="V1269" s="390"/>
      <c r="Y1269" s="419">
        <f t="shared" si="156"/>
        <v>786328.94</v>
      </c>
      <c r="Z1269" s="419"/>
    </row>
    <row r="1270" spans="1:26" s="403" customFormat="1" ht="37.5" hidden="1" customHeight="1">
      <c r="A1270" s="774">
        <v>4</v>
      </c>
      <c r="B1270" s="775" t="s">
        <v>1304</v>
      </c>
      <c r="C1270" s="773" t="s">
        <v>222</v>
      </c>
      <c r="D1270" s="773"/>
      <c r="E1270" s="539">
        <v>648</v>
      </c>
      <c r="F1270" s="539" t="s">
        <v>252</v>
      </c>
      <c r="G1270" s="675">
        <v>605.20000000000005</v>
      </c>
      <c r="H1270" s="726">
        <v>2</v>
      </c>
      <c r="I1270" s="726">
        <v>2</v>
      </c>
      <c r="J1270" s="599">
        <v>16</v>
      </c>
      <c r="K1270" s="612" t="s">
        <v>33</v>
      </c>
      <c r="L1270" s="677">
        <f t="shared" si="164"/>
        <v>1289695.95</v>
      </c>
      <c r="M1270" s="677">
        <v>1259845.95</v>
      </c>
      <c r="N1270" s="675">
        <v>29850</v>
      </c>
      <c r="O1270" s="473"/>
      <c r="P1270" s="388"/>
      <c r="Q1270" s="388"/>
      <c r="R1270" s="446">
        <f>M1270/G1270</f>
        <v>2081.7018341044281</v>
      </c>
      <c r="S1270" s="383">
        <f t="shared" si="165"/>
        <v>0</v>
      </c>
      <c r="T1270" s="393"/>
      <c r="U1270" s="404"/>
      <c r="V1270" s="390"/>
      <c r="Y1270" s="419">
        <f t="shared" si="156"/>
        <v>1289695.95</v>
      </c>
      <c r="Z1270" s="419"/>
    </row>
    <row r="1271" spans="1:26" s="403" customFormat="1" ht="37.5" hidden="1" customHeight="1">
      <c r="A1271" s="774">
        <v>5</v>
      </c>
      <c r="B1271" s="775" t="s">
        <v>3837</v>
      </c>
      <c r="C1271" s="773" t="s">
        <v>222</v>
      </c>
      <c r="D1271" s="773"/>
      <c r="E1271" s="539">
        <v>843</v>
      </c>
      <c r="F1271" s="539" t="s">
        <v>252</v>
      </c>
      <c r="G1271" s="675">
        <v>740</v>
      </c>
      <c r="H1271" s="726">
        <v>2</v>
      </c>
      <c r="I1271" s="726">
        <v>2</v>
      </c>
      <c r="J1271" s="599">
        <v>16</v>
      </c>
      <c r="K1271" s="612" t="s">
        <v>225</v>
      </c>
      <c r="L1271" s="677">
        <f t="shared" si="164"/>
        <v>178060.49</v>
      </c>
      <c r="M1271" s="677">
        <v>148210.49</v>
      </c>
      <c r="N1271" s="675">
        <v>29850</v>
      </c>
      <c r="O1271" s="473"/>
      <c r="P1271" s="388"/>
      <c r="Q1271" s="388"/>
      <c r="R1271" s="446">
        <f>M1271/J1271</f>
        <v>9263.1556249999994</v>
      </c>
      <c r="S1271" s="383">
        <f t="shared" si="165"/>
        <v>0</v>
      </c>
      <c r="T1271" s="393"/>
      <c r="U1271" s="404"/>
      <c r="V1271" s="390"/>
      <c r="Y1271" s="419">
        <f t="shared" si="156"/>
        <v>178060.49</v>
      </c>
      <c r="Z1271" s="419"/>
    </row>
    <row r="1272" spans="1:26" s="403" customFormat="1" ht="37.5" hidden="1" customHeight="1">
      <c r="A1272" s="774">
        <v>6</v>
      </c>
      <c r="B1272" s="775" t="s">
        <v>1305</v>
      </c>
      <c r="C1272" s="773" t="s">
        <v>240</v>
      </c>
      <c r="D1272" s="773"/>
      <c r="E1272" s="539">
        <v>484</v>
      </c>
      <c r="F1272" s="539" t="s">
        <v>252</v>
      </c>
      <c r="G1272" s="675">
        <v>439</v>
      </c>
      <c r="H1272" s="726">
        <v>2</v>
      </c>
      <c r="I1272" s="726">
        <v>2</v>
      </c>
      <c r="J1272" s="599">
        <v>12</v>
      </c>
      <c r="K1272" s="612" t="s">
        <v>33</v>
      </c>
      <c r="L1272" s="677">
        <f t="shared" si="164"/>
        <v>1219946.6400000001</v>
      </c>
      <c r="M1272" s="677">
        <v>1190096.6400000001</v>
      </c>
      <c r="N1272" s="675">
        <v>29850</v>
      </c>
      <c r="O1272" s="473"/>
      <c r="P1272" s="388"/>
      <c r="Q1272" s="388"/>
      <c r="R1272" s="446">
        <f>M1272/G1272</f>
        <v>2710.9262870159455</v>
      </c>
      <c r="S1272" s="383">
        <f t="shared" si="165"/>
        <v>0</v>
      </c>
      <c r="T1272" s="393"/>
      <c r="U1272" s="404"/>
      <c r="V1272" s="390"/>
      <c r="Y1272" s="419">
        <f t="shared" si="156"/>
        <v>1219946.6400000001</v>
      </c>
      <c r="Z1272" s="419"/>
    </row>
    <row r="1273" spans="1:26" s="403" customFormat="1" ht="37.5" hidden="1" customHeight="1">
      <c r="A1273" s="774">
        <v>7</v>
      </c>
      <c r="B1273" s="775" t="s">
        <v>1306</v>
      </c>
      <c r="C1273" s="773" t="s">
        <v>240</v>
      </c>
      <c r="D1273" s="773"/>
      <c r="E1273" s="539">
        <v>501</v>
      </c>
      <c r="F1273" s="539" t="s">
        <v>252</v>
      </c>
      <c r="G1273" s="675">
        <v>463</v>
      </c>
      <c r="H1273" s="726">
        <v>2</v>
      </c>
      <c r="I1273" s="726">
        <v>2</v>
      </c>
      <c r="J1273" s="599">
        <v>12</v>
      </c>
      <c r="K1273" s="612" t="s">
        <v>225</v>
      </c>
      <c r="L1273" s="677">
        <f t="shared" si="164"/>
        <v>200456.61</v>
      </c>
      <c r="M1273" s="677">
        <v>170606.61</v>
      </c>
      <c r="N1273" s="675">
        <v>29850</v>
      </c>
      <c r="O1273" s="473"/>
      <c r="P1273" s="388"/>
      <c r="Q1273" s="388"/>
      <c r="R1273" s="446">
        <f>M1273/J1273</f>
        <v>14217.217499999999</v>
      </c>
      <c r="S1273" s="383">
        <f t="shared" si="165"/>
        <v>0</v>
      </c>
      <c r="T1273" s="393"/>
      <c r="U1273" s="404"/>
      <c r="V1273" s="390"/>
      <c r="Y1273" s="419">
        <f t="shared" si="156"/>
        <v>200456.61</v>
      </c>
      <c r="Z1273" s="419"/>
    </row>
    <row r="1274" spans="1:26" s="403" customFormat="1" ht="42.75" hidden="1" customHeight="1">
      <c r="A1274" s="1112" t="s">
        <v>178</v>
      </c>
      <c r="B1274" s="1112"/>
      <c r="C1274" s="679" t="s">
        <v>28</v>
      </c>
      <c r="D1274" s="388"/>
      <c r="E1274" s="388">
        <f>SUM(E1267:E1273)</f>
        <v>9870.11</v>
      </c>
      <c r="F1274" s="388" t="s">
        <v>28</v>
      </c>
      <c r="G1274" s="388">
        <f>SUM(G1267:G1273)</f>
        <v>8306.619999999999</v>
      </c>
      <c r="H1274" s="446" t="s">
        <v>28</v>
      </c>
      <c r="I1274" s="446" t="s">
        <v>28</v>
      </c>
      <c r="J1274" s="446">
        <f>SUM(J1267:J1273)</f>
        <v>223</v>
      </c>
      <c r="K1274" s="458" t="s">
        <v>28</v>
      </c>
      <c r="L1274" s="519">
        <f t="shared" ref="L1274:Q1274" si="166">SUM(L1267:L1273)</f>
        <v>6472135.9400000004</v>
      </c>
      <c r="M1274" s="519">
        <f t="shared" si="166"/>
        <v>6278271.1400000015</v>
      </c>
      <c r="N1274" s="388">
        <f t="shared" si="166"/>
        <v>184075</v>
      </c>
      <c r="O1274" s="473">
        <f t="shared" si="166"/>
        <v>9789.7999999999993</v>
      </c>
      <c r="P1274" s="388">
        <f t="shared" si="166"/>
        <v>0</v>
      </c>
      <c r="Q1274" s="388">
        <f t="shared" si="166"/>
        <v>0</v>
      </c>
      <c r="R1274" s="446" t="s">
        <v>28</v>
      </c>
      <c r="S1274" s="383">
        <f t="shared" si="165"/>
        <v>-1.1168594937771559E-9</v>
      </c>
      <c r="T1274" s="387" t="e">
        <f>'1.перечень МКД'!#REF!</f>
        <v>#REF!</v>
      </c>
      <c r="U1274" s="390" t="e">
        <f>L1274-T1274</f>
        <v>#REF!</v>
      </c>
      <c r="V1274" s="390"/>
      <c r="Y1274" s="419">
        <f t="shared" si="156"/>
        <v>6472135.9400000013</v>
      </c>
      <c r="Z1274" s="419"/>
    </row>
    <row r="1275" spans="1:26" s="403" customFormat="1" ht="42.75" hidden="1" customHeight="1">
      <c r="A1275" s="1113" t="s">
        <v>179</v>
      </c>
      <c r="B1275" s="1113"/>
      <c r="C1275" s="1113"/>
      <c r="D1275" s="1113"/>
      <c r="E1275" s="1113"/>
      <c r="F1275" s="1113"/>
      <c r="G1275" s="1113"/>
      <c r="H1275" s="1113"/>
      <c r="I1275" s="1113"/>
      <c r="J1275" s="1113"/>
      <c r="K1275" s="1113"/>
      <c r="L1275" s="1113"/>
      <c r="M1275" s="1113"/>
      <c r="N1275" s="1113"/>
      <c r="O1275" s="1113"/>
      <c r="P1275" s="1113"/>
      <c r="Q1275" s="1113"/>
      <c r="R1275" s="1113"/>
      <c r="U1275" s="404"/>
      <c r="V1275" s="390"/>
      <c r="Y1275" s="419">
        <f t="shared" si="156"/>
        <v>0</v>
      </c>
      <c r="Z1275" s="419"/>
    </row>
    <row r="1276" spans="1:26" s="455" customFormat="1" ht="37.5" hidden="1" customHeight="1">
      <c r="A1276" s="404">
        <v>1</v>
      </c>
      <c r="B1276" s="723" t="s">
        <v>1307</v>
      </c>
      <c r="C1276" s="679" t="s">
        <v>283</v>
      </c>
      <c r="D1276" s="455">
        <v>65598</v>
      </c>
      <c r="E1276" s="388">
        <v>10395</v>
      </c>
      <c r="F1276" s="388" t="s">
        <v>254</v>
      </c>
      <c r="G1276" s="388">
        <v>2811</v>
      </c>
      <c r="H1276" s="446">
        <v>9</v>
      </c>
      <c r="I1276" s="446">
        <v>8</v>
      </c>
      <c r="J1276" s="446">
        <v>291</v>
      </c>
      <c r="K1276" s="458" t="s">
        <v>220</v>
      </c>
      <c r="L1276" s="519">
        <f>SUM(M1276:Q1276)</f>
        <v>2059401.18</v>
      </c>
      <c r="M1276" s="519">
        <v>1975676.18</v>
      </c>
      <c r="N1276" s="388">
        <v>83725</v>
      </c>
      <c r="O1276" s="473"/>
      <c r="P1276" s="388"/>
      <c r="Q1276" s="388"/>
      <c r="R1276" s="446">
        <f>M1276/1</f>
        <v>1975676.18</v>
      </c>
      <c r="U1276" s="404"/>
      <c r="V1276" s="390"/>
      <c r="Y1276" s="419">
        <f t="shared" si="156"/>
        <v>2059401.18</v>
      </c>
      <c r="Z1276" s="419"/>
    </row>
    <row r="1277" spans="1:26" s="455" customFormat="1" ht="37.5" hidden="1" customHeight="1">
      <c r="A1277" s="404">
        <v>2</v>
      </c>
      <c r="B1277" s="723" t="s">
        <v>1308</v>
      </c>
      <c r="C1277" s="679" t="s">
        <v>222</v>
      </c>
      <c r="D1277" s="455">
        <v>24045</v>
      </c>
      <c r="E1277" s="388">
        <v>3900</v>
      </c>
      <c r="F1277" s="388" t="s">
        <v>234</v>
      </c>
      <c r="G1277" s="388">
        <v>1530</v>
      </c>
      <c r="H1277" s="446">
        <v>5</v>
      </c>
      <c r="I1277" s="446">
        <v>8</v>
      </c>
      <c r="J1277" s="446">
        <v>89</v>
      </c>
      <c r="K1277" s="458" t="s">
        <v>33</v>
      </c>
      <c r="L1277" s="519">
        <f>SUM(M1277:Q1277)</f>
        <v>3173178.3699999996</v>
      </c>
      <c r="M1277" s="519">
        <v>3163130.86</v>
      </c>
      <c r="N1277" s="388"/>
      <c r="O1277" s="473">
        <v>10047.51</v>
      </c>
      <c r="P1277" s="388"/>
      <c r="Q1277" s="388"/>
      <c r="R1277" s="446">
        <f>M1277/G1277</f>
        <v>2067.4057908496729</v>
      </c>
      <c r="U1277" s="404"/>
      <c r="V1277" s="390"/>
      <c r="Y1277" s="419">
        <f t="shared" si="156"/>
        <v>3173178.3699999996</v>
      </c>
      <c r="Z1277" s="419"/>
    </row>
    <row r="1278" spans="1:26" s="455" customFormat="1" ht="37.5" hidden="1" customHeight="1">
      <c r="A1278" s="1112">
        <v>3</v>
      </c>
      <c r="B1278" s="723" t="s">
        <v>1309</v>
      </c>
      <c r="C1278" s="679" t="s">
        <v>240</v>
      </c>
      <c r="D1278" s="455">
        <v>12433</v>
      </c>
      <c r="E1278" s="388">
        <v>1819</v>
      </c>
      <c r="F1278" s="388" t="s">
        <v>252</v>
      </c>
      <c r="G1278" s="388">
        <v>1299</v>
      </c>
      <c r="H1278" s="446">
        <v>3</v>
      </c>
      <c r="I1278" s="446">
        <v>4</v>
      </c>
      <c r="J1278" s="446">
        <v>30</v>
      </c>
      <c r="K1278" s="458" t="s">
        <v>33</v>
      </c>
      <c r="L1278" s="1129">
        <f>M1278+N1278+O1278+P1278+Q1278+M1279+N1279+O1279+P1279+Q1279</f>
        <v>6995854.4399999995</v>
      </c>
      <c r="M1278" s="519">
        <v>3613126.65</v>
      </c>
      <c r="N1278" s="388">
        <v>30845</v>
      </c>
      <c r="O1278" s="473"/>
      <c r="P1278" s="388"/>
      <c r="Q1278" s="388"/>
      <c r="R1278" s="446">
        <f>M1278/G1278</f>
        <v>2781.4677829099305</v>
      </c>
      <c r="U1278" s="404"/>
      <c r="V1278" s="390"/>
      <c r="Y1278" s="419">
        <f t="shared" si="156"/>
        <v>3643971.65</v>
      </c>
      <c r="Z1278" s="419"/>
    </row>
    <row r="1279" spans="1:26" s="455" customFormat="1" ht="42.75" hidden="1" customHeight="1">
      <c r="A1279" s="1112"/>
      <c r="B1279" s="723"/>
      <c r="C1279" s="679"/>
      <c r="E1279" s="388"/>
      <c r="F1279" s="388"/>
      <c r="G1279" s="388"/>
      <c r="H1279" s="446"/>
      <c r="I1279" s="446"/>
      <c r="J1279" s="446"/>
      <c r="K1279" s="458" t="s">
        <v>38</v>
      </c>
      <c r="L1279" s="1129"/>
      <c r="M1279" s="519">
        <v>3341023.3600000003</v>
      </c>
      <c r="N1279" s="388"/>
      <c r="O1279" s="473">
        <v>10859.43</v>
      </c>
      <c r="P1279" s="388"/>
      <c r="Q1279" s="388"/>
      <c r="R1279" s="528">
        <f>M1279/E1278</f>
        <v>1836.7363166575044</v>
      </c>
      <c r="U1279" s="404"/>
      <c r="V1279" s="390"/>
      <c r="Y1279" s="419">
        <f t="shared" si="156"/>
        <v>3351882.7900000005</v>
      </c>
      <c r="Z1279" s="419"/>
    </row>
    <row r="1280" spans="1:26" s="455" customFormat="1" ht="37.5" hidden="1" customHeight="1">
      <c r="A1280" s="404">
        <f>A1278+1</f>
        <v>4</v>
      </c>
      <c r="B1280" s="723" t="s">
        <v>1310</v>
      </c>
      <c r="C1280" s="679" t="s">
        <v>240</v>
      </c>
      <c r="D1280" s="455">
        <v>4671</v>
      </c>
      <c r="E1280" s="748">
        <v>997</v>
      </c>
      <c r="F1280" s="388" t="s">
        <v>231</v>
      </c>
      <c r="G1280" s="388">
        <v>583</v>
      </c>
      <c r="H1280" s="446">
        <v>3</v>
      </c>
      <c r="I1280" s="446">
        <v>2</v>
      </c>
      <c r="J1280" s="446">
        <v>16</v>
      </c>
      <c r="K1280" s="458" t="s">
        <v>38</v>
      </c>
      <c r="L1280" s="519">
        <f>SUM(M1280:Q1280)</f>
        <v>1703118.7600000002</v>
      </c>
      <c r="M1280" s="519">
        <v>1697166.6700000002</v>
      </c>
      <c r="N1280" s="388"/>
      <c r="O1280" s="473">
        <v>5952.09</v>
      </c>
      <c r="P1280" s="388"/>
      <c r="Q1280" s="388"/>
      <c r="R1280" s="528">
        <f>M1280/E1280</f>
        <v>1702.2734904714143</v>
      </c>
      <c r="U1280" s="404"/>
      <c r="V1280" s="390"/>
      <c r="Y1280" s="419">
        <f t="shared" si="156"/>
        <v>1703118.7600000002</v>
      </c>
      <c r="Z1280" s="419"/>
    </row>
    <row r="1281" spans="1:26" s="455" customFormat="1" ht="37.5" hidden="1" customHeight="1">
      <c r="A1281" s="404">
        <f>A1280+1</f>
        <v>5</v>
      </c>
      <c r="B1281" s="723" t="s">
        <v>1311</v>
      </c>
      <c r="C1281" s="679" t="s">
        <v>240</v>
      </c>
      <c r="D1281" s="455">
        <v>11288</v>
      </c>
      <c r="E1281" s="388">
        <v>2109</v>
      </c>
      <c r="F1281" s="388" t="s">
        <v>223</v>
      </c>
      <c r="G1281" s="388">
        <v>1067</v>
      </c>
      <c r="H1281" s="446">
        <v>5</v>
      </c>
      <c r="I1281" s="446">
        <v>4</v>
      </c>
      <c r="J1281" s="446">
        <v>80</v>
      </c>
      <c r="K1281" s="458" t="s">
        <v>33</v>
      </c>
      <c r="L1281" s="519">
        <f>SUM(M1281:Q1281)</f>
        <v>2588442.17</v>
      </c>
      <c r="M1281" s="519">
        <v>2563567.17</v>
      </c>
      <c r="N1281" s="388">
        <v>24875</v>
      </c>
      <c r="O1281" s="473"/>
      <c r="P1281" s="388"/>
      <c r="Q1281" s="388"/>
      <c r="R1281" s="446">
        <f>M1281/G1281</f>
        <v>2402.593411433927</v>
      </c>
      <c r="U1281" s="404"/>
      <c r="V1281" s="390"/>
      <c r="Y1281" s="419">
        <f t="shared" si="156"/>
        <v>2588442.17</v>
      </c>
      <c r="Z1281" s="419"/>
    </row>
    <row r="1282" spans="1:26" s="455" customFormat="1" ht="37.5" hidden="1" customHeight="1">
      <c r="A1282" s="404">
        <f>A1281+1</f>
        <v>6</v>
      </c>
      <c r="B1282" s="723" t="s">
        <v>1312</v>
      </c>
      <c r="C1282" s="679" t="s">
        <v>283</v>
      </c>
      <c r="D1282" s="455">
        <v>52538</v>
      </c>
      <c r="E1282" s="388">
        <v>7295</v>
      </c>
      <c r="F1282" s="388" t="s">
        <v>254</v>
      </c>
      <c r="G1282" s="388">
        <v>1510</v>
      </c>
      <c r="H1282" s="446">
        <v>9</v>
      </c>
      <c r="I1282" s="446">
        <v>6</v>
      </c>
      <c r="J1282" s="446">
        <v>219</v>
      </c>
      <c r="K1282" s="458" t="s">
        <v>220</v>
      </c>
      <c r="L1282" s="519">
        <f>SUM(M1282:Q1282)</f>
        <v>2055872.74</v>
      </c>
      <c r="M1282" s="519">
        <v>1972147.74</v>
      </c>
      <c r="N1282" s="388">
        <v>83725</v>
      </c>
      <c r="O1282" s="473"/>
      <c r="P1282" s="388"/>
      <c r="Q1282" s="388"/>
      <c r="R1282" s="446">
        <f>M1282/1</f>
        <v>1972147.74</v>
      </c>
      <c r="U1282" s="404"/>
      <c r="V1282" s="390"/>
      <c r="Y1282" s="419">
        <f t="shared" si="156"/>
        <v>2055872.74</v>
      </c>
      <c r="Z1282" s="419"/>
    </row>
    <row r="1283" spans="1:26" s="455" customFormat="1" ht="37.5" hidden="1" customHeight="1">
      <c r="A1283" s="1112">
        <v>7</v>
      </c>
      <c r="B1283" s="776" t="s">
        <v>1313</v>
      </c>
      <c r="C1283" s="679" t="s">
        <v>240</v>
      </c>
      <c r="D1283" s="455">
        <v>5492</v>
      </c>
      <c r="E1283" s="388">
        <v>1050</v>
      </c>
      <c r="F1283" s="388" t="s">
        <v>231</v>
      </c>
      <c r="G1283" s="388">
        <v>592</v>
      </c>
      <c r="H1283" s="446">
        <v>3</v>
      </c>
      <c r="I1283" s="446">
        <v>2</v>
      </c>
      <c r="J1283" s="446">
        <v>18</v>
      </c>
      <c r="K1283" s="458" t="s">
        <v>38</v>
      </c>
      <c r="L1283" s="1129">
        <f>M1283+N1283+O1283+P1283+Q1283+M1284+N1284+O1284+P1284+Q1284</f>
        <v>3444169.7300000004</v>
      </c>
      <c r="M1283" s="519">
        <v>1866461.53</v>
      </c>
      <c r="N1283" s="388"/>
      <c r="O1283" s="473">
        <v>6268.5</v>
      </c>
      <c r="P1283" s="388"/>
      <c r="Q1283" s="388"/>
      <c r="R1283" s="528">
        <f>M1283/E1283</f>
        <v>1777.5824095238095</v>
      </c>
      <c r="U1283" s="404"/>
      <c r="V1283" s="390"/>
      <c r="Y1283" s="419">
        <f t="shared" si="156"/>
        <v>1872730.03</v>
      </c>
      <c r="Z1283" s="419"/>
    </row>
    <row r="1284" spans="1:26" s="455" customFormat="1" ht="37.5" hidden="1" customHeight="1">
      <c r="A1284" s="1112"/>
      <c r="B1284" s="776"/>
      <c r="C1284" s="679" t="s">
        <v>240</v>
      </c>
      <c r="D1284" s="455">
        <v>5492</v>
      </c>
      <c r="E1284" s="388">
        <v>1050</v>
      </c>
      <c r="F1284" s="388" t="s">
        <v>231</v>
      </c>
      <c r="G1284" s="388">
        <v>592</v>
      </c>
      <c r="H1284" s="446">
        <v>3</v>
      </c>
      <c r="I1284" s="446">
        <v>2</v>
      </c>
      <c r="J1284" s="446">
        <v>18</v>
      </c>
      <c r="K1284" s="458" t="s">
        <v>33</v>
      </c>
      <c r="L1284" s="1129"/>
      <c r="M1284" s="519">
        <v>1540594.7000000002</v>
      </c>
      <c r="N1284" s="388">
        <v>30845</v>
      </c>
      <c r="O1284" s="473"/>
      <c r="P1284" s="388"/>
      <c r="Q1284" s="388"/>
      <c r="R1284" s="446">
        <f>M1284/G1284</f>
        <v>2602.3559121621624</v>
      </c>
      <c r="S1284" s="388"/>
      <c r="U1284" s="404"/>
      <c r="V1284" s="390"/>
      <c r="Y1284" s="419">
        <f t="shared" si="156"/>
        <v>1571439.7000000002</v>
      </c>
      <c r="Z1284" s="419"/>
    </row>
    <row r="1285" spans="1:26" s="455" customFormat="1" ht="41.25" hidden="1" customHeight="1">
      <c r="A1285" s="1112">
        <v>8</v>
      </c>
      <c r="B1285" s="723" t="s">
        <v>1314</v>
      </c>
      <c r="C1285" s="679" t="s">
        <v>240</v>
      </c>
      <c r="D1285" s="455">
        <v>10262</v>
      </c>
      <c r="E1285" s="748">
        <v>1702</v>
      </c>
      <c r="F1285" s="388" t="s">
        <v>252</v>
      </c>
      <c r="G1285" s="388">
        <v>1194.8</v>
      </c>
      <c r="H1285" s="446">
        <v>3</v>
      </c>
      <c r="I1285" s="446">
        <v>4</v>
      </c>
      <c r="J1285" s="446">
        <v>48</v>
      </c>
      <c r="K1285" s="458" t="s">
        <v>239</v>
      </c>
      <c r="L1285" s="1129">
        <f>M1285+N1285+O1285+P1285+Q1285+M1286+N1286+O1286+P1286+Q1286</f>
        <v>4643239.4400000004</v>
      </c>
      <c r="M1285" s="519">
        <v>1858669.92</v>
      </c>
      <c r="N1285" s="388">
        <v>34825</v>
      </c>
      <c r="O1285" s="473"/>
      <c r="P1285" s="388"/>
      <c r="Q1285" s="388"/>
      <c r="R1285" s="446">
        <f>M1285/J1285</f>
        <v>38722.29</v>
      </c>
      <c r="U1285" s="404"/>
      <c r="V1285" s="390"/>
      <c r="Y1285" s="419">
        <f t="shared" si="156"/>
        <v>1893494.92</v>
      </c>
      <c r="Z1285" s="419"/>
    </row>
    <row r="1286" spans="1:26" s="455" customFormat="1" ht="32.25" hidden="1" customHeight="1">
      <c r="A1286" s="1112"/>
      <c r="B1286" s="723"/>
      <c r="C1286" s="679"/>
      <c r="E1286" s="748"/>
      <c r="F1286" s="388"/>
      <c r="G1286" s="388"/>
      <c r="H1286" s="446"/>
      <c r="I1286" s="446"/>
      <c r="J1286" s="446"/>
      <c r="K1286" s="458" t="s">
        <v>38</v>
      </c>
      <c r="L1286" s="1129"/>
      <c r="M1286" s="519">
        <v>2739583.58</v>
      </c>
      <c r="N1286" s="388"/>
      <c r="O1286" s="473">
        <v>10160.94</v>
      </c>
      <c r="P1286" s="388"/>
      <c r="Q1286" s="388"/>
      <c r="R1286" s="528">
        <f>M1286/E1285</f>
        <v>1609.6260752056405</v>
      </c>
      <c r="U1286" s="404"/>
      <c r="V1286" s="390"/>
      <c r="Y1286" s="419">
        <f t="shared" si="156"/>
        <v>2749744.52</v>
      </c>
      <c r="Z1286" s="419"/>
    </row>
    <row r="1287" spans="1:26" s="455" customFormat="1" ht="37.5" hidden="1" customHeight="1">
      <c r="A1287" s="404">
        <f>A1285+1</f>
        <v>9</v>
      </c>
      <c r="B1287" s="723" t="s">
        <v>1315</v>
      </c>
      <c r="C1287" s="679" t="s">
        <v>222</v>
      </c>
      <c r="D1287" s="455">
        <v>293428</v>
      </c>
      <c r="E1287" s="388">
        <v>13803</v>
      </c>
      <c r="F1287" s="388" t="s">
        <v>254</v>
      </c>
      <c r="G1287" s="388">
        <v>2662</v>
      </c>
      <c r="H1287" s="446">
        <v>9</v>
      </c>
      <c r="I1287" s="446">
        <v>11</v>
      </c>
      <c r="J1287" s="446">
        <v>363</v>
      </c>
      <c r="K1287" s="458" t="s">
        <v>220</v>
      </c>
      <c r="L1287" s="519">
        <f>SUM(M1287:Q1287)</f>
        <v>2073597.8</v>
      </c>
      <c r="M1287" s="519">
        <v>1989872.8</v>
      </c>
      <c r="N1287" s="388">
        <v>83725</v>
      </c>
      <c r="O1287" s="473"/>
      <c r="P1287" s="388"/>
      <c r="Q1287" s="388"/>
      <c r="R1287" s="446">
        <f>M1287/1</f>
        <v>1989872.8</v>
      </c>
      <c r="U1287" s="404"/>
      <c r="V1287" s="390"/>
      <c r="Y1287" s="419">
        <f t="shared" si="156"/>
        <v>2073597.8</v>
      </c>
      <c r="Z1287" s="419"/>
    </row>
    <row r="1288" spans="1:26" s="455" customFormat="1" ht="37.5" hidden="1" customHeight="1">
      <c r="A1288" s="404">
        <f>A1287+1</f>
        <v>10</v>
      </c>
      <c r="B1288" s="723" t="s">
        <v>1316</v>
      </c>
      <c r="C1288" s="679" t="s">
        <v>222</v>
      </c>
      <c r="D1288" s="455">
        <v>24347</v>
      </c>
      <c r="E1288" s="388">
        <v>3800</v>
      </c>
      <c r="F1288" s="388" t="s">
        <v>223</v>
      </c>
      <c r="G1288" s="388">
        <v>2250</v>
      </c>
      <c r="H1288" s="446">
        <v>5</v>
      </c>
      <c r="I1288" s="446">
        <v>8</v>
      </c>
      <c r="J1288" s="446">
        <v>127</v>
      </c>
      <c r="K1288" s="458" t="s">
        <v>33</v>
      </c>
      <c r="L1288" s="519">
        <f>SUM(M1288:Q1288)</f>
        <v>6360394.5599999996</v>
      </c>
      <c r="M1288" s="519">
        <f>5820475.38+505094.18</f>
        <v>6325569.5599999996</v>
      </c>
      <c r="N1288" s="388">
        <v>34825</v>
      </c>
      <c r="O1288" s="473"/>
      <c r="P1288" s="388"/>
      <c r="Q1288" s="388"/>
      <c r="R1288" s="446">
        <f>M1288/G1288</f>
        <v>2811.3642488888886</v>
      </c>
      <c r="U1288" s="404"/>
      <c r="V1288" s="390"/>
      <c r="Y1288" s="419">
        <f t="shared" ref="Y1288:Y1351" si="167">M1288+N1288+O1288+Q1288</f>
        <v>6360394.5599999996</v>
      </c>
      <c r="Z1288" s="419"/>
    </row>
    <row r="1289" spans="1:26" s="455" customFormat="1" ht="37.5" hidden="1" customHeight="1">
      <c r="A1289" s="404">
        <f>A1288+1</f>
        <v>11</v>
      </c>
      <c r="B1289" s="723" t="s">
        <v>1317</v>
      </c>
      <c r="C1289" s="679" t="s">
        <v>222</v>
      </c>
      <c r="D1289" s="455">
        <v>14021</v>
      </c>
      <c r="E1289" s="388">
        <v>2500</v>
      </c>
      <c r="F1289" s="388" t="s">
        <v>223</v>
      </c>
      <c r="G1289" s="388">
        <v>1258</v>
      </c>
      <c r="H1289" s="446">
        <v>5</v>
      </c>
      <c r="I1289" s="446">
        <v>4</v>
      </c>
      <c r="J1289" s="446">
        <v>65</v>
      </c>
      <c r="K1289" s="458" t="s">
        <v>33</v>
      </c>
      <c r="L1289" s="519">
        <f>SUM(M1289:Q1289)</f>
        <v>3071988.4699999997</v>
      </c>
      <c r="M1289" s="519">
        <v>3038556.4699999997</v>
      </c>
      <c r="N1289" s="388">
        <v>33432</v>
      </c>
      <c r="O1289" s="473"/>
      <c r="P1289" s="388"/>
      <c r="Q1289" s="388"/>
      <c r="R1289" s="446">
        <f>M1289/G1289</f>
        <v>2415.3867011128773</v>
      </c>
      <c r="U1289" s="404"/>
      <c r="V1289" s="390"/>
      <c r="Y1289" s="419">
        <f t="shared" si="167"/>
        <v>3071988.4699999997</v>
      </c>
      <c r="Z1289" s="419"/>
    </row>
    <row r="1290" spans="1:26" s="455" customFormat="1" ht="31.5" hidden="1" customHeight="1">
      <c r="A1290" s="404">
        <f>A1289+1</f>
        <v>12</v>
      </c>
      <c r="B1290" s="723" t="s">
        <v>1318</v>
      </c>
      <c r="C1290" s="679" t="s">
        <v>240</v>
      </c>
      <c r="D1290" s="455">
        <v>7446</v>
      </c>
      <c r="E1290" s="388">
        <v>1300</v>
      </c>
      <c r="F1290" s="388" t="s">
        <v>223</v>
      </c>
      <c r="G1290" s="388">
        <v>800</v>
      </c>
      <c r="H1290" s="446">
        <v>3</v>
      </c>
      <c r="I1290" s="446">
        <v>3</v>
      </c>
      <c r="J1290" s="446">
        <v>24</v>
      </c>
      <c r="K1290" s="458" t="s">
        <v>33</v>
      </c>
      <c r="L1290" s="1129">
        <f>M1290+N1290+O1290+P1290+Q1290+M1291+N1291+O1291+P1291+Q1291</f>
        <v>4228292.0999999996</v>
      </c>
      <c r="M1290" s="519">
        <v>2377125.23</v>
      </c>
      <c r="N1290" s="388">
        <v>27860</v>
      </c>
      <c r="O1290" s="473"/>
      <c r="P1290" s="388"/>
      <c r="Q1290" s="388"/>
      <c r="R1290" s="446">
        <f>M1290/G1290</f>
        <v>2971.4065375</v>
      </c>
      <c r="U1290" s="404"/>
      <c r="V1290" s="390"/>
      <c r="Y1290" s="419">
        <f t="shared" si="167"/>
        <v>2404985.23</v>
      </c>
      <c r="Z1290" s="419"/>
    </row>
    <row r="1291" spans="1:26" s="455" customFormat="1" ht="31.5" hidden="1" customHeight="1">
      <c r="A1291" s="404"/>
      <c r="B1291" s="723"/>
      <c r="C1291" s="679"/>
      <c r="E1291" s="388"/>
      <c r="F1291" s="388"/>
      <c r="G1291" s="388"/>
      <c r="H1291" s="446"/>
      <c r="I1291" s="446"/>
      <c r="J1291" s="446"/>
      <c r="K1291" s="458" t="s">
        <v>38</v>
      </c>
      <c r="L1291" s="1129"/>
      <c r="M1291" s="519">
        <v>1815545.87</v>
      </c>
      <c r="N1291" s="388"/>
      <c r="O1291" s="473">
        <v>7761</v>
      </c>
      <c r="P1291" s="388"/>
      <c r="Q1291" s="388"/>
      <c r="R1291" s="528">
        <f>M1291/E1290</f>
        <v>1396.5737461538463</v>
      </c>
      <c r="U1291" s="404"/>
      <c r="V1291" s="390"/>
      <c r="Y1291" s="419">
        <f t="shared" si="167"/>
        <v>1823306.87</v>
      </c>
      <c r="Z1291" s="419"/>
    </row>
    <row r="1292" spans="1:26" s="455" customFormat="1" ht="31.5" hidden="1" customHeight="1">
      <c r="A1292" s="404">
        <f>A1290+1</f>
        <v>13</v>
      </c>
      <c r="B1292" s="723" t="s">
        <v>1319</v>
      </c>
      <c r="C1292" s="679" t="s">
        <v>240</v>
      </c>
      <c r="D1292" s="455">
        <v>6927</v>
      </c>
      <c r="E1292" s="388">
        <v>1110</v>
      </c>
      <c r="F1292" s="388" t="s">
        <v>223</v>
      </c>
      <c r="G1292" s="388">
        <v>907</v>
      </c>
      <c r="H1292" s="446">
        <v>3</v>
      </c>
      <c r="I1292" s="446">
        <v>3</v>
      </c>
      <c r="J1292" s="446">
        <v>21</v>
      </c>
      <c r="K1292" s="458" t="s">
        <v>33</v>
      </c>
      <c r="L1292" s="519">
        <f>SUM(M1292:Q1292)</f>
        <v>2386686.7999999998</v>
      </c>
      <c r="M1292" s="519">
        <v>2355841.7999999998</v>
      </c>
      <c r="N1292" s="388">
        <v>30845</v>
      </c>
      <c r="O1292" s="473"/>
      <c r="P1292" s="388"/>
      <c r="Q1292" s="388"/>
      <c r="R1292" s="446">
        <f>M1292/G1292</f>
        <v>2597.3999999999996</v>
      </c>
      <c r="U1292" s="388"/>
      <c r="V1292" s="390"/>
      <c r="Y1292" s="419">
        <f t="shared" si="167"/>
        <v>2386686.7999999998</v>
      </c>
      <c r="Z1292" s="419"/>
    </row>
    <row r="1293" spans="1:26" s="455" customFormat="1" ht="31.5" hidden="1" customHeight="1">
      <c r="A1293" s="404">
        <f>A1292+1</f>
        <v>14</v>
      </c>
      <c r="B1293" s="723" t="s">
        <v>1320</v>
      </c>
      <c r="C1293" s="679" t="s">
        <v>240</v>
      </c>
      <c r="D1293" s="455">
        <v>8877</v>
      </c>
      <c r="E1293" s="388">
        <v>1488</v>
      </c>
      <c r="F1293" s="388" t="s">
        <v>223</v>
      </c>
      <c r="G1293" s="388">
        <v>957</v>
      </c>
      <c r="H1293" s="446">
        <v>3</v>
      </c>
      <c r="I1293" s="446">
        <v>3</v>
      </c>
      <c r="J1293" s="446">
        <v>22</v>
      </c>
      <c r="K1293" s="458" t="s">
        <v>33</v>
      </c>
      <c r="L1293" s="519">
        <f>SUM(M1293:Q1293)</f>
        <v>2583008.62</v>
      </c>
      <c r="M1293" s="519">
        <v>2552163.62</v>
      </c>
      <c r="N1293" s="388">
        <v>30845</v>
      </c>
      <c r="O1293" s="473"/>
      <c r="P1293" s="388"/>
      <c r="Q1293" s="388"/>
      <c r="R1293" s="446">
        <f>M1293/G1293</f>
        <v>2666.8376384535009</v>
      </c>
      <c r="U1293" s="404"/>
      <c r="V1293" s="390"/>
      <c r="Y1293" s="419">
        <f t="shared" si="167"/>
        <v>2583008.62</v>
      </c>
      <c r="Z1293" s="419"/>
    </row>
    <row r="1294" spans="1:26" s="455" customFormat="1" ht="37.5" hidden="1" customHeight="1">
      <c r="A1294" s="404">
        <f>A1293+1</f>
        <v>15</v>
      </c>
      <c r="B1294" s="723" t="s">
        <v>1321</v>
      </c>
      <c r="C1294" s="679" t="s">
        <v>240</v>
      </c>
      <c r="D1294" s="455">
        <v>3798</v>
      </c>
      <c r="E1294" s="748">
        <v>688</v>
      </c>
      <c r="F1294" s="388" t="s">
        <v>231</v>
      </c>
      <c r="G1294" s="388">
        <v>389</v>
      </c>
      <c r="H1294" s="446">
        <v>3</v>
      </c>
      <c r="I1294" s="446">
        <v>1</v>
      </c>
      <c r="J1294" s="446">
        <v>12</v>
      </c>
      <c r="K1294" s="458" t="s">
        <v>38</v>
      </c>
      <c r="L1294" s="519">
        <f>SUM(M1294:Q1294)</f>
        <v>1614612.47</v>
      </c>
      <c r="M1294" s="519">
        <v>1609889.21</v>
      </c>
      <c r="N1294" s="388"/>
      <c r="O1294" s="473">
        <v>4723.26</v>
      </c>
      <c r="P1294" s="388"/>
      <c r="Q1294" s="388"/>
      <c r="R1294" s="528">
        <f>M1294/E1294</f>
        <v>2339.955247093023</v>
      </c>
      <c r="U1294" s="404"/>
      <c r="V1294" s="390"/>
      <c r="Y1294" s="419">
        <f t="shared" si="167"/>
        <v>1614612.47</v>
      </c>
      <c r="Z1294" s="419"/>
    </row>
    <row r="1295" spans="1:26" s="455" customFormat="1" ht="37.5" hidden="1" customHeight="1">
      <c r="A1295" s="404">
        <f>A1294+1</f>
        <v>16</v>
      </c>
      <c r="B1295" s="723" t="s">
        <v>1322</v>
      </c>
      <c r="C1295" s="679" t="s">
        <v>240</v>
      </c>
      <c r="D1295" s="455">
        <v>5625</v>
      </c>
      <c r="E1295" s="748">
        <v>1010</v>
      </c>
      <c r="F1295" s="388" t="s">
        <v>231</v>
      </c>
      <c r="G1295" s="388">
        <v>558</v>
      </c>
      <c r="H1295" s="446">
        <v>3</v>
      </c>
      <c r="I1295" s="446">
        <v>2</v>
      </c>
      <c r="J1295" s="446">
        <v>13</v>
      </c>
      <c r="K1295" s="458" t="s">
        <v>38</v>
      </c>
      <c r="L1295" s="519">
        <f>SUM(M1295:Q1295)</f>
        <v>2630765.81</v>
      </c>
      <c r="M1295" s="519">
        <v>2623831.65</v>
      </c>
      <c r="N1295" s="388"/>
      <c r="O1295" s="473">
        <v>6934.16</v>
      </c>
      <c r="P1295" s="388"/>
      <c r="Q1295" s="388"/>
      <c r="R1295" s="528">
        <f>M1295/E1295</f>
        <v>2597.8531188118809</v>
      </c>
      <c r="U1295" s="404"/>
      <c r="V1295" s="390"/>
      <c r="Y1295" s="419">
        <f t="shared" si="167"/>
        <v>2630765.81</v>
      </c>
      <c r="Z1295" s="419"/>
    </row>
    <row r="1296" spans="1:26" s="455" customFormat="1" ht="37.5" hidden="1" customHeight="1">
      <c r="A1296" s="1117">
        <f>A1295+1</f>
        <v>17</v>
      </c>
      <c r="B1296" s="457" t="s">
        <v>1323</v>
      </c>
      <c r="C1296" s="446" t="s">
        <v>240</v>
      </c>
      <c r="D1296" s="446">
        <v>6278</v>
      </c>
      <c r="E1296" s="769">
        <v>902</v>
      </c>
      <c r="F1296" s="388" t="s">
        <v>231</v>
      </c>
      <c r="G1296" s="769">
        <v>679</v>
      </c>
      <c r="H1296" s="777">
        <v>3</v>
      </c>
      <c r="I1296" s="777">
        <v>2</v>
      </c>
      <c r="J1296" s="778">
        <v>18</v>
      </c>
      <c r="K1296" s="504" t="s">
        <v>33</v>
      </c>
      <c r="L1296" s="1129">
        <f>M1296+N1296+O1296+P1296+Q1296+M1297+N1297+O1297+P1297+Q1297</f>
        <v>3787167.95</v>
      </c>
      <c r="M1296" s="519">
        <f>1756549.5+103752.61</f>
        <v>1860302.11</v>
      </c>
      <c r="N1296" s="388">
        <v>30845</v>
      </c>
      <c r="O1296" s="473"/>
      <c r="P1296" s="388"/>
      <c r="Q1296" s="388"/>
      <c r="R1296" s="446">
        <f>M1296/G1296</f>
        <v>2739.7674668630339</v>
      </c>
      <c r="S1296" s="388"/>
      <c r="U1296" s="404"/>
      <c r="V1296" s="390"/>
      <c r="Y1296" s="419">
        <f t="shared" si="167"/>
        <v>1891147.11</v>
      </c>
      <c r="Z1296" s="419"/>
    </row>
    <row r="1297" spans="1:26" s="455" customFormat="1" ht="32.25" hidden="1" customHeight="1">
      <c r="A1297" s="1117"/>
      <c r="B1297" s="457"/>
      <c r="C1297" s="446"/>
      <c r="D1297" s="446"/>
      <c r="E1297" s="769"/>
      <c r="F1297" s="388"/>
      <c r="G1297" s="769"/>
      <c r="H1297" s="777"/>
      <c r="I1297" s="777"/>
      <c r="J1297" s="778"/>
      <c r="K1297" s="504" t="s">
        <v>38</v>
      </c>
      <c r="L1297" s="1129"/>
      <c r="M1297" s="519">
        <f>1794809.85+95826.05</f>
        <v>1890635.9000000001</v>
      </c>
      <c r="N1297" s="388"/>
      <c r="O1297" s="473">
        <v>5384.94</v>
      </c>
      <c r="P1297" s="388"/>
      <c r="Q1297" s="388"/>
      <c r="R1297" s="528">
        <f>M1297/E1296</f>
        <v>2096.0486696230601</v>
      </c>
      <c r="S1297" s="388"/>
      <c r="U1297" s="404"/>
      <c r="V1297" s="390"/>
      <c r="Y1297" s="419">
        <f t="shared" si="167"/>
        <v>1896020.84</v>
      </c>
      <c r="Z1297" s="419"/>
    </row>
    <row r="1298" spans="1:26" s="455" customFormat="1" ht="37.5" hidden="1" customHeight="1">
      <c r="A1298" s="404">
        <v>18</v>
      </c>
      <c r="B1298" s="723" t="s">
        <v>1324</v>
      </c>
      <c r="C1298" s="679" t="s">
        <v>295</v>
      </c>
      <c r="D1298" s="455">
        <v>2889</v>
      </c>
      <c r="E1298" s="388">
        <v>669</v>
      </c>
      <c r="F1298" s="388" t="s">
        <v>305</v>
      </c>
      <c r="G1298" s="388">
        <v>640</v>
      </c>
      <c r="H1298" s="446">
        <v>2</v>
      </c>
      <c r="I1298" s="446">
        <v>3</v>
      </c>
      <c r="J1298" s="446">
        <v>18</v>
      </c>
      <c r="K1298" s="458" t="s">
        <v>33</v>
      </c>
      <c r="L1298" s="519">
        <f>SUM(M1298:Q1298)</f>
        <v>1687210.96</v>
      </c>
      <c r="M1298" s="519">
        <v>1662335.96</v>
      </c>
      <c r="N1298" s="388">
        <v>24875</v>
      </c>
      <c r="O1298" s="473"/>
      <c r="P1298" s="388"/>
      <c r="Q1298" s="388"/>
      <c r="R1298" s="446">
        <f t="shared" ref="R1298:R1303" si="168">M1298/G1298</f>
        <v>2597.3999374999999</v>
      </c>
      <c r="T1298" s="388"/>
      <c r="U1298" s="404"/>
      <c r="V1298" s="390"/>
      <c r="Y1298" s="419">
        <f t="shared" si="167"/>
        <v>1687210.96</v>
      </c>
      <c r="Z1298" s="419"/>
    </row>
    <row r="1299" spans="1:26" s="455" customFormat="1" ht="37.5" hidden="1" customHeight="1">
      <c r="A1299" s="404">
        <f>A1298+1</f>
        <v>19</v>
      </c>
      <c r="B1299" s="723" t="s">
        <v>3579</v>
      </c>
      <c r="C1299" s="679" t="s">
        <v>315</v>
      </c>
      <c r="D1299" s="455">
        <v>5771</v>
      </c>
      <c r="E1299" s="388">
        <v>1224</v>
      </c>
      <c r="F1299" s="388" t="s">
        <v>234</v>
      </c>
      <c r="G1299" s="388">
        <v>404</v>
      </c>
      <c r="H1299" s="446">
        <v>5</v>
      </c>
      <c r="I1299" s="446">
        <v>2</v>
      </c>
      <c r="J1299" s="446">
        <v>71</v>
      </c>
      <c r="K1299" s="458" t="s">
        <v>33</v>
      </c>
      <c r="L1299" s="519">
        <f>SUM(M1299:Q1299)</f>
        <v>827496.72</v>
      </c>
      <c r="M1299" s="519">
        <v>803960</v>
      </c>
      <c r="N1299" s="388"/>
      <c r="O1299" s="473">
        <v>5744.14</v>
      </c>
      <c r="P1299" s="394"/>
      <c r="Q1299" s="388">
        <v>17792.580000000002</v>
      </c>
      <c r="R1299" s="446">
        <f t="shared" si="168"/>
        <v>1990</v>
      </c>
      <c r="T1299" s="388"/>
      <c r="U1299" s="404"/>
      <c r="V1299" s="390"/>
      <c r="Y1299" s="419">
        <f t="shared" si="167"/>
        <v>827496.72</v>
      </c>
      <c r="Z1299" s="419"/>
    </row>
    <row r="1300" spans="1:26" s="455" customFormat="1" ht="37.5" hidden="1" customHeight="1">
      <c r="A1300" s="404">
        <f>A1299+1</f>
        <v>20</v>
      </c>
      <c r="B1300" s="723" t="s">
        <v>3794</v>
      </c>
      <c r="C1300" s="679" t="s">
        <v>240</v>
      </c>
      <c r="D1300" s="455">
        <v>19968</v>
      </c>
      <c r="E1300" s="388">
        <v>3445</v>
      </c>
      <c r="F1300" s="388" t="s">
        <v>231</v>
      </c>
      <c r="G1300" s="388">
        <v>1832.35</v>
      </c>
      <c r="H1300" s="446">
        <v>5</v>
      </c>
      <c r="I1300" s="446">
        <v>4</v>
      </c>
      <c r="J1300" s="446">
        <v>52</v>
      </c>
      <c r="K1300" s="458" t="s">
        <v>33</v>
      </c>
      <c r="L1300" s="519">
        <f>SUM(M1300:Q1300)</f>
        <v>4576639.07</v>
      </c>
      <c r="M1300" s="519">
        <v>4529874.07</v>
      </c>
      <c r="N1300" s="388">
        <v>46765</v>
      </c>
      <c r="O1300" s="473"/>
      <c r="P1300" s="388"/>
      <c r="Q1300" s="388"/>
      <c r="R1300" s="446">
        <f t="shared" si="168"/>
        <v>2472.1663819685104</v>
      </c>
      <c r="T1300" s="388"/>
      <c r="U1300" s="404"/>
      <c r="V1300" s="390"/>
      <c r="Y1300" s="419">
        <f t="shared" si="167"/>
        <v>4576639.07</v>
      </c>
      <c r="Z1300" s="419"/>
    </row>
    <row r="1301" spans="1:26" s="455" customFormat="1" ht="37.5" hidden="1" customHeight="1">
      <c r="A1301" s="404">
        <v>21</v>
      </c>
      <c r="B1301" s="723" t="s">
        <v>2269</v>
      </c>
      <c r="C1301" s="679" t="s">
        <v>222</v>
      </c>
      <c r="D1301" s="455">
        <v>10181</v>
      </c>
      <c r="E1301" s="388">
        <v>2010</v>
      </c>
      <c r="F1301" s="388" t="s">
        <v>223</v>
      </c>
      <c r="G1301" s="388">
        <v>1260</v>
      </c>
      <c r="H1301" s="446">
        <v>3</v>
      </c>
      <c r="I1301" s="446">
        <v>4</v>
      </c>
      <c r="J1301" s="446">
        <v>29</v>
      </c>
      <c r="K1301" s="458" t="s">
        <v>235</v>
      </c>
      <c r="L1301" s="519">
        <f>SUM(M1301:Q1301)</f>
        <v>3252543.73</v>
      </c>
      <c r="M1301" s="519">
        <v>3197762.02</v>
      </c>
      <c r="N1301" s="388">
        <v>23392.44</v>
      </c>
      <c r="O1301" s="553"/>
      <c r="P1301" s="394"/>
      <c r="Q1301" s="388">
        <v>31389.27</v>
      </c>
      <c r="R1301" s="446">
        <f t="shared" si="168"/>
        <v>2537.9063650793651</v>
      </c>
      <c r="T1301" s="388"/>
      <c r="U1301" s="404"/>
      <c r="V1301" s="390"/>
      <c r="Y1301" s="419">
        <f t="shared" si="167"/>
        <v>3252543.73</v>
      </c>
      <c r="Z1301" s="419"/>
    </row>
    <row r="1302" spans="1:26" s="455" customFormat="1" ht="37.5" hidden="1" customHeight="1">
      <c r="A1302" s="404">
        <f>A1301+1</f>
        <v>22</v>
      </c>
      <c r="B1302" s="723" t="s">
        <v>2270</v>
      </c>
      <c r="C1302" s="679" t="s">
        <v>240</v>
      </c>
      <c r="D1302" s="455">
        <v>5462</v>
      </c>
      <c r="E1302" s="388">
        <v>912.6</v>
      </c>
      <c r="F1302" s="388" t="s">
        <v>223</v>
      </c>
      <c r="G1302" s="388">
        <v>569.9</v>
      </c>
      <c r="H1302" s="446">
        <v>3</v>
      </c>
      <c r="I1302" s="446">
        <v>2</v>
      </c>
      <c r="J1302" s="446">
        <v>18</v>
      </c>
      <c r="K1302" s="458" t="s">
        <v>33</v>
      </c>
      <c r="L1302" s="519">
        <f>M1302+N1302+O1302+P1302+Q1302</f>
        <v>1488078.07</v>
      </c>
      <c r="M1302" s="519">
        <v>1452506.82</v>
      </c>
      <c r="N1302" s="388">
        <v>18730.88</v>
      </c>
      <c r="O1302" s="553"/>
      <c r="P1302" s="394"/>
      <c r="Q1302" s="388">
        <v>16840.37</v>
      </c>
      <c r="R1302" s="446">
        <f t="shared" si="168"/>
        <v>2548.7047201263381</v>
      </c>
      <c r="T1302" s="388"/>
      <c r="U1302" s="404"/>
      <c r="V1302" s="390"/>
      <c r="Y1302" s="419">
        <f t="shared" si="167"/>
        <v>1488078.07</v>
      </c>
      <c r="Z1302" s="419"/>
    </row>
    <row r="1303" spans="1:26" s="455" customFormat="1" ht="37.5" hidden="1" customHeight="1">
      <c r="A1303" s="404">
        <f>A1302+1</f>
        <v>23</v>
      </c>
      <c r="B1303" s="723" t="s">
        <v>2271</v>
      </c>
      <c r="C1303" s="679" t="s">
        <v>240</v>
      </c>
      <c r="D1303" s="455">
        <v>5462</v>
      </c>
      <c r="E1303" s="388">
        <v>912.6</v>
      </c>
      <c r="F1303" s="388" t="s">
        <v>223</v>
      </c>
      <c r="G1303" s="388">
        <v>569.9</v>
      </c>
      <c r="H1303" s="446">
        <v>3</v>
      </c>
      <c r="I1303" s="446">
        <v>2</v>
      </c>
      <c r="J1303" s="446">
        <v>18</v>
      </c>
      <c r="K1303" s="458" t="s">
        <v>33</v>
      </c>
      <c r="L1303" s="519">
        <f>SUM(M1303:Q1303)</f>
        <v>1509902.55</v>
      </c>
      <c r="M1303" s="519">
        <v>1474331.3</v>
      </c>
      <c r="N1303" s="388">
        <v>18730.88</v>
      </c>
      <c r="O1303" s="553"/>
      <c r="P1303" s="394"/>
      <c r="Q1303" s="388">
        <v>16840.37</v>
      </c>
      <c r="R1303" s="446">
        <f t="shared" si="168"/>
        <v>2587</v>
      </c>
      <c r="T1303" s="388"/>
      <c r="U1303" s="404"/>
      <c r="V1303" s="390"/>
      <c r="Y1303" s="419">
        <f t="shared" si="167"/>
        <v>1509902.55</v>
      </c>
      <c r="Z1303" s="419"/>
    </row>
    <row r="1304" spans="1:26" s="403" customFormat="1" ht="42.75" hidden="1" customHeight="1">
      <c r="A1304" s="1112" t="s">
        <v>180</v>
      </c>
      <c r="B1304" s="1112"/>
      <c r="C1304" s="455" t="s">
        <v>28</v>
      </c>
      <c r="D1304" s="388">
        <f>SUM(D1276:D1303)</f>
        <v>612299</v>
      </c>
      <c r="E1304" s="388">
        <f>SUM(E1276:E1303)</f>
        <v>66091.199999999997</v>
      </c>
      <c r="F1304" s="388" t="s">
        <v>28</v>
      </c>
      <c r="G1304" s="388">
        <f>SUM(G1276:G1303)</f>
        <v>26914.95</v>
      </c>
      <c r="H1304" s="446" t="s">
        <v>28</v>
      </c>
      <c r="I1304" s="446" t="s">
        <v>28</v>
      </c>
      <c r="J1304" s="446">
        <f>SUM(J1276:J1303)</f>
        <v>1680</v>
      </c>
      <c r="K1304" s="458" t="s">
        <v>28</v>
      </c>
      <c r="L1304" s="519">
        <f t="shared" ref="L1304:Q1304" si="169">SUM(L1276:L1303)</f>
        <v>68741662.50999999</v>
      </c>
      <c r="M1304" s="519">
        <f t="shared" si="169"/>
        <v>67891252.749999985</v>
      </c>
      <c r="N1304" s="388">
        <f t="shared" si="169"/>
        <v>693711.2</v>
      </c>
      <c r="O1304" s="473">
        <f t="shared" si="169"/>
        <v>73835.97</v>
      </c>
      <c r="P1304" s="388">
        <f t="shared" si="169"/>
        <v>0</v>
      </c>
      <c r="Q1304" s="388">
        <f t="shared" si="169"/>
        <v>82862.59</v>
      </c>
      <c r="R1304" s="446" t="s">
        <v>28</v>
      </c>
      <c r="S1304" s="383">
        <f>L1304-M1304-N1304-O1304-P1304-Q1304</f>
        <v>5.4133124649524689E-9</v>
      </c>
      <c r="T1304" s="387" t="e">
        <f>'1.перечень МКД'!#REF!</f>
        <v>#REF!</v>
      </c>
      <c r="U1304" s="390" t="e">
        <f>L1304-T1304</f>
        <v>#REF!</v>
      </c>
      <c r="V1304" s="390"/>
      <c r="Y1304" s="419">
        <f t="shared" si="167"/>
        <v>68741662.50999999</v>
      </c>
      <c r="Z1304" s="419"/>
    </row>
    <row r="1305" spans="1:26" s="403" customFormat="1" ht="42.75" hidden="1" customHeight="1">
      <c r="A1305" s="1113" t="s">
        <v>181</v>
      </c>
      <c r="B1305" s="1113"/>
      <c r="C1305" s="1113"/>
      <c r="D1305" s="1113"/>
      <c r="E1305" s="1113"/>
      <c r="F1305" s="1113"/>
      <c r="G1305" s="1113"/>
      <c r="H1305" s="1113"/>
      <c r="I1305" s="1113"/>
      <c r="J1305" s="1113"/>
      <c r="K1305" s="1113"/>
      <c r="L1305" s="1113"/>
      <c r="M1305" s="1113"/>
      <c r="N1305" s="1113"/>
      <c r="O1305" s="1113"/>
      <c r="P1305" s="1113"/>
      <c r="Q1305" s="1113"/>
      <c r="R1305" s="1113"/>
      <c r="U1305" s="404"/>
      <c r="V1305" s="390"/>
      <c r="Y1305" s="419">
        <f t="shared" si="167"/>
        <v>0</v>
      </c>
      <c r="Z1305" s="419"/>
    </row>
    <row r="1306" spans="1:26" s="403" customFormat="1" ht="37.5" hidden="1" customHeight="1">
      <c r="A1306" s="404">
        <v>1</v>
      </c>
      <c r="B1306" s="403" t="s">
        <v>1325</v>
      </c>
      <c r="C1306" s="455" t="s">
        <v>218</v>
      </c>
      <c r="D1306" s="446"/>
      <c r="E1306" s="388">
        <v>210</v>
      </c>
      <c r="F1306" s="388" t="s">
        <v>231</v>
      </c>
      <c r="G1306" s="388">
        <v>280</v>
      </c>
      <c r="H1306" s="446">
        <v>2</v>
      </c>
      <c r="I1306" s="446">
        <v>1</v>
      </c>
      <c r="J1306" s="446">
        <v>18</v>
      </c>
      <c r="K1306" s="389" t="s">
        <v>225</v>
      </c>
      <c r="L1306" s="519">
        <f>M1306+N1306+O1306+P1306+Q1306</f>
        <v>286374.21999999997</v>
      </c>
      <c r="M1306" s="519">
        <v>258148.06</v>
      </c>
      <c r="N1306" s="388">
        <v>28226.16</v>
      </c>
      <c r="O1306" s="473"/>
      <c r="P1306" s="388"/>
      <c r="Q1306" s="388"/>
      <c r="R1306" s="446">
        <f>M1306/J1306</f>
        <v>14341.558888888889</v>
      </c>
      <c r="U1306" s="404"/>
      <c r="V1306" s="390"/>
      <c r="Y1306" s="419">
        <f t="shared" si="167"/>
        <v>286374.21999999997</v>
      </c>
      <c r="Z1306" s="419"/>
    </row>
    <row r="1307" spans="1:26" s="403" customFormat="1" ht="42.75" hidden="1" customHeight="1">
      <c r="A1307" s="1112" t="s">
        <v>182</v>
      </c>
      <c r="B1307" s="1112"/>
      <c r="C1307" s="679" t="s">
        <v>28</v>
      </c>
      <c r="D1307" s="388">
        <f>SUM(D1306)</f>
        <v>0</v>
      </c>
      <c r="E1307" s="388">
        <f>SUM(E1306)</f>
        <v>210</v>
      </c>
      <c r="F1307" s="388" t="s">
        <v>28</v>
      </c>
      <c r="G1307" s="388">
        <f>SUM(G1306)</f>
        <v>280</v>
      </c>
      <c r="H1307" s="446" t="s">
        <v>28</v>
      </c>
      <c r="I1307" s="446" t="s">
        <v>28</v>
      </c>
      <c r="J1307" s="446">
        <f>SUM(J1306)</f>
        <v>18</v>
      </c>
      <c r="K1307" s="458" t="s">
        <v>28</v>
      </c>
      <c r="L1307" s="519">
        <f>SUM(L1306)</f>
        <v>286374.21999999997</v>
      </c>
      <c r="M1307" s="519">
        <f>SUM(M1306)</f>
        <v>258148.06</v>
      </c>
      <c r="N1307" s="388">
        <f>SUM(N1306)</f>
        <v>28226.16</v>
      </c>
      <c r="O1307" s="473"/>
      <c r="P1307" s="388">
        <f>SUM(P1306)</f>
        <v>0</v>
      </c>
      <c r="Q1307" s="388">
        <f>SUM(Q1306)</f>
        <v>0</v>
      </c>
      <c r="R1307" s="446" t="s">
        <v>28</v>
      </c>
      <c r="S1307" s="383">
        <f>L1307-M1307-N1307-O1307-P1307-Q1307</f>
        <v>-2.5465851649641991E-11</v>
      </c>
      <c r="T1307" s="387" t="e">
        <f>'1.перечень МКД'!#REF!</f>
        <v>#REF!</v>
      </c>
      <c r="U1307" s="390" t="e">
        <f>L1307-T1307</f>
        <v>#REF!</v>
      </c>
      <c r="V1307" s="390"/>
      <c r="Y1307" s="419">
        <f t="shared" si="167"/>
        <v>286374.21999999997</v>
      </c>
      <c r="Z1307" s="419"/>
    </row>
    <row r="1308" spans="1:26" s="403" customFormat="1" ht="42.75" hidden="1" customHeight="1">
      <c r="A1308" s="1113" t="s">
        <v>183</v>
      </c>
      <c r="B1308" s="1113"/>
      <c r="C1308" s="1113"/>
      <c r="D1308" s="1113"/>
      <c r="E1308" s="1113"/>
      <c r="F1308" s="1113"/>
      <c r="G1308" s="1113"/>
      <c r="H1308" s="1113"/>
      <c r="I1308" s="1113"/>
      <c r="J1308" s="1113"/>
      <c r="K1308" s="1113"/>
      <c r="L1308" s="1113"/>
      <c r="M1308" s="1113"/>
      <c r="N1308" s="1113"/>
      <c r="O1308" s="1113"/>
      <c r="P1308" s="1113"/>
      <c r="Q1308" s="1113"/>
      <c r="R1308" s="1113"/>
      <c r="U1308" s="404"/>
      <c r="V1308" s="390"/>
      <c r="Y1308" s="419">
        <f t="shared" si="167"/>
        <v>0</v>
      </c>
      <c r="Z1308" s="419"/>
    </row>
    <row r="1309" spans="1:26" s="455" customFormat="1" ht="37.5" hidden="1" customHeight="1">
      <c r="A1309" s="404">
        <v>1</v>
      </c>
      <c r="B1309" s="403" t="s">
        <v>3967</v>
      </c>
      <c r="C1309" s="455" t="s">
        <v>306</v>
      </c>
      <c r="D1309" s="455">
        <v>3941</v>
      </c>
      <c r="E1309" s="388">
        <v>735.14</v>
      </c>
      <c r="F1309" s="388" t="s">
        <v>252</v>
      </c>
      <c r="G1309" s="388">
        <v>823.68</v>
      </c>
      <c r="H1309" s="446">
        <v>2</v>
      </c>
      <c r="I1309" s="446">
        <v>3</v>
      </c>
      <c r="J1309" s="446">
        <v>18</v>
      </c>
      <c r="K1309" s="458" t="s">
        <v>33</v>
      </c>
      <c r="L1309" s="519">
        <f>M1309+N1309+O1309+P1309+Q1309</f>
        <v>2058863.36</v>
      </c>
      <c r="M1309" s="519">
        <v>2033988.36</v>
      </c>
      <c r="N1309" s="388">
        <v>24875</v>
      </c>
      <c r="O1309" s="473"/>
      <c r="P1309" s="388"/>
      <c r="Q1309" s="388"/>
      <c r="R1309" s="446">
        <f>M1309/G1309</f>
        <v>2469.391462703963</v>
      </c>
      <c r="T1309" s="388"/>
      <c r="U1309" s="404"/>
      <c r="V1309" s="390"/>
      <c r="Y1309" s="419">
        <f t="shared" si="167"/>
        <v>2058863.36</v>
      </c>
      <c r="Z1309" s="419"/>
    </row>
    <row r="1310" spans="1:26" s="455" customFormat="1" ht="37.5" hidden="1" customHeight="1">
      <c r="A1310" s="404">
        <v>2</v>
      </c>
      <c r="B1310" s="543" t="s">
        <v>1326</v>
      </c>
      <c r="C1310" s="531" t="s">
        <v>307</v>
      </c>
      <c r="D1310" s="779">
        <v>2014</v>
      </c>
      <c r="E1310" s="388">
        <v>251</v>
      </c>
      <c r="F1310" s="388" t="s">
        <v>252</v>
      </c>
      <c r="G1310" s="688">
        <v>451.36</v>
      </c>
      <c r="H1310" s="446">
        <v>2</v>
      </c>
      <c r="I1310" s="446">
        <v>2</v>
      </c>
      <c r="J1310" s="446">
        <v>16</v>
      </c>
      <c r="K1310" s="458" t="s">
        <v>33</v>
      </c>
      <c r="L1310" s="1129">
        <f>SUM(M1310:Q1310,M1311:Q1311)</f>
        <v>1644463.1300000001</v>
      </c>
      <c r="M1310" s="519">
        <v>1429855.6</v>
      </c>
      <c r="N1310" s="388">
        <v>24875</v>
      </c>
      <c r="O1310" s="473"/>
      <c r="P1310" s="388"/>
      <c r="Q1310" s="388"/>
      <c r="R1310" s="446">
        <f>M1310/G1310</f>
        <v>3167.8828429634882</v>
      </c>
      <c r="T1310" s="388"/>
      <c r="U1310" s="404"/>
      <c r="V1310" s="390"/>
      <c r="Y1310" s="419">
        <f t="shared" si="167"/>
        <v>1454730.6</v>
      </c>
      <c r="Z1310" s="419"/>
    </row>
    <row r="1311" spans="1:26" s="455" customFormat="1" ht="37.5" hidden="1" customHeight="1">
      <c r="A1311" s="404"/>
      <c r="B1311" s="543"/>
      <c r="C1311" s="531"/>
      <c r="D1311" s="779"/>
      <c r="E1311" s="388"/>
      <c r="F1311" s="388"/>
      <c r="G1311" s="688"/>
      <c r="H1311" s="446"/>
      <c r="I1311" s="446"/>
      <c r="J1311" s="446"/>
      <c r="K1311" s="458" t="s">
        <v>225</v>
      </c>
      <c r="L1311" s="1129"/>
      <c r="M1311" s="519">
        <v>164857.53</v>
      </c>
      <c r="N1311" s="388">
        <v>24875</v>
      </c>
      <c r="O1311" s="473"/>
      <c r="P1311" s="388"/>
      <c r="Q1311" s="388"/>
      <c r="R1311" s="446">
        <f>M1311/J1310</f>
        <v>10303.595625</v>
      </c>
      <c r="T1311" s="388"/>
      <c r="U1311" s="404"/>
      <c r="V1311" s="390"/>
      <c r="Y1311" s="419">
        <f t="shared" si="167"/>
        <v>189732.53</v>
      </c>
      <c r="Z1311" s="419"/>
    </row>
    <row r="1312" spans="1:26" s="403" customFormat="1" ht="42.75" hidden="1" customHeight="1">
      <c r="A1312" s="1112" t="s">
        <v>184</v>
      </c>
      <c r="B1312" s="1112"/>
      <c r="C1312" s="455" t="s">
        <v>28</v>
      </c>
      <c r="D1312" s="388">
        <f>SUM(D1309:D1311)</f>
        <v>5955</v>
      </c>
      <c r="E1312" s="388">
        <f>SUM(E1309:E1311)</f>
        <v>986.14</v>
      </c>
      <c r="F1312" s="388" t="s">
        <v>28</v>
      </c>
      <c r="G1312" s="388">
        <f>SUM(G1309:G1311)</f>
        <v>1275.04</v>
      </c>
      <c r="H1312" s="446" t="s">
        <v>28</v>
      </c>
      <c r="I1312" s="446" t="s">
        <v>28</v>
      </c>
      <c r="J1312" s="446">
        <f>SUM(J1309:J1311)</f>
        <v>34</v>
      </c>
      <c r="K1312" s="458" t="s">
        <v>28</v>
      </c>
      <c r="L1312" s="519">
        <f t="shared" ref="L1312:Q1312" si="170">SUM(L1309:L1311)</f>
        <v>3703326.49</v>
      </c>
      <c r="M1312" s="519">
        <f t="shared" si="170"/>
        <v>3628701.4899999998</v>
      </c>
      <c r="N1312" s="388">
        <f t="shared" si="170"/>
        <v>74625</v>
      </c>
      <c r="O1312" s="473">
        <f t="shared" si="170"/>
        <v>0</v>
      </c>
      <c r="P1312" s="388">
        <f t="shared" si="170"/>
        <v>0</v>
      </c>
      <c r="Q1312" s="388">
        <f t="shared" si="170"/>
        <v>0</v>
      </c>
      <c r="R1312" s="446" t="s">
        <v>28</v>
      </c>
      <c r="S1312" s="383">
        <f>L1312-M1312-N1312-O1312-P1312-Q1312</f>
        <v>4.6566128730773926E-10</v>
      </c>
      <c r="T1312" s="387" t="e">
        <f>'1.перечень МКД'!#REF!</f>
        <v>#REF!</v>
      </c>
      <c r="U1312" s="390" t="e">
        <f>L1312-T1312</f>
        <v>#REF!</v>
      </c>
      <c r="V1312" s="390"/>
      <c r="Y1312" s="419">
        <f t="shared" si="167"/>
        <v>3703326.4899999998</v>
      </c>
      <c r="Z1312" s="419"/>
    </row>
    <row r="1313" spans="1:26" s="403" customFormat="1" ht="42.75" hidden="1" customHeight="1">
      <c r="A1313" s="1113" t="s">
        <v>185</v>
      </c>
      <c r="B1313" s="1113"/>
      <c r="C1313" s="1113"/>
      <c r="D1313" s="1113"/>
      <c r="E1313" s="1113"/>
      <c r="F1313" s="1113"/>
      <c r="G1313" s="1113"/>
      <c r="H1313" s="1113"/>
      <c r="I1313" s="1113"/>
      <c r="J1313" s="1113"/>
      <c r="K1313" s="1113"/>
      <c r="L1313" s="1113"/>
      <c r="M1313" s="1113"/>
      <c r="N1313" s="1113"/>
      <c r="O1313" s="1113"/>
      <c r="P1313" s="1113"/>
      <c r="Q1313" s="1113"/>
      <c r="R1313" s="1113"/>
      <c r="U1313" s="404"/>
      <c r="V1313" s="390"/>
      <c r="Y1313" s="419">
        <f t="shared" si="167"/>
        <v>0</v>
      </c>
      <c r="Z1313" s="419"/>
    </row>
    <row r="1314" spans="1:26" s="403" customFormat="1" ht="56.25" hidden="1" customHeight="1">
      <c r="A1314" s="506">
        <v>1</v>
      </c>
      <c r="B1314" s="403" t="s">
        <v>1327</v>
      </c>
      <c r="C1314" s="780" t="s">
        <v>222</v>
      </c>
      <c r="D1314" s="780"/>
      <c r="E1314" s="781"/>
      <c r="F1314" s="781" t="s">
        <v>223</v>
      </c>
      <c r="G1314" s="388"/>
      <c r="H1314" s="446">
        <v>2</v>
      </c>
      <c r="I1314" s="446">
        <v>2</v>
      </c>
      <c r="J1314" s="446">
        <v>8</v>
      </c>
      <c r="K1314" s="458" t="s">
        <v>30</v>
      </c>
      <c r="L1314" s="519">
        <f>M1314+N1314+O1314+P1314+Q1314</f>
        <v>160104.84</v>
      </c>
      <c r="M1314" s="677">
        <v>159555.6</v>
      </c>
      <c r="N1314" s="675"/>
      <c r="O1314" s="678">
        <v>549.24</v>
      </c>
      <c r="P1314" s="675"/>
      <c r="Q1314" s="388"/>
      <c r="R1314" s="676">
        <f>M1314/J1314</f>
        <v>19944.45</v>
      </c>
      <c r="T1314" s="403" t="s">
        <v>3850</v>
      </c>
      <c r="U1314" s="404"/>
      <c r="V1314" s="390"/>
      <c r="Y1314" s="419">
        <f t="shared" si="167"/>
        <v>160104.84</v>
      </c>
      <c r="Z1314" s="419"/>
    </row>
    <row r="1315" spans="1:26" s="403" customFormat="1" ht="37.5" hidden="1">
      <c r="A1315" s="506">
        <v>2</v>
      </c>
      <c r="B1315" s="403" t="s">
        <v>1328</v>
      </c>
      <c r="C1315" s="780" t="s">
        <v>218</v>
      </c>
      <c r="D1315" s="780">
        <v>1799</v>
      </c>
      <c r="E1315" s="781">
        <v>211.7</v>
      </c>
      <c r="F1315" s="781" t="s">
        <v>223</v>
      </c>
      <c r="G1315" s="388">
        <v>300</v>
      </c>
      <c r="H1315" s="446">
        <v>3</v>
      </c>
      <c r="I1315" s="446">
        <v>1</v>
      </c>
      <c r="J1315" s="446">
        <v>12</v>
      </c>
      <c r="K1315" s="458" t="s">
        <v>33</v>
      </c>
      <c r="L1315" s="519">
        <f>M1315+N1315+O1315+P1315+Q1315</f>
        <v>837307.34</v>
      </c>
      <c r="M1315" s="677">
        <v>807457.34</v>
      </c>
      <c r="N1315" s="675">
        <v>29850</v>
      </c>
      <c r="O1315" s="678"/>
      <c r="P1315" s="675"/>
      <c r="Q1315" s="388"/>
      <c r="R1315" s="676">
        <f>M1315/G1315</f>
        <v>2691.5244666666667</v>
      </c>
      <c r="U1315" s="404"/>
      <c r="V1315" s="390"/>
      <c r="Y1315" s="419">
        <f t="shared" si="167"/>
        <v>837307.34</v>
      </c>
      <c r="Z1315" s="419"/>
    </row>
    <row r="1316" spans="1:26" s="403" customFormat="1" ht="42.75" hidden="1" customHeight="1">
      <c r="A1316" s="1112" t="s">
        <v>186</v>
      </c>
      <c r="B1316" s="1112"/>
      <c r="C1316" s="455" t="s">
        <v>28</v>
      </c>
      <c r="D1316" s="388">
        <f>SUM(D1314:D1315)</f>
        <v>1799</v>
      </c>
      <c r="E1316" s="388">
        <f>SUM(E1314:E1315)</f>
        <v>211.7</v>
      </c>
      <c r="F1316" s="388" t="s">
        <v>28</v>
      </c>
      <c r="G1316" s="388">
        <f>SUM(G1314:G1315)</f>
        <v>300</v>
      </c>
      <c r="H1316" s="446" t="s">
        <v>28</v>
      </c>
      <c r="I1316" s="446" t="s">
        <v>28</v>
      </c>
      <c r="J1316" s="446">
        <f>SUM(J1314:J1315)</f>
        <v>20</v>
      </c>
      <c r="K1316" s="458" t="s">
        <v>28</v>
      </c>
      <c r="L1316" s="519">
        <f t="shared" ref="L1316:Q1316" si="171">SUM(L1314:L1315)</f>
        <v>997412.17999999993</v>
      </c>
      <c r="M1316" s="519">
        <f t="shared" si="171"/>
        <v>967012.94</v>
      </c>
      <c r="N1316" s="388">
        <f t="shared" si="171"/>
        <v>29850</v>
      </c>
      <c r="O1316" s="473">
        <f t="shared" si="171"/>
        <v>549.24</v>
      </c>
      <c r="P1316" s="388">
        <f t="shared" si="171"/>
        <v>0</v>
      </c>
      <c r="Q1316" s="388">
        <f t="shared" si="171"/>
        <v>0</v>
      </c>
      <c r="R1316" s="446" t="s">
        <v>28</v>
      </c>
      <c r="S1316" s="383">
        <f>L1316-M1316-N1316-O1316-P1316-Q1316</f>
        <v>-9.3223206931725144E-12</v>
      </c>
      <c r="T1316" s="387" t="e">
        <f>'1.перечень МКД'!#REF!</f>
        <v>#REF!</v>
      </c>
      <c r="U1316" s="390" t="e">
        <f>L1316-T1316</f>
        <v>#REF!</v>
      </c>
      <c r="V1316" s="390"/>
      <c r="Y1316" s="419">
        <f t="shared" si="167"/>
        <v>997412.17999999993</v>
      </c>
      <c r="Z1316" s="419"/>
    </row>
    <row r="1317" spans="1:26" s="403" customFormat="1" ht="42.75" hidden="1" customHeight="1">
      <c r="A1317" s="1113" t="s">
        <v>187</v>
      </c>
      <c r="B1317" s="1113"/>
      <c r="C1317" s="1113"/>
      <c r="D1317" s="1113"/>
      <c r="E1317" s="1113"/>
      <c r="F1317" s="1113"/>
      <c r="G1317" s="1113"/>
      <c r="H1317" s="1113"/>
      <c r="I1317" s="1113"/>
      <c r="J1317" s="1113"/>
      <c r="K1317" s="1113"/>
      <c r="L1317" s="1113"/>
      <c r="M1317" s="1113"/>
      <c r="N1317" s="1113"/>
      <c r="O1317" s="1113"/>
      <c r="P1317" s="1113"/>
      <c r="Q1317" s="1113"/>
      <c r="R1317" s="1113"/>
      <c r="U1317" s="404"/>
      <c r="V1317" s="390"/>
      <c r="Y1317" s="419">
        <f t="shared" si="167"/>
        <v>0</v>
      </c>
      <c r="Z1317" s="419"/>
    </row>
    <row r="1318" spans="1:26" s="403" customFormat="1" ht="41.25" hidden="1" customHeight="1">
      <c r="A1318" s="404">
        <v>1</v>
      </c>
      <c r="B1318" s="403" t="s">
        <v>3680</v>
      </c>
      <c r="C1318" s="455" t="s">
        <v>240</v>
      </c>
      <c r="D1318" s="455"/>
      <c r="E1318" s="388">
        <v>497.2</v>
      </c>
      <c r="F1318" s="388" t="s">
        <v>223</v>
      </c>
      <c r="G1318" s="388">
        <v>604.79999999999995</v>
      </c>
      <c r="H1318" s="446">
        <v>2</v>
      </c>
      <c r="I1318" s="446">
        <v>2</v>
      </c>
      <c r="J1318" s="446">
        <v>16</v>
      </c>
      <c r="K1318" s="458" t="s">
        <v>33</v>
      </c>
      <c r="L1318" s="519">
        <f>M1318+N1318+O1318+P1318+Q1318</f>
        <v>1255180.75</v>
      </c>
      <c r="M1318" s="677">
        <v>1230305.75</v>
      </c>
      <c r="N1318" s="675">
        <v>24875</v>
      </c>
      <c r="O1318" s="678"/>
      <c r="P1318" s="675"/>
      <c r="Q1318" s="675"/>
      <c r="R1318" s="518">
        <f>M1318/G1318</f>
        <v>2034.235697751323</v>
      </c>
      <c r="S1318" s="457"/>
      <c r="T1318" s="457"/>
      <c r="U1318" s="404"/>
      <c r="Y1318" s="419">
        <f t="shared" si="167"/>
        <v>1255180.75</v>
      </c>
      <c r="Z1318" s="419"/>
    </row>
    <row r="1319" spans="1:26" s="403" customFormat="1" ht="42.75" hidden="1" customHeight="1">
      <c r="A1319" s="1112" t="s">
        <v>413</v>
      </c>
      <c r="B1319" s="1112"/>
      <c r="C1319" s="455" t="s">
        <v>28</v>
      </c>
      <c r="D1319" s="388">
        <f>SUM(D1318:D1318)</f>
        <v>0</v>
      </c>
      <c r="E1319" s="388">
        <f>SUM(E1318:E1318)</f>
        <v>497.2</v>
      </c>
      <c r="F1319" s="388" t="s">
        <v>28</v>
      </c>
      <c r="G1319" s="388">
        <f>SUM(G1318:G1318)</f>
        <v>604.79999999999995</v>
      </c>
      <c r="H1319" s="446" t="s">
        <v>28</v>
      </c>
      <c r="I1319" s="446" t="s">
        <v>28</v>
      </c>
      <c r="J1319" s="446">
        <f>SUM(J1318:J1318)</f>
        <v>16</v>
      </c>
      <c r="K1319" s="458" t="s">
        <v>28</v>
      </c>
      <c r="L1319" s="519">
        <f t="shared" ref="L1319:Q1319" si="172">SUM(L1318:L1318)</f>
        <v>1255180.75</v>
      </c>
      <c r="M1319" s="519">
        <f t="shared" si="172"/>
        <v>1230305.75</v>
      </c>
      <c r="N1319" s="388">
        <f t="shared" si="172"/>
        <v>24875</v>
      </c>
      <c r="O1319" s="473">
        <f t="shared" si="172"/>
        <v>0</v>
      </c>
      <c r="P1319" s="388">
        <f t="shared" si="172"/>
        <v>0</v>
      </c>
      <c r="Q1319" s="388">
        <f t="shared" si="172"/>
        <v>0</v>
      </c>
      <c r="R1319" s="446" t="s">
        <v>28</v>
      </c>
      <c r="S1319" s="383">
        <f>L1319-M1319-N1319-O1319-P1319-Q1319</f>
        <v>0</v>
      </c>
      <c r="T1319" s="387" t="e">
        <f>'1.перечень МКД'!#REF!</f>
        <v>#REF!</v>
      </c>
      <c r="U1319" s="390" t="e">
        <f>L1319-T1319</f>
        <v>#REF!</v>
      </c>
      <c r="V1319" s="390"/>
      <c r="Y1319" s="419">
        <f t="shared" si="167"/>
        <v>1255180.75</v>
      </c>
      <c r="Z1319" s="419"/>
    </row>
    <row r="1320" spans="1:26" s="403" customFormat="1" ht="42.75" hidden="1" customHeight="1">
      <c r="A1320" s="1113" t="s">
        <v>189</v>
      </c>
      <c r="B1320" s="1113"/>
      <c r="C1320" s="1113"/>
      <c r="D1320" s="1113"/>
      <c r="E1320" s="1113"/>
      <c r="F1320" s="1113"/>
      <c r="G1320" s="1113"/>
      <c r="H1320" s="1113"/>
      <c r="I1320" s="1113"/>
      <c r="J1320" s="1113"/>
      <c r="K1320" s="1113"/>
      <c r="L1320" s="1113"/>
      <c r="M1320" s="1113"/>
      <c r="N1320" s="1113"/>
      <c r="O1320" s="1113"/>
      <c r="P1320" s="1113"/>
      <c r="Q1320" s="1113"/>
      <c r="R1320" s="1113"/>
      <c r="U1320" s="404"/>
      <c r="V1320" s="390"/>
      <c r="Y1320" s="419">
        <f t="shared" si="167"/>
        <v>0</v>
      </c>
      <c r="Z1320" s="419"/>
    </row>
    <row r="1321" spans="1:26" s="403" customFormat="1" ht="37.5" hidden="1">
      <c r="A1321" s="404">
        <v>1</v>
      </c>
      <c r="B1321" s="403" t="s">
        <v>1329</v>
      </c>
      <c r="C1321" s="780" t="s">
        <v>222</v>
      </c>
      <c r="D1321" s="780">
        <v>23934</v>
      </c>
      <c r="E1321" s="781">
        <v>4284</v>
      </c>
      <c r="F1321" s="781" t="s">
        <v>234</v>
      </c>
      <c r="G1321" s="388">
        <v>1900</v>
      </c>
      <c r="H1321" s="446">
        <v>5</v>
      </c>
      <c r="I1321" s="446">
        <v>9</v>
      </c>
      <c r="J1321" s="446">
        <v>110</v>
      </c>
      <c r="K1321" s="458" t="s">
        <v>308</v>
      </c>
      <c r="L1321" s="519">
        <f>M1321+N1321+O1321+P1321+Q1321</f>
        <v>3512093.17</v>
      </c>
      <c r="M1321" s="677">
        <v>3499615.87</v>
      </c>
      <c r="N1321" s="675"/>
      <c r="O1321" s="678">
        <v>12477.3</v>
      </c>
      <c r="P1321" s="675"/>
      <c r="Q1321" s="388"/>
      <c r="R1321" s="676">
        <f>M1321/G1321</f>
        <v>1841.9030894736843</v>
      </c>
      <c r="U1321" s="404"/>
      <c r="V1321" s="390"/>
      <c r="Y1321" s="419">
        <f t="shared" si="167"/>
        <v>3512093.17</v>
      </c>
      <c r="Z1321" s="419"/>
    </row>
    <row r="1322" spans="1:26" s="403" customFormat="1" ht="37.5" hidden="1">
      <c r="A1322" s="404">
        <f>A1321+1</f>
        <v>2</v>
      </c>
      <c r="B1322" s="403" t="s">
        <v>1330</v>
      </c>
      <c r="C1322" s="780" t="s">
        <v>222</v>
      </c>
      <c r="D1322" s="780">
        <v>8691</v>
      </c>
      <c r="E1322" s="781">
        <v>2124</v>
      </c>
      <c r="F1322" s="781" t="s">
        <v>234</v>
      </c>
      <c r="G1322" s="388">
        <v>723</v>
      </c>
      <c r="H1322" s="446">
        <v>5</v>
      </c>
      <c r="I1322" s="446">
        <v>3</v>
      </c>
      <c r="J1322" s="446">
        <v>40</v>
      </c>
      <c r="K1322" s="458" t="s">
        <v>308</v>
      </c>
      <c r="L1322" s="519">
        <f>M1322+N1322+O1322+P1322+Q1322</f>
        <v>1579442.14</v>
      </c>
      <c r="M1322" s="677">
        <v>1574694</v>
      </c>
      <c r="N1322" s="675"/>
      <c r="O1322" s="678">
        <v>4748.1400000000003</v>
      </c>
      <c r="P1322" s="675"/>
      <c r="Q1322" s="388"/>
      <c r="R1322" s="676">
        <f>M1322/G1322</f>
        <v>2178</v>
      </c>
      <c r="U1322" s="404"/>
      <c r="V1322" s="390"/>
      <c r="Y1322" s="419">
        <f t="shared" si="167"/>
        <v>1579442.14</v>
      </c>
      <c r="Z1322" s="419"/>
    </row>
    <row r="1323" spans="1:26" s="403" customFormat="1" ht="37.5" hidden="1" customHeight="1">
      <c r="A1323" s="404">
        <f>A1322+1</f>
        <v>3</v>
      </c>
      <c r="B1323" s="403" t="s">
        <v>1331</v>
      </c>
      <c r="C1323" s="455" t="s">
        <v>222</v>
      </c>
      <c r="D1323" s="455">
        <v>1629</v>
      </c>
      <c r="E1323" s="388">
        <v>480.5</v>
      </c>
      <c r="F1323" s="388" t="s">
        <v>223</v>
      </c>
      <c r="G1323" s="388">
        <v>583</v>
      </c>
      <c r="H1323" s="446">
        <v>2</v>
      </c>
      <c r="I1323" s="446">
        <v>1</v>
      </c>
      <c r="J1323" s="446">
        <v>6</v>
      </c>
      <c r="K1323" s="458" t="s">
        <v>361</v>
      </c>
      <c r="L1323" s="519">
        <f>SUM(M1323:Q1323)</f>
        <v>859343.66</v>
      </c>
      <c r="M1323" s="519">
        <v>826508.66</v>
      </c>
      <c r="N1323" s="388">
        <v>32835</v>
      </c>
      <c r="O1323" s="473"/>
      <c r="P1323" s="388"/>
      <c r="Q1323" s="388"/>
      <c r="R1323" s="446">
        <f>M1323/G1323</f>
        <v>1417.6820926243568</v>
      </c>
      <c r="U1323" s="404"/>
      <c r="V1323" s="390"/>
      <c r="Y1323" s="419">
        <f t="shared" si="167"/>
        <v>859343.66</v>
      </c>
      <c r="Z1323" s="419"/>
    </row>
    <row r="1324" spans="1:26" s="403" customFormat="1" ht="56.25" hidden="1" customHeight="1">
      <c r="A1324" s="404">
        <f t="shared" ref="A1324:A1342" si="173">A1323+1</f>
        <v>4</v>
      </c>
      <c r="B1324" s="403" t="s">
        <v>1332</v>
      </c>
      <c r="C1324" s="780" t="s">
        <v>222</v>
      </c>
      <c r="D1324" s="780">
        <v>4365</v>
      </c>
      <c r="E1324" s="781">
        <v>727.5</v>
      </c>
      <c r="F1324" s="781" t="s">
        <v>252</v>
      </c>
      <c r="G1324" s="388">
        <v>901</v>
      </c>
      <c r="H1324" s="446">
        <v>2</v>
      </c>
      <c r="I1324" s="446">
        <v>3</v>
      </c>
      <c r="J1324" s="446">
        <v>22</v>
      </c>
      <c r="K1324" s="458" t="s">
        <v>30</v>
      </c>
      <c r="L1324" s="519">
        <f t="shared" ref="L1324:L1360" si="174">M1324+N1324+O1324+P1324+Q1324</f>
        <v>439113.4</v>
      </c>
      <c r="M1324" s="677">
        <v>437800</v>
      </c>
      <c r="N1324" s="675"/>
      <c r="O1324" s="678">
        <v>1313.4</v>
      </c>
      <c r="P1324" s="675"/>
      <c r="Q1324" s="388"/>
      <c r="R1324" s="676">
        <f>M1324/J1324</f>
        <v>19900</v>
      </c>
      <c r="U1324" s="388"/>
      <c r="V1324" s="390"/>
      <c r="Y1324" s="419">
        <f t="shared" si="167"/>
        <v>439113.4</v>
      </c>
      <c r="Z1324" s="419"/>
    </row>
    <row r="1325" spans="1:26" s="403" customFormat="1" ht="37.5" hidden="1" customHeight="1">
      <c r="A1325" s="404">
        <f t="shared" si="173"/>
        <v>5</v>
      </c>
      <c r="B1325" s="403" t="s">
        <v>1333</v>
      </c>
      <c r="C1325" s="780" t="s">
        <v>222</v>
      </c>
      <c r="D1325" s="780">
        <v>12967</v>
      </c>
      <c r="E1325" s="781">
        <v>13720</v>
      </c>
      <c r="F1325" s="781" t="s">
        <v>234</v>
      </c>
      <c r="G1325" s="388">
        <v>920</v>
      </c>
      <c r="H1325" s="446">
        <v>5</v>
      </c>
      <c r="I1325" s="446">
        <v>4</v>
      </c>
      <c r="J1325" s="446">
        <v>80</v>
      </c>
      <c r="K1325" s="458" t="s">
        <v>361</v>
      </c>
      <c r="L1325" s="519">
        <f t="shared" si="174"/>
        <v>2098765.42</v>
      </c>
      <c r="M1325" s="677">
        <v>2092449.16</v>
      </c>
      <c r="N1325" s="675"/>
      <c r="O1325" s="678">
        <v>6316.26</v>
      </c>
      <c r="P1325" s="675"/>
      <c r="Q1325" s="388"/>
      <c r="R1325" s="676">
        <f>M1325/G1325</f>
        <v>2274.4012608695652</v>
      </c>
      <c r="U1325" s="404"/>
      <c r="V1325" s="390"/>
      <c r="Y1325" s="419">
        <f t="shared" si="167"/>
        <v>2098765.42</v>
      </c>
      <c r="Z1325" s="419"/>
    </row>
    <row r="1326" spans="1:26" s="403" customFormat="1" ht="56.25" hidden="1">
      <c r="A1326" s="404">
        <f t="shared" si="173"/>
        <v>6</v>
      </c>
      <c r="B1326" s="543" t="s">
        <v>1334</v>
      </c>
      <c r="C1326" s="531" t="s">
        <v>222</v>
      </c>
      <c r="D1326" s="455"/>
      <c r="E1326" s="388">
        <v>2204.8000000000002</v>
      </c>
      <c r="F1326" s="388" t="s">
        <v>234</v>
      </c>
      <c r="G1326" s="388">
        <v>805</v>
      </c>
      <c r="H1326" s="446">
        <v>9</v>
      </c>
      <c r="I1326" s="446">
        <v>3</v>
      </c>
      <c r="J1326" s="446">
        <v>75</v>
      </c>
      <c r="K1326" s="458" t="s">
        <v>309</v>
      </c>
      <c r="L1326" s="519">
        <f t="shared" si="174"/>
        <v>2017298.84</v>
      </c>
      <c r="M1326" s="677">
        <v>1932723.84</v>
      </c>
      <c r="N1326" s="675">
        <v>84575</v>
      </c>
      <c r="O1326" s="678"/>
      <c r="P1326" s="675"/>
      <c r="Q1326" s="388"/>
      <c r="R1326" s="676">
        <v>2000000</v>
      </c>
      <c r="U1326" s="404"/>
      <c r="V1326" s="390"/>
      <c r="Y1326" s="419">
        <f t="shared" si="167"/>
        <v>2017298.84</v>
      </c>
      <c r="Z1326" s="419"/>
    </row>
    <row r="1327" spans="1:26" s="403" customFormat="1" ht="37.5" hidden="1">
      <c r="A1327" s="404">
        <f t="shared" si="173"/>
        <v>7</v>
      </c>
      <c r="B1327" s="543" t="s">
        <v>1335</v>
      </c>
      <c r="C1327" s="531" t="s">
        <v>222</v>
      </c>
      <c r="D1327" s="455">
        <v>14500</v>
      </c>
      <c r="E1327" s="388">
        <v>1198.5</v>
      </c>
      <c r="F1327" s="388" t="s">
        <v>234</v>
      </c>
      <c r="G1327" s="388">
        <v>853</v>
      </c>
      <c r="H1327" s="446">
        <v>9</v>
      </c>
      <c r="I1327" s="446">
        <v>3</v>
      </c>
      <c r="J1327" s="446">
        <v>57</v>
      </c>
      <c r="K1327" s="458" t="s">
        <v>220</v>
      </c>
      <c r="L1327" s="519">
        <f t="shared" si="174"/>
        <v>2042033.3</v>
      </c>
      <c r="M1327" s="782">
        <f>1957458.3</f>
        <v>1957458.3</v>
      </c>
      <c r="N1327" s="675">
        <v>84575</v>
      </c>
      <c r="O1327" s="678"/>
      <c r="P1327" s="675"/>
      <c r="Q1327" s="388"/>
      <c r="R1327" s="676">
        <v>2000000</v>
      </c>
      <c r="U1327" s="404"/>
      <c r="V1327" s="390"/>
      <c r="Y1327" s="419">
        <f t="shared" si="167"/>
        <v>2042033.3</v>
      </c>
      <c r="Z1327" s="419"/>
    </row>
    <row r="1328" spans="1:26" s="403" customFormat="1" ht="37.5" hidden="1">
      <c r="A1328" s="404">
        <f t="shared" si="173"/>
        <v>8</v>
      </c>
      <c r="B1328" s="543" t="s">
        <v>1336</v>
      </c>
      <c r="C1328" s="531" t="s">
        <v>222</v>
      </c>
      <c r="D1328" s="455">
        <v>52083</v>
      </c>
      <c r="E1328" s="748">
        <v>10650</v>
      </c>
      <c r="F1328" s="388" t="s">
        <v>254</v>
      </c>
      <c r="G1328" s="388">
        <v>2906.31</v>
      </c>
      <c r="H1328" s="446">
        <v>9</v>
      </c>
      <c r="I1328" s="446">
        <v>6</v>
      </c>
      <c r="J1328" s="446">
        <v>231</v>
      </c>
      <c r="K1328" s="458" t="s">
        <v>38</v>
      </c>
      <c r="L1328" s="519">
        <f t="shared" si="174"/>
        <v>10272862.380000001</v>
      </c>
      <c r="M1328" s="677">
        <v>10245997.380000001</v>
      </c>
      <c r="N1328" s="675"/>
      <c r="O1328" s="678">
        <v>26865</v>
      </c>
      <c r="P1328" s="675"/>
      <c r="Q1328" s="388"/>
      <c r="R1328" s="528">
        <f>M1328/E1328</f>
        <v>962.06548169014093</v>
      </c>
      <c r="U1328" s="404"/>
      <c r="V1328" s="390"/>
      <c r="Y1328" s="419">
        <f t="shared" si="167"/>
        <v>10272862.380000001</v>
      </c>
      <c r="Z1328" s="419"/>
    </row>
    <row r="1329" spans="1:26" s="403" customFormat="1" ht="37.5" hidden="1">
      <c r="A1329" s="404">
        <f t="shared" si="173"/>
        <v>9</v>
      </c>
      <c r="B1329" s="543" t="s">
        <v>1337</v>
      </c>
      <c r="C1329" s="531" t="s">
        <v>222</v>
      </c>
      <c r="D1329" s="455">
        <v>8505</v>
      </c>
      <c r="E1329" s="388">
        <v>2374</v>
      </c>
      <c r="F1329" s="388" t="s">
        <v>254</v>
      </c>
      <c r="G1329" s="388">
        <v>520.6</v>
      </c>
      <c r="H1329" s="446">
        <v>9</v>
      </c>
      <c r="I1329" s="446">
        <v>1</v>
      </c>
      <c r="J1329" s="446">
        <v>36</v>
      </c>
      <c r="K1329" s="458" t="s">
        <v>225</v>
      </c>
      <c r="L1329" s="519">
        <f t="shared" si="174"/>
        <v>625211.17000000004</v>
      </c>
      <c r="M1329" s="677">
        <v>590211.17000000004</v>
      </c>
      <c r="N1329" s="675">
        <v>35000</v>
      </c>
      <c r="O1329" s="678"/>
      <c r="P1329" s="675"/>
      <c r="Q1329" s="388"/>
      <c r="R1329" s="676">
        <f>M1329/J1329</f>
        <v>16394.754722222224</v>
      </c>
      <c r="U1329" s="404"/>
      <c r="V1329" s="390"/>
      <c r="Y1329" s="419">
        <f t="shared" si="167"/>
        <v>625211.17000000004</v>
      </c>
      <c r="Z1329" s="419"/>
    </row>
    <row r="1330" spans="1:26" s="403" customFormat="1" ht="37.5" hidden="1">
      <c r="A1330" s="404">
        <f t="shared" si="173"/>
        <v>10</v>
      </c>
      <c r="B1330" s="543" t="s">
        <v>1338</v>
      </c>
      <c r="C1330" s="531" t="s">
        <v>222</v>
      </c>
      <c r="D1330" s="455">
        <v>7765</v>
      </c>
      <c r="E1330" s="388">
        <v>1263.5</v>
      </c>
      <c r="F1330" s="388" t="s">
        <v>234</v>
      </c>
      <c r="G1330" s="388">
        <v>1005</v>
      </c>
      <c r="H1330" s="446">
        <v>3</v>
      </c>
      <c r="I1330" s="446">
        <v>3</v>
      </c>
      <c r="J1330" s="446">
        <v>36</v>
      </c>
      <c r="K1330" s="458" t="s">
        <v>33</v>
      </c>
      <c r="L1330" s="519">
        <f t="shared" si="174"/>
        <v>2098895.65</v>
      </c>
      <c r="M1330" s="677">
        <v>2091995.33</v>
      </c>
      <c r="N1330" s="675"/>
      <c r="O1330" s="678">
        <v>6900.32</v>
      </c>
      <c r="P1330" s="675"/>
      <c r="Q1330" s="388"/>
      <c r="R1330" s="676">
        <f>M1330/G1330</f>
        <v>2081.5873930348262</v>
      </c>
      <c r="U1330" s="404"/>
      <c r="V1330" s="390"/>
      <c r="Y1330" s="419">
        <f t="shared" si="167"/>
        <v>2098895.65</v>
      </c>
      <c r="Z1330" s="419"/>
    </row>
    <row r="1331" spans="1:26" s="403" customFormat="1" ht="37.5" hidden="1">
      <c r="A1331" s="404">
        <f t="shared" si="173"/>
        <v>11</v>
      </c>
      <c r="B1331" s="543" t="s">
        <v>1339</v>
      </c>
      <c r="C1331" s="531" t="s">
        <v>222</v>
      </c>
      <c r="D1331" s="455">
        <v>4239</v>
      </c>
      <c r="E1331" s="748">
        <v>950</v>
      </c>
      <c r="F1331" s="388" t="s">
        <v>234</v>
      </c>
      <c r="G1331" s="388">
        <v>471</v>
      </c>
      <c r="H1331" s="446">
        <v>3</v>
      </c>
      <c r="I1331" s="446">
        <v>1</v>
      </c>
      <c r="J1331" s="446">
        <v>24</v>
      </c>
      <c r="K1331" s="458" t="s">
        <v>38</v>
      </c>
      <c r="L1331" s="519">
        <f t="shared" si="174"/>
        <v>1155149.9099999999</v>
      </c>
      <c r="M1331" s="751">
        <v>1150612.71</v>
      </c>
      <c r="N1331" s="675"/>
      <c r="O1331" s="678">
        <v>4537.2</v>
      </c>
      <c r="P1331" s="675"/>
      <c r="Q1331" s="388"/>
      <c r="R1331" s="528">
        <f>M1331/E1331</f>
        <v>1211.1712736842105</v>
      </c>
      <c r="U1331" s="404"/>
      <c r="V1331" s="390"/>
      <c r="Y1331" s="419">
        <f t="shared" si="167"/>
        <v>1155149.9099999999</v>
      </c>
      <c r="Z1331" s="419"/>
    </row>
    <row r="1332" spans="1:26" s="403" customFormat="1" ht="37.5" hidden="1">
      <c r="A1332" s="404">
        <f t="shared" si="173"/>
        <v>12</v>
      </c>
      <c r="B1332" s="543" t="s">
        <v>1340</v>
      </c>
      <c r="C1332" s="531" t="s">
        <v>218</v>
      </c>
      <c r="D1332" s="455">
        <v>15876</v>
      </c>
      <c r="E1332" s="388">
        <v>3224</v>
      </c>
      <c r="F1332" s="388" t="s">
        <v>234</v>
      </c>
      <c r="G1332" s="388">
        <v>630</v>
      </c>
      <c r="H1332" s="446">
        <v>9</v>
      </c>
      <c r="I1332" s="446">
        <v>2</v>
      </c>
      <c r="J1332" s="446">
        <v>72</v>
      </c>
      <c r="K1332" s="458" t="s">
        <v>220</v>
      </c>
      <c r="L1332" s="519">
        <f t="shared" si="174"/>
        <v>4001236.01</v>
      </c>
      <c r="M1332" s="677">
        <f>1947758.63+1947758.63</f>
        <v>3895517.26</v>
      </c>
      <c r="N1332" s="675">
        <v>105718.75</v>
      </c>
      <c r="O1332" s="678"/>
      <c r="P1332" s="675"/>
      <c r="Q1332" s="388"/>
      <c r="R1332" s="676">
        <f>M1332/I1332</f>
        <v>1947758.63</v>
      </c>
      <c r="U1332" s="404"/>
      <c r="V1332" s="390"/>
      <c r="Y1332" s="419">
        <f t="shared" si="167"/>
        <v>4001236.01</v>
      </c>
      <c r="Z1332" s="419"/>
    </row>
    <row r="1333" spans="1:26" s="403" customFormat="1" ht="37.5" hidden="1">
      <c r="A1333" s="404">
        <f t="shared" si="173"/>
        <v>13</v>
      </c>
      <c r="B1333" s="543" t="s">
        <v>1341</v>
      </c>
      <c r="C1333" s="531" t="s">
        <v>222</v>
      </c>
      <c r="D1333" s="455">
        <v>7765</v>
      </c>
      <c r="E1333" s="388">
        <v>893.8</v>
      </c>
      <c r="F1333" s="388" t="s">
        <v>223</v>
      </c>
      <c r="G1333" s="388">
        <v>889</v>
      </c>
      <c r="H1333" s="446">
        <v>3</v>
      </c>
      <c r="I1333" s="446">
        <v>3</v>
      </c>
      <c r="J1333" s="446">
        <v>36</v>
      </c>
      <c r="K1333" s="458" t="s">
        <v>246</v>
      </c>
      <c r="L1333" s="519">
        <f t="shared" si="174"/>
        <v>304370.13</v>
      </c>
      <c r="M1333" s="677">
        <v>302220.93</v>
      </c>
      <c r="N1333" s="675"/>
      <c r="O1333" s="678">
        <v>2149.1999999999998</v>
      </c>
      <c r="P1333" s="675"/>
      <c r="Q1333" s="388"/>
      <c r="R1333" s="676">
        <f>M1333/J1333</f>
        <v>8395.0258333333331</v>
      </c>
      <c r="U1333" s="388"/>
      <c r="V1333" s="390"/>
      <c r="Y1333" s="419">
        <f t="shared" si="167"/>
        <v>304370.13</v>
      </c>
      <c r="Z1333" s="419"/>
    </row>
    <row r="1334" spans="1:26" s="403" customFormat="1" ht="37.5" hidden="1">
      <c r="A1334" s="404">
        <f t="shared" si="173"/>
        <v>14</v>
      </c>
      <c r="B1334" s="543" t="s">
        <v>1342</v>
      </c>
      <c r="C1334" s="531" t="s">
        <v>222</v>
      </c>
      <c r="D1334" s="455">
        <v>5951</v>
      </c>
      <c r="E1334" s="388">
        <v>1206</v>
      </c>
      <c r="F1334" s="388" t="s">
        <v>223</v>
      </c>
      <c r="G1334" s="388">
        <v>1015</v>
      </c>
      <c r="H1334" s="446">
        <v>3</v>
      </c>
      <c r="I1334" s="446">
        <v>3</v>
      </c>
      <c r="J1334" s="446">
        <v>36</v>
      </c>
      <c r="K1334" s="458" t="s">
        <v>308</v>
      </c>
      <c r="L1334" s="519">
        <f t="shared" si="174"/>
        <v>2517638.81</v>
      </c>
      <c r="M1334" s="677">
        <v>2473325.4900000002</v>
      </c>
      <c r="N1334" s="675">
        <v>44313.32</v>
      </c>
      <c r="O1334" s="678"/>
      <c r="P1334" s="675"/>
      <c r="Q1334" s="388"/>
      <c r="R1334" s="676">
        <f>M1334/G1334</f>
        <v>2436.7738817733994</v>
      </c>
      <c r="U1334" s="404"/>
      <c r="V1334" s="390"/>
      <c r="Y1334" s="419">
        <f t="shared" si="167"/>
        <v>2517638.81</v>
      </c>
      <c r="Z1334" s="419"/>
    </row>
    <row r="1335" spans="1:26" s="403" customFormat="1" ht="37.5" hidden="1">
      <c r="A1335" s="404">
        <f t="shared" si="173"/>
        <v>15</v>
      </c>
      <c r="B1335" s="543" t="s">
        <v>1343</v>
      </c>
      <c r="C1335" s="531" t="s">
        <v>222</v>
      </c>
      <c r="D1335" s="455">
        <v>48900</v>
      </c>
      <c r="E1335" s="388">
        <v>5737.7</v>
      </c>
      <c r="F1335" s="388" t="s">
        <v>234</v>
      </c>
      <c r="G1335" s="388">
        <v>1924</v>
      </c>
      <c r="H1335" s="446">
        <v>10</v>
      </c>
      <c r="I1335" s="446">
        <v>4</v>
      </c>
      <c r="J1335" s="446">
        <v>136</v>
      </c>
      <c r="K1335" s="458" t="s">
        <v>220</v>
      </c>
      <c r="L1335" s="519">
        <f t="shared" si="174"/>
        <v>8079232.1199999992</v>
      </c>
      <c r="M1335" s="677">
        <f>1960044.23+1954200.78+2044773.85+1972207.01</f>
        <v>7931225.8699999992</v>
      </c>
      <c r="N1335" s="675">
        <v>148006.25</v>
      </c>
      <c r="O1335" s="678"/>
      <c r="P1335" s="675"/>
      <c r="Q1335" s="388"/>
      <c r="R1335" s="382">
        <v>2200000</v>
      </c>
      <c r="U1335" s="404"/>
      <c r="V1335" s="390"/>
      <c r="Y1335" s="419">
        <f t="shared" si="167"/>
        <v>8079232.1199999992</v>
      </c>
      <c r="Z1335" s="419"/>
    </row>
    <row r="1336" spans="1:26" s="403" customFormat="1" ht="37.5" hidden="1">
      <c r="A1336" s="404">
        <f t="shared" si="173"/>
        <v>16</v>
      </c>
      <c r="B1336" s="543" t="s">
        <v>1344</v>
      </c>
      <c r="C1336" s="531" t="s">
        <v>218</v>
      </c>
      <c r="D1336" s="455">
        <v>15876</v>
      </c>
      <c r="E1336" s="388">
        <v>2304</v>
      </c>
      <c r="F1336" s="388" t="s">
        <v>234</v>
      </c>
      <c r="G1336" s="388">
        <v>331</v>
      </c>
      <c r="H1336" s="446">
        <v>9</v>
      </c>
      <c r="I1336" s="446">
        <v>1</v>
      </c>
      <c r="J1336" s="446">
        <v>45</v>
      </c>
      <c r="K1336" s="458" t="s">
        <v>220</v>
      </c>
      <c r="L1336" s="519">
        <f t="shared" si="174"/>
        <v>2030643.38</v>
      </c>
      <c r="M1336" s="677">
        <v>1946068.38</v>
      </c>
      <c r="N1336" s="675">
        <v>84575</v>
      </c>
      <c r="O1336" s="678"/>
      <c r="P1336" s="675"/>
      <c r="Q1336" s="388"/>
      <c r="R1336" s="676">
        <f>M1336/I1336</f>
        <v>1946068.38</v>
      </c>
      <c r="U1336" s="404"/>
      <c r="V1336" s="390"/>
      <c r="Y1336" s="419">
        <f t="shared" si="167"/>
        <v>2030643.38</v>
      </c>
      <c r="Z1336" s="419"/>
    </row>
    <row r="1337" spans="1:26" s="403" customFormat="1" ht="37.5" hidden="1">
      <c r="A1337" s="404">
        <f t="shared" si="173"/>
        <v>17</v>
      </c>
      <c r="B1337" s="543" t="s">
        <v>1345</v>
      </c>
      <c r="C1337" s="531" t="s">
        <v>218</v>
      </c>
      <c r="D1337" s="455">
        <v>41615</v>
      </c>
      <c r="E1337" s="388">
        <v>4577.2</v>
      </c>
      <c r="F1337" s="388" t="s">
        <v>234</v>
      </c>
      <c r="G1337" s="388">
        <v>1626</v>
      </c>
      <c r="H1337" s="446">
        <v>9</v>
      </c>
      <c r="I1337" s="446">
        <v>5</v>
      </c>
      <c r="J1337" s="446">
        <v>193</v>
      </c>
      <c r="K1337" s="458" t="s">
        <v>220</v>
      </c>
      <c r="L1337" s="519">
        <f t="shared" si="174"/>
        <v>9950753.0800000001</v>
      </c>
      <c r="M1337" s="677">
        <f>1955249.52+1951278.54+1953148.33+1958029.59+1963897.1</f>
        <v>9781603.0800000001</v>
      </c>
      <c r="N1337" s="675">
        <v>169150</v>
      </c>
      <c r="O1337" s="678"/>
      <c r="P1337" s="675"/>
      <c r="Q1337" s="388"/>
      <c r="R1337" s="676">
        <f>M1337/I1337</f>
        <v>1956320.6159999999</v>
      </c>
      <c r="U1337" s="404"/>
      <c r="V1337" s="390"/>
      <c r="Y1337" s="419">
        <f t="shared" si="167"/>
        <v>9950753.0800000001</v>
      </c>
      <c r="Z1337" s="419"/>
    </row>
    <row r="1338" spans="1:26" s="403" customFormat="1" ht="37.5" hidden="1">
      <c r="A1338" s="404">
        <f t="shared" si="173"/>
        <v>18</v>
      </c>
      <c r="B1338" s="403" t="s">
        <v>1346</v>
      </c>
      <c r="C1338" s="780" t="s">
        <v>240</v>
      </c>
      <c r="D1338" s="780">
        <v>2368</v>
      </c>
      <c r="E1338" s="781">
        <v>699.7</v>
      </c>
      <c r="F1338" s="781" t="s">
        <v>223</v>
      </c>
      <c r="G1338" s="388">
        <v>876</v>
      </c>
      <c r="H1338" s="446">
        <v>2</v>
      </c>
      <c r="I1338" s="446">
        <v>2</v>
      </c>
      <c r="J1338" s="446">
        <v>13</v>
      </c>
      <c r="K1338" s="458" t="s">
        <v>308</v>
      </c>
      <c r="L1338" s="519">
        <f t="shared" si="174"/>
        <v>1857719.03</v>
      </c>
      <c r="M1338" s="677">
        <v>1822894.03</v>
      </c>
      <c r="N1338" s="675">
        <v>34825</v>
      </c>
      <c r="O1338" s="678"/>
      <c r="P1338" s="675"/>
      <c r="Q1338" s="388"/>
      <c r="R1338" s="676">
        <f t="shared" ref="R1338:R1343" si="175">M1338/G1338</f>
        <v>2080.9292579908674</v>
      </c>
      <c r="U1338" s="404"/>
      <c r="V1338" s="390"/>
      <c r="Y1338" s="419">
        <f t="shared" si="167"/>
        <v>1857719.03</v>
      </c>
      <c r="Z1338" s="419"/>
    </row>
    <row r="1339" spans="1:26" s="403" customFormat="1" ht="37.5" hidden="1">
      <c r="A1339" s="404">
        <f t="shared" si="173"/>
        <v>19</v>
      </c>
      <c r="B1339" s="403" t="s">
        <v>1347</v>
      </c>
      <c r="C1339" s="780" t="s">
        <v>240</v>
      </c>
      <c r="D1339" s="780">
        <v>4264</v>
      </c>
      <c r="E1339" s="781">
        <v>871.3</v>
      </c>
      <c r="F1339" s="781" t="s">
        <v>223</v>
      </c>
      <c r="G1339" s="388">
        <v>988</v>
      </c>
      <c r="H1339" s="446">
        <v>2</v>
      </c>
      <c r="I1339" s="446">
        <v>3</v>
      </c>
      <c r="J1339" s="446">
        <v>16</v>
      </c>
      <c r="K1339" s="458" t="s">
        <v>308</v>
      </c>
      <c r="L1339" s="519">
        <f t="shared" si="174"/>
        <v>2332964.52</v>
      </c>
      <c r="M1339" s="677">
        <v>2292169.52</v>
      </c>
      <c r="N1339" s="675">
        <v>40795</v>
      </c>
      <c r="O1339" s="678"/>
      <c r="P1339" s="675"/>
      <c r="Q1339" s="388"/>
      <c r="R1339" s="676">
        <f t="shared" si="175"/>
        <v>2320.0096356275303</v>
      </c>
      <c r="U1339" s="404"/>
      <c r="V1339" s="390"/>
      <c r="Y1339" s="419">
        <f t="shared" si="167"/>
        <v>2332964.52</v>
      </c>
      <c r="Z1339" s="419"/>
    </row>
    <row r="1340" spans="1:26" s="403" customFormat="1" ht="37.5" hidden="1">
      <c r="A1340" s="404">
        <f t="shared" si="173"/>
        <v>20</v>
      </c>
      <c r="B1340" s="403" t="s">
        <v>1348</v>
      </c>
      <c r="C1340" s="780" t="s">
        <v>240</v>
      </c>
      <c r="D1340" s="780">
        <v>3053</v>
      </c>
      <c r="E1340" s="781">
        <v>611.79999999999995</v>
      </c>
      <c r="F1340" s="781" t="s">
        <v>223</v>
      </c>
      <c r="G1340" s="388">
        <v>717.2</v>
      </c>
      <c r="H1340" s="446">
        <v>2</v>
      </c>
      <c r="I1340" s="446">
        <v>2</v>
      </c>
      <c r="J1340" s="446">
        <v>16</v>
      </c>
      <c r="K1340" s="458" t="s">
        <v>308</v>
      </c>
      <c r="L1340" s="519">
        <f t="shared" si="174"/>
        <v>1515634.98</v>
      </c>
      <c r="M1340" s="677">
        <v>1480809.98</v>
      </c>
      <c r="N1340" s="675">
        <v>34825</v>
      </c>
      <c r="O1340" s="678"/>
      <c r="P1340" s="675"/>
      <c r="Q1340" s="388"/>
      <c r="R1340" s="676">
        <f t="shared" si="175"/>
        <v>2064.7099553820412</v>
      </c>
      <c r="U1340" s="404"/>
      <c r="V1340" s="390"/>
      <c r="Y1340" s="419">
        <f t="shared" si="167"/>
        <v>1515634.98</v>
      </c>
      <c r="Z1340" s="419"/>
    </row>
    <row r="1341" spans="1:26" s="403" customFormat="1" ht="37.5" hidden="1">
      <c r="A1341" s="404">
        <f t="shared" si="173"/>
        <v>21</v>
      </c>
      <c r="B1341" s="403" t="s">
        <v>1349</v>
      </c>
      <c r="C1341" s="780" t="s">
        <v>240</v>
      </c>
      <c r="D1341" s="780">
        <v>3183</v>
      </c>
      <c r="E1341" s="781">
        <v>435.5</v>
      </c>
      <c r="F1341" s="781" t="s">
        <v>223</v>
      </c>
      <c r="G1341" s="388">
        <v>718.1</v>
      </c>
      <c r="H1341" s="446">
        <v>2</v>
      </c>
      <c r="I1341" s="446">
        <v>2</v>
      </c>
      <c r="J1341" s="446">
        <v>13</v>
      </c>
      <c r="K1341" s="458" t="s">
        <v>308</v>
      </c>
      <c r="L1341" s="519">
        <f t="shared" si="174"/>
        <v>1253370.8799999999</v>
      </c>
      <c r="M1341" s="677">
        <v>1218545.8799999999</v>
      </c>
      <c r="N1341" s="675">
        <v>34825</v>
      </c>
      <c r="O1341" s="678"/>
      <c r="P1341" s="675"/>
      <c r="Q1341" s="388"/>
      <c r="R1341" s="676">
        <f t="shared" si="175"/>
        <v>1696.9027712017823</v>
      </c>
      <c r="U1341" s="388"/>
      <c r="V1341" s="390"/>
      <c r="Y1341" s="419">
        <f t="shared" si="167"/>
        <v>1253370.8799999999</v>
      </c>
      <c r="Z1341" s="419"/>
    </row>
    <row r="1342" spans="1:26" s="403" customFormat="1" ht="37.5" hidden="1">
      <c r="A1342" s="404">
        <f t="shared" si="173"/>
        <v>22</v>
      </c>
      <c r="B1342" s="403" t="s">
        <v>1351</v>
      </c>
      <c r="C1342" s="780" t="s">
        <v>222</v>
      </c>
      <c r="D1342" s="780">
        <v>17528</v>
      </c>
      <c r="E1342" s="781">
        <v>3032</v>
      </c>
      <c r="F1342" s="781" t="s">
        <v>234</v>
      </c>
      <c r="G1342" s="388">
        <v>1350</v>
      </c>
      <c r="H1342" s="446">
        <v>5</v>
      </c>
      <c r="I1342" s="446">
        <v>6</v>
      </c>
      <c r="J1342" s="446">
        <v>105</v>
      </c>
      <c r="K1342" s="458" t="s">
        <v>308</v>
      </c>
      <c r="L1342" s="519">
        <f t="shared" si="174"/>
        <v>2937191.7600000002</v>
      </c>
      <c r="M1342" s="677">
        <v>2928326.31</v>
      </c>
      <c r="N1342" s="675"/>
      <c r="O1342" s="678">
        <v>8865.4500000000007</v>
      </c>
      <c r="P1342" s="675"/>
      <c r="Q1342" s="388"/>
      <c r="R1342" s="676">
        <f t="shared" si="175"/>
        <v>2169.1306</v>
      </c>
      <c r="U1342" s="404"/>
      <c r="V1342" s="390"/>
      <c r="Y1342" s="419">
        <f t="shared" si="167"/>
        <v>2937191.7600000002</v>
      </c>
      <c r="Z1342" s="419"/>
    </row>
    <row r="1343" spans="1:26" s="403" customFormat="1" ht="37.5" hidden="1">
      <c r="A1343" s="404">
        <f t="shared" ref="A1343:A1360" si="176">A1342+1</f>
        <v>23</v>
      </c>
      <c r="B1343" s="403" t="s">
        <v>1352</v>
      </c>
      <c r="C1343" s="780" t="s">
        <v>222</v>
      </c>
      <c r="D1343" s="780">
        <v>23528</v>
      </c>
      <c r="E1343" s="781">
        <v>4065</v>
      </c>
      <c r="F1343" s="781" t="s">
        <v>234</v>
      </c>
      <c r="G1343" s="388">
        <v>1691</v>
      </c>
      <c r="H1343" s="446">
        <v>5</v>
      </c>
      <c r="I1343" s="446">
        <v>8</v>
      </c>
      <c r="J1343" s="446">
        <v>109</v>
      </c>
      <c r="K1343" s="458" t="s">
        <v>308</v>
      </c>
      <c r="L1343" s="519">
        <f t="shared" si="174"/>
        <v>3684642.3600000003</v>
      </c>
      <c r="M1343" s="677">
        <v>3673537.16</v>
      </c>
      <c r="N1343" s="675"/>
      <c r="O1343" s="678">
        <v>11105.2</v>
      </c>
      <c r="P1343" s="675"/>
      <c r="Q1343" s="388"/>
      <c r="R1343" s="676">
        <f t="shared" si="175"/>
        <v>2172.4051803666471</v>
      </c>
      <c r="T1343" s="393"/>
      <c r="U1343" s="404"/>
      <c r="V1343" s="390"/>
      <c r="Y1343" s="419">
        <f t="shared" si="167"/>
        <v>3684642.3600000003</v>
      </c>
      <c r="Z1343" s="419"/>
    </row>
    <row r="1344" spans="1:26" s="403" customFormat="1" ht="37.5" hidden="1">
      <c r="A1344" s="404">
        <f t="shared" si="176"/>
        <v>24</v>
      </c>
      <c r="B1344" s="403" t="s">
        <v>1353</v>
      </c>
      <c r="C1344" s="780" t="s">
        <v>222</v>
      </c>
      <c r="D1344" s="780">
        <v>5442</v>
      </c>
      <c r="E1344" s="781">
        <v>492</v>
      </c>
      <c r="F1344" s="781" t="s">
        <v>252</v>
      </c>
      <c r="G1344" s="388">
        <v>470</v>
      </c>
      <c r="H1344" s="446">
        <v>2</v>
      </c>
      <c r="I1344" s="446">
        <v>2</v>
      </c>
      <c r="J1344" s="446">
        <v>32</v>
      </c>
      <c r="K1344" s="458" t="s">
        <v>225</v>
      </c>
      <c r="L1344" s="519">
        <f t="shared" si="174"/>
        <v>589777.44000000006</v>
      </c>
      <c r="M1344" s="677">
        <v>559927.44000000006</v>
      </c>
      <c r="N1344" s="675">
        <v>29850</v>
      </c>
      <c r="O1344" s="678"/>
      <c r="P1344" s="675"/>
      <c r="Q1344" s="388"/>
      <c r="R1344" s="676">
        <f>M1344/J1344</f>
        <v>17497.732500000002</v>
      </c>
      <c r="T1344" s="393"/>
      <c r="U1344" s="404"/>
      <c r="V1344" s="390"/>
      <c r="Y1344" s="419">
        <f t="shared" si="167"/>
        <v>589777.44000000006</v>
      </c>
      <c r="Z1344" s="419"/>
    </row>
    <row r="1345" spans="1:26" s="403" customFormat="1" ht="56.25" hidden="1" customHeight="1">
      <c r="A1345" s="404">
        <f t="shared" si="176"/>
        <v>25</v>
      </c>
      <c r="B1345" s="403" t="s">
        <v>1354</v>
      </c>
      <c r="C1345" s="780" t="s">
        <v>222</v>
      </c>
      <c r="D1345" s="780">
        <v>4903</v>
      </c>
      <c r="E1345" s="781">
        <v>897</v>
      </c>
      <c r="F1345" s="781" t="s">
        <v>379</v>
      </c>
      <c r="G1345" s="388">
        <v>941.8</v>
      </c>
      <c r="H1345" s="446">
        <v>2</v>
      </c>
      <c r="I1345" s="446">
        <v>4</v>
      </c>
      <c r="J1345" s="446">
        <v>24</v>
      </c>
      <c r="K1345" s="458" t="s">
        <v>30</v>
      </c>
      <c r="L1345" s="519">
        <f t="shared" si="174"/>
        <v>449373.88</v>
      </c>
      <c r="M1345" s="677">
        <v>447797.8</v>
      </c>
      <c r="N1345" s="675"/>
      <c r="O1345" s="678">
        <v>1576.08</v>
      </c>
      <c r="P1345" s="675"/>
      <c r="Q1345" s="388"/>
      <c r="R1345" s="676">
        <f>M1345/J1345</f>
        <v>18658.241666666665</v>
      </c>
      <c r="T1345" s="393"/>
      <c r="U1345" s="404"/>
      <c r="V1345" s="390"/>
      <c r="Y1345" s="419">
        <f t="shared" si="167"/>
        <v>449373.88</v>
      </c>
      <c r="Z1345" s="419"/>
    </row>
    <row r="1346" spans="1:26" s="403" customFormat="1" ht="37.5" hidden="1">
      <c r="A1346" s="404">
        <f t="shared" si="176"/>
        <v>26</v>
      </c>
      <c r="B1346" s="403" t="s">
        <v>3641</v>
      </c>
      <c r="C1346" s="780">
        <v>0</v>
      </c>
      <c r="D1346" s="780">
        <v>15803.2</v>
      </c>
      <c r="E1346" s="781">
        <v>2705.6</v>
      </c>
      <c r="F1346" s="781" t="s">
        <v>234</v>
      </c>
      <c r="G1346" s="388">
        <v>987.7</v>
      </c>
      <c r="H1346" s="446">
        <v>5</v>
      </c>
      <c r="I1346" s="446">
        <v>1</v>
      </c>
      <c r="J1346" s="446">
        <v>40</v>
      </c>
      <c r="K1346" s="458" t="s">
        <v>308</v>
      </c>
      <c r="L1346" s="519">
        <f t="shared" si="174"/>
        <v>2185123.5299999998</v>
      </c>
      <c r="M1346" s="677">
        <v>2158443.5999999996</v>
      </c>
      <c r="N1346" s="675"/>
      <c r="O1346" s="678">
        <v>6779.93</v>
      </c>
      <c r="P1346" s="783"/>
      <c r="Q1346" s="388">
        <v>19900</v>
      </c>
      <c r="R1346" s="676">
        <f>M1346/G1346</f>
        <v>2185.323073807836</v>
      </c>
      <c r="T1346" s="393"/>
      <c r="U1346" s="404"/>
      <c r="V1346" s="390"/>
      <c r="Y1346" s="419">
        <f t="shared" si="167"/>
        <v>2185123.5299999998</v>
      </c>
      <c r="Z1346" s="419"/>
    </row>
    <row r="1347" spans="1:26" s="403" customFormat="1" ht="37.5" hidden="1">
      <c r="A1347" s="404">
        <f t="shared" si="176"/>
        <v>27</v>
      </c>
      <c r="B1347" s="403" t="s">
        <v>3629</v>
      </c>
      <c r="C1347" s="780" t="s">
        <v>222</v>
      </c>
      <c r="D1347" s="780">
        <v>1647</v>
      </c>
      <c r="E1347" s="781">
        <v>343.7</v>
      </c>
      <c r="F1347" s="781" t="s">
        <v>252</v>
      </c>
      <c r="G1347" s="388">
        <v>549</v>
      </c>
      <c r="H1347" s="446">
        <v>1</v>
      </c>
      <c r="I1347" s="446">
        <v>1</v>
      </c>
      <c r="J1347" s="446">
        <v>11</v>
      </c>
      <c r="K1347" s="458" t="s">
        <v>225</v>
      </c>
      <c r="L1347" s="519">
        <f t="shared" si="174"/>
        <v>258732.06999999998</v>
      </c>
      <c r="M1347" s="677">
        <v>246322.43</v>
      </c>
      <c r="N1347" s="675">
        <v>11170.87</v>
      </c>
      <c r="O1347" s="784"/>
      <c r="P1347" s="783"/>
      <c r="Q1347" s="388">
        <v>1238.77</v>
      </c>
      <c r="R1347" s="676">
        <f t="shared" ref="R1347:R1359" si="177">M1347/J1347</f>
        <v>22392.948181818181</v>
      </c>
      <c r="T1347" s="393"/>
      <c r="U1347" s="404"/>
      <c r="V1347" s="390"/>
      <c r="Y1347" s="419">
        <f t="shared" si="167"/>
        <v>258732.06999999998</v>
      </c>
      <c r="Z1347" s="419"/>
    </row>
    <row r="1348" spans="1:26" s="403" customFormat="1" ht="37.5" hidden="1">
      <c r="A1348" s="404">
        <f t="shared" si="176"/>
        <v>28</v>
      </c>
      <c r="B1348" s="403" t="s">
        <v>3633</v>
      </c>
      <c r="C1348" s="780" t="s">
        <v>240</v>
      </c>
      <c r="D1348" s="780">
        <v>2480</v>
      </c>
      <c r="E1348" s="781">
        <v>492</v>
      </c>
      <c r="F1348" s="781" t="s">
        <v>229</v>
      </c>
      <c r="G1348" s="388">
        <v>470</v>
      </c>
      <c r="H1348" s="446">
        <v>2</v>
      </c>
      <c r="I1348" s="446">
        <v>2</v>
      </c>
      <c r="J1348" s="446">
        <v>8</v>
      </c>
      <c r="K1348" s="458" t="s">
        <v>225</v>
      </c>
      <c r="L1348" s="519">
        <f t="shared" si="174"/>
        <v>195632.37</v>
      </c>
      <c r="M1348" s="677">
        <v>182230.72</v>
      </c>
      <c r="N1348" s="675">
        <v>11978.8</v>
      </c>
      <c r="O1348" s="784"/>
      <c r="P1348" s="783"/>
      <c r="Q1348" s="388">
        <v>1422.85</v>
      </c>
      <c r="R1348" s="676">
        <f t="shared" si="177"/>
        <v>22778.84</v>
      </c>
      <c r="T1348" s="393"/>
      <c r="U1348" s="404"/>
      <c r="V1348" s="390"/>
      <c r="Y1348" s="419">
        <f t="shared" si="167"/>
        <v>195632.37</v>
      </c>
      <c r="Z1348" s="419"/>
    </row>
    <row r="1349" spans="1:26" s="403" customFormat="1" ht="37.5" hidden="1">
      <c r="A1349" s="404">
        <f t="shared" si="176"/>
        <v>29</v>
      </c>
      <c r="B1349" s="403" t="s">
        <v>3634</v>
      </c>
      <c r="C1349" s="780" t="s">
        <v>240</v>
      </c>
      <c r="D1349" s="780">
        <v>2480</v>
      </c>
      <c r="E1349" s="781">
        <v>492</v>
      </c>
      <c r="F1349" s="781" t="s">
        <v>252</v>
      </c>
      <c r="G1349" s="388">
        <v>470</v>
      </c>
      <c r="H1349" s="446">
        <v>2</v>
      </c>
      <c r="I1349" s="446">
        <v>2</v>
      </c>
      <c r="J1349" s="446">
        <v>8</v>
      </c>
      <c r="K1349" s="458" t="s">
        <v>225</v>
      </c>
      <c r="L1349" s="519">
        <f t="shared" si="174"/>
        <v>195598.53999999998</v>
      </c>
      <c r="M1349" s="677">
        <v>182230.72</v>
      </c>
      <c r="N1349" s="675">
        <v>11978.8</v>
      </c>
      <c r="O1349" s="784"/>
      <c r="P1349" s="783"/>
      <c r="Q1349" s="388">
        <v>1389.02</v>
      </c>
      <c r="R1349" s="676">
        <f t="shared" si="177"/>
        <v>22778.84</v>
      </c>
      <c r="T1349" s="393"/>
      <c r="U1349" s="404"/>
      <c r="V1349" s="390"/>
      <c r="Y1349" s="419">
        <f t="shared" si="167"/>
        <v>195598.53999999998</v>
      </c>
      <c r="Z1349" s="419"/>
    </row>
    <row r="1350" spans="1:26" s="403" customFormat="1" ht="37.5" hidden="1">
      <c r="A1350" s="404">
        <f t="shared" si="176"/>
        <v>30</v>
      </c>
      <c r="B1350" s="403" t="s">
        <v>3635</v>
      </c>
      <c r="C1350" s="780" t="s">
        <v>222</v>
      </c>
      <c r="D1350" s="780">
        <v>3670</v>
      </c>
      <c r="E1350" s="781">
        <v>667.8</v>
      </c>
      <c r="F1350" s="781" t="s">
        <v>229</v>
      </c>
      <c r="G1350" s="388">
        <v>700</v>
      </c>
      <c r="H1350" s="446">
        <v>2</v>
      </c>
      <c r="I1350" s="446">
        <v>3</v>
      </c>
      <c r="J1350" s="446">
        <v>18</v>
      </c>
      <c r="K1350" s="458" t="s">
        <v>225</v>
      </c>
      <c r="L1350" s="519">
        <f t="shared" si="174"/>
        <v>419462.94</v>
      </c>
      <c r="M1350" s="677">
        <v>403308.12</v>
      </c>
      <c r="N1350" s="675">
        <v>13220.57</v>
      </c>
      <c r="O1350" s="784"/>
      <c r="P1350" s="783"/>
      <c r="Q1350" s="388">
        <v>2934.25</v>
      </c>
      <c r="R1350" s="676">
        <f t="shared" si="177"/>
        <v>22406.006666666668</v>
      </c>
      <c r="T1350" s="393"/>
      <c r="U1350" s="404"/>
      <c r="V1350" s="390"/>
      <c r="Y1350" s="419">
        <f t="shared" si="167"/>
        <v>419462.94</v>
      </c>
      <c r="Z1350" s="419"/>
    </row>
    <row r="1351" spans="1:26" s="403" customFormat="1" ht="37.5" hidden="1">
      <c r="A1351" s="404">
        <f t="shared" si="176"/>
        <v>31</v>
      </c>
      <c r="B1351" s="403" t="s">
        <v>3636</v>
      </c>
      <c r="C1351" s="780" t="s">
        <v>222</v>
      </c>
      <c r="D1351" s="780">
        <v>3670</v>
      </c>
      <c r="E1351" s="781">
        <v>667.8</v>
      </c>
      <c r="F1351" s="781" t="s">
        <v>229</v>
      </c>
      <c r="G1351" s="388">
        <v>700</v>
      </c>
      <c r="H1351" s="446">
        <v>2</v>
      </c>
      <c r="I1351" s="446">
        <v>3</v>
      </c>
      <c r="J1351" s="446">
        <v>18</v>
      </c>
      <c r="K1351" s="458" t="s">
        <v>225</v>
      </c>
      <c r="L1351" s="519">
        <f t="shared" si="174"/>
        <v>419421.15</v>
      </c>
      <c r="M1351" s="677">
        <v>403308.12</v>
      </c>
      <c r="N1351" s="675">
        <v>13220.57</v>
      </c>
      <c r="O1351" s="784"/>
      <c r="P1351" s="783"/>
      <c r="Q1351" s="388">
        <v>2892.46</v>
      </c>
      <c r="R1351" s="676">
        <f t="shared" si="177"/>
        <v>22406.006666666668</v>
      </c>
      <c r="T1351" s="393"/>
      <c r="U1351" s="404"/>
      <c r="V1351" s="390"/>
      <c r="Y1351" s="419">
        <f t="shared" si="167"/>
        <v>419421.15</v>
      </c>
      <c r="Z1351" s="419"/>
    </row>
    <row r="1352" spans="1:26" s="403" customFormat="1" ht="37.5" hidden="1">
      <c r="A1352" s="404">
        <f t="shared" si="176"/>
        <v>32</v>
      </c>
      <c r="B1352" s="403" t="s">
        <v>3637</v>
      </c>
      <c r="C1352" s="780" t="s">
        <v>222</v>
      </c>
      <c r="D1352" s="780">
        <v>2896</v>
      </c>
      <c r="E1352" s="781">
        <v>748</v>
      </c>
      <c r="F1352" s="781" t="s">
        <v>252</v>
      </c>
      <c r="G1352" s="388">
        <v>520</v>
      </c>
      <c r="H1352" s="446">
        <v>2</v>
      </c>
      <c r="I1352" s="446">
        <v>2</v>
      </c>
      <c r="J1352" s="446">
        <v>16</v>
      </c>
      <c r="K1352" s="458" t="s">
        <v>225</v>
      </c>
      <c r="L1352" s="519">
        <f t="shared" si="174"/>
        <v>341062.64999999997</v>
      </c>
      <c r="M1352" s="677">
        <v>326086.90999999997</v>
      </c>
      <c r="N1352" s="675">
        <v>12413.61</v>
      </c>
      <c r="O1352" s="784"/>
      <c r="P1352" s="783"/>
      <c r="Q1352" s="388">
        <v>2562.13</v>
      </c>
      <c r="R1352" s="676">
        <f t="shared" si="177"/>
        <v>20380.431874999998</v>
      </c>
      <c r="T1352" s="393"/>
      <c r="U1352" s="404"/>
      <c r="V1352" s="390"/>
      <c r="Y1352" s="419">
        <f t="shared" ref="Y1352:Y1415" si="178">M1352+N1352+O1352+Q1352</f>
        <v>341062.64999999997</v>
      </c>
      <c r="Z1352" s="419"/>
    </row>
    <row r="1353" spans="1:26" s="403" customFormat="1" ht="37.5" hidden="1">
      <c r="A1353" s="404">
        <f t="shared" si="176"/>
        <v>33</v>
      </c>
      <c r="B1353" s="403" t="s">
        <v>3638</v>
      </c>
      <c r="C1353" s="780" t="s">
        <v>222</v>
      </c>
      <c r="D1353" s="780">
        <v>4903</v>
      </c>
      <c r="E1353" s="781">
        <v>897</v>
      </c>
      <c r="F1353" s="781" t="s">
        <v>379</v>
      </c>
      <c r="G1353" s="388">
        <v>941.8</v>
      </c>
      <c r="H1353" s="446">
        <v>2</v>
      </c>
      <c r="I1353" s="446">
        <v>4</v>
      </c>
      <c r="J1353" s="446">
        <v>24</v>
      </c>
      <c r="K1353" s="458" t="s">
        <v>225</v>
      </c>
      <c r="L1353" s="519">
        <f t="shared" si="174"/>
        <v>551623.11999999988</v>
      </c>
      <c r="M1353" s="677">
        <v>532725.07999999996</v>
      </c>
      <c r="N1353" s="675">
        <v>14507.1</v>
      </c>
      <c r="O1353" s="784"/>
      <c r="P1353" s="783"/>
      <c r="Q1353" s="388">
        <v>4390.9399999999996</v>
      </c>
      <c r="R1353" s="676">
        <f t="shared" si="177"/>
        <v>22196.87833333333</v>
      </c>
      <c r="T1353" s="393"/>
      <c r="U1353" s="404"/>
      <c r="V1353" s="390"/>
      <c r="Y1353" s="419">
        <f t="shared" si="178"/>
        <v>551623.11999999988</v>
      </c>
      <c r="Z1353" s="419"/>
    </row>
    <row r="1354" spans="1:26" s="403" customFormat="1" ht="37.5" hidden="1">
      <c r="A1354" s="404">
        <f t="shared" si="176"/>
        <v>34</v>
      </c>
      <c r="B1354" s="403" t="s">
        <v>3639</v>
      </c>
      <c r="C1354" s="780" t="s">
        <v>222</v>
      </c>
      <c r="D1354" s="780">
        <v>4903</v>
      </c>
      <c r="E1354" s="781">
        <v>897</v>
      </c>
      <c r="F1354" s="781" t="s">
        <v>379</v>
      </c>
      <c r="G1354" s="388">
        <v>941.8</v>
      </c>
      <c r="H1354" s="446">
        <v>2</v>
      </c>
      <c r="I1354" s="446">
        <v>4</v>
      </c>
      <c r="J1354" s="446">
        <v>24</v>
      </c>
      <c r="K1354" s="458" t="s">
        <v>225</v>
      </c>
      <c r="L1354" s="519">
        <f t="shared" si="174"/>
        <v>551906.68999999994</v>
      </c>
      <c r="M1354" s="677">
        <v>532725.07999999996</v>
      </c>
      <c r="N1354" s="675">
        <v>14507.1</v>
      </c>
      <c r="O1354" s="784"/>
      <c r="P1354" s="783"/>
      <c r="Q1354" s="388">
        <v>4674.51</v>
      </c>
      <c r="R1354" s="676">
        <f t="shared" si="177"/>
        <v>22196.87833333333</v>
      </c>
      <c r="T1354" s="393"/>
      <c r="U1354" s="404"/>
      <c r="V1354" s="390"/>
      <c r="Y1354" s="419">
        <f t="shared" si="178"/>
        <v>551906.68999999994</v>
      </c>
      <c r="Z1354" s="419"/>
    </row>
    <row r="1355" spans="1:26" s="403" customFormat="1" ht="37.5" hidden="1">
      <c r="A1355" s="404">
        <f t="shared" si="176"/>
        <v>35</v>
      </c>
      <c r="B1355" s="403" t="s">
        <v>3640</v>
      </c>
      <c r="C1355" s="780" t="s">
        <v>222</v>
      </c>
      <c r="D1355" s="780">
        <v>3500</v>
      </c>
      <c r="E1355" s="781">
        <v>400</v>
      </c>
      <c r="F1355" s="781" t="s">
        <v>229</v>
      </c>
      <c r="G1355" s="388">
        <v>380</v>
      </c>
      <c r="H1355" s="446">
        <v>2</v>
      </c>
      <c r="I1355" s="446">
        <v>1</v>
      </c>
      <c r="J1355" s="446">
        <v>8</v>
      </c>
      <c r="K1355" s="458" t="s">
        <v>225</v>
      </c>
      <c r="L1355" s="519">
        <f t="shared" si="174"/>
        <v>179094.83000000002</v>
      </c>
      <c r="M1355" s="677">
        <v>164898.17000000001</v>
      </c>
      <c r="N1355" s="675">
        <v>13043.46</v>
      </c>
      <c r="O1355" s="678"/>
      <c r="P1355" s="675"/>
      <c r="Q1355" s="388">
        <v>1153.2</v>
      </c>
      <c r="R1355" s="676">
        <f t="shared" si="177"/>
        <v>20612.271250000002</v>
      </c>
      <c r="T1355" s="393"/>
      <c r="U1355" s="404"/>
      <c r="V1355" s="390"/>
      <c r="Y1355" s="419">
        <f t="shared" si="178"/>
        <v>179094.83000000002</v>
      </c>
      <c r="Z1355" s="419"/>
    </row>
    <row r="1356" spans="1:26" s="403" customFormat="1" ht="37.5" hidden="1">
      <c r="A1356" s="404">
        <f t="shared" si="176"/>
        <v>36</v>
      </c>
      <c r="B1356" s="403" t="s">
        <v>3631</v>
      </c>
      <c r="C1356" s="780" t="s">
        <v>222</v>
      </c>
      <c r="D1356" s="780">
        <v>9495</v>
      </c>
      <c r="E1356" s="781">
        <v>1090.2</v>
      </c>
      <c r="F1356" s="781" t="s">
        <v>234</v>
      </c>
      <c r="G1356" s="388">
        <v>1055</v>
      </c>
      <c r="H1356" s="446">
        <v>3</v>
      </c>
      <c r="I1356" s="446">
        <v>3</v>
      </c>
      <c r="J1356" s="446">
        <v>36</v>
      </c>
      <c r="K1356" s="458" t="s">
        <v>225</v>
      </c>
      <c r="L1356" s="519">
        <f t="shared" si="174"/>
        <v>741505.3</v>
      </c>
      <c r="M1356" s="677">
        <v>721211.28</v>
      </c>
      <c r="N1356" s="675">
        <v>14396.66</v>
      </c>
      <c r="O1356" s="784"/>
      <c r="P1356" s="783"/>
      <c r="Q1356" s="388">
        <v>5897.36</v>
      </c>
      <c r="R1356" s="676">
        <f t="shared" si="177"/>
        <v>20033.646666666667</v>
      </c>
      <c r="T1356" s="393"/>
      <c r="U1356" s="404"/>
      <c r="V1356" s="390"/>
      <c r="Y1356" s="419">
        <f t="shared" si="178"/>
        <v>741505.3</v>
      </c>
      <c r="Z1356" s="419"/>
    </row>
    <row r="1357" spans="1:26" s="403" customFormat="1" ht="56.25" hidden="1" customHeight="1">
      <c r="A1357" s="404">
        <f t="shared" si="176"/>
        <v>37</v>
      </c>
      <c r="B1357" s="403" t="s">
        <v>3627</v>
      </c>
      <c r="C1357" s="780" t="s">
        <v>240</v>
      </c>
      <c r="D1357" s="780">
        <v>2220</v>
      </c>
      <c r="E1357" s="781">
        <v>410</v>
      </c>
      <c r="F1357" s="781" t="s">
        <v>252</v>
      </c>
      <c r="G1357" s="388">
        <v>444</v>
      </c>
      <c r="H1357" s="446">
        <v>2</v>
      </c>
      <c r="I1357" s="446">
        <v>1</v>
      </c>
      <c r="J1357" s="446">
        <v>8</v>
      </c>
      <c r="K1357" s="458" t="s">
        <v>30</v>
      </c>
      <c r="L1357" s="519">
        <f t="shared" si="174"/>
        <v>120751.55</v>
      </c>
      <c r="M1357" s="677">
        <v>113608.45</v>
      </c>
      <c r="N1357" s="675"/>
      <c r="O1357" s="784">
        <v>618.1</v>
      </c>
      <c r="P1357" s="783"/>
      <c r="Q1357" s="394">
        <v>6525</v>
      </c>
      <c r="R1357" s="676">
        <f t="shared" si="177"/>
        <v>14201.05625</v>
      </c>
      <c r="T1357" s="393"/>
      <c r="U1357" s="404"/>
      <c r="V1357" s="390"/>
      <c r="Y1357" s="419">
        <f t="shared" si="178"/>
        <v>120751.55</v>
      </c>
      <c r="Z1357" s="419"/>
    </row>
    <row r="1358" spans="1:26" s="403" customFormat="1" ht="56.25" hidden="1" customHeight="1">
      <c r="A1358" s="404">
        <f t="shared" si="176"/>
        <v>38</v>
      </c>
      <c r="B1358" s="403" t="s">
        <v>3630</v>
      </c>
      <c r="C1358" s="780" t="s">
        <v>240</v>
      </c>
      <c r="D1358" s="780">
        <v>4122</v>
      </c>
      <c r="E1358" s="781">
        <v>1026.9000000000001</v>
      </c>
      <c r="F1358" s="781" t="s">
        <v>252</v>
      </c>
      <c r="G1358" s="388">
        <v>824.4</v>
      </c>
      <c r="H1358" s="446">
        <v>2</v>
      </c>
      <c r="I1358" s="446">
        <v>2</v>
      </c>
      <c r="J1358" s="446">
        <v>12</v>
      </c>
      <c r="K1358" s="458" t="s">
        <v>30</v>
      </c>
      <c r="L1358" s="519">
        <f t="shared" si="174"/>
        <v>163764.13999999998</v>
      </c>
      <c r="M1358" s="677">
        <v>151872.9</v>
      </c>
      <c r="N1358" s="675"/>
      <c r="O1358" s="784">
        <v>705.24</v>
      </c>
      <c r="P1358" s="783"/>
      <c r="Q1358" s="394">
        <v>11186</v>
      </c>
      <c r="R1358" s="676">
        <f t="shared" si="177"/>
        <v>12656.074999999999</v>
      </c>
      <c r="T1358" s="393"/>
      <c r="U1358" s="404"/>
      <c r="V1358" s="390"/>
      <c r="Y1358" s="419">
        <f t="shared" si="178"/>
        <v>163764.13999999998</v>
      </c>
      <c r="Z1358" s="419"/>
    </row>
    <row r="1359" spans="1:26" s="403" customFormat="1" ht="56.25" hidden="1" customHeight="1">
      <c r="A1359" s="404">
        <f t="shared" si="176"/>
        <v>39</v>
      </c>
      <c r="B1359" s="403" t="s">
        <v>3632</v>
      </c>
      <c r="C1359" s="780" t="s">
        <v>240</v>
      </c>
      <c r="D1359" s="780">
        <v>3229</v>
      </c>
      <c r="E1359" s="781">
        <v>946</v>
      </c>
      <c r="F1359" s="781" t="s">
        <v>252</v>
      </c>
      <c r="G1359" s="388">
        <v>646</v>
      </c>
      <c r="H1359" s="446">
        <v>2</v>
      </c>
      <c r="I1359" s="446">
        <v>2</v>
      </c>
      <c r="J1359" s="446">
        <v>14</v>
      </c>
      <c r="K1359" s="458" t="s">
        <v>30</v>
      </c>
      <c r="L1359" s="519">
        <f t="shared" si="174"/>
        <v>207903.98</v>
      </c>
      <c r="M1359" s="677">
        <v>200703.17</v>
      </c>
      <c r="N1359" s="675"/>
      <c r="O1359" s="784">
        <v>675.81</v>
      </c>
      <c r="P1359" s="783"/>
      <c r="Q1359" s="394">
        <v>6525</v>
      </c>
      <c r="R1359" s="676">
        <f t="shared" si="177"/>
        <v>14335.940714285714</v>
      </c>
      <c r="T1359" s="393"/>
      <c r="U1359" s="404"/>
      <c r="V1359" s="390"/>
      <c r="Y1359" s="419">
        <f t="shared" si="178"/>
        <v>207903.98</v>
      </c>
      <c r="Z1359" s="419"/>
    </row>
    <row r="1360" spans="1:26" s="403" customFormat="1" ht="56.25" hidden="1" customHeight="1">
      <c r="A1360" s="579">
        <f t="shared" si="176"/>
        <v>40</v>
      </c>
      <c r="B1360" s="410" t="s">
        <v>4242</v>
      </c>
      <c r="C1360" s="785" t="s">
        <v>222</v>
      </c>
      <c r="D1360" s="785">
        <v>9522</v>
      </c>
      <c r="E1360" s="786">
        <v>2070</v>
      </c>
      <c r="F1360" s="786" t="s">
        <v>224</v>
      </c>
      <c r="G1360" s="394">
        <v>529</v>
      </c>
      <c r="H1360" s="616">
        <v>6</v>
      </c>
      <c r="I1360" s="616">
        <v>3</v>
      </c>
      <c r="J1360" s="616">
        <v>48</v>
      </c>
      <c r="K1360" s="554" t="s">
        <v>4243</v>
      </c>
      <c r="L1360" s="547">
        <f t="shared" si="174"/>
        <v>579425</v>
      </c>
      <c r="M1360" s="783">
        <v>579425</v>
      </c>
      <c r="N1360" s="787"/>
      <c r="O1360" s="783"/>
      <c r="P1360" s="394"/>
      <c r="Q1360" s="394"/>
      <c r="R1360" s="676"/>
      <c r="T1360" s="393"/>
      <c r="U1360" s="404"/>
      <c r="V1360" s="390"/>
      <c r="Y1360" s="419">
        <f t="shared" si="178"/>
        <v>579425</v>
      </c>
      <c r="Z1360" s="419"/>
    </row>
    <row r="1361" spans="1:26" s="403" customFormat="1" ht="42.75" hidden="1" customHeight="1">
      <c r="A1361" s="1115" t="s">
        <v>152</v>
      </c>
      <c r="B1361" s="1115"/>
      <c r="C1361" s="455" t="s">
        <v>278</v>
      </c>
      <c r="D1361" s="388">
        <f>SUM(D1321:D1360)</f>
        <v>413470.2</v>
      </c>
      <c r="E1361" s="388">
        <f>SUM(E1321:E1360)</f>
        <v>82877.8</v>
      </c>
      <c r="F1361" s="388" t="s">
        <v>278</v>
      </c>
      <c r="G1361" s="388">
        <f>SUM(G1321:G1360)</f>
        <v>35913.71</v>
      </c>
      <c r="H1361" s="446" t="s">
        <v>278</v>
      </c>
      <c r="I1361" s="446" t="s">
        <v>278</v>
      </c>
      <c r="J1361" s="446">
        <f>SUM(J1321:J1360)</f>
        <v>1856</v>
      </c>
      <c r="K1361" s="458" t="s">
        <v>28</v>
      </c>
      <c r="L1361" s="519">
        <f t="shared" ref="L1361:Q1361" si="179">SUM(L1321:L1360)</f>
        <v>75315765.280000016</v>
      </c>
      <c r="M1361" s="519">
        <f t="shared" si="179"/>
        <v>74053135.300000012</v>
      </c>
      <c r="N1361" s="388">
        <f t="shared" si="179"/>
        <v>1094305.8600000001</v>
      </c>
      <c r="O1361" s="473">
        <f t="shared" si="179"/>
        <v>95632.62999999999</v>
      </c>
      <c r="P1361" s="388">
        <f t="shared" si="179"/>
        <v>0</v>
      </c>
      <c r="Q1361" s="388">
        <f t="shared" si="179"/>
        <v>72691.489999999991</v>
      </c>
      <c r="R1361" s="446" t="s">
        <v>28</v>
      </c>
      <c r="S1361" s="383">
        <f>L1361-M1361-N1361-O1361-P1361-Q1361</f>
        <v>4.0890881791710854E-9</v>
      </c>
      <c r="T1361" s="387" t="e">
        <f>'1.перечень МКД'!#REF!</f>
        <v>#REF!</v>
      </c>
      <c r="U1361" s="390" t="e">
        <f>L1361-T1361</f>
        <v>#REF!</v>
      </c>
      <c r="V1361" s="390"/>
      <c r="Y1361" s="419">
        <f t="shared" si="178"/>
        <v>75315765.280000001</v>
      </c>
      <c r="Z1361" s="419"/>
    </row>
    <row r="1362" spans="1:26" s="403" customFormat="1" ht="42.75" hidden="1" customHeight="1">
      <c r="A1362" s="1113" t="s">
        <v>190</v>
      </c>
      <c r="B1362" s="1113"/>
      <c r="C1362" s="1113"/>
      <c r="D1362" s="1113"/>
      <c r="E1362" s="1113"/>
      <c r="F1362" s="1113"/>
      <c r="G1362" s="1113"/>
      <c r="H1362" s="1113"/>
      <c r="I1362" s="1113"/>
      <c r="J1362" s="1113"/>
      <c r="K1362" s="1113"/>
      <c r="L1362" s="1113"/>
      <c r="M1362" s="1113"/>
      <c r="N1362" s="1113"/>
      <c r="O1362" s="1113"/>
      <c r="P1362" s="1113"/>
      <c r="Q1362" s="1113"/>
      <c r="R1362" s="1113"/>
      <c r="U1362" s="404"/>
      <c r="V1362" s="390"/>
      <c r="Y1362" s="419">
        <f t="shared" si="178"/>
        <v>0</v>
      </c>
      <c r="Z1362" s="419"/>
    </row>
    <row r="1363" spans="1:26" s="403" customFormat="1" ht="37.5" hidden="1">
      <c r="A1363" s="404">
        <v>1</v>
      </c>
      <c r="B1363" s="403" t="s">
        <v>1355</v>
      </c>
      <c r="C1363" s="780" t="s">
        <v>222</v>
      </c>
      <c r="D1363" s="780">
        <v>8919</v>
      </c>
      <c r="E1363" s="781">
        <v>431.2</v>
      </c>
      <c r="F1363" s="781" t="s">
        <v>252</v>
      </c>
      <c r="G1363" s="388">
        <v>1058.4000000000001</v>
      </c>
      <c r="H1363" s="446">
        <v>4</v>
      </c>
      <c r="I1363" s="446">
        <v>1</v>
      </c>
      <c r="J1363" s="446">
        <v>33</v>
      </c>
      <c r="K1363" s="458" t="s">
        <v>33</v>
      </c>
      <c r="L1363" s="519">
        <f>SUM(M1363:Q1363)</f>
        <v>2188050.0699999998</v>
      </c>
      <c r="M1363" s="677">
        <v>2158200.0699999998</v>
      </c>
      <c r="N1363" s="675">
        <v>29850</v>
      </c>
      <c r="O1363" s="678"/>
      <c r="P1363" s="675"/>
      <c r="Q1363" s="388"/>
      <c r="R1363" s="676">
        <f>M1363/G1363</f>
        <v>2039.1157123960693</v>
      </c>
      <c r="U1363" s="404"/>
      <c r="V1363" s="390"/>
      <c r="Y1363" s="419">
        <f t="shared" si="178"/>
        <v>2188050.0699999998</v>
      </c>
      <c r="Z1363" s="419"/>
    </row>
    <row r="1364" spans="1:26" s="403" customFormat="1" ht="37.5" hidden="1">
      <c r="A1364" s="404">
        <v>2</v>
      </c>
      <c r="B1364" s="403" t="s">
        <v>1356</v>
      </c>
      <c r="C1364" s="780" t="s">
        <v>222</v>
      </c>
      <c r="D1364" s="780">
        <v>2313</v>
      </c>
      <c r="E1364" s="781">
        <v>570</v>
      </c>
      <c r="F1364" s="781" t="s">
        <v>252</v>
      </c>
      <c r="G1364" s="388">
        <v>513.9</v>
      </c>
      <c r="H1364" s="446">
        <v>2</v>
      </c>
      <c r="I1364" s="446">
        <v>3</v>
      </c>
      <c r="J1364" s="446">
        <v>12</v>
      </c>
      <c r="K1364" s="458" t="s">
        <v>38</v>
      </c>
      <c r="L1364" s="519">
        <f>SUM(M1364:Q1364)</f>
        <v>910162.32</v>
      </c>
      <c r="M1364" s="677">
        <v>907440</v>
      </c>
      <c r="N1364" s="675"/>
      <c r="O1364" s="678">
        <v>2722.32</v>
      </c>
      <c r="P1364" s="675"/>
      <c r="Q1364" s="388"/>
      <c r="R1364" s="528">
        <f>M1364/E1364</f>
        <v>1592</v>
      </c>
      <c r="U1364" s="404"/>
      <c r="V1364" s="390"/>
      <c r="Y1364" s="419">
        <f t="shared" si="178"/>
        <v>910162.32</v>
      </c>
      <c r="Z1364" s="419"/>
    </row>
    <row r="1365" spans="1:26" s="403" customFormat="1" ht="37.5" hidden="1" customHeight="1">
      <c r="A1365" s="404">
        <v>3</v>
      </c>
      <c r="B1365" s="403" t="s">
        <v>1357</v>
      </c>
      <c r="C1365" s="780" t="s">
        <v>218</v>
      </c>
      <c r="D1365" s="780">
        <v>2915</v>
      </c>
      <c r="E1365" s="781">
        <v>500</v>
      </c>
      <c r="F1365" s="781" t="s">
        <v>228</v>
      </c>
      <c r="G1365" s="388">
        <v>736</v>
      </c>
      <c r="H1365" s="446">
        <v>2</v>
      </c>
      <c r="I1365" s="446">
        <v>3</v>
      </c>
      <c r="J1365" s="446">
        <v>18</v>
      </c>
      <c r="K1365" s="458" t="s">
        <v>253</v>
      </c>
      <c r="L1365" s="1129">
        <f>M1365+N1365+O1365+Q1365+M1366+N1366+O1366+Q1366</f>
        <v>3313705</v>
      </c>
      <c r="M1365" s="677">
        <v>1813805.57</v>
      </c>
      <c r="N1365" s="675">
        <v>34825</v>
      </c>
      <c r="O1365" s="678"/>
      <c r="P1365" s="675"/>
      <c r="Q1365" s="388"/>
      <c r="R1365" s="446">
        <f>M1365/G1365</f>
        <v>2464.4097418478264</v>
      </c>
      <c r="U1365" s="388"/>
      <c r="V1365" s="390"/>
      <c r="Y1365" s="419">
        <f t="shared" si="178"/>
        <v>1848630.57</v>
      </c>
      <c r="Z1365" s="419"/>
    </row>
    <row r="1366" spans="1:26" s="403" customFormat="1" ht="37.5" hidden="1" customHeight="1">
      <c r="A1366" s="404"/>
      <c r="C1366" s="780"/>
      <c r="D1366" s="780"/>
      <c r="E1366" s="781"/>
      <c r="F1366" s="781"/>
      <c r="G1366" s="388"/>
      <c r="H1366" s="446"/>
      <c r="I1366" s="446"/>
      <c r="J1366" s="446"/>
      <c r="K1366" s="458" t="s">
        <v>38</v>
      </c>
      <c r="L1366" s="1129"/>
      <c r="M1366" s="677">
        <v>1465074.43</v>
      </c>
      <c r="N1366" s="675"/>
      <c r="O1366" s="678"/>
      <c r="P1366" s="675"/>
      <c r="Q1366" s="388"/>
      <c r="R1366" s="446"/>
      <c r="U1366" s="404"/>
      <c r="V1366" s="390"/>
      <c r="Y1366" s="419">
        <f t="shared" si="178"/>
        <v>1465074.43</v>
      </c>
      <c r="Z1366" s="419"/>
    </row>
    <row r="1367" spans="1:26" s="403" customFormat="1" ht="37.5" hidden="1" customHeight="1">
      <c r="A1367" s="404">
        <v>4</v>
      </c>
      <c r="B1367" s="403" t="s">
        <v>1358</v>
      </c>
      <c r="C1367" s="780" t="s">
        <v>222</v>
      </c>
      <c r="D1367" s="780">
        <v>3874</v>
      </c>
      <c r="E1367" s="781">
        <v>754.1</v>
      </c>
      <c r="F1367" s="781" t="s">
        <v>252</v>
      </c>
      <c r="G1367" s="388">
        <v>912</v>
      </c>
      <c r="H1367" s="446">
        <v>2</v>
      </c>
      <c r="I1367" s="446">
        <v>3</v>
      </c>
      <c r="J1367" s="446">
        <v>22</v>
      </c>
      <c r="K1367" s="458" t="s">
        <v>33</v>
      </c>
      <c r="L1367" s="519">
        <f>SUM(M1367:Q1367)</f>
        <v>2711947.14</v>
      </c>
      <c r="M1367" s="677">
        <v>2682097.14</v>
      </c>
      <c r="N1367" s="675">
        <v>29850</v>
      </c>
      <c r="O1367" s="678"/>
      <c r="P1367" s="675"/>
      <c r="Q1367" s="388"/>
      <c r="R1367" s="676">
        <f>M1367/G1367</f>
        <v>2940.8959868421052</v>
      </c>
      <c r="U1367" s="404"/>
      <c r="V1367" s="390"/>
      <c r="Y1367" s="419">
        <f t="shared" si="178"/>
        <v>2711947.14</v>
      </c>
      <c r="Z1367" s="419"/>
    </row>
    <row r="1368" spans="1:26" s="403" customFormat="1" ht="42.75" hidden="1" customHeight="1">
      <c r="A1368" s="1112" t="s">
        <v>191</v>
      </c>
      <c r="B1368" s="1112"/>
      <c r="C1368" s="455" t="s">
        <v>28</v>
      </c>
      <c r="D1368" s="388">
        <f>SUM(D1363:D1367)</f>
        <v>18021</v>
      </c>
      <c r="E1368" s="388">
        <f>SUM(E1363:E1367)</f>
        <v>2255.3000000000002</v>
      </c>
      <c r="F1368" s="388" t="s">
        <v>28</v>
      </c>
      <c r="G1368" s="388">
        <f>SUM(G1363:G1367)</f>
        <v>3220.3</v>
      </c>
      <c r="H1368" s="446" t="s">
        <v>28</v>
      </c>
      <c r="I1368" s="446" t="s">
        <v>28</v>
      </c>
      <c r="J1368" s="446">
        <f>SUM(J1363:J1367)</f>
        <v>85</v>
      </c>
      <c r="K1368" s="458" t="s">
        <v>28</v>
      </c>
      <c r="L1368" s="519">
        <f t="shared" ref="L1368:Q1368" si="180">SUM(L1363:L1367)</f>
        <v>9123864.5299999993</v>
      </c>
      <c r="M1368" s="519">
        <f t="shared" si="180"/>
        <v>9026617.209999999</v>
      </c>
      <c r="N1368" s="388">
        <f t="shared" si="180"/>
        <v>94525</v>
      </c>
      <c r="O1368" s="473">
        <f t="shared" si="180"/>
        <v>2722.32</v>
      </c>
      <c r="P1368" s="388">
        <f t="shared" si="180"/>
        <v>0</v>
      </c>
      <c r="Q1368" s="388">
        <f t="shared" si="180"/>
        <v>0</v>
      </c>
      <c r="R1368" s="446" t="s">
        <v>28</v>
      </c>
      <c r="S1368" s="383">
        <f>L1368-M1368-N1368-O1368-P1368-Q1368</f>
        <v>2.97859514830634E-10</v>
      </c>
      <c r="T1368" s="387" t="e">
        <f>'1.перечень МКД'!#REF!</f>
        <v>#REF!</v>
      </c>
      <c r="U1368" s="390" t="e">
        <f>L1368-T1368</f>
        <v>#REF!</v>
      </c>
      <c r="V1368" s="390"/>
      <c r="Y1368" s="419">
        <f t="shared" si="178"/>
        <v>9123864.5299999993</v>
      </c>
      <c r="Z1368" s="419"/>
    </row>
    <row r="1369" spans="1:26" s="403" customFormat="1" ht="42.75" hidden="1" customHeight="1">
      <c r="A1369" s="1113" t="s">
        <v>192</v>
      </c>
      <c r="B1369" s="1113"/>
      <c r="C1369" s="1113"/>
      <c r="D1369" s="1113"/>
      <c r="E1369" s="1113"/>
      <c r="F1369" s="1113"/>
      <c r="G1369" s="1113"/>
      <c r="H1369" s="1113"/>
      <c r="I1369" s="1113"/>
      <c r="J1369" s="1113"/>
      <c r="K1369" s="1113"/>
      <c r="L1369" s="1113"/>
      <c r="M1369" s="1113"/>
      <c r="N1369" s="1113"/>
      <c r="O1369" s="1113"/>
      <c r="P1369" s="1113"/>
      <c r="Q1369" s="1113"/>
      <c r="R1369" s="1113"/>
      <c r="U1369" s="404"/>
      <c r="V1369" s="390"/>
      <c r="Y1369" s="419">
        <f t="shared" si="178"/>
        <v>0</v>
      </c>
      <c r="Z1369" s="419"/>
    </row>
    <row r="1370" spans="1:26" s="403" customFormat="1" ht="37.5" hidden="1">
      <c r="A1370" s="404">
        <v>1</v>
      </c>
      <c r="B1370" s="788" t="s">
        <v>2295</v>
      </c>
      <c r="C1370" s="518" t="s">
        <v>315</v>
      </c>
      <c r="D1370" s="789">
        <v>5675</v>
      </c>
      <c r="E1370" s="539"/>
      <c r="F1370" s="539" t="s">
        <v>304</v>
      </c>
      <c r="G1370" s="790">
        <v>683</v>
      </c>
      <c r="H1370" s="789">
        <v>4</v>
      </c>
      <c r="I1370" s="789">
        <v>1</v>
      </c>
      <c r="J1370" s="599">
        <v>31</v>
      </c>
      <c r="K1370" s="791" t="s">
        <v>253</v>
      </c>
      <c r="L1370" s="519">
        <f>M1370+N1370+O1370+P1370+Q1370</f>
        <v>2517555.79</v>
      </c>
      <c r="M1370" s="792">
        <v>2490690.79</v>
      </c>
      <c r="N1370" s="790">
        <v>26865</v>
      </c>
      <c r="O1370" s="643"/>
      <c r="P1370" s="790"/>
      <c r="Q1370" s="388"/>
      <c r="R1370" s="446">
        <f>M1370/G1370</f>
        <v>3646.692225475842</v>
      </c>
      <c r="U1370" s="404"/>
      <c r="V1370" s="390"/>
      <c r="Y1370" s="419">
        <f t="shared" si="178"/>
        <v>2517555.79</v>
      </c>
      <c r="Z1370" s="419"/>
    </row>
    <row r="1371" spans="1:26" s="403" customFormat="1" ht="37.5" hidden="1">
      <c r="A1371" s="404">
        <v>2</v>
      </c>
      <c r="B1371" s="403" t="s">
        <v>1359</v>
      </c>
      <c r="C1371" s="780" t="s">
        <v>222</v>
      </c>
      <c r="D1371" s="780">
        <v>5821</v>
      </c>
      <c r="E1371" s="781"/>
      <c r="F1371" s="781" t="s">
        <v>223</v>
      </c>
      <c r="G1371" s="388">
        <f>636.2*1.3</f>
        <v>827.06000000000006</v>
      </c>
      <c r="H1371" s="446">
        <v>3</v>
      </c>
      <c r="I1371" s="446">
        <v>1</v>
      </c>
      <c r="J1371" s="446">
        <v>24</v>
      </c>
      <c r="K1371" s="458" t="s">
        <v>33</v>
      </c>
      <c r="L1371" s="519">
        <f>M1371+N1371+O1371+P1371+Q1371</f>
        <v>1824931.36</v>
      </c>
      <c r="M1371" s="677">
        <v>1800056.36</v>
      </c>
      <c r="N1371" s="675">
        <v>24875</v>
      </c>
      <c r="O1371" s="678"/>
      <c r="P1371" s="675"/>
      <c r="Q1371" s="388"/>
      <c r="R1371" s="676">
        <f>M1371/G1371</f>
        <v>2176.4519623727419</v>
      </c>
      <c r="U1371" s="404"/>
      <c r="V1371" s="390"/>
      <c r="Y1371" s="419">
        <f t="shared" si="178"/>
        <v>1824931.36</v>
      </c>
      <c r="Z1371" s="419"/>
    </row>
    <row r="1372" spans="1:26" s="403" customFormat="1" ht="42.75" hidden="1" customHeight="1">
      <c r="A1372" s="1112" t="s">
        <v>193</v>
      </c>
      <c r="B1372" s="1112"/>
      <c r="C1372" s="455" t="s">
        <v>28</v>
      </c>
      <c r="D1372" s="388">
        <v>1510.06</v>
      </c>
      <c r="E1372" s="388">
        <f>SUM(E1370:E1371)</f>
        <v>0</v>
      </c>
      <c r="F1372" s="388" t="s">
        <v>28</v>
      </c>
      <c r="G1372" s="388">
        <f>SUM(G1370:G1371)</f>
        <v>1510.06</v>
      </c>
      <c r="H1372" s="446" t="s">
        <v>28</v>
      </c>
      <c r="I1372" s="446" t="s">
        <v>28</v>
      </c>
      <c r="J1372" s="446">
        <f>SUM(J1370:J1371)</f>
        <v>55</v>
      </c>
      <c r="K1372" s="458" t="s">
        <v>28</v>
      </c>
      <c r="L1372" s="519">
        <f t="shared" ref="L1372:Q1372" si="181">SUM(L1370:L1371)</f>
        <v>4342487.1500000004</v>
      </c>
      <c r="M1372" s="519">
        <f t="shared" si="181"/>
        <v>4290747.1500000004</v>
      </c>
      <c r="N1372" s="388">
        <f t="shared" si="181"/>
        <v>51740</v>
      </c>
      <c r="O1372" s="473">
        <f t="shared" si="181"/>
        <v>0</v>
      </c>
      <c r="P1372" s="388">
        <f t="shared" si="181"/>
        <v>0</v>
      </c>
      <c r="Q1372" s="388">
        <f t="shared" si="181"/>
        <v>0</v>
      </c>
      <c r="R1372" s="446" t="s">
        <v>28</v>
      </c>
      <c r="S1372" s="383">
        <f>L1372-M1372-N1372-O1372-P1372-Q1372</f>
        <v>0</v>
      </c>
      <c r="T1372" s="387" t="e">
        <f>'1.перечень МКД'!#REF!</f>
        <v>#REF!</v>
      </c>
      <c r="U1372" s="390" t="e">
        <f>L1372-T1372</f>
        <v>#REF!</v>
      </c>
      <c r="V1372" s="390"/>
      <c r="Y1372" s="419">
        <f t="shared" si="178"/>
        <v>4342487.1500000004</v>
      </c>
      <c r="Z1372" s="419"/>
    </row>
    <row r="1373" spans="1:26" s="403" customFormat="1" ht="42.75" hidden="1" customHeight="1">
      <c r="A1373" s="1113" t="s">
        <v>194</v>
      </c>
      <c r="B1373" s="1113"/>
      <c r="C1373" s="1113"/>
      <c r="D1373" s="1113"/>
      <c r="E1373" s="1113"/>
      <c r="F1373" s="1113"/>
      <c r="G1373" s="1113"/>
      <c r="H1373" s="1113"/>
      <c r="I1373" s="1113"/>
      <c r="J1373" s="1113"/>
      <c r="K1373" s="1113"/>
      <c r="L1373" s="1113"/>
      <c r="M1373" s="1113"/>
      <c r="N1373" s="1113"/>
      <c r="O1373" s="1113"/>
      <c r="P1373" s="1113"/>
      <c r="Q1373" s="1113"/>
      <c r="R1373" s="1113"/>
      <c r="U1373" s="404"/>
      <c r="V1373" s="390"/>
      <c r="Y1373" s="419">
        <f t="shared" si="178"/>
        <v>0</v>
      </c>
      <c r="Z1373" s="419"/>
    </row>
    <row r="1374" spans="1:26" s="403" customFormat="1" ht="37.5" hidden="1">
      <c r="A1374" s="404">
        <v>1</v>
      </c>
      <c r="B1374" s="403" t="s">
        <v>1360</v>
      </c>
      <c r="C1374" s="780" t="s">
        <v>222</v>
      </c>
      <c r="D1374" s="780">
        <v>750</v>
      </c>
      <c r="E1374" s="781">
        <v>168.66</v>
      </c>
      <c r="F1374" s="781" t="s">
        <v>252</v>
      </c>
      <c r="G1374" s="388">
        <v>250.33</v>
      </c>
      <c r="H1374" s="446">
        <v>2</v>
      </c>
      <c r="I1374" s="446">
        <v>1</v>
      </c>
      <c r="J1374" s="446">
        <v>8</v>
      </c>
      <c r="K1374" s="458" t="s">
        <v>33</v>
      </c>
      <c r="L1374" s="519">
        <f>M1374+N1374+O1374+P1374+Q1374</f>
        <v>757428.26</v>
      </c>
      <c r="M1374" s="677">
        <f>665957.53+66595.73</f>
        <v>732553.26</v>
      </c>
      <c r="N1374" s="675">
        <v>24875</v>
      </c>
      <c r="O1374" s="678"/>
      <c r="P1374" s="675"/>
      <c r="Q1374" s="388"/>
      <c r="R1374" s="676">
        <f>M1374/G1374</f>
        <v>2926.3502576598889</v>
      </c>
      <c r="U1374" s="404"/>
      <c r="V1374" s="390"/>
      <c r="Y1374" s="419">
        <f t="shared" si="178"/>
        <v>757428.26</v>
      </c>
      <c r="Z1374" s="419"/>
    </row>
    <row r="1375" spans="1:26" s="403" customFormat="1" ht="56.25" hidden="1" customHeight="1">
      <c r="A1375" s="404">
        <f>A1374+1</f>
        <v>2</v>
      </c>
      <c r="B1375" s="403" t="s">
        <v>1361</v>
      </c>
      <c r="C1375" s="780" t="s">
        <v>222</v>
      </c>
      <c r="D1375" s="780"/>
      <c r="E1375" s="781">
        <v>236.88</v>
      </c>
      <c r="F1375" s="781" t="s">
        <v>252</v>
      </c>
      <c r="G1375" s="388">
        <v>280.44</v>
      </c>
      <c r="H1375" s="446">
        <v>2</v>
      </c>
      <c r="I1375" s="446">
        <v>1</v>
      </c>
      <c r="J1375" s="446">
        <v>8</v>
      </c>
      <c r="K1375" s="458" t="s">
        <v>30</v>
      </c>
      <c r="L1375" s="519">
        <f>M1375+N1375+O1375+P1375+Q1375</f>
        <v>34847.599999999999</v>
      </c>
      <c r="M1375" s="751">
        <v>34370</v>
      </c>
      <c r="N1375" s="675"/>
      <c r="O1375" s="473">
        <v>477.6</v>
      </c>
      <c r="P1375" s="646"/>
      <c r="Q1375" s="388"/>
      <c r="R1375" s="676">
        <f>M1375/J1375</f>
        <v>4296.25</v>
      </c>
      <c r="U1375" s="404"/>
      <c r="V1375" s="390"/>
      <c r="Y1375" s="419">
        <f t="shared" si="178"/>
        <v>34847.599999999999</v>
      </c>
      <c r="Z1375" s="419"/>
    </row>
    <row r="1376" spans="1:26" s="403" customFormat="1" ht="56.25" hidden="1" customHeight="1">
      <c r="A1376" s="404">
        <f>A1375+1</f>
        <v>3</v>
      </c>
      <c r="B1376" s="403" t="s">
        <v>1362</v>
      </c>
      <c r="C1376" s="780" t="s">
        <v>222</v>
      </c>
      <c r="D1376" s="780"/>
      <c r="E1376" s="781">
        <v>349.92</v>
      </c>
      <c r="F1376" s="781" t="s">
        <v>231</v>
      </c>
      <c r="G1376" s="388">
        <v>626.04</v>
      </c>
      <c r="H1376" s="446">
        <v>2</v>
      </c>
      <c r="I1376" s="446">
        <v>2</v>
      </c>
      <c r="J1376" s="446">
        <v>16</v>
      </c>
      <c r="K1376" s="458" t="s">
        <v>30</v>
      </c>
      <c r="L1376" s="519">
        <f>M1376+N1376+O1376+P1376+Q1376</f>
        <v>208955.85</v>
      </c>
      <c r="M1376" s="751">
        <v>208000.65</v>
      </c>
      <c r="N1376" s="675"/>
      <c r="O1376" s="473">
        <v>955.2</v>
      </c>
      <c r="P1376" s="646"/>
      <c r="Q1376" s="388"/>
      <c r="R1376" s="676">
        <f>M1376/J1376</f>
        <v>13000.040625</v>
      </c>
      <c r="U1376" s="404"/>
      <c r="V1376" s="390"/>
      <c r="Y1376" s="419">
        <f t="shared" si="178"/>
        <v>208955.85</v>
      </c>
      <c r="Z1376" s="419"/>
    </row>
    <row r="1377" spans="1:26" s="403" customFormat="1" ht="37.5" hidden="1">
      <c r="A1377" s="404">
        <f>A1374+1</f>
        <v>2</v>
      </c>
      <c r="B1377" s="403" t="s">
        <v>1363</v>
      </c>
      <c r="C1377" s="780" t="s">
        <v>222</v>
      </c>
      <c r="D1377" s="780">
        <v>1480</v>
      </c>
      <c r="E1377" s="781">
        <v>371.88</v>
      </c>
      <c r="F1377" s="781" t="s">
        <v>252</v>
      </c>
      <c r="G1377" s="388">
        <v>647.67999999999995</v>
      </c>
      <c r="H1377" s="446">
        <v>2</v>
      </c>
      <c r="I1377" s="446">
        <v>2</v>
      </c>
      <c r="J1377" s="446">
        <v>16</v>
      </c>
      <c r="K1377" s="458" t="s">
        <v>33</v>
      </c>
      <c r="L1377" s="519">
        <f>M1377+N1377+O1377+P1377+Q1377</f>
        <v>1924961.17</v>
      </c>
      <c r="M1377" s="677">
        <f>1722828.8+172282.37</f>
        <v>1895111.17</v>
      </c>
      <c r="N1377" s="675">
        <v>29850</v>
      </c>
      <c r="O1377" s="678"/>
      <c r="P1377" s="675"/>
      <c r="Q1377" s="388"/>
      <c r="R1377" s="676">
        <f>M1377/G1377</f>
        <v>2925.999212574111</v>
      </c>
      <c r="T1377" s="393"/>
      <c r="U1377" s="404"/>
      <c r="V1377" s="390"/>
      <c r="Y1377" s="419">
        <f t="shared" si="178"/>
        <v>1924961.17</v>
      </c>
      <c r="Z1377" s="419"/>
    </row>
    <row r="1378" spans="1:26" s="403" customFormat="1" ht="42.75" hidden="1" customHeight="1">
      <c r="A1378" s="1112" t="s">
        <v>195</v>
      </c>
      <c r="B1378" s="1112"/>
      <c r="C1378" s="455" t="s">
        <v>28</v>
      </c>
      <c r="D1378" s="388">
        <f>SUM(D1374:D1374)</f>
        <v>750</v>
      </c>
      <c r="E1378" s="388">
        <f>SUM(E1374:E1377)</f>
        <v>1127.3400000000001</v>
      </c>
      <c r="F1378" s="388" t="s">
        <v>28</v>
      </c>
      <c r="G1378" s="388">
        <f>SUM(G1374:G1377)</f>
        <v>1804.4899999999998</v>
      </c>
      <c r="H1378" s="446" t="s">
        <v>28</v>
      </c>
      <c r="I1378" s="446" t="s">
        <v>28</v>
      </c>
      <c r="J1378" s="446">
        <f>SUM(J1374:J1377)</f>
        <v>48</v>
      </c>
      <c r="K1378" s="458" t="s">
        <v>28</v>
      </c>
      <c r="L1378" s="519">
        <f t="shared" ref="L1378:Q1378" si="182">SUM(L1374:L1377)</f>
        <v>2926192.88</v>
      </c>
      <c r="M1378" s="519">
        <f t="shared" si="182"/>
        <v>2870035.08</v>
      </c>
      <c r="N1378" s="388">
        <f t="shared" si="182"/>
        <v>54725</v>
      </c>
      <c r="O1378" s="473">
        <f t="shared" si="182"/>
        <v>1432.8000000000002</v>
      </c>
      <c r="P1378" s="388">
        <f t="shared" si="182"/>
        <v>0</v>
      </c>
      <c r="Q1378" s="388">
        <f t="shared" si="182"/>
        <v>0</v>
      </c>
      <c r="R1378" s="446" t="s">
        <v>28</v>
      </c>
      <c r="S1378" s="383">
        <f>L1378-M1378-N1378-O1378-P1378-Q1378</f>
        <v>-1.8644641386345029E-10</v>
      </c>
      <c r="T1378" s="387" t="e">
        <f>'1.перечень МКД'!#REF!</f>
        <v>#REF!</v>
      </c>
      <c r="U1378" s="390" t="e">
        <f>L1378-T1378</f>
        <v>#REF!</v>
      </c>
      <c r="V1378" s="390"/>
      <c r="Y1378" s="419">
        <f t="shared" si="178"/>
        <v>2926192.88</v>
      </c>
      <c r="Z1378" s="419"/>
    </row>
    <row r="1379" spans="1:26" s="403" customFormat="1" ht="42.75" hidden="1" customHeight="1">
      <c r="A1379" s="1113" t="s">
        <v>196</v>
      </c>
      <c r="B1379" s="1113"/>
      <c r="C1379" s="1113"/>
      <c r="D1379" s="1113"/>
      <c r="E1379" s="1113"/>
      <c r="F1379" s="1113"/>
      <c r="G1379" s="1113"/>
      <c r="H1379" s="1113"/>
      <c r="I1379" s="1113"/>
      <c r="J1379" s="1113"/>
      <c r="K1379" s="1113"/>
      <c r="L1379" s="1113"/>
      <c r="M1379" s="1113"/>
      <c r="N1379" s="1113"/>
      <c r="O1379" s="1113"/>
      <c r="P1379" s="1113"/>
      <c r="Q1379" s="1113"/>
      <c r="R1379" s="1113"/>
      <c r="U1379" s="404"/>
      <c r="V1379" s="390"/>
      <c r="Y1379" s="419">
        <f t="shared" si="178"/>
        <v>0</v>
      </c>
      <c r="Z1379" s="419"/>
    </row>
    <row r="1380" spans="1:26" s="403" customFormat="1" ht="37.5" hidden="1">
      <c r="A1380" s="404">
        <v>1</v>
      </c>
      <c r="B1380" s="403" t="s">
        <v>1364</v>
      </c>
      <c r="C1380" s="780" t="s">
        <v>381</v>
      </c>
      <c r="D1380" s="780">
        <v>18492</v>
      </c>
      <c r="E1380" s="781">
        <v>3548</v>
      </c>
      <c r="F1380" s="781" t="s">
        <v>310</v>
      </c>
      <c r="G1380" s="388">
        <v>1472</v>
      </c>
      <c r="H1380" s="446">
        <v>5</v>
      </c>
      <c r="I1380" s="446">
        <v>6</v>
      </c>
      <c r="J1380" s="446">
        <v>90</v>
      </c>
      <c r="K1380" s="458" t="s">
        <v>33</v>
      </c>
      <c r="L1380" s="519">
        <f t="shared" ref="L1380:L1392" si="183">M1380+N1380+O1380+P1380+Q1380</f>
        <v>2952647.75</v>
      </c>
      <c r="M1380" s="677">
        <v>2943420.12</v>
      </c>
      <c r="N1380" s="675"/>
      <c r="O1380" s="678">
        <v>9227.6299999999992</v>
      </c>
      <c r="P1380" s="675"/>
      <c r="Q1380" s="388"/>
      <c r="R1380" s="676">
        <f>M1380/G1380</f>
        <v>1999.6060597826088</v>
      </c>
      <c r="S1380" s="393">
        <f t="shared" ref="S1380:S1399" si="184">L1380-M1380-N1380-O1380-P1380-Q1380</f>
        <v>-1.1095835361629725E-10</v>
      </c>
      <c r="U1380" s="404"/>
      <c r="V1380" s="390"/>
      <c r="Y1380" s="419">
        <f t="shared" si="178"/>
        <v>2952647.75</v>
      </c>
      <c r="Z1380" s="419"/>
    </row>
    <row r="1381" spans="1:26" s="403" customFormat="1" ht="56.25" hidden="1">
      <c r="A1381" s="404">
        <f t="shared" ref="A1381:A1400" si="185">A1380+1</f>
        <v>2</v>
      </c>
      <c r="B1381" s="403" t="s">
        <v>1365</v>
      </c>
      <c r="C1381" s="780" t="s">
        <v>382</v>
      </c>
      <c r="D1381" s="780">
        <v>14740</v>
      </c>
      <c r="E1381" s="781">
        <v>2468</v>
      </c>
      <c r="F1381" s="781" t="s">
        <v>310</v>
      </c>
      <c r="G1381" s="388">
        <v>1039</v>
      </c>
      <c r="H1381" s="446">
        <v>5</v>
      </c>
      <c r="I1381" s="446">
        <v>2</v>
      </c>
      <c r="J1381" s="446">
        <v>67</v>
      </c>
      <c r="K1381" s="458" t="s">
        <v>33</v>
      </c>
      <c r="L1381" s="519">
        <f t="shared" si="183"/>
        <v>2177503.77</v>
      </c>
      <c r="M1381" s="677">
        <v>2170990.5</v>
      </c>
      <c r="N1381" s="675"/>
      <c r="O1381" s="678">
        <v>6513.27</v>
      </c>
      <c r="P1381" s="675"/>
      <c r="Q1381" s="388"/>
      <c r="R1381" s="676">
        <f>M1381/G1381</f>
        <v>2089.5</v>
      </c>
      <c r="S1381" s="393">
        <f t="shared" si="184"/>
        <v>1.8189894035458565E-11</v>
      </c>
      <c r="U1381" s="404"/>
      <c r="V1381" s="390"/>
      <c r="Y1381" s="419">
        <f t="shared" si="178"/>
        <v>2177503.77</v>
      </c>
      <c r="Z1381" s="419"/>
    </row>
    <row r="1382" spans="1:26" s="403" customFormat="1" ht="56.25" hidden="1">
      <c r="A1382" s="404">
        <f t="shared" si="185"/>
        <v>3</v>
      </c>
      <c r="B1382" s="403" t="s">
        <v>1366</v>
      </c>
      <c r="C1382" s="780" t="s">
        <v>383</v>
      </c>
      <c r="D1382" s="780">
        <v>124967</v>
      </c>
      <c r="E1382" s="781">
        <v>17290</v>
      </c>
      <c r="F1382" s="781" t="s">
        <v>310</v>
      </c>
      <c r="G1382" s="388">
        <v>5487.9</v>
      </c>
      <c r="H1382" s="446">
        <v>9</v>
      </c>
      <c r="I1382" s="446">
        <v>12</v>
      </c>
      <c r="J1382" s="446">
        <v>384</v>
      </c>
      <c r="K1382" s="458" t="s">
        <v>220</v>
      </c>
      <c r="L1382" s="519">
        <f t="shared" si="183"/>
        <v>3986016.26</v>
      </c>
      <c r="M1382" s="677">
        <v>3880297.51</v>
      </c>
      <c r="N1382" s="675">
        <v>105718.75</v>
      </c>
      <c r="O1382" s="678"/>
      <c r="P1382" s="675"/>
      <c r="Q1382" s="388"/>
      <c r="R1382" s="676">
        <f>M1382/2</f>
        <v>1940148.7549999999</v>
      </c>
      <c r="S1382" s="393">
        <f t="shared" si="184"/>
        <v>0</v>
      </c>
      <c r="U1382" s="404"/>
      <c r="V1382" s="390"/>
      <c r="Y1382" s="419">
        <f t="shared" si="178"/>
        <v>3986016.26</v>
      </c>
      <c r="Z1382" s="419"/>
    </row>
    <row r="1383" spans="1:26" s="403" customFormat="1" ht="37.5" hidden="1">
      <c r="A1383" s="404">
        <f t="shared" si="185"/>
        <v>4</v>
      </c>
      <c r="B1383" s="403" t="s">
        <v>1367</v>
      </c>
      <c r="C1383" s="780" t="s">
        <v>384</v>
      </c>
      <c r="D1383" s="780">
        <v>108729</v>
      </c>
      <c r="E1383" s="781">
        <v>22984</v>
      </c>
      <c r="F1383" s="781" t="s">
        <v>310</v>
      </c>
      <c r="G1383" s="388">
        <v>4085</v>
      </c>
      <c r="H1383" s="446">
        <v>9</v>
      </c>
      <c r="I1383" s="446">
        <v>13</v>
      </c>
      <c r="J1383" s="446">
        <v>491</v>
      </c>
      <c r="K1383" s="458" t="s">
        <v>220</v>
      </c>
      <c r="L1383" s="519">
        <f t="shared" si="183"/>
        <v>3977879.55</v>
      </c>
      <c r="M1383" s="677">
        <v>3872160.8</v>
      </c>
      <c r="N1383" s="675">
        <v>105718.75</v>
      </c>
      <c r="O1383" s="678"/>
      <c r="P1383" s="675"/>
      <c r="Q1383" s="388"/>
      <c r="R1383" s="676">
        <f>M1383/2</f>
        <v>1936080.4</v>
      </c>
      <c r="S1383" s="393">
        <f t="shared" si="184"/>
        <v>0</v>
      </c>
      <c r="U1383" s="404"/>
      <c r="V1383" s="390"/>
      <c r="Y1383" s="419">
        <f t="shared" si="178"/>
        <v>3977879.55</v>
      </c>
      <c r="Z1383" s="419"/>
    </row>
    <row r="1384" spans="1:26" s="403" customFormat="1" ht="56.25" hidden="1">
      <c r="A1384" s="404">
        <f t="shared" si="185"/>
        <v>5</v>
      </c>
      <c r="B1384" s="403" t="s">
        <v>1368</v>
      </c>
      <c r="C1384" s="780" t="s">
        <v>385</v>
      </c>
      <c r="D1384" s="780">
        <v>22310</v>
      </c>
      <c r="E1384" s="781">
        <v>3305</v>
      </c>
      <c r="F1384" s="781" t="s">
        <v>252</v>
      </c>
      <c r="G1384" s="388">
        <v>1630</v>
      </c>
      <c r="H1384" s="446">
        <v>5</v>
      </c>
      <c r="I1384" s="446">
        <v>6</v>
      </c>
      <c r="J1384" s="446">
        <v>100</v>
      </c>
      <c r="K1384" s="458" t="s">
        <v>239</v>
      </c>
      <c r="L1384" s="519">
        <f t="shared" si="183"/>
        <v>1869389.46</v>
      </c>
      <c r="M1384" s="677">
        <v>1829589.46</v>
      </c>
      <c r="N1384" s="675">
        <v>39800</v>
      </c>
      <c r="O1384" s="678"/>
      <c r="P1384" s="675"/>
      <c r="Q1384" s="388"/>
      <c r="R1384" s="676">
        <f>M1384/J1384</f>
        <v>18295.8946</v>
      </c>
      <c r="S1384" s="393">
        <f t="shared" si="184"/>
        <v>0</v>
      </c>
      <c r="U1384" s="404"/>
      <c r="V1384" s="390"/>
      <c r="Y1384" s="419">
        <f t="shared" si="178"/>
        <v>1869389.46</v>
      </c>
      <c r="Z1384" s="419"/>
    </row>
    <row r="1385" spans="1:26" s="403" customFormat="1" ht="56.25" hidden="1">
      <c r="A1385" s="404">
        <f t="shared" si="185"/>
        <v>6</v>
      </c>
      <c r="B1385" s="403" t="s">
        <v>1369</v>
      </c>
      <c r="C1385" s="780" t="s">
        <v>386</v>
      </c>
      <c r="D1385" s="780">
        <v>21782</v>
      </c>
      <c r="E1385" s="781">
        <v>5250</v>
      </c>
      <c r="F1385" s="781" t="s">
        <v>310</v>
      </c>
      <c r="G1385" s="388">
        <v>1815.6</v>
      </c>
      <c r="H1385" s="446">
        <v>5</v>
      </c>
      <c r="I1385" s="446">
        <v>9</v>
      </c>
      <c r="J1385" s="446">
        <v>135</v>
      </c>
      <c r="K1385" s="458" t="s">
        <v>33</v>
      </c>
      <c r="L1385" s="519">
        <f t="shared" si="183"/>
        <v>4124501.71</v>
      </c>
      <c r="M1385" s="677">
        <v>4113662.18</v>
      </c>
      <c r="N1385" s="675"/>
      <c r="O1385" s="678">
        <v>10839.53</v>
      </c>
      <c r="P1385" s="675"/>
      <c r="Q1385" s="388"/>
      <c r="R1385" s="676">
        <f>M1385/G1385</f>
        <v>2265.731537783653</v>
      </c>
      <c r="S1385" s="393">
        <f t="shared" si="184"/>
        <v>-2.0554580260068178E-10</v>
      </c>
      <c r="U1385" s="404"/>
      <c r="V1385" s="390"/>
      <c r="Y1385" s="419">
        <f t="shared" si="178"/>
        <v>4124501.71</v>
      </c>
      <c r="Z1385" s="419"/>
    </row>
    <row r="1386" spans="1:26" s="403" customFormat="1" ht="56.25" hidden="1">
      <c r="A1386" s="404">
        <f t="shared" si="185"/>
        <v>7</v>
      </c>
      <c r="B1386" s="403" t="s">
        <v>1370</v>
      </c>
      <c r="C1386" s="780" t="s">
        <v>387</v>
      </c>
      <c r="D1386" s="780">
        <v>25990</v>
      </c>
      <c r="E1386" s="781">
        <v>5250</v>
      </c>
      <c r="F1386" s="781" t="s">
        <v>310</v>
      </c>
      <c r="G1386" s="388">
        <v>1849.8</v>
      </c>
      <c r="H1386" s="446">
        <v>5</v>
      </c>
      <c r="I1386" s="446">
        <v>9</v>
      </c>
      <c r="J1386" s="446">
        <v>135</v>
      </c>
      <c r="K1386" s="458" t="s">
        <v>33</v>
      </c>
      <c r="L1386" s="519">
        <f t="shared" si="183"/>
        <v>4076236.37</v>
      </c>
      <c r="M1386" s="677">
        <v>4065192.87</v>
      </c>
      <c r="N1386" s="675"/>
      <c r="O1386" s="678">
        <v>11043.5</v>
      </c>
      <c r="P1386" s="675"/>
      <c r="Q1386" s="388"/>
      <c r="R1386" s="676">
        <f>M1386/G1386</f>
        <v>2197.6391339604284</v>
      </c>
      <c r="S1386" s="393">
        <f t="shared" si="184"/>
        <v>0</v>
      </c>
      <c r="U1386" s="404"/>
      <c r="V1386" s="390"/>
      <c r="Y1386" s="419">
        <f t="shared" si="178"/>
        <v>4076236.37</v>
      </c>
      <c r="Z1386" s="419"/>
    </row>
    <row r="1387" spans="1:26" s="403" customFormat="1" ht="56.25" hidden="1" customHeight="1">
      <c r="A1387" s="404">
        <f t="shared" si="185"/>
        <v>8</v>
      </c>
      <c r="B1387" s="403" t="s">
        <v>1371</v>
      </c>
      <c r="C1387" s="780" t="s">
        <v>3576</v>
      </c>
      <c r="D1387" s="780">
        <v>2824</v>
      </c>
      <c r="E1387" s="781">
        <v>646.5</v>
      </c>
      <c r="F1387" s="781" t="s">
        <v>3577</v>
      </c>
      <c r="G1387" s="388">
        <v>548</v>
      </c>
      <c r="H1387" s="446">
        <v>2</v>
      </c>
      <c r="I1387" s="446">
        <v>2</v>
      </c>
      <c r="J1387" s="446">
        <v>16</v>
      </c>
      <c r="K1387" s="458" t="s">
        <v>30</v>
      </c>
      <c r="L1387" s="519">
        <f t="shared" si="183"/>
        <v>428951.52</v>
      </c>
      <c r="M1387" s="677">
        <v>427662</v>
      </c>
      <c r="N1387" s="675"/>
      <c r="O1387" s="678">
        <v>1289.52</v>
      </c>
      <c r="P1387" s="675"/>
      <c r="Q1387" s="388"/>
      <c r="R1387" s="676">
        <f>M1387/J1387</f>
        <v>26728.875</v>
      </c>
      <c r="S1387" s="393">
        <f t="shared" si="184"/>
        <v>1.8644641386345029E-11</v>
      </c>
      <c r="U1387" s="404"/>
      <c r="V1387" s="390"/>
      <c r="Y1387" s="419">
        <f t="shared" si="178"/>
        <v>428951.52</v>
      </c>
      <c r="Z1387" s="419"/>
    </row>
    <row r="1388" spans="1:26" s="403" customFormat="1" ht="37.5" hidden="1" customHeight="1">
      <c r="A1388" s="404">
        <f t="shared" si="185"/>
        <v>9</v>
      </c>
      <c r="B1388" s="403" t="s">
        <v>1372</v>
      </c>
      <c r="C1388" s="780" t="s">
        <v>388</v>
      </c>
      <c r="D1388" s="780">
        <v>2980</v>
      </c>
      <c r="E1388" s="781">
        <v>631.20000000000005</v>
      </c>
      <c r="F1388" s="781" t="s">
        <v>252</v>
      </c>
      <c r="G1388" s="388">
        <v>632</v>
      </c>
      <c r="H1388" s="446">
        <v>2</v>
      </c>
      <c r="I1388" s="446">
        <v>2</v>
      </c>
      <c r="J1388" s="446">
        <v>16</v>
      </c>
      <c r="K1388" s="458" t="s">
        <v>33</v>
      </c>
      <c r="L1388" s="519">
        <f t="shared" si="183"/>
        <v>1144011.6600000001</v>
      </c>
      <c r="M1388" s="677">
        <v>1114161.6600000001</v>
      </c>
      <c r="N1388" s="675">
        <v>29850</v>
      </c>
      <c r="O1388" s="678"/>
      <c r="P1388" s="675"/>
      <c r="Q1388" s="388"/>
      <c r="R1388" s="676">
        <f>M1388/G1388</f>
        <v>1762.9140189873419</v>
      </c>
      <c r="S1388" s="393">
        <f t="shared" si="184"/>
        <v>0</v>
      </c>
      <c r="U1388" s="404"/>
      <c r="V1388" s="390"/>
      <c r="Y1388" s="419">
        <f t="shared" si="178"/>
        <v>1144011.6600000001</v>
      </c>
      <c r="Z1388" s="419"/>
    </row>
    <row r="1389" spans="1:26" s="403" customFormat="1" ht="56.25" hidden="1" customHeight="1">
      <c r="A1389" s="404">
        <f t="shared" si="185"/>
        <v>10</v>
      </c>
      <c r="B1389" s="403" t="s">
        <v>1373</v>
      </c>
      <c r="C1389" s="780" t="s">
        <v>3578</v>
      </c>
      <c r="D1389" s="780">
        <v>3071</v>
      </c>
      <c r="E1389" s="781">
        <v>687.7</v>
      </c>
      <c r="F1389" s="781" t="s">
        <v>252</v>
      </c>
      <c r="G1389" s="388">
        <v>640</v>
      </c>
      <c r="H1389" s="446">
        <v>2</v>
      </c>
      <c r="I1389" s="446">
        <v>2</v>
      </c>
      <c r="J1389" s="446">
        <v>16</v>
      </c>
      <c r="K1389" s="458" t="s">
        <v>3628</v>
      </c>
      <c r="L1389" s="519">
        <f t="shared" si="183"/>
        <v>230870.2</v>
      </c>
      <c r="M1389" s="677">
        <v>229915</v>
      </c>
      <c r="N1389" s="675"/>
      <c r="O1389" s="678">
        <v>955.2</v>
      </c>
      <c r="P1389" s="675"/>
      <c r="Q1389" s="388"/>
      <c r="R1389" s="676">
        <f>M1389/J1389</f>
        <v>14369.6875</v>
      </c>
      <c r="S1389" s="393">
        <f t="shared" si="184"/>
        <v>1.1596057447604835E-11</v>
      </c>
      <c r="U1389" s="404"/>
      <c r="V1389" s="390"/>
      <c r="Y1389" s="419">
        <f t="shared" si="178"/>
        <v>230870.2</v>
      </c>
      <c r="Z1389" s="419"/>
    </row>
    <row r="1390" spans="1:26" s="403" customFormat="1" ht="56.25" hidden="1">
      <c r="A1390" s="404">
        <f t="shared" si="185"/>
        <v>11</v>
      </c>
      <c r="B1390" s="403" t="s">
        <v>1374</v>
      </c>
      <c r="C1390" s="780" t="s">
        <v>387</v>
      </c>
      <c r="D1390" s="780">
        <v>20010</v>
      </c>
      <c r="E1390" s="781">
        <v>4097</v>
      </c>
      <c r="F1390" s="781" t="s">
        <v>310</v>
      </c>
      <c r="G1390" s="388">
        <v>859</v>
      </c>
      <c r="H1390" s="446">
        <v>9</v>
      </c>
      <c r="I1390" s="446">
        <v>1</v>
      </c>
      <c r="J1390" s="446">
        <v>113</v>
      </c>
      <c r="K1390" s="458" t="s">
        <v>220</v>
      </c>
      <c r="L1390" s="519">
        <f t="shared" si="183"/>
        <v>2040953.58</v>
      </c>
      <c r="M1390" s="677">
        <v>1956378.58</v>
      </c>
      <c r="N1390" s="675">
        <v>84575</v>
      </c>
      <c r="O1390" s="678"/>
      <c r="P1390" s="675"/>
      <c r="Q1390" s="388"/>
      <c r="R1390" s="676">
        <f>M1390/I1390</f>
        <v>1956378.58</v>
      </c>
      <c r="S1390" s="393">
        <f t="shared" si="184"/>
        <v>0</v>
      </c>
      <c r="U1390" s="404"/>
      <c r="V1390" s="390"/>
      <c r="Y1390" s="419">
        <f t="shared" si="178"/>
        <v>2040953.58</v>
      </c>
      <c r="Z1390" s="419"/>
    </row>
    <row r="1391" spans="1:26" s="403" customFormat="1" ht="56.25" hidden="1">
      <c r="A1391" s="404">
        <f t="shared" si="185"/>
        <v>12</v>
      </c>
      <c r="B1391" s="403" t="s">
        <v>1375</v>
      </c>
      <c r="C1391" s="780" t="s">
        <v>389</v>
      </c>
      <c r="D1391" s="780">
        <v>20355</v>
      </c>
      <c r="E1391" s="781">
        <v>3744</v>
      </c>
      <c r="F1391" s="781" t="s">
        <v>310</v>
      </c>
      <c r="G1391" s="388">
        <v>690</v>
      </c>
      <c r="H1391" s="446">
        <v>9</v>
      </c>
      <c r="I1391" s="446">
        <v>1</v>
      </c>
      <c r="J1391" s="446">
        <v>114</v>
      </c>
      <c r="K1391" s="458" t="s">
        <v>220</v>
      </c>
      <c r="L1391" s="519">
        <f t="shared" si="183"/>
        <v>2041442.96</v>
      </c>
      <c r="M1391" s="677">
        <v>1956867.96</v>
      </c>
      <c r="N1391" s="675">
        <v>84575</v>
      </c>
      <c r="O1391" s="678"/>
      <c r="P1391" s="675"/>
      <c r="Q1391" s="388"/>
      <c r="R1391" s="676">
        <f>M1391/I1391</f>
        <v>1956867.96</v>
      </c>
      <c r="S1391" s="393">
        <f t="shared" si="184"/>
        <v>0</v>
      </c>
      <c r="U1391" s="404"/>
      <c r="V1391" s="390"/>
      <c r="Y1391" s="419">
        <f t="shared" si="178"/>
        <v>2041442.96</v>
      </c>
      <c r="Z1391" s="419"/>
    </row>
    <row r="1392" spans="1:26" s="403" customFormat="1" ht="56.25" hidden="1">
      <c r="A1392" s="404">
        <f t="shared" si="185"/>
        <v>13</v>
      </c>
      <c r="B1392" s="403" t="s">
        <v>1376</v>
      </c>
      <c r="C1392" s="780" t="s">
        <v>390</v>
      </c>
      <c r="D1392" s="780">
        <v>20894</v>
      </c>
      <c r="E1392" s="781">
        <v>3734</v>
      </c>
      <c r="F1392" s="781" t="s">
        <v>310</v>
      </c>
      <c r="G1392" s="388">
        <v>690</v>
      </c>
      <c r="H1392" s="446">
        <v>9</v>
      </c>
      <c r="I1392" s="446">
        <v>1</v>
      </c>
      <c r="J1392" s="446">
        <v>110</v>
      </c>
      <c r="K1392" s="458" t="s">
        <v>220</v>
      </c>
      <c r="L1392" s="519">
        <f t="shared" si="183"/>
        <v>2043052.54</v>
      </c>
      <c r="M1392" s="677">
        <v>1958477.54</v>
      </c>
      <c r="N1392" s="675">
        <v>84575</v>
      </c>
      <c r="O1392" s="678"/>
      <c r="P1392" s="675"/>
      <c r="Q1392" s="388"/>
      <c r="R1392" s="676">
        <f>M1392/I1392</f>
        <v>1958477.54</v>
      </c>
      <c r="S1392" s="393">
        <f t="shared" si="184"/>
        <v>0</v>
      </c>
      <c r="U1392" s="404"/>
      <c r="V1392" s="390"/>
      <c r="Y1392" s="419">
        <f t="shared" si="178"/>
        <v>2043052.54</v>
      </c>
      <c r="Z1392" s="419"/>
    </row>
    <row r="1393" spans="1:26" s="403" customFormat="1" ht="37.5" hidden="1">
      <c r="A1393" s="404">
        <f t="shared" si="185"/>
        <v>14</v>
      </c>
      <c r="B1393" s="1124" t="s">
        <v>1377</v>
      </c>
      <c r="C1393" s="780" t="s">
        <v>312</v>
      </c>
      <c r="D1393" s="780">
        <v>79153</v>
      </c>
      <c r="E1393" s="781">
        <v>14100</v>
      </c>
      <c r="F1393" s="781" t="s">
        <v>310</v>
      </c>
      <c r="G1393" s="388">
        <v>3125</v>
      </c>
      <c r="H1393" s="446">
        <v>9</v>
      </c>
      <c r="I1393" s="446">
        <v>10</v>
      </c>
      <c r="J1393" s="446">
        <v>379</v>
      </c>
      <c r="K1393" s="458" t="s">
        <v>220</v>
      </c>
      <c r="L1393" s="1129">
        <f>M1393+N1393+O1393+P1393+Q1393+M1394+N1394+O1394+P1394+Q1394</f>
        <v>17422653.190000001</v>
      </c>
      <c r="M1393" s="677">
        <v>3890280.56</v>
      </c>
      <c r="N1393" s="675">
        <v>105718.75</v>
      </c>
      <c r="O1393" s="678"/>
      <c r="P1393" s="675"/>
      <c r="Q1393" s="388"/>
      <c r="R1393" s="676">
        <f>M1393/2</f>
        <v>1945140.28</v>
      </c>
      <c r="S1393" s="393">
        <f t="shared" si="184"/>
        <v>13426653.880000001</v>
      </c>
      <c r="U1393" s="404"/>
      <c r="V1393" s="390"/>
      <c r="Y1393" s="419">
        <f t="shared" si="178"/>
        <v>3995999.31</v>
      </c>
      <c r="Z1393" s="419"/>
    </row>
    <row r="1394" spans="1:26" s="403" customFormat="1" ht="56.25" hidden="1" customHeight="1">
      <c r="A1394" s="404"/>
      <c r="B1394" s="1124"/>
      <c r="C1394" s="780"/>
      <c r="D1394" s="780"/>
      <c r="E1394" s="781"/>
      <c r="F1394" s="781"/>
      <c r="G1394" s="388"/>
      <c r="H1394" s="446"/>
      <c r="I1394" s="446"/>
      <c r="J1394" s="446"/>
      <c r="K1394" s="458" t="s">
        <v>30</v>
      </c>
      <c r="L1394" s="1129"/>
      <c r="M1394" s="751">
        <v>13396108.369999999</v>
      </c>
      <c r="N1394" s="675"/>
      <c r="O1394" s="678">
        <v>30545.51</v>
      </c>
      <c r="P1394" s="675"/>
      <c r="Q1394" s="388"/>
      <c r="R1394" s="676">
        <f>M1394/J1393</f>
        <v>35345.932374670185</v>
      </c>
      <c r="S1394" s="393">
        <f t="shared" si="184"/>
        <v>-13426653.879999999</v>
      </c>
      <c r="U1394" s="404"/>
      <c r="V1394" s="390"/>
      <c r="Y1394" s="419">
        <f t="shared" si="178"/>
        <v>13426653.879999999</v>
      </c>
      <c r="Z1394" s="419"/>
    </row>
    <row r="1395" spans="1:26" s="403" customFormat="1" ht="56.25" hidden="1" customHeight="1">
      <c r="A1395" s="404">
        <f>A1393+1</f>
        <v>15</v>
      </c>
      <c r="B1395" s="403" t="s">
        <v>1378</v>
      </c>
      <c r="C1395" s="780" t="s">
        <v>222</v>
      </c>
      <c r="D1395" s="780">
        <v>4004</v>
      </c>
      <c r="E1395" s="781">
        <v>806.9</v>
      </c>
      <c r="F1395" s="781" t="s">
        <v>252</v>
      </c>
      <c r="G1395" s="388">
        <v>764</v>
      </c>
      <c r="H1395" s="446">
        <v>2</v>
      </c>
      <c r="I1395" s="446">
        <v>3</v>
      </c>
      <c r="J1395" s="446">
        <v>24</v>
      </c>
      <c r="K1395" s="458" t="s">
        <v>30</v>
      </c>
      <c r="L1395" s="519">
        <f>M1395+N1395+O1395+P1395+Q1395</f>
        <v>692758.18</v>
      </c>
      <c r="M1395" s="751">
        <v>690823.9</v>
      </c>
      <c r="N1395" s="675"/>
      <c r="O1395" s="678">
        <v>1934.28</v>
      </c>
      <c r="P1395" s="675"/>
      <c r="Q1395" s="388"/>
      <c r="R1395" s="676">
        <f>M1395/J1395</f>
        <v>28784.329166666666</v>
      </c>
      <c r="S1395" s="393">
        <f t="shared" si="184"/>
        <v>2.7966962079517543E-11</v>
      </c>
      <c r="U1395" s="388"/>
      <c r="V1395" s="390"/>
      <c r="Y1395" s="419">
        <f t="shared" si="178"/>
        <v>692758.18</v>
      </c>
      <c r="Z1395" s="419"/>
    </row>
    <row r="1396" spans="1:26" s="403" customFormat="1" ht="45" hidden="1" customHeight="1">
      <c r="A1396" s="404">
        <f t="shared" si="185"/>
        <v>16</v>
      </c>
      <c r="B1396" s="403" t="s">
        <v>1379</v>
      </c>
      <c r="C1396" s="780">
        <v>1978</v>
      </c>
      <c r="D1396" s="780"/>
      <c r="E1396" s="781"/>
      <c r="F1396" s="781" t="s">
        <v>252</v>
      </c>
      <c r="G1396" s="388">
        <v>410</v>
      </c>
      <c r="H1396" s="446">
        <v>2</v>
      </c>
      <c r="I1396" s="446">
        <v>1</v>
      </c>
      <c r="J1396" s="446">
        <v>8</v>
      </c>
      <c r="K1396" s="458" t="s">
        <v>33</v>
      </c>
      <c r="L1396" s="519">
        <f>M1396+N1396+O1396+P1396+Q1396</f>
        <v>815263.89</v>
      </c>
      <c r="M1396" s="677">
        <v>785413.89</v>
      </c>
      <c r="N1396" s="675">
        <v>29850</v>
      </c>
      <c r="O1396" s="678"/>
      <c r="P1396" s="675"/>
      <c r="Q1396" s="388"/>
      <c r="R1396" s="676">
        <f>M1396/G1396</f>
        <v>1915.6436341463416</v>
      </c>
      <c r="S1396" s="393">
        <f t="shared" si="184"/>
        <v>0</v>
      </c>
      <c r="U1396" s="404"/>
      <c r="V1396" s="390"/>
      <c r="Y1396" s="419">
        <f t="shared" si="178"/>
        <v>815263.89</v>
      </c>
      <c r="Z1396" s="419"/>
    </row>
    <row r="1397" spans="1:26" s="403" customFormat="1" ht="37.5" hidden="1" customHeight="1">
      <c r="A1397" s="404">
        <f t="shared" si="185"/>
        <v>17</v>
      </c>
      <c r="B1397" s="403" t="s">
        <v>1380</v>
      </c>
      <c r="C1397" s="780">
        <v>1975</v>
      </c>
      <c r="D1397" s="780"/>
      <c r="E1397" s="781"/>
      <c r="F1397" s="781" t="s">
        <v>252</v>
      </c>
      <c r="G1397" s="388">
        <v>410</v>
      </c>
      <c r="H1397" s="446">
        <v>2</v>
      </c>
      <c r="I1397" s="446">
        <v>1</v>
      </c>
      <c r="J1397" s="446">
        <v>17</v>
      </c>
      <c r="K1397" s="458" t="s">
        <v>33</v>
      </c>
      <c r="L1397" s="519">
        <f>M1397+N1397+O1397+P1397+Q1397</f>
        <v>1221752.55</v>
      </c>
      <c r="M1397" s="677">
        <v>1191902.55</v>
      </c>
      <c r="N1397" s="675">
        <v>29850</v>
      </c>
      <c r="O1397" s="678"/>
      <c r="P1397" s="675"/>
      <c r="Q1397" s="388"/>
      <c r="R1397" s="676">
        <f>M1397/G1397</f>
        <v>2907.0793902439027</v>
      </c>
      <c r="S1397" s="393">
        <f t="shared" si="184"/>
        <v>0</v>
      </c>
      <c r="U1397" s="404"/>
      <c r="V1397" s="390"/>
      <c r="Y1397" s="419">
        <f t="shared" si="178"/>
        <v>1221752.55</v>
      </c>
      <c r="Z1397" s="419"/>
    </row>
    <row r="1398" spans="1:26" s="403" customFormat="1" ht="56.25" hidden="1" customHeight="1">
      <c r="A1398" s="404">
        <f t="shared" si="185"/>
        <v>18</v>
      </c>
      <c r="B1398" s="403" t="s">
        <v>3492</v>
      </c>
      <c r="C1398" s="446" t="s">
        <v>222</v>
      </c>
      <c r="D1398" s="446">
        <v>42360</v>
      </c>
      <c r="E1398" s="388">
        <v>5489</v>
      </c>
      <c r="F1398" s="388" t="s">
        <v>310</v>
      </c>
      <c r="G1398" s="388">
        <v>1730</v>
      </c>
      <c r="H1398" s="446">
        <v>5</v>
      </c>
      <c r="I1398" s="446">
        <v>8</v>
      </c>
      <c r="J1398" s="446">
        <v>129</v>
      </c>
      <c r="K1398" s="458" t="s">
        <v>30</v>
      </c>
      <c r="L1398" s="519">
        <f>M1398+N1398+O1398+P1398+Q1398</f>
        <v>3664716.27</v>
      </c>
      <c r="M1398" s="519">
        <v>3648544.27</v>
      </c>
      <c r="N1398" s="388"/>
      <c r="O1398" s="473">
        <v>16172</v>
      </c>
      <c r="P1398" s="388"/>
      <c r="Q1398" s="388"/>
      <c r="R1398" s="676">
        <f>M1398/J1398</f>
        <v>28283.288914728681</v>
      </c>
      <c r="S1398" s="393">
        <f t="shared" si="184"/>
        <v>0</v>
      </c>
      <c r="T1398" s="458"/>
      <c r="U1398" s="404"/>
      <c r="W1398" s="393"/>
      <c r="Y1398" s="419">
        <f t="shared" si="178"/>
        <v>3664716.27</v>
      </c>
      <c r="Z1398" s="419"/>
    </row>
    <row r="1399" spans="1:26" s="403" customFormat="1" ht="56.25" hidden="1" customHeight="1">
      <c r="A1399" s="404">
        <f t="shared" si="185"/>
        <v>19</v>
      </c>
      <c r="B1399" s="403" t="s">
        <v>3493</v>
      </c>
      <c r="C1399" s="446" t="s">
        <v>222</v>
      </c>
      <c r="D1399" s="446">
        <v>26435</v>
      </c>
      <c r="E1399" s="388">
        <v>3087</v>
      </c>
      <c r="F1399" s="388" t="s">
        <v>3704</v>
      </c>
      <c r="G1399" s="388">
        <v>1762</v>
      </c>
      <c r="H1399" s="446">
        <v>5</v>
      </c>
      <c r="I1399" s="446">
        <v>6</v>
      </c>
      <c r="J1399" s="446">
        <v>76</v>
      </c>
      <c r="K1399" s="458" t="s">
        <v>30</v>
      </c>
      <c r="L1399" s="519">
        <f>M1399+N1399+O1399+P1399+Q1399</f>
        <v>2650077.8600000003</v>
      </c>
      <c r="M1399" s="519">
        <v>2643216.9900000002</v>
      </c>
      <c r="N1399" s="388"/>
      <c r="O1399" s="473">
        <v>6860.87</v>
      </c>
      <c r="P1399" s="388"/>
      <c r="Q1399" s="388"/>
      <c r="R1399" s="676">
        <f>M1399/J1399</f>
        <v>34779.170921052631</v>
      </c>
      <c r="S1399" s="393">
        <f t="shared" si="184"/>
        <v>1.1186784831807017E-10</v>
      </c>
      <c r="T1399" s="458"/>
      <c r="U1399" s="404"/>
      <c r="W1399" s="393"/>
      <c r="Y1399" s="419">
        <f t="shared" si="178"/>
        <v>2650077.8600000003</v>
      </c>
      <c r="Z1399" s="419"/>
    </row>
    <row r="1400" spans="1:26" s="403" customFormat="1" ht="75" hidden="1" customHeight="1">
      <c r="A1400" s="404">
        <f t="shared" si="185"/>
        <v>20</v>
      </c>
      <c r="B1400" s="403" t="s">
        <v>2303</v>
      </c>
      <c r="C1400" s="455" t="s">
        <v>311</v>
      </c>
      <c r="D1400" s="455">
        <v>2889</v>
      </c>
      <c r="E1400" s="675">
        <v>628.79999999999995</v>
      </c>
      <c r="F1400" s="675" t="s">
        <v>252</v>
      </c>
      <c r="G1400" s="388">
        <v>556.4</v>
      </c>
      <c r="H1400" s="676">
        <v>2</v>
      </c>
      <c r="I1400" s="599">
        <v>2</v>
      </c>
      <c r="J1400" s="599">
        <v>16</v>
      </c>
      <c r="K1400" s="504" t="s">
        <v>33</v>
      </c>
      <c r="L1400" s="519">
        <f>SUBTOTAL(9,M1400:Q1400)</f>
        <v>1391236.56</v>
      </c>
      <c r="M1400" s="793">
        <v>1377090</v>
      </c>
      <c r="N1400" s="794">
        <v>14146.56</v>
      </c>
      <c r="O1400" s="795"/>
      <c r="P1400" s="794"/>
      <c r="Q1400" s="388"/>
      <c r="R1400" s="796">
        <f>M1400/G1400</f>
        <v>2475</v>
      </c>
      <c r="U1400" s="404"/>
      <c r="V1400" s="390"/>
      <c r="Y1400" s="419">
        <f t="shared" si="178"/>
        <v>1391236.56</v>
      </c>
      <c r="Z1400" s="419"/>
    </row>
    <row r="1401" spans="1:26" s="403" customFormat="1" ht="42.75" hidden="1" customHeight="1">
      <c r="A1401" s="1115" t="s">
        <v>197</v>
      </c>
      <c r="B1401" s="1115"/>
      <c r="C1401" s="617" t="s">
        <v>28</v>
      </c>
      <c r="D1401" s="388">
        <f>SUM(D1380:D1400)</f>
        <v>561985</v>
      </c>
      <c r="E1401" s="388">
        <f>SUM(E1380:E1400)</f>
        <v>97747.099999999991</v>
      </c>
      <c r="F1401" s="539" t="s">
        <v>28</v>
      </c>
      <c r="G1401" s="388">
        <f>SUM(G1380:G1400)</f>
        <v>30195.7</v>
      </c>
      <c r="H1401" s="599" t="s">
        <v>28</v>
      </c>
      <c r="I1401" s="599" t="s">
        <v>28</v>
      </c>
      <c r="J1401" s="446">
        <f>SUM(J1380:J1400)</f>
        <v>2436</v>
      </c>
      <c r="K1401" s="458" t="s">
        <v>28</v>
      </c>
      <c r="L1401" s="519">
        <f t="shared" ref="L1401:Q1401" si="186">SUM(L1380:L1400)</f>
        <v>58951915.829999998</v>
      </c>
      <c r="M1401" s="519">
        <f t="shared" si="186"/>
        <v>58142156.710000001</v>
      </c>
      <c r="N1401" s="388">
        <f t="shared" si="186"/>
        <v>714377.81</v>
      </c>
      <c r="O1401" s="473">
        <f t="shared" si="186"/>
        <v>95381.309999999983</v>
      </c>
      <c r="P1401" s="388">
        <f t="shared" si="186"/>
        <v>0</v>
      </c>
      <c r="Q1401" s="388">
        <f t="shared" si="186"/>
        <v>0</v>
      </c>
      <c r="R1401" s="446" t="s">
        <v>28</v>
      </c>
      <c r="S1401" s="383">
        <f>L1401-M1401-N1401-O1401-P1401-Q1401</f>
        <v>-2.7212081477046013E-9</v>
      </c>
      <c r="T1401" s="387" t="e">
        <f>'1.перечень МКД'!#REF!</f>
        <v>#REF!</v>
      </c>
      <c r="U1401" s="390" t="e">
        <f>L1401-T1401</f>
        <v>#REF!</v>
      </c>
      <c r="V1401" s="390"/>
      <c r="Y1401" s="419">
        <f t="shared" si="178"/>
        <v>58951915.830000006</v>
      </c>
      <c r="Z1401" s="419"/>
    </row>
    <row r="1402" spans="1:26" s="403" customFormat="1" ht="42.75" hidden="1" customHeight="1">
      <c r="A1402" s="1113" t="s">
        <v>198</v>
      </c>
      <c r="B1402" s="1113"/>
      <c r="C1402" s="1113"/>
      <c r="D1402" s="1113"/>
      <c r="E1402" s="1113"/>
      <c r="F1402" s="1113"/>
      <c r="G1402" s="1113"/>
      <c r="H1402" s="1113"/>
      <c r="I1402" s="1113"/>
      <c r="J1402" s="1113"/>
      <c r="K1402" s="1113"/>
      <c r="L1402" s="1113"/>
      <c r="M1402" s="1113"/>
      <c r="N1402" s="1113"/>
      <c r="O1402" s="1113"/>
      <c r="P1402" s="1113"/>
      <c r="Q1402" s="1113"/>
      <c r="R1402" s="1113"/>
      <c r="U1402" s="404"/>
      <c r="V1402" s="390"/>
      <c r="Y1402" s="419">
        <f t="shared" si="178"/>
        <v>0</v>
      </c>
      <c r="Z1402" s="419"/>
    </row>
    <row r="1403" spans="1:26" s="403" customFormat="1" ht="37.5" hidden="1" customHeight="1">
      <c r="A1403" s="493">
        <v>1</v>
      </c>
      <c r="B1403" s="403" t="s">
        <v>1381</v>
      </c>
      <c r="C1403" s="518" t="s">
        <v>222</v>
      </c>
      <c r="D1403" s="446">
        <v>1584</v>
      </c>
      <c r="E1403" s="388">
        <v>353</v>
      </c>
      <c r="F1403" s="388" t="s">
        <v>252</v>
      </c>
      <c r="G1403" s="388">
        <v>635.5</v>
      </c>
      <c r="H1403" s="446">
        <v>2</v>
      </c>
      <c r="I1403" s="446">
        <v>2</v>
      </c>
      <c r="J1403" s="446">
        <v>8</v>
      </c>
      <c r="K1403" s="458" t="s">
        <v>225</v>
      </c>
      <c r="L1403" s="519">
        <f>SUM(M1403:Q1403)</f>
        <v>213532.44</v>
      </c>
      <c r="M1403" s="519">
        <v>188657.44</v>
      </c>
      <c r="N1403" s="388">
        <v>24875</v>
      </c>
      <c r="O1403" s="473"/>
      <c r="P1403" s="388"/>
      <c r="Q1403" s="790"/>
      <c r="R1403" s="446">
        <f>M1403/J1403</f>
        <v>23582.18</v>
      </c>
      <c r="U1403" s="388"/>
      <c r="V1403" s="390"/>
      <c r="Y1403" s="419">
        <f t="shared" si="178"/>
        <v>213532.44</v>
      </c>
      <c r="Z1403" s="419"/>
    </row>
    <row r="1404" spans="1:26" s="403" customFormat="1" ht="37.5" hidden="1" customHeight="1">
      <c r="A1404" s="493">
        <v>2</v>
      </c>
      <c r="B1404" s="403" t="s">
        <v>1382</v>
      </c>
      <c r="C1404" s="518" t="s">
        <v>222</v>
      </c>
      <c r="D1404" s="446">
        <v>2845</v>
      </c>
      <c r="E1404" s="388">
        <v>234.64</v>
      </c>
      <c r="F1404" s="388" t="s">
        <v>252</v>
      </c>
      <c r="G1404" s="388">
        <v>869.88</v>
      </c>
      <c r="H1404" s="446">
        <v>2</v>
      </c>
      <c r="I1404" s="446">
        <v>2</v>
      </c>
      <c r="J1404" s="446">
        <v>16</v>
      </c>
      <c r="K1404" s="458" t="s">
        <v>225</v>
      </c>
      <c r="L1404" s="519">
        <f>SUM(M1404:Q1404)</f>
        <v>264635</v>
      </c>
      <c r="M1404" s="519">
        <v>239760</v>
      </c>
      <c r="N1404" s="388">
        <v>24875</v>
      </c>
      <c r="O1404" s="473"/>
      <c r="P1404" s="388"/>
      <c r="Q1404" s="790"/>
      <c r="R1404" s="446">
        <f>M1404/J1404</f>
        <v>14985</v>
      </c>
      <c r="U1404" s="388"/>
      <c r="V1404" s="390"/>
      <c r="Y1404" s="419">
        <f t="shared" si="178"/>
        <v>264635</v>
      </c>
      <c r="Z1404" s="419"/>
    </row>
    <row r="1405" spans="1:26" s="403" customFormat="1" ht="37.5" hidden="1">
      <c r="A1405" s="493">
        <v>3</v>
      </c>
      <c r="B1405" s="403" t="s">
        <v>1383</v>
      </c>
      <c r="C1405" s="518" t="s">
        <v>222</v>
      </c>
      <c r="D1405" s="446">
        <v>2905</v>
      </c>
      <c r="E1405" s="388">
        <v>207.2</v>
      </c>
      <c r="F1405" s="388" t="s">
        <v>252</v>
      </c>
      <c r="G1405" s="388">
        <v>518.70000000000005</v>
      </c>
      <c r="H1405" s="446">
        <v>2</v>
      </c>
      <c r="I1405" s="446">
        <v>2</v>
      </c>
      <c r="J1405" s="446">
        <v>16</v>
      </c>
      <c r="K1405" s="458" t="s">
        <v>225</v>
      </c>
      <c r="L1405" s="519">
        <f>SUM(M1405:Q1405)</f>
        <v>264635</v>
      </c>
      <c r="M1405" s="519">
        <v>239760</v>
      </c>
      <c r="N1405" s="388">
        <v>24875</v>
      </c>
      <c r="O1405" s="473"/>
      <c r="P1405" s="388"/>
      <c r="Q1405" s="790"/>
      <c r="R1405" s="446">
        <f>M1405/J1405</f>
        <v>14985</v>
      </c>
      <c r="U1405" s="388"/>
      <c r="V1405" s="390"/>
      <c r="Y1405" s="419">
        <f t="shared" si="178"/>
        <v>264635</v>
      </c>
      <c r="Z1405" s="419"/>
    </row>
    <row r="1406" spans="1:26" s="403" customFormat="1" ht="42.75" hidden="1" customHeight="1">
      <c r="A1406" s="1112" t="s">
        <v>199</v>
      </c>
      <c r="B1406" s="1112"/>
      <c r="C1406" s="455" t="s">
        <v>28</v>
      </c>
      <c r="D1406" s="388">
        <f>SUM(D1403:D1405)</f>
        <v>7334</v>
      </c>
      <c r="E1406" s="388">
        <f>SUM(E1403:E1405)</f>
        <v>794.83999999999992</v>
      </c>
      <c r="F1406" s="388" t="s">
        <v>28</v>
      </c>
      <c r="G1406" s="388">
        <f>SUM(G1403:G1405)</f>
        <v>2024.0800000000002</v>
      </c>
      <c r="H1406" s="446" t="s">
        <v>28</v>
      </c>
      <c r="I1406" s="446" t="s">
        <v>28</v>
      </c>
      <c r="J1406" s="446">
        <f>SUM(J1403:J1405)</f>
        <v>40</v>
      </c>
      <c r="K1406" s="458" t="s">
        <v>28</v>
      </c>
      <c r="L1406" s="519">
        <f t="shared" ref="L1406:Q1406" si="187">SUM(L1403:L1405)</f>
        <v>742802.44</v>
      </c>
      <c r="M1406" s="519">
        <f t="shared" si="187"/>
        <v>668177.43999999994</v>
      </c>
      <c r="N1406" s="388">
        <f t="shared" si="187"/>
        <v>74625</v>
      </c>
      <c r="O1406" s="473">
        <f t="shared" si="187"/>
        <v>0</v>
      </c>
      <c r="P1406" s="388">
        <f t="shared" si="187"/>
        <v>0</v>
      </c>
      <c r="Q1406" s="388">
        <f t="shared" si="187"/>
        <v>0</v>
      </c>
      <c r="R1406" s="446" t="s">
        <v>28</v>
      </c>
      <c r="S1406" s="383">
        <f>L1406-M1406-N1406-O1406-P1406-Q1406</f>
        <v>0</v>
      </c>
      <c r="T1406" s="387" t="e">
        <f>'1.перечень МКД'!#REF!</f>
        <v>#REF!</v>
      </c>
      <c r="U1406" s="390" t="e">
        <f>L1406-T1406</f>
        <v>#REF!</v>
      </c>
      <c r="V1406" s="390"/>
      <c r="Y1406" s="419">
        <f t="shared" si="178"/>
        <v>742802.44</v>
      </c>
      <c r="Z1406" s="419"/>
    </row>
    <row r="1407" spans="1:26" s="403" customFormat="1" ht="42.75" hidden="1" customHeight="1">
      <c r="A1407" s="1135" t="s">
        <v>200</v>
      </c>
      <c r="B1407" s="1135"/>
      <c r="C1407" s="1135"/>
      <c r="D1407" s="1135"/>
      <c r="E1407" s="1135"/>
      <c r="F1407" s="1135"/>
      <c r="G1407" s="1135"/>
      <c r="H1407" s="1135"/>
      <c r="I1407" s="1135"/>
      <c r="J1407" s="1135"/>
      <c r="K1407" s="1135"/>
      <c r="L1407" s="1135"/>
      <c r="M1407" s="1135"/>
      <c r="N1407" s="1135"/>
      <c r="O1407" s="1135"/>
      <c r="P1407" s="1135"/>
      <c r="Q1407" s="1135"/>
      <c r="R1407" s="1135"/>
      <c r="U1407" s="404"/>
      <c r="V1407" s="390"/>
      <c r="Y1407" s="419">
        <f t="shared" si="178"/>
        <v>0</v>
      </c>
      <c r="Z1407" s="419"/>
    </row>
    <row r="1408" spans="1:26" s="403" customFormat="1" ht="37.5" hidden="1">
      <c r="A1408" s="404">
        <v>1</v>
      </c>
      <c r="B1408" s="403" t="s">
        <v>1384</v>
      </c>
      <c r="C1408" s="455" t="s">
        <v>222</v>
      </c>
      <c r="D1408" s="446">
        <v>8630</v>
      </c>
      <c r="E1408" s="388">
        <v>1154</v>
      </c>
      <c r="F1408" s="388" t="s">
        <v>291</v>
      </c>
      <c r="G1408" s="388">
        <v>1047</v>
      </c>
      <c r="H1408" s="446">
        <v>4</v>
      </c>
      <c r="I1408" s="446">
        <v>3</v>
      </c>
      <c r="J1408" s="446">
        <v>40</v>
      </c>
      <c r="K1408" s="458" t="s">
        <v>33</v>
      </c>
      <c r="L1408" s="519">
        <f t="shared" ref="L1408:L1417" si="188">SUM(M1408:Q1408)</f>
        <v>1651898.33</v>
      </c>
      <c r="M1408" s="519">
        <v>1645670.6300000001</v>
      </c>
      <c r="N1408" s="388"/>
      <c r="O1408" s="473">
        <v>6227.7</v>
      </c>
      <c r="P1408" s="388"/>
      <c r="Q1408" s="790"/>
      <c r="R1408" s="446">
        <f t="shared" ref="R1408:R1413" si="189">M1408/G1408</f>
        <v>1571.7962082139447</v>
      </c>
      <c r="U1408" s="404"/>
      <c r="V1408" s="390"/>
      <c r="Y1408" s="419">
        <f t="shared" si="178"/>
        <v>1651898.33</v>
      </c>
      <c r="Z1408" s="419"/>
    </row>
    <row r="1409" spans="1:26" s="403" customFormat="1" ht="37.5" hidden="1">
      <c r="A1409" s="404">
        <f t="shared" ref="A1409:A1421" si="190">A1408+1</f>
        <v>2</v>
      </c>
      <c r="B1409" s="403" t="s">
        <v>1385</v>
      </c>
      <c r="C1409" s="455" t="s">
        <v>222</v>
      </c>
      <c r="D1409" s="446">
        <v>8110</v>
      </c>
      <c r="E1409" s="388">
        <v>1404</v>
      </c>
      <c r="F1409" s="388" t="s">
        <v>291</v>
      </c>
      <c r="G1409" s="388">
        <v>1049</v>
      </c>
      <c r="H1409" s="446">
        <v>3</v>
      </c>
      <c r="I1409" s="446">
        <v>3</v>
      </c>
      <c r="J1409" s="446">
        <v>37</v>
      </c>
      <c r="K1409" s="458" t="s">
        <v>33</v>
      </c>
      <c r="L1409" s="519">
        <f t="shared" si="188"/>
        <v>1968320.96</v>
      </c>
      <c r="M1409" s="519">
        <v>1962081.31</v>
      </c>
      <c r="N1409" s="388"/>
      <c r="O1409" s="473">
        <v>6239.65</v>
      </c>
      <c r="P1409" s="388"/>
      <c r="Q1409" s="790"/>
      <c r="R1409" s="446">
        <f t="shared" si="189"/>
        <v>1870.4302287893231</v>
      </c>
      <c r="U1409" s="404"/>
      <c r="V1409" s="390"/>
      <c r="Y1409" s="419">
        <f t="shared" si="178"/>
        <v>1968320.96</v>
      </c>
      <c r="Z1409" s="419"/>
    </row>
    <row r="1410" spans="1:26" s="403" customFormat="1" ht="37.5" hidden="1">
      <c r="A1410" s="404">
        <f t="shared" si="190"/>
        <v>3</v>
      </c>
      <c r="B1410" s="403" t="s">
        <v>1386</v>
      </c>
      <c r="C1410" s="455" t="s">
        <v>222</v>
      </c>
      <c r="D1410" s="446">
        <v>1722</v>
      </c>
      <c r="E1410" s="388">
        <v>441</v>
      </c>
      <c r="F1410" s="388" t="s">
        <v>223</v>
      </c>
      <c r="G1410" s="388">
        <v>409</v>
      </c>
      <c r="H1410" s="446">
        <v>2</v>
      </c>
      <c r="I1410" s="446">
        <v>2</v>
      </c>
      <c r="J1410" s="446">
        <v>8</v>
      </c>
      <c r="K1410" s="458" t="s">
        <v>33</v>
      </c>
      <c r="L1410" s="519">
        <f t="shared" si="188"/>
        <v>1082616</v>
      </c>
      <c r="M1410" s="519">
        <v>1052766</v>
      </c>
      <c r="N1410" s="388">
        <v>29850</v>
      </c>
      <c r="O1410" s="473"/>
      <c r="P1410" s="388"/>
      <c r="Q1410" s="790"/>
      <c r="R1410" s="446">
        <f t="shared" si="189"/>
        <v>2574</v>
      </c>
      <c r="U1410" s="404"/>
      <c r="V1410" s="390"/>
      <c r="Y1410" s="419">
        <f t="shared" si="178"/>
        <v>1082616</v>
      </c>
      <c r="Z1410" s="419"/>
    </row>
    <row r="1411" spans="1:26" s="403" customFormat="1" ht="37.5" hidden="1">
      <c r="A1411" s="404">
        <f t="shared" si="190"/>
        <v>4</v>
      </c>
      <c r="B1411" s="403" t="s">
        <v>1387</v>
      </c>
      <c r="C1411" s="455" t="s">
        <v>222</v>
      </c>
      <c r="D1411" s="446">
        <v>11316</v>
      </c>
      <c r="E1411" s="388">
        <v>1992</v>
      </c>
      <c r="F1411" s="388" t="s">
        <v>291</v>
      </c>
      <c r="G1411" s="388">
        <v>1909</v>
      </c>
      <c r="H1411" s="446">
        <v>2</v>
      </c>
      <c r="I1411" s="446">
        <v>7</v>
      </c>
      <c r="J1411" s="446">
        <v>50</v>
      </c>
      <c r="K1411" s="458" t="s">
        <v>33</v>
      </c>
      <c r="L1411" s="519">
        <f t="shared" si="188"/>
        <v>3971150.96</v>
      </c>
      <c r="M1411" s="519">
        <v>3959212.95</v>
      </c>
      <c r="N1411" s="388"/>
      <c r="O1411" s="473">
        <v>11938.01</v>
      </c>
      <c r="P1411" s="388"/>
      <c r="Q1411" s="790"/>
      <c r="R1411" s="446">
        <f t="shared" si="189"/>
        <v>2073.9722105814562</v>
      </c>
      <c r="U1411" s="404"/>
      <c r="V1411" s="390"/>
      <c r="Y1411" s="419">
        <f t="shared" si="178"/>
        <v>3971150.96</v>
      </c>
      <c r="Z1411" s="419"/>
    </row>
    <row r="1412" spans="1:26" s="403" customFormat="1" ht="37.5" hidden="1">
      <c r="A1412" s="404">
        <f t="shared" si="190"/>
        <v>5</v>
      </c>
      <c r="B1412" s="403" t="s">
        <v>1388</v>
      </c>
      <c r="C1412" s="455" t="s">
        <v>222</v>
      </c>
      <c r="D1412" s="446">
        <v>2824</v>
      </c>
      <c r="E1412" s="388">
        <v>588</v>
      </c>
      <c r="F1412" s="388" t="s">
        <v>291</v>
      </c>
      <c r="G1412" s="388">
        <v>550</v>
      </c>
      <c r="H1412" s="446">
        <v>2</v>
      </c>
      <c r="I1412" s="446">
        <v>2</v>
      </c>
      <c r="J1412" s="446">
        <v>16</v>
      </c>
      <c r="K1412" s="458" t="s">
        <v>33</v>
      </c>
      <c r="L1412" s="519">
        <f t="shared" si="188"/>
        <v>1088269.98</v>
      </c>
      <c r="M1412" s="519">
        <v>1084998.42</v>
      </c>
      <c r="N1412" s="388"/>
      <c r="O1412" s="473">
        <v>3271.56</v>
      </c>
      <c r="P1412" s="388"/>
      <c r="Q1412" s="790"/>
      <c r="R1412" s="446">
        <f t="shared" si="189"/>
        <v>1972.7243999999998</v>
      </c>
      <c r="U1412" s="388"/>
      <c r="V1412" s="390"/>
      <c r="Y1412" s="419">
        <f t="shared" si="178"/>
        <v>1088269.98</v>
      </c>
      <c r="Z1412" s="419"/>
    </row>
    <row r="1413" spans="1:26" s="403" customFormat="1" ht="37.5" hidden="1">
      <c r="A1413" s="404">
        <f t="shared" si="190"/>
        <v>6</v>
      </c>
      <c r="B1413" s="403" t="s">
        <v>1389</v>
      </c>
      <c r="C1413" s="455" t="s">
        <v>222</v>
      </c>
      <c r="D1413" s="446">
        <v>4453</v>
      </c>
      <c r="E1413" s="388">
        <v>782</v>
      </c>
      <c r="F1413" s="388" t="s">
        <v>223</v>
      </c>
      <c r="G1413" s="388">
        <v>1040</v>
      </c>
      <c r="H1413" s="446">
        <v>2</v>
      </c>
      <c r="I1413" s="446">
        <v>3</v>
      </c>
      <c r="J1413" s="446">
        <v>22</v>
      </c>
      <c r="K1413" s="458" t="s">
        <v>33</v>
      </c>
      <c r="L1413" s="519">
        <f t="shared" si="188"/>
        <v>2706810</v>
      </c>
      <c r="M1413" s="519">
        <v>2676960</v>
      </c>
      <c r="N1413" s="388">
        <v>29850</v>
      </c>
      <c r="O1413" s="473"/>
      <c r="P1413" s="388"/>
      <c r="Q1413" s="790"/>
      <c r="R1413" s="446">
        <f t="shared" si="189"/>
        <v>2574</v>
      </c>
      <c r="U1413" s="388"/>
      <c r="V1413" s="390"/>
      <c r="Y1413" s="419">
        <f t="shared" si="178"/>
        <v>2706810</v>
      </c>
      <c r="Z1413" s="419"/>
    </row>
    <row r="1414" spans="1:26" s="403" customFormat="1" ht="37.5" hidden="1">
      <c r="A1414" s="404">
        <f t="shared" si="190"/>
        <v>7</v>
      </c>
      <c r="B1414" s="403" t="s">
        <v>1390</v>
      </c>
      <c r="C1414" s="455" t="s">
        <v>222</v>
      </c>
      <c r="D1414" s="446">
        <v>2777</v>
      </c>
      <c r="E1414" s="388">
        <v>573</v>
      </c>
      <c r="F1414" s="388" t="s">
        <v>314</v>
      </c>
      <c r="G1414" s="388">
        <v>560</v>
      </c>
      <c r="H1414" s="446">
        <v>2</v>
      </c>
      <c r="I1414" s="446">
        <v>2</v>
      </c>
      <c r="J1414" s="446">
        <v>16</v>
      </c>
      <c r="K1414" s="458" t="s">
        <v>225</v>
      </c>
      <c r="L1414" s="519">
        <f t="shared" si="188"/>
        <v>263675</v>
      </c>
      <c r="M1414" s="519">
        <v>238800</v>
      </c>
      <c r="N1414" s="388">
        <v>24875</v>
      </c>
      <c r="O1414" s="473"/>
      <c r="P1414" s="388"/>
      <c r="Q1414" s="790"/>
      <c r="R1414" s="446">
        <f>M1414/J1414</f>
        <v>14925</v>
      </c>
      <c r="U1414" s="388"/>
      <c r="V1414" s="390"/>
      <c r="Y1414" s="419">
        <f t="shared" si="178"/>
        <v>263675</v>
      </c>
      <c r="Z1414" s="419"/>
    </row>
    <row r="1415" spans="1:26" s="403" customFormat="1" ht="37.5" hidden="1">
      <c r="A1415" s="404">
        <f t="shared" si="190"/>
        <v>8</v>
      </c>
      <c r="B1415" s="403" t="s">
        <v>1391</v>
      </c>
      <c r="C1415" s="455" t="s">
        <v>222</v>
      </c>
      <c r="D1415" s="446">
        <v>2863</v>
      </c>
      <c r="E1415" s="388">
        <v>593</v>
      </c>
      <c r="F1415" s="388" t="s">
        <v>314</v>
      </c>
      <c r="G1415" s="388">
        <v>560</v>
      </c>
      <c r="H1415" s="446">
        <v>2</v>
      </c>
      <c r="I1415" s="446">
        <v>2</v>
      </c>
      <c r="J1415" s="446">
        <v>16</v>
      </c>
      <c r="K1415" s="458" t="s">
        <v>225</v>
      </c>
      <c r="L1415" s="519">
        <f t="shared" si="188"/>
        <v>263675</v>
      </c>
      <c r="M1415" s="519">
        <v>238800</v>
      </c>
      <c r="N1415" s="388">
        <v>24875</v>
      </c>
      <c r="O1415" s="473"/>
      <c r="P1415" s="388"/>
      <c r="Q1415" s="790"/>
      <c r="R1415" s="446">
        <f>M1415/J1415</f>
        <v>14925</v>
      </c>
      <c r="U1415" s="388"/>
      <c r="V1415" s="390"/>
      <c r="Y1415" s="419">
        <f t="shared" si="178"/>
        <v>263675</v>
      </c>
      <c r="Z1415" s="419"/>
    </row>
    <row r="1416" spans="1:26" s="403" customFormat="1" ht="37.5" hidden="1">
      <c r="A1416" s="404">
        <f t="shared" si="190"/>
        <v>9</v>
      </c>
      <c r="B1416" s="403" t="s">
        <v>1392</v>
      </c>
      <c r="C1416" s="455" t="s">
        <v>222</v>
      </c>
      <c r="D1416" s="446">
        <v>2899</v>
      </c>
      <c r="E1416" s="388">
        <v>598</v>
      </c>
      <c r="F1416" s="388" t="s">
        <v>314</v>
      </c>
      <c r="G1416" s="388">
        <v>718</v>
      </c>
      <c r="H1416" s="446">
        <v>2</v>
      </c>
      <c r="I1416" s="446">
        <v>2</v>
      </c>
      <c r="J1416" s="446">
        <v>16</v>
      </c>
      <c r="K1416" s="458" t="s">
        <v>225</v>
      </c>
      <c r="L1416" s="519">
        <f t="shared" si="188"/>
        <v>263675</v>
      </c>
      <c r="M1416" s="519">
        <v>238800</v>
      </c>
      <c r="N1416" s="388">
        <v>24875</v>
      </c>
      <c r="O1416" s="473"/>
      <c r="P1416" s="388"/>
      <c r="Q1416" s="790"/>
      <c r="R1416" s="446">
        <f>M1416/J1416</f>
        <v>14925</v>
      </c>
      <c r="U1416" s="388"/>
      <c r="V1416" s="390"/>
      <c r="Y1416" s="419">
        <f t="shared" ref="Y1416:Y1461" si="191">M1416+N1416+O1416+Q1416</f>
        <v>263675</v>
      </c>
      <c r="Z1416" s="419"/>
    </row>
    <row r="1417" spans="1:26" s="403" customFormat="1" ht="37.5" hidden="1">
      <c r="A1417" s="404">
        <f t="shared" si="190"/>
        <v>10</v>
      </c>
      <c r="B1417" s="403" t="s">
        <v>1393</v>
      </c>
      <c r="C1417" s="455" t="s">
        <v>222</v>
      </c>
      <c r="D1417" s="446">
        <v>2858</v>
      </c>
      <c r="E1417" s="388">
        <v>594</v>
      </c>
      <c r="F1417" s="388" t="s">
        <v>314</v>
      </c>
      <c r="G1417" s="388">
        <v>708</v>
      </c>
      <c r="H1417" s="446">
        <v>2</v>
      </c>
      <c r="I1417" s="446">
        <v>2</v>
      </c>
      <c r="J1417" s="446">
        <v>16</v>
      </c>
      <c r="K1417" s="458" t="s">
        <v>225</v>
      </c>
      <c r="L1417" s="519">
        <f t="shared" si="188"/>
        <v>263675</v>
      </c>
      <c r="M1417" s="519">
        <v>238800</v>
      </c>
      <c r="N1417" s="388">
        <v>24875</v>
      </c>
      <c r="O1417" s="473"/>
      <c r="P1417" s="388"/>
      <c r="Q1417" s="790"/>
      <c r="R1417" s="446">
        <f>M1417/J1417</f>
        <v>14925</v>
      </c>
      <c r="U1417" s="388"/>
      <c r="V1417" s="390"/>
      <c r="Y1417" s="419">
        <f t="shared" si="191"/>
        <v>263675</v>
      </c>
      <c r="Z1417" s="419"/>
    </row>
    <row r="1418" spans="1:26" s="403" customFormat="1" ht="75" hidden="1">
      <c r="A1418" s="404">
        <f t="shared" si="190"/>
        <v>11</v>
      </c>
      <c r="B1418" s="403" t="s">
        <v>1394</v>
      </c>
      <c r="C1418" s="455" t="s">
        <v>222</v>
      </c>
      <c r="D1418" s="446">
        <v>5038</v>
      </c>
      <c r="E1418" s="388">
        <v>1215</v>
      </c>
      <c r="F1418" s="388" t="s">
        <v>231</v>
      </c>
      <c r="G1418" s="388">
        <v>920</v>
      </c>
      <c r="H1418" s="446">
        <v>3</v>
      </c>
      <c r="I1418" s="446">
        <v>3</v>
      </c>
      <c r="J1418" s="446">
        <v>21</v>
      </c>
      <c r="K1418" s="458" t="s">
        <v>270</v>
      </c>
      <c r="L1418" s="519">
        <f>M1418+N1418+O1418+P1418+Q1418</f>
        <v>326510.67</v>
      </c>
      <c r="M1418" s="519">
        <v>325115.68</v>
      </c>
      <c r="N1418" s="388"/>
      <c r="O1418" s="473">
        <v>1394.99</v>
      </c>
      <c r="P1418" s="388"/>
      <c r="Q1418" s="790"/>
      <c r="R1418" s="446">
        <f>M1418/J1418</f>
        <v>15481.699047619048</v>
      </c>
      <c r="U1418" s="404"/>
      <c r="V1418" s="390"/>
      <c r="Y1418" s="419">
        <f t="shared" si="191"/>
        <v>326510.67</v>
      </c>
      <c r="Z1418" s="419"/>
    </row>
    <row r="1419" spans="1:26" s="403" customFormat="1" ht="37.5" hidden="1">
      <c r="A1419" s="404">
        <f t="shared" si="190"/>
        <v>12</v>
      </c>
      <c r="B1419" s="403" t="s">
        <v>1395</v>
      </c>
      <c r="C1419" s="455" t="s">
        <v>222</v>
      </c>
      <c r="D1419" s="446">
        <v>2768</v>
      </c>
      <c r="E1419" s="388">
        <v>535</v>
      </c>
      <c r="F1419" s="388" t="s">
        <v>223</v>
      </c>
      <c r="G1419" s="388">
        <v>661</v>
      </c>
      <c r="H1419" s="446">
        <v>2</v>
      </c>
      <c r="I1419" s="446">
        <v>2</v>
      </c>
      <c r="J1419" s="446">
        <v>12</v>
      </c>
      <c r="K1419" s="458" t="s">
        <v>33</v>
      </c>
      <c r="L1419" s="519">
        <f>SUM(M1419:Q1419)</f>
        <v>1504568.6300000001</v>
      </c>
      <c r="M1419" s="519">
        <v>1474718.6300000001</v>
      </c>
      <c r="N1419" s="388">
        <v>29850</v>
      </c>
      <c r="O1419" s="473"/>
      <c r="P1419" s="388"/>
      <c r="Q1419" s="790"/>
      <c r="R1419" s="446">
        <f>M1419/G1419</f>
        <v>2231.041800302572</v>
      </c>
      <c r="T1419" s="393"/>
      <c r="U1419" s="404"/>
      <c r="V1419" s="390"/>
      <c r="Y1419" s="419">
        <f t="shared" si="191"/>
        <v>1504568.6300000001</v>
      </c>
      <c r="Z1419" s="419"/>
    </row>
    <row r="1420" spans="1:26" s="403" customFormat="1" ht="37.5" hidden="1" customHeight="1">
      <c r="A1420" s="404">
        <f t="shared" si="190"/>
        <v>13</v>
      </c>
      <c r="B1420" s="403" t="s">
        <v>3211</v>
      </c>
      <c r="C1420" s="455" t="s">
        <v>222</v>
      </c>
      <c r="D1420" s="446">
        <v>9302</v>
      </c>
      <c r="E1420" s="388">
        <v>1363</v>
      </c>
      <c r="F1420" s="388" t="s">
        <v>291</v>
      </c>
      <c r="G1420" s="388">
        <v>1350</v>
      </c>
      <c r="H1420" s="446">
        <v>2</v>
      </c>
      <c r="I1420" s="446">
        <v>5</v>
      </c>
      <c r="J1420" s="446">
        <v>38</v>
      </c>
      <c r="K1420" s="458" t="s">
        <v>33</v>
      </c>
      <c r="L1420" s="519">
        <f>SUM(M1420:Q1420)</f>
        <v>3023987.94</v>
      </c>
      <c r="M1420" s="519">
        <v>3000693</v>
      </c>
      <c r="N1420" s="388"/>
      <c r="O1420" s="473">
        <v>3394.94</v>
      </c>
      <c r="P1420" s="394"/>
      <c r="Q1420" s="790">
        <v>19900</v>
      </c>
      <c r="R1420" s="446">
        <f>M1420/G1420</f>
        <v>2222.7355555555555</v>
      </c>
      <c r="T1420" s="393"/>
      <c r="U1420" s="404"/>
      <c r="V1420" s="390"/>
      <c r="Y1420" s="419">
        <f t="shared" si="191"/>
        <v>3023987.94</v>
      </c>
      <c r="Z1420" s="419"/>
    </row>
    <row r="1421" spans="1:26" s="403" customFormat="1" ht="51" hidden="1" customHeight="1">
      <c r="A1421" s="404">
        <f t="shared" si="190"/>
        <v>14</v>
      </c>
      <c r="B1421" s="403" t="s">
        <v>3218</v>
      </c>
      <c r="C1421" s="455" t="s">
        <v>218</v>
      </c>
      <c r="D1421" s="446">
        <v>2893</v>
      </c>
      <c r="E1421" s="388">
        <v>359</v>
      </c>
      <c r="F1421" s="388" t="s">
        <v>291</v>
      </c>
      <c r="G1421" s="388">
        <v>370</v>
      </c>
      <c r="H1421" s="446">
        <v>2</v>
      </c>
      <c r="I1421" s="446">
        <v>1</v>
      </c>
      <c r="J1421" s="446">
        <v>8</v>
      </c>
      <c r="K1421" s="458" t="s">
        <v>33</v>
      </c>
      <c r="L1421" s="519">
        <f>SUM(M1421:Q1421)</f>
        <v>744857.70000000007</v>
      </c>
      <c r="M1421" s="519">
        <v>733732.61</v>
      </c>
      <c r="N1421" s="388"/>
      <c r="O1421" s="473">
        <v>2205.92</v>
      </c>
      <c r="P1421" s="394"/>
      <c r="Q1421" s="790">
        <v>8919.17</v>
      </c>
      <c r="R1421" s="446">
        <v>2043.918918918919</v>
      </c>
      <c r="T1421" s="393"/>
      <c r="U1421" s="404"/>
      <c r="V1421" s="390"/>
      <c r="Y1421" s="419">
        <f t="shared" si="191"/>
        <v>744857.70000000007</v>
      </c>
      <c r="Z1421" s="419"/>
    </row>
    <row r="1422" spans="1:26" s="728" customFormat="1" ht="42.75" hidden="1" customHeight="1">
      <c r="A1422" s="1167" t="s">
        <v>158</v>
      </c>
      <c r="B1422" s="1167"/>
      <c r="C1422" s="455" t="s">
        <v>28</v>
      </c>
      <c r="D1422" s="675">
        <f>SUM(D1408:D1421)</f>
        <v>68453</v>
      </c>
      <c r="E1422" s="675">
        <f>SUM(E1408:E1421)</f>
        <v>12191</v>
      </c>
      <c r="F1422" s="388" t="s">
        <v>28</v>
      </c>
      <c r="G1422" s="675">
        <f>SUM(G1408:G1421)</f>
        <v>11851</v>
      </c>
      <c r="H1422" s="446" t="s">
        <v>28</v>
      </c>
      <c r="I1422" s="446" t="s">
        <v>28</v>
      </c>
      <c r="J1422" s="676">
        <f>SUM(J1408:J1421)</f>
        <v>316</v>
      </c>
      <c r="K1422" s="458" t="s">
        <v>28</v>
      </c>
      <c r="L1422" s="677">
        <f t="shared" ref="L1422:Q1422" si="192">SUM(L1408:L1421)</f>
        <v>19123691.170000002</v>
      </c>
      <c r="M1422" s="677">
        <f t="shared" si="192"/>
        <v>18871149.23</v>
      </c>
      <c r="N1422" s="675">
        <f t="shared" si="192"/>
        <v>189050</v>
      </c>
      <c r="O1422" s="678">
        <f t="shared" si="192"/>
        <v>34672.770000000004</v>
      </c>
      <c r="P1422" s="675">
        <f t="shared" si="192"/>
        <v>0</v>
      </c>
      <c r="Q1422" s="675">
        <f t="shared" si="192"/>
        <v>28819.17</v>
      </c>
      <c r="R1422" s="446" t="s">
        <v>28</v>
      </c>
      <c r="S1422" s="383">
        <f>L1422-M1422-N1422-O1422-P1422-Q1422</f>
        <v>1.3387762010097504E-9</v>
      </c>
      <c r="T1422" s="387" t="e">
        <f>'1.перечень МКД'!#REF!</f>
        <v>#REF!</v>
      </c>
      <c r="U1422" s="390" t="e">
        <f>L1422-T1422</f>
        <v>#REF!</v>
      </c>
      <c r="V1422" s="390"/>
      <c r="Y1422" s="419">
        <f t="shared" si="191"/>
        <v>19123691.170000002</v>
      </c>
      <c r="Z1422" s="419"/>
    </row>
    <row r="1423" spans="1:26" s="403" customFormat="1" ht="42.75" hidden="1" customHeight="1">
      <c r="A1423" s="1113" t="s">
        <v>201</v>
      </c>
      <c r="B1423" s="1113"/>
      <c r="C1423" s="1113"/>
      <c r="D1423" s="1113"/>
      <c r="E1423" s="1113"/>
      <c r="F1423" s="1113"/>
      <c r="G1423" s="1113"/>
      <c r="H1423" s="1113"/>
      <c r="I1423" s="1113"/>
      <c r="J1423" s="1113"/>
      <c r="K1423" s="1113"/>
      <c r="L1423" s="1113"/>
      <c r="M1423" s="1113"/>
      <c r="N1423" s="1113"/>
      <c r="O1423" s="1113"/>
      <c r="P1423" s="1113"/>
      <c r="Q1423" s="1113"/>
      <c r="R1423" s="1113"/>
      <c r="U1423" s="404"/>
      <c r="V1423" s="390"/>
      <c r="Y1423" s="419">
        <f t="shared" si="191"/>
        <v>0</v>
      </c>
      <c r="Z1423" s="419"/>
    </row>
    <row r="1424" spans="1:26" s="403" customFormat="1" ht="37.5" hidden="1" customHeight="1">
      <c r="A1424" s="797">
        <v>1</v>
      </c>
      <c r="B1424" s="723" t="s">
        <v>1396</v>
      </c>
      <c r="C1424" s="780" t="s">
        <v>315</v>
      </c>
      <c r="D1424" s="780">
        <v>13889</v>
      </c>
      <c r="E1424" s="539">
        <v>2418.9</v>
      </c>
      <c r="F1424" s="539" t="s">
        <v>316</v>
      </c>
      <c r="G1424" s="790">
        <v>992.03</v>
      </c>
      <c r="H1424" s="789">
        <v>5</v>
      </c>
      <c r="I1424" s="789">
        <v>1</v>
      </c>
      <c r="J1424" s="599">
        <v>164</v>
      </c>
      <c r="K1424" s="791" t="s">
        <v>33</v>
      </c>
      <c r="L1424" s="519">
        <f t="shared" ref="L1424:L1452" si="193">M1424+N1424+O1424+P1424+Q1424</f>
        <v>2978898</v>
      </c>
      <c r="M1424" s="792">
        <v>2949048</v>
      </c>
      <c r="N1424" s="790">
        <v>29850</v>
      </c>
      <c r="O1424" s="643"/>
      <c r="P1424" s="388"/>
      <c r="Q1424" s="790"/>
      <c r="R1424" s="446">
        <f t="shared" ref="R1424:R1433" si="194">M1424/J1424</f>
        <v>17982</v>
      </c>
      <c r="S1424" s="383">
        <f t="shared" ref="S1424:S1453" si="195">L1424-M1424-N1424-O1424-P1424-Q1424</f>
        <v>0</v>
      </c>
      <c r="U1424" s="388"/>
      <c r="V1424" s="390"/>
      <c r="Y1424" s="419">
        <f t="shared" si="191"/>
        <v>2978898</v>
      </c>
      <c r="Z1424" s="419"/>
    </row>
    <row r="1425" spans="1:26" s="403" customFormat="1" ht="37.5" hidden="1" customHeight="1">
      <c r="A1425" s="797">
        <f>A1424+1</f>
        <v>2</v>
      </c>
      <c r="B1425" s="723" t="s">
        <v>1397</v>
      </c>
      <c r="C1425" s="780" t="s">
        <v>222</v>
      </c>
      <c r="D1425" s="780">
        <v>14353</v>
      </c>
      <c r="E1425" s="539">
        <v>2301</v>
      </c>
      <c r="F1425" s="539" t="s">
        <v>316</v>
      </c>
      <c r="G1425" s="790">
        <v>1166</v>
      </c>
      <c r="H1425" s="789">
        <v>5</v>
      </c>
      <c r="I1425" s="789">
        <v>4</v>
      </c>
      <c r="J1425" s="599">
        <v>72</v>
      </c>
      <c r="K1425" s="791" t="s">
        <v>225</v>
      </c>
      <c r="L1425" s="519">
        <f t="shared" si="193"/>
        <v>982184.71</v>
      </c>
      <c r="M1425" s="792">
        <v>952334.71</v>
      </c>
      <c r="N1425" s="790">
        <v>29850</v>
      </c>
      <c r="O1425" s="643"/>
      <c r="P1425" s="388"/>
      <c r="Q1425" s="790"/>
      <c r="R1425" s="446">
        <f t="shared" si="194"/>
        <v>13226.870972222221</v>
      </c>
      <c r="S1425" s="383">
        <f t="shared" si="195"/>
        <v>0</v>
      </c>
      <c r="U1425" s="404"/>
      <c r="V1425" s="390"/>
      <c r="Y1425" s="419">
        <f t="shared" si="191"/>
        <v>982184.71</v>
      </c>
      <c r="Z1425" s="419"/>
    </row>
    <row r="1426" spans="1:26" s="403" customFormat="1" ht="37.5" hidden="1" customHeight="1">
      <c r="A1426" s="797">
        <f t="shared" ref="A1426:A1451" si="196">A1425+1</f>
        <v>3</v>
      </c>
      <c r="B1426" s="723" t="s">
        <v>1398</v>
      </c>
      <c r="C1426" s="780" t="s">
        <v>222</v>
      </c>
      <c r="D1426" s="780">
        <v>12422</v>
      </c>
      <c r="E1426" s="539">
        <v>2301</v>
      </c>
      <c r="F1426" s="539" t="s">
        <v>317</v>
      </c>
      <c r="G1426" s="790">
        <v>1148</v>
      </c>
      <c r="H1426" s="789">
        <v>5</v>
      </c>
      <c r="I1426" s="789">
        <v>4</v>
      </c>
      <c r="J1426" s="599">
        <v>77</v>
      </c>
      <c r="K1426" s="791" t="s">
        <v>232</v>
      </c>
      <c r="L1426" s="519">
        <f t="shared" si="193"/>
        <v>1802593.41</v>
      </c>
      <c r="M1426" s="792">
        <v>1767768.41</v>
      </c>
      <c r="N1426" s="790">
        <v>34825</v>
      </c>
      <c r="O1426" s="643"/>
      <c r="P1426" s="388"/>
      <c r="Q1426" s="790"/>
      <c r="R1426" s="446">
        <f t="shared" si="194"/>
        <v>22958.031298701299</v>
      </c>
      <c r="S1426" s="383">
        <f t="shared" si="195"/>
        <v>0</v>
      </c>
      <c r="U1426" s="404"/>
      <c r="V1426" s="390"/>
      <c r="Y1426" s="419">
        <f t="shared" si="191"/>
        <v>1802593.41</v>
      </c>
      <c r="Z1426" s="419"/>
    </row>
    <row r="1427" spans="1:26" s="403" customFormat="1" ht="56.25" hidden="1" customHeight="1">
      <c r="A1427" s="797">
        <f t="shared" si="196"/>
        <v>4</v>
      </c>
      <c r="B1427" s="723" t="s">
        <v>1399</v>
      </c>
      <c r="C1427" s="780" t="s">
        <v>222</v>
      </c>
      <c r="D1427" s="780">
        <v>13567</v>
      </c>
      <c r="E1427" s="539">
        <v>2590</v>
      </c>
      <c r="F1427" s="539" t="s">
        <v>317</v>
      </c>
      <c r="G1427" s="790">
        <v>965</v>
      </c>
      <c r="H1427" s="789">
        <v>5</v>
      </c>
      <c r="I1427" s="789">
        <v>4</v>
      </c>
      <c r="J1427" s="599">
        <v>70</v>
      </c>
      <c r="K1427" s="791" t="s">
        <v>30</v>
      </c>
      <c r="L1427" s="519">
        <f t="shared" si="193"/>
        <v>1775156.8199999998</v>
      </c>
      <c r="M1427" s="792">
        <v>1769515.17</v>
      </c>
      <c r="N1427" s="790"/>
      <c r="O1427" s="643">
        <v>5641.65</v>
      </c>
      <c r="P1427" s="388"/>
      <c r="Q1427" s="790"/>
      <c r="R1427" s="446">
        <f t="shared" si="194"/>
        <v>25278.788142857142</v>
      </c>
      <c r="S1427" s="383">
        <f t="shared" si="195"/>
        <v>-9.276845958083868E-11</v>
      </c>
      <c r="U1427" s="404"/>
      <c r="V1427" s="390"/>
      <c r="Y1427" s="419">
        <f t="shared" si="191"/>
        <v>1775156.8199999998</v>
      </c>
      <c r="Z1427" s="419"/>
    </row>
    <row r="1428" spans="1:26" s="403" customFormat="1" ht="56.25" hidden="1" customHeight="1">
      <c r="A1428" s="797">
        <f t="shared" si="196"/>
        <v>5</v>
      </c>
      <c r="B1428" s="723" t="s">
        <v>1400</v>
      </c>
      <c r="C1428" s="780" t="s">
        <v>222</v>
      </c>
      <c r="D1428" s="780">
        <v>14176</v>
      </c>
      <c r="E1428" s="539">
        <v>2290</v>
      </c>
      <c r="F1428" s="539" t="s">
        <v>317</v>
      </c>
      <c r="G1428" s="790">
        <v>966</v>
      </c>
      <c r="H1428" s="789">
        <v>5</v>
      </c>
      <c r="I1428" s="789">
        <v>4</v>
      </c>
      <c r="J1428" s="599">
        <v>70</v>
      </c>
      <c r="K1428" s="791" t="s">
        <v>30</v>
      </c>
      <c r="L1428" s="519">
        <f t="shared" si="193"/>
        <v>1725666.5899999999</v>
      </c>
      <c r="M1428" s="792">
        <v>1720024.94</v>
      </c>
      <c r="N1428" s="790"/>
      <c r="O1428" s="643">
        <v>5641.65</v>
      </c>
      <c r="P1428" s="388"/>
      <c r="Q1428" s="790"/>
      <c r="R1428" s="446">
        <f t="shared" si="194"/>
        <v>24571.784857142855</v>
      </c>
      <c r="S1428" s="383">
        <f t="shared" si="195"/>
        <v>-9.276845958083868E-11</v>
      </c>
      <c r="U1428" s="388"/>
      <c r="V1428" s="390"/>
      <c r="Y1428" s="419">
        <f t="shared" si="191"/>
        <v>1725666.5899999999</v>
      </c>
      <c r="Z1428" s="419"/>
    </row>
    <row r="1429" spans="1:26" s="403" customFormat="1" ht="37.5" hidden="1" customHeight="1">
      <c r="A1429" s="797">
        <f t="shared" si="196"/>
        <v>6</v>
      </c>
      <c r="B1429" s="723" t="s">
        <v>1401</v>
      </c>
      <c r="C1429" s="780" t="s">
        <v>222</v>
      </c>
      <c r="D1429" s="780">
        <v>10362</v>
      </c>
      <c r="E1429" s="539">
        <v>2590</v>
      </c>
      <c r="F1429" s="539" t="s">
        <v>317</v>
      </c>
      <c r="G1429" s="790">
        <v>970</v>
      </c>
      <c r="H1429" s="789">
        <v>5</v>
      </c>
      <c r="I1429" s="789">
        <v>4</v>
      </c>
      <c r="J1429" s="599">
        <v>56</v>
      </c>
      <c r="K1429" s="791" t="s">
        <v>232</v>
      </c>
      <c r="L1429" s="519">
        <f t="shared" si="193"/>
        <v>1849170.57</v>
      </c>
      <c r="M1429" s="792">
        <v>1814345.57</v>
      </c>
      <c r="N1429" s="790">
        <v>34825</v>
      </c>
      <c r="O1429" s="643"/>
      <c r="P1429" s="388"/>
      <c r="Q1429" s="790"/>
      <c r="R1429" s="446">
        <f t="shared" si="194"/>
        <v>32399.028035714287</v>
      </c>
      <c r="S1429" s="383">
        <f t="shared" si="195"/>
        <v>0</v>
      </c>
      <c r="U1429" s="404"/>
      <c r="V1429" s="390"/>
      <c r="Y1429" s="419">
        <f t="shared" si="191"/>
        <v>1849170.57</v>
      </c>
      <c r="Z1429" s="419"/>
    </row>
    <row r="1430" spans="1:26" s="403" customFormat="1" ht="56.25" hidden="1" customHeight="1">
      <c r="A1430" s="797">
        <f t="shared" si="196"/>
        <v>7</v>
      </c>
      <c r="B1430" s="723" t="s">
        <v>1402</v>
      </c>
      <c r="C1430" s="780" t="s">
        <v>222</v>
      </c>
      <c r="D1430" s="780">
        <v>23349</v>
      </c>
      <c r="E1430" s="539">
        <v>4353</v>
      </c>
      <c r="F1430" s="539" t="s">
        <v>317</v>
      </c>
      <c r="G1430" s="790">
        <v>2210</v>
      </c>
      <c r="H1430" s="789">
        <v>5</v>
      </c>
      <c r="I1430" s="789">
        <v>8</v>
      </c>
      <c r="J1430" s="599">
        <v>127</v>
      </c>
      <c r="K1430" s="791" t="s">
        <v>30</v>
      </c>
      <c r="L1430" s="519">
        <f t="shared" si="193"/>
        <v>3439667.64</v>
      </c>
      <c r="M1430" s="792">
        <v>3428673.89</v>
      </c>
      <c r="N1430" s="790"/>
      <c r="O1430" s="643">
        <v>10993.75</v>
      </c>
      <c r="P1430" s="790"/>
      <c r="Q1430" s="388"/>
      <c r="R1430" s="446">
        <f t="shared" si="194"/>
        <v>26997.43220472441</v>
      </c>
      <c r="S1430" s="383">
        <f t="shared" si="195"/>
        <v>0</v>
      </c>
      <c r="T1430" s="389"/>
      <c r="U1430" s="388"/>
      <c r="V1430" s="390"/>
      <c r="Y1430" s="419">
        <f t="shared" si="191"/>
        <v>3439667.64</v>
      </c>
      <c r="Z1430" s="419"/>
    </row>
    <row r="1431" spans="1:26" s="403" customFormat="1" ht="56.25" hidden="1" customHeight="1">
      <c r="A1431" s="797">
        <f t="shared" si="196"/>
        <v>8</v>
      </c>
      <c r="B1431" s="723" t="s">
        <v>1403</v>
      </c>
      <c r="C1431" s="780" t="s">
        <v>222</v>
      </c>
      <c r="D1431" s="780"/>
      <c r="E1431" s="539"/>
      <c r="F1431" s="539" t="s">
        <v>252</v>
      </c>
      <c r="G1431" s="790"/>
      <c r="H1431" s="789">
        <v>5</v>
      </c>
      <c r="I1431" s="789">
        <v>4</v>
      </c>
      <c r="J1431" s="599">
        <v>60</v>
      </c>
      <c r="K1431" s="791" t="s">
        <v>30</v>
      </c>
      <c r="L1431" s="519">
        <f t="shared" si="193"/>
        <v>1616716.8699999999</v>
      </c>
      <c r="M1431" s="792">
        <v>1611881.17</v>
      </c>
      <c r="N1431" s="790"/>
      <c r="O1431" s="643">
        <v>4835.7</v>
      </c>
      <c r="P1431" s="388"/>
      <c r="Q1431" s="790"/>
      <c r="R1431" s="446">
        <f t="shared" si="194"/>
        <v>26864.686166666666</v>
      </c>
      <c r="S1431" s="383">
        <f t="shared" si="195"/>
        <v>-4.638422979041934E-11</v>
      </c>
      <c r="U1431" s="404"/>
      <c r="V1431" s="390"/>
      <c r="Y1431" s="419">
        <f t="shared" si="191"/>
        <v>1616716.8699999999</v>
      </c>
      <c r="Z1431" s="419"/>
    </row>
    <row r="1432" spans="1:26" s="403" customFormat="1" ht="56.25" hidden="1" customHeight="1">
      <c r="A1432" s="797">
        <f t="shared" si="196"/>
        <v>9</v>
      </c>
      <c r="B1432" s="723" t="s">
        <v>1404</v>
      </c>
      <c r="C1432" s="780" t="s">
        <v>315</v>
      </c>
      <c r="D1432" s="780">
        <v>10643</v>
      </c>
      <c r="E1432" s="539">
        <v>3098</v>
      </c>
      <c r="F1432" s="539" t="s">
        <v>317</v>
      </c>
      <c r="G1432" s="790">
        <v>1008</v>
      </c>
      <c r="H1432" s="789">
        <v>5</v>
      </c>
      <c r="I1432" s="789">
        <v>4</v>
      </c>
      <c r="J1432" s="599">
        <v>56</v>
      </c>
      <c r="K1432" s="791" t="s">
        <v>30</v>
      </c>
      <c r="L1432" s="519">
        <f t="shared" si="193"/>
        <v>1648240.3800000001</v>
      </c>
      <c r="M1432" s="792">
        <f>1504440+139287.06</f>
        <v>1643727.06</v>
      </c>
      <c r="N1432" s="790"/>
      <c r="O1432" s="643">
        <v>4513.32</v>
      </c>
      <c r="P1432" s="388"/>
      <c r="Q1432" s="790"/>
      <c r="R1432" s="446">
        <f t="shared" si="194"/>
        <v>29352.26892857143</v>
      </c>
      <c r="S1432" s="383">
        <f t="shared" si="195"/>
        <v>6.5483618527650833E-11</v>
      </c>
      <c r="U1432" s="404"/>
      <c r="V1432" s="390"/>
      <c r="Y1432" s="419">
        <f t="shared" si="191"/>
        <v>1648240.3800000001</v>
      </c>
      <c r="Z1432" s="419"/>
    </row>
    <row r="1433" spans="1:26" s="403" customFormat="1" ht="56.25" hidden="1" customHeight="1">
      <c r="A1433" s="797">
        <f t="shared" si="196"/>
        <v>10</v>
      </c>
      <c r="B1433" s="723" t="s">
        <v>1405</v>
      </c>
      <c r="C1433" s="780" t="s">
        <v>315</v>
      </c>
      <c r="D1433" s="780">
        <v>23445</v>
      </c>
      <c r="E1433" s="539">
        <v>4020</v>
      </c>
      <c r="F1433" s="539" t="s">
        <v>317</v>
      </c>
      <c r="G1433" s="790">
        <v>1683</v>
      </c>
      <c r="H1433" s="789">
        <v>5</v>
      </c>
      <c r="I1433" s="789">
        <v>8</v>
      </c>
      <c r="J1433" s="599">
        <v>120</v>
      </c>
      <c r="K1433" s="791" t="s">
        <v>30</v>
      </c>
      <c r="L1433" s="519">
        <f t="shared" si="193"/>
        <v>3120282.54</v>
      </c>
      <c r="M1433" s="792">
        <v>3110611.14</v>
      </c>
      <c r="N1433" s="790"/>
      <c r="O1433" s="643">
        <v>9671.4</v>
      </c>
      <c r="P1433" s="388"/>
      <c r="Q1433" s="790"/>
      <c r="R1433" s="446">
        <f t="shared" si="194"/>
        <v>25921.7595</v>
      </c>
      <c r="S1433" s="383">
        <f t="shared" si="195"/>
        <v>-9.276845958083868E-11</v>
      </c>
      <c r="U1433" s="388"/>
      <c r="V1433" s="390"/>
      <c r="Y1433" s="419">
        <f t="shared" si="191"/>
        <v>3120282.54</v>
      </c>
      <c r="Z1433" s="419"/>
    </row>
    <row r="1434" spans="1:26" s="403" customFormat="1" ht="37.5" hidden="1" customHeight="1">
      <c r="A1434" s="797">
        <f t="shared" si="196"/>
        <v>11</v>
      </c>
      <c r="B1434" s="723" t="s">
        <v>1406</v>
      </c>
      <c r="C1434" s="780" t="s">
        <v>315</v>
      </c>
      <c r="D1434" s="780">
        <v>23490</v>
      </c>
      <c r="E1434" s="539">
        <v>4039</v>
      </c>
      <c r="F1434" s="539" t="s">
        <v>316</v>
      </c>
      <c r="G1434" s="790">
        <v>1671</v>
      </c>
      <c r="H1434" s="789">
        <v>5</v>
      </c>
      <c r="I1434" s="789">
        <v>8</v>
      </c>
      <c r="J1434" s="599">
        <v>129</v>
      </c>
      <c r="K1434" s="791" t="s">
        <v>33</v>
      </c>
      <c r="L1434" s="519">
        <f t="shared" si="193"/>
        <v>4734919.62</v>
      </c>
      <c r="M1434" s="792">
        <f>4507188.3+187931.32</f>
        <v>4695119.62</v>
      </c>
      <c r="N1434" s="790">
        <v>39800</v>
      </c>
      <c r="O1434" s="643"/>
      <c r="P1434" s="388"/>
      <c r="Q1434" s="790"/>
      <c r="R1434" s="446">
        <f>M1434/G1434</f>
        <v>2809.7663794135251</v>
      </c>
      <c r="S1434" s="383">
        <f t="shared" si="195"/>
        <v>0</v>
      </c>
      <c r="U1434" s="388"/>
      <c r="V1434" s="390"/>
      <c r="Y1434" s="419">
        <f t="shared" si="191"/>
        <v>4734919.62</v>
      </c>
      <c r="Z1434" s="419"/>
    </row>
    <row r="1435" spans="1:26" s="403" customFormat="1" ht="37.5" hidden="1" customHeight="1">
      <c r="A1435" s="797">
        <f t="shared" si="196"/>
        <v>12</v>
      </c>
      <c r="B1435" s="723" t="s">
        <v>1407</v>
      </c>
      <c r="C1435" s="780" t="s">
        <v>315</v>
      </c>
      <c r="D1435" s="780">
        <v>33211</v>
      </c>
      <c r="E1435" s="539">
        <v>5066</v>
      </c>
      <c r="F1435" s="539" t="s">
        <v>318</v>
      </c>
      <c r="G1435" s="790">
        <v>2447</v>
      </c>
      <c r="H1435" s="789">
        <v>5</v>
      </c>
      <c r="I1435" s="789">
        <v>12</v>
      </c>
      <c r="J1435" s="599">
        <v>154</v>
      </c>
      <c r="K1435" s="791" t="s">
        <v>33</v>
      </c>
      <c r="L1435" s="519">
        <f t="shared" si="193"/>
        <v>4974701.0199999996</v>
      </c>
      <c r="M1435" s="792">
        <v>4958631.7699999996</v>
      </c>
      <c r="N1435" s="790"/>
      <c r="O1435" s="643">
        <v>16069.25</v>
      </c>
      <c r="P1435" s="388"/>
      <c r="Q1435" s="790"/>
      <c r="R1435" s="446">
        <f>M1435/G1435</f>
        <v>2026.4126563138534</v>
      </c>
      <c r="S1435" s="383">
        <f t="shared" si="195"/>
        <v>0</v>
      </c>
      <c r="U1435" s="404"/>
      <c r="V1435" s="390"/>
      <c r="Y1435" s="419">
        <f t="shared" si="191"/>
        <v>4974701.0199999996</v>
      </c>
      <c r="Z1435" s="419"/>
    </row>
    <row r="1436" spans="1:26" s="403" customFormat="1" ht="56.25" hidden="1" customHeight="1">
      <c r="A1436" s="797">
        <f t="shared" si="196"/>
        <v>13</v>
      </c>
      <c r="B1436" s="723" t="s">
        <v>1408</v>
      </c>
      <c r="C1436" s="780" t="s">
        <v>222</v>
      </c>
      <c r="D1436" s="780">
        <v>39004</v>
      </c>
      <c r="E1436" s="539">
        <v>6264</v>
      </c>
      <c r="F1436" s="539" t="s">
        <v>318</v>
      </c>
      <c r="G1436" s="790">
        <v>2839</v>
      </c>
      <c r="H1436" s="789">
        <v>5</v>
      </c>
      <c r="I1436" s="789">
        <v>10</v>
      </c>
      <c r="J1436" s="599">
        <v>187</v>
      </c>
      <c r="K1436" s="791" t="s">
        <v>30</v>
      </c>
      <c r="L1436" s="519">
        <f t="shared" si="193"/>
        <v>6396052.4600000009</v>
      </c>
      <c r="M1436" s="792">
        <v>6376515.6400000006</v>
      </c>
      <c r="N1436" s="790"/>
      <c r="O1436" s="643">
        <v>19536.82</v>
      </c>
      <c r="P1436" s="388"/>
      <c r="Q1436" s="790"/>
      <c r="R1436" s="446">
        <f>M1436/J1436</f>
        <v>34099.014117647064</v>
      </c>
      <c r="S1436" s="383">
        <f t="shared" si="195"/>
        <v>2.9831426218152046E-10</v>
      </c>
      <c r="U1436" s="404"/>
      <c r="V1436" s="390"/>
      <c r="Y1436" s="419">
        <f t="shared" si="191"/>
        <v>6396052.4600000009</v>
      </c>
      <c r="Z1436" s="419"/>
    </row>
    <row r="1437" spans="1:26" s="403" customFormat="1" ht="56.25" hidden="1" customHeight="1">
      <c r="A1437" s="797">
        <f t="shared" si="196"/>
        <v>14</v>
      </c>
      <c r="B1437" s="723" t="s">
        <v>1409</v>
      </c>
      <c r="C1437" s="780" t="s">
        <v>315</v>
      </c>
      <c r="D1437" s="780">
        <v>12858</v>
      </c>
      <c r="E1437" s="539">
        <v>2364</v>
      </c>
      <c r="F1437" s="539" t="s">
        <v>223</v>
      </c>
      <c r="G1437" s="790">
        <v>1211</v>
      </c>
      <c r="H1437" s="789">
        <v>5</v>
      </c>
      <c r="I1437" s="789">
        <v>4</v>
      </c>
      <c r="J1437" s="599">
        <v>70</v>
      </c>
      <c r="K1437" s="791" t="s">
        <v>30</v>
      </c>
      <c r="L1437" s="519">
        <f t="shared" si="193"/>
        <v>1871350.5799999998</v>
      </c>
      <c r="M1437" s="792">
        <v>1865708.93</v>
      </c>
      <c r="N1437" s="790"/>
      <c r="O1437" s="643">
        <v>5641.65</v>
      </c>
      <c r="P1437" s="388"/>
      <c r="Q1437" s="790"/>
      <c r="R1437" s="446">
        <f>M1437/J1437</f>
        <v>26652.984714285714</v>
      </c>
      <c r="S1437" s="383">
        <f t="shared" si="195"/>
        <v>-9.276845958083868E-11</v>
      </c>
      <c r="U1437" s="388"/>
      <c r="V1437" s="390"/>
      <c r="Y1437" s="419">
        <f t="shared" si="191"/>
        <v>1871350.5799999998</v>
      </c>
      <c r="Z1437" s="419"/>
    </row>
    <row r="1438" spans="1:26" s="403" customFormat="1" ht="56.25" hidden="1" customHeight="1">
      <c r="A1438" s="797">
        <f t="shared" si="196"/>
        <v>15</v>
      </c>
      <c r="B1438" s="723" t="s">
        <v>1410</v>
      </c>
      <c r="C1438" s="780" t="s">
        <v>222</v>
      </c>
      <c r="D1438" s="780"/>
      <c r="E1438" s="539"/>
      <c r="F1438" s="539" t="s">
        <v>252</v>
      </c>
      <c r="G1438" s="790"/>
      <c r="H1438" s="789">
        <v>4</v>
      </c>
      <c r="I1438" s="789">
        <v>3</v>
      </c>
      <c r="J1438" s="599">
        <v>53</v>
      </c>
      <c r="K1438" s="791" t="s">
        <v>30</v>
      </c>
      <c r="L1438" s="519">
        <f t="shared" si="193"/>
        <v>1326895.49</v>
      </c>
      <c r="M1438" s="792">
        <v>1322623.96</v>
      </c>
      <c r="N1438" s="790"/>
      <c r="O1438" s="643">
        <v>4271.53</v>
      </c>
      <c r="P1438" s="388"/>
      <c r="Q1438" s="790"/>
      <c r="R1438" s="446">
        <f>M1438/J1438</f>
        <v>24955.169056603772</v>
      </c>
      <c r="S1438" s="383">
        <f t="shared" si="195"/>
        <v>2.8194335754960775E-11</v>
      </c>
      <c r="U1438" s="388"/>
      <c r="V1438" s="390"/>
      <c r="Y1438" s="419">
        <f t="shared" si="191"/>
        <v>1326895.49</v>
      </c>
      <c r="Z1438" s="419"/>
    </row>
    <row r="1439" spans="1:26" s="403" customFormat="1" ht="37.5" hidden="1" customHeight="1">
      <c r="A1439" s="797">
        <f t="shared" si="196"/>
        <v>16</v>
      </c>
      <c r="B1439" s="723" t="s">
        <v>1411</v>
      </c>
      <c r="C1439" s="780" t="s">
        <v>222</v>
      </c>
      <c r="D1439" s="780">
        <v>11927</v>
      </c>
      <c r="E1439" s="539">
        <v>2193</v>
      </c>
      <c r="F1439" s="539" t="s">
        <v>318</v>
      </c>
      <c r="G1439" s="790">
        <v>849</v>
      </c>
      <c r="H1439" s="789">
        <v>5</v>
      </c>
      <c r="I1439" s="789">
        <v>4</v>
      </c>
      <c r="J1439" s="599">
        <v>60</v>
      </c>
      <c r="K1439" s="791" t="s">
        <v>33</v>
      </c>
      <c r="L1439" s="519">
        <f t="shared" si="193"/>
        <v>1693050.02</v>
      </c>
      <c r="M1439" s="792">
        <v>1687475.03</v>
      </c>
      <c r="N1439" s="790"/>
      <c r="O1439" s="643">
        <v>5574.99</v>
      </c>
      <c r="P1439" s="388"/>
      <c r="Q1439" s="790"/>
      <c r="R1439" s="446">
        <f>M1439/G1439</f>
        <v>1987.603097762073</v>
      </c>
      <c r="S1439" s="383">
        <f t="shared" si="195"/>
        <v>-9.0949470177292824E-12</v>
      </c>
      <c r="U1439" s="404"/>
      <c r="V1439" s="390"/>
      <c r="Y1439" s="419">
        <f t="shared" si="191"/>
        <v>1693050.02</v>
      </c>
      <c r="Z1439" s="419"/>
    </row>
    <row r="1440" spans="1:26" s="403" customFormat="1" ht="56.25" hidden="1" customHeight="1">
      <c r="A1440" s="797">
        <f t="shared" si="196"/>
        <v>17</v>
      </c>
      <c r="B1440" s="723" t="s">
        <v>1412</v>
      </c>
      <c r="C1440" s="780" t="s">
        <v>315</v>
      </c>
      <c r="D1440" s="780">
        <v>9939</v>
      </c>
      <c r="E1440" s="539">
        <v>1893</v>
      </c>
      <c r="F1440" s="539" t="s">
        <v>223</v>
      </c>
      <c r="G1440" s="790">
        <v>923</v>
      </c>
      <c r="H1440" s="789">
        <v>5</v>
      </c>
      <c r="I1440" s="789">
        <v>4</v>
      </c>
      <c r="J1440" s="599">
        <v>51</v>
      </c>
      <c r="K1440" s="791" t="s">
        <v>30</v>
      </c>
      <c r="L1440" s="519">
        <f t="shared" si="193"/>
        <v>1380805.59</v>
      </c>
      <c r="M1440" s="792">
        <v>1376695.24</v>
      </c>
      <c r="N1440" s="790"/>
      <c r="O1440" s="643">
        <v>4110.3500000000004</v>
      </c>
      <c r="P1440" s="388"/>
      <c r="Q1440" s="790"/>
      <c r="R1440" s="446">
        <f>M1440/J1440</f>
        <v>26994.024313725491</v>
      </c>
      <c r="S1440" s="383">
        <f t="shared" si="195"/>
        <v>9.276845958083868E-11</v>
      </c>
      <c r="U1440" s="388"/>
      <c r="V1440" s="390"/>
      <c r="Y1440" s="419">
        <f t="shared" si="191"/>
        <v>1380805.59</v>
      </c>
      <c r="Z1440" s="419"/>
    </row>
    <row r="1441" spans="1:26" s="403" customFormat="1" ht="37.5" hidden="1" customHeight="1">
      <c r="A1441" s="797">
        <f t="shared" si="196"/>
        <v>18</v>
      </c>
      <c r="B1441" s="723" t="s">
        <v>1413</v>
      </c>
      <c r="C1441" s="780" t="s">
        <v>222</v>
      </c>
      <c r="D1441" s="780">
        <v>13957</v>
      </c>
      <c r="E1441" s="539">
        <v>2636</v>
      </c>
      <c r="F1441" s="539" t="s">
        <v>316</v>
      </c>
      <c r="G1441" s="790">
        <v>1136</v>
      </c>
      <c r="H1441" s="789">
        <v>5</v>
      </c>
      <c r="I1441" s="789">
        <v>4</v>
      </c>
      <c r="J1441" s="599">
        <v>72</v>
      </c>
      <c r="K1441" s="791" t="s">
        <v>225</v>
      </c>
      <c r="L1441" s="519">
        <f t="shared" si="193"/>
        <v>1022416.81</v>
      </c>
      <c r="M1441" s="792">
        <v>992566.81</v>
      </c>
      <c r="N1441" s="790">
        <v>29850</v>
      </c>
      <c r="O1441" s="643"/>
      <c r="P1441" s="388"/>
      <c r="Q1441" s="790"/>
      <c r="R1441" s="446">
        <f>M1441/J1441</f>
        <v>13785.65013888889</v>
      </c>
      <c r="S1441" s="383">
        <f t="shared" si="195"/>
        <v>0</v>
      </c>
      <c r="U1441" s="404"/>
      <c r="V1441" s="390"/>
      <c r="Y1441" s="419">
        <f t="shared" si="191"/>
        <v>1022416.81</v>
      </c>
      <c r="Z1441" s="419"/>
    </row>
    <row r="1442" spans="1:26" s="403" customFormat="1" ht="37.5" hidden="1" customHeight="1">
      <c r="A1442" s="797">
        <f t="shared" si="196"/>
        <v>19</v>
      </c>
      <c r="B1442" s="723" t="s">
        <v>1414</v>
      </c>
      <c r="C1442" s="780" t="s">
        <v>315</v>
      </c>
      <c r="D1442" s="780"/>
      <c r="E1442" s="539"/>
      <c r="F1442" s="539" t="s">
        <v>252</v>
      </c>
      <c r="G1442" s="790"/>
      <c r="H1442" s="789">
        <v>4</v>
      </c>
      <c r="I1442" s="789">
        <v>4</v>
      </c>
      <c r="J1442" s="599">
        <v>62</v>
      </c>
      <c r="K1442" s="791" t="s">
        <v>225</v>
      </c>
      <c r="L1442" s="519">
        <f t="shared" si="193"/>
        <v>963033.6100000001</v>
      </c>
      <c r="M1442" s="792">
        <v>933183.6100000001</v>
      </c>
      <c r="N1442" s="790">
        <v>29850</v>
      </c>
      <c r="O1442" s="643"/>
      <c r="P1442" s="388"/>
      <c r="Q1442" s="790"/>
      <c r="R1442" s="446">
        <f>M1442/J1442</f>
        <v>15051.348548387099</v>
      </c>
      <c r="S1442" s="383">
        <f t="shared" si="195"/>
        <v>0</v>
      </c>
      <c r="U1442" s="404"/>
      <c r="V1442" s="390"/>
      <c r="Y1442" s="419">
        <f t="shared" si="191"/>
        <v>963033.6100000001</v>
      </c>
      <c r="Z1442" s="419"/>
    </row>
    <row r="1443" spans="1:26" s="403" customFormat="1" ht="37.5" hidden="1" customHeight="1">
      <c r="A1443" s="797">
        <f t="shared" si="196"/>
        <v>20</v>
      </c>
      <c r="B1443" s="723" t="s">
        <v>1415</v>
      </c>
      <c r="C1443" s="780" t="s">
        <v>222</v>
      </c>
      <c r="D1443" s="780">
        <v>19969</v>
      </c>
      <c r="E1443" s="539">
        <v>2250</v>
      </c>
      <c r="F1443" s="539" t="s">
        <v>318</v>
      </c>
      <c r="G1443" s="790">
        <v>1016</v>
      </c>
      <c r="H1443" s="789">
        <v>5</v>
      </c>
      <c r="I1443" s="789">
        <v>4</v>
      </c>
      <c r="J1443" s="599">
        <v>40</v>
      </c>
      <c r="K1443" s="791" t="s">
        <v>33</v>
      </c>
      <c r="L1443" s="519">
        <f t="shared" si="193"/>
        <v>1593518.71</v>
      </c>
      <c r="M1443" s="792">
        <v>1586846.24</v>
      </c>
      <c r="N1443" s="790"/>
      <c r="O1443" s="643">
        <v>6672.47</v>
      </c>
      <c r="P1443" s="388"/>
      <c r="Q1443" s="790"/>
      <c r="R1443" s="446">
        <f>M1443/G1443</f>
        <v>1561.8565354330708</v>
      </c>
      <c r="S1443" s="383">
        <f t="shared" si="195"/>
        <v>-2.8194335754960775E-11</v>
      </c>
      <c r="U1443" s="404"/>
      <c r="V1443" s="390"/>
      <c r="Y1443" s="419">
        <f t="shared" si="191"/>
        <v>1593518.71</v>
      </c>
      <c r="Z1443" s="419"/>
    </row>
    <row r="1444" spans="1:26" s="403" customFormat="1" ht="56.25" hidden="1" customHeight="1">
      <c r="A1444" s="797">
        <f t="shared" si="196"/>
        <v>21</v>
      </c>
      <c r="B1444" s="723" t="s">
        <v>1416</v>
      </c>
      <c r="C1444" s="780" t="s">
        <v>315</v>
      </c>
      <c r="D1444" s="780">
        <v>4732</v>
      </c>
      <c r="E1444" s="539">
        <v>994</v>
      </c>
      <c r="F1444" s="539" t="s">
        <v>223</v>
      </c>
      <c r="G1444" s="790">
        <v>549</v>
      </c>
      <c r="H1444" s="789">
        <v>4</v>
      </c>
      <c r="I1444" s="789">
        <v>2</v>
      </c>
      <c r="J1444" s="599">
        <v>23</v>
      </c>
      <c r="K1444" s="791" t="s">
        <v>30</v>
      </c>
      <c r="L1444" s="519">
        <f t="shared" si="193"/>
        <v>587613.31999999995</v>
      </c>
      <c r="M1444" s="792">
        <f>380982.11+204777.52</f>
        <v>585759.63</v>
      </c>
      <c r="N1444" s="790"/>
      <c r="O1444" s="643">
        <v>1853.69</v>
      </c>
      <c r="P1444" s="388"/>
      <c r="Q1444" s="790"/>
      <c r="R1444" s="446">
        <f>M1444/J1444</f>
        <v>25467.81</v>
      </c>
      <c r="S1444" s="383">
        <f t="shared" si="195"/>
        <v>-5.5933924159035087E-11</v>
      </c>
      <c r="U1444" s="388"/>
      <c r="V1444" s="390"/>
      <c r="Y1444" s="419">
        <f t="shared" si="191"/>
        <v>587613.31999999995</v>
      </c>
      <c r="Z1444" s="419"/>
    </row>
    <row r="1445" spans="1:26" s="403" customFormat="1" ht="37.5" hidden="1" customHeight="1">
      <c r="A1445" s="797">
        <f t="shared" si="196"/>
        <v>22</v>
      </c>
      <c r="B1445" s="723" t="s">
        <v>1417</v>
      </c>
      <c r="C1445" s="780" t="s">
        <v>315</v>
      </c>
      <c r="D1445" s="780">
        <v>6978</v>
      </c>
      <c r="E1445" s="539">
        <v>1126</v>
      </c>
      <c r="F1445" s="539" t="s">
        <v>318</v>
      </c>
      <c r="G1445" s="790">
        <v>397</v>
      </c>
      <c r="H1445" s="789">
        <v>5</v>
      </c>
      <c r="I1445" s="789">
        <v>2</v>
      </c>
      <c r="J1445" s="599">
        <v>20</v>
      </c>
      <c r="K1445" s="791" t="s">
        <v>33</v>
      </c>
      <c r="L1445" s="519">
        <f t="shared" si="193"/>
        <v>871639.9</v>
      </c>
      <c r="M1445" s="792">
        <v>869033</v>
      </c>
      <c r="N1445" s="790"/>
      <c r="O1445" s="643">
        <v>2606.9</v>
      </c>
      <c r="P1445" s="388"/>
      <c r="Q1445" s="790"/>
      <c r="R1445" s="446">
        <f>M1445/G1445</f>
        <v>2189</v>
      </c>
      <c r="S1445" s="383">
        <f t="shared" si="195"/>
        <v>2.319211489520967E-11</v>
      </c>
      <c r="U1445" s="404"/>
      <c r="V1445" s="390"/>
      <c r="Y1445" s="419">
        <f t="shared" si="191"/>
        <v>871639.9</v>
      </c>
      <c r="Z1445" s="419"/>
    </row>
    <row r="1446" spans="1:26" s="403" customFormat="1" ht="37.5" hidden="1" customHeight="1">
      <c r="A1446" s="797">
        <f t="shared" si="196"/>
        <v>23</v>
      </c>
      <c r="B1446" s="390" t="s">
        <v>1418</v>
      </c>
      <c r="C1446" s="780" t="s">
        <v>222</v>
      </c>
      <c r="D1446" s="780">
        <v>4626</v>
      </c>
      <c r="E1446" s="539">
        <v>925.6</v>
      </c>
      <c r="F1446" s="539" t="s">
        <v>252</v>
      </c>
      <c r="G1446" s="790" t="s">
        <v>4190</v>
      </c>
      <c r="H1446" s="789">
        <v>3</v>
      </c>
      <c r="I1446" s="789">
        <v>1</v>
      </c>
      <c r="J1446" s="599">
        <v>50</v>
      </c>
      <c r="K1446" s="791" t="s">
        <v>33</v>
      </c>
      <c r="L1446" s="519">
        <f t="shared" si="193"/>
        <v>1753445.01</v>
      </c>
      <c r="M1446" s="792">
        <v>1723595.01</v>
      </c>
      <c r="N1446" s="790">
        <v>29850</v>
      </c>
      <c r="O1446" s="643"/>
      <c r="P1446" s="388"/>
      <c r="Q1446" s="790"/>
      <c r="R1446" s="798" t="s">
        <v>4191</v>
      </c>
      <c r="S1446" s="383">
        <f t="shared" si="195"/>
        <v>0</v>
      </c>
      <c r="U1446" s="388"/>
      <c r="V1446" s="390"/>
      <c r="Y1446" s="419">
        <f t="shared" si="191"/>
        <v>1753445.01</v>
      </c>
      <c r="Z1446" s="419"/>
    </row>
    <row r="1447" spans="1:26" s="403" customFormat="1" ht="37.5" hidden="1" customHeight="1">
      <c r="A1447" s="797">
        <f t="shared" si="196"/>
        <v>24</v>
      </c>
      <c r="B1447" s="723" t="s">
        <v>1419</v>
      </c>
      <c r="C1447" s="780" t="s">
        <v>222</v>
      </c>
      <c r="D1447" s="780">
        <v>17383</v>
      </c>
      <c r="E1447" s="539">
        <v>3072</v>
      </c>
      <c r="F1447" s="539" t="s">
        <v>316</v>
      </c>
      <c r="G1447" s="790">
        <v>1626</v>
      </c>
      <c r="H1447" s="789">
        <v>5</v>
      </c>
      <c r="I1447" s="789">
        <v>6</v>
      </c>
      <c r="J1447" s="599">
        <v>100</v>
      </c>
      <c r="K1447" s="791" t="s">
        <v>33</v>
      </c>
      <c r="L1447" s="519">
        <f t="shared" si="193"/>
        <v>4366595.04</v>
      </c>
      <c r="M1447" s="792">
        <v>4336745.04</v>
      </c>
      <c r="N1447" s="790">
        <v>29850</v>
      </c>
      <c r="O1447" s="643"/>
      <c r="P1447" s="388"/>
      <c r="Q1447" s="790"/>
      <c r="R1447" s="446">
        <f>M1447/G1447</f>
        <v>2667.1248708487087</v>
      </c>
      <c r="S1447" s="383">
        <f t="shared" si="195"/>
        <v>0</v>
      </c>
      <c r="U1447" s="388"/>
      <c r="V1447" s="390"/>
      <c r="Y1447" s="419">
        <f t="shared" si="191"/>
        <v>4366595.04</v>
      </c>
      <c r="Z1447" s="419"/>
    </row>
    <row r="1448" spans="1:26" s="403" customFormat="1" ht="56.25" hidden="1" customHeight="1">
      <c r="A1448" s="797">
        <f t="shared" si="196"/>
        <v>25</v>
      </c>
      <c r="B1448" s="723" t="s">
        <v>1420</v>
      </c>
      <c r="C1448" s="780" t="s">
        <v>222</v>
      </c>
      <c r="D1448" s="780"/>
      <c r="E1448" s="539"/>
      <c r="F1448" s="539" t="s">
        <v>252</v>
      </c>
      <c r="G1448" s="790"/>
      <c r="H1448" s="789">
        <v>4</v>
      </c>
      <c r="I1448" s="789">
        <v>2</v>
      </c>
      <c r="J1448" s="599">
        <v>32</v>
      </c>
      <c r="K1448" s="791" t="s">
        <v>30</v>
      </c>
      <c r="L1448" s="519">
        <f t="shared" si="193"/>
        <v>810385.71</v>
      </c>
      <c r="M1448" s="792">
        <v>807520.11</v>
      </c>
      <c r="N1448" s="790"/>
      <c r="O1448" s="643">
        <v>2865.6</v>
      </c>
      <c r="P1448" s="388"/>
      <c r="Q1448" s="790"/>
      <c r="R1448" s="446">
        <f>M1448/J1448</f>
        <v>25235.0034375</v>
      </c>
      <c r="S1448" s="383">
        <f t="shared" si="195"/>
        <v>-2.319211489520967E-11</v>
      </c>
      <c r="U1448" s="404"/>
      <c r="V1448" s="390"/>
      <c r="Y1448" s="419">
        <f t="shared" si="191"/>
        <v>810385.71</v>
      </c>
      <c r="Z1448" s="419"/>
    </row>
    <row r="1449" spans="1:26" s="403" customFormat="1" ht="37.5" hidden="1" customHeight="1">
      <c r="A1449" s="797">
        <f t="shared" si="196"/>
        <v>26</v>
      </c>
      <c r="B1449" s="723" t="s">
        <v>1421</v>
      </c>
      <c r="C1449" s="780" t="s">
        <v>315</v>
      </c>
      <c r="D1449" s="780"/>
      <c r="E1449" s="539"/>
      <c r="F1449" s="539" t="s">
        <v>252</v>
      </c>
      <c r="G1449" s="790"/>
      <c r="H1449" s="789">
        <v>3</v>
      </c>
      <c r="I1449" s="789">
        <v>2</v>
      </c>
      <c r="J1449" s="599">
        <v>24</v>
      </c>
      <c r="K1449" s="791" t="s">
        <v>225</v>
      </c>
      <c r="L1449" s="519">
        <f t="shared" si="193"/>
        <v>374472.85</v>
      </c>
      <c r="M1449" s="792">
        <v>344622.85</v>
      </c>
      <c r="N1449" s="790">
        <v>29850</v>
      </c>
      <c r="O1449" s="643"/>
      <c r="P1449" s="388"/>
      <c r="Q1449" s="790"/>
      <c r="R1449" s="446">
        <f>M1449/J1449</f>
        <v>14359.285416666666</v>
      </c>
      <c r="S1449" s="383">
        <f t="shared" si="195"/>
        <v>0</v>
      </c>
      <c r="U1449" s="404"/>
      <c r="V1449" s="390"/>
      <c r="Y1449" s="419">
        <f t="shared" si="191"/>
        <v>374472.85</v>
      </c>
      <c r="Z1449" s="419"/>
    </row>
    <row r="1450" spans="1:26" s="403" customFormat="1" ht="37.5" hidden="1" customHeight="1">
      <c r="A1450" s="797">
        <f t="shared" si="196"/>
        <v>27</v>
      </c>
      <c r="B1450" s="723" t="s">
        <v>1422</v>
      </c>
      <c r="C1450" s="780" t="s">
        <v>222</v>
      </c>
      <c r="D1450" s="780">
        <v>7850</v>
      </c>
      <c r="E1450" s="539">
        <v>1216</v>
      </c>
      <c r="F1450" s="539" t="s">
        <v>318</v>
      </c>
      <c r="G1450" s="790">
        <v>524</v>
      </c>
      <c r="H1450" s="789">
        <v>5</v>
      </c>
      <c r="I1450" s="789">
        <v>2</v>
      </c>
      <c r="J1450" s="599">
        <v>30</v>
      </c>
      <c r="K1450" s="791" t="s">
        <v>33</v>
      </c>
      <c r="L1450" s="519">
        <f t="shared" si="193"/>
        <v>980830.99</v>
      </c>
      <c r="M1450" s="792">
        <v>950830.99</v>
      </c>
      <c r="N1450" s="790">
        <v>30000</v>
      </c>
      <c r="O1450" s="643"/>
      <c r="P1450" s="388"/>
      <c r="Q1450" s="790"/>
      <c r="R1450" s="446">
        <f>M1450/G1450</f>
        <v>1814.5629580152672</v>
      </c>
      <c r="S1450" s="383">
        <f t="shared" si="195"/>
        <v>0</v>
      </c>
      <c r="U1450" s="404"/>
      <c r="V1450" s="390"/>
      <c r="Y1450" s="419">
        <f t="shared" si="191"/>
        <v>980830.99</v>
      </c>
      <c r="Z1450" s="419"/>
    </row>
    <row r="1451" spans="1:26" s="403" customFormat="1" ht="37.5" hidden="1" customHeight="1">
      <c r="A1451" s="797">
        <f t="shared" si="196"/>
        <v>28</v>
      </c>
      <c r="B1451" s="723" t="s">
        <v>1423</v>
      </c>
      <c r="C1451" s="780" t="s">
        <v>315</v>
      </c>
      <c r="D1451" s="780">
        <v>13723</v>
      </c>
      <c r="E1451" s="539">
        <v>2173</v>
      </c>
      <c r="F1451" s="539" t="s">
        <v>318</v>
      </c>
      <c r="G1451" s="790">
        <v>794</v>
      </c>
      <c r="H1451" s="789">
        <v>5</v>
      </c>
      <c r="I1451" s="789">
        <v>4</v>
      </c>
      <c r="J1451" s="599">
        <v>60</v>
      </c>
      <c r="K1451" s="791" t="s">
        <v>33</v>
      </c>
      <c r="L1451" s="519">
        <f t="shared" si="193"/>
        <v>1584637</v>
      </c>
      <c r="M1451" s="792">
        <v>1579423.2</v>
      </c>
      <c r="N1451" s="790"/>
      <c r="O1451" s="643">
        <v>5213.8</v>
      </c>
      <c r="P1451" s="388"/>
      <c r="Q1451" s="790"/>
      <c r="R1451" s="446">
        <f>M1451/G1451</f>
        <v>1989.1979848866499</v>
      </c>
      <c r="S1451" s="383">
        <f t="shared" si="195"/>
        <v>4.638422979041934E-11</v>
      </c>
      <c r="U1451" s="388"/>
      <c r="V1451" s="390"/>
      <c r="Y1451" s="419">
        <f t="shared" si="191"/>
        <v>1584637</v>
      </c>
      <c r="Z1451" s="419"/>
    </row>
    <row r="1452" spans="1:26" s="403" customFormat="1" ht="37.5" hidden="1" customHeight="1">
      <c r="A1452" s="797">
        <v>29</v>
      </c>
      <c r="B1452" s="723" t="s">
        <v>1424</v>
      </c>
      <c r="C1452" s="780" t="s">
        <v>222</v>
      </c>
      <c r="D1452" s="780">
        <v>3452</v>
      </c>
      <c r="E1452" s="539"/>
      <c r="F1452" s="539" t="s">
        <v>316</v>
      </c>
      <c r="G1452" s="790">
        <v>701</v>
      </c>
      <c r="H1452" s="789">
        <v>2</v>
      </c>
      <c r="I1452" s="789">
        <v>3</v>
      </c>
      <c r="J1452" s="599">
        <v>24</v>
      </c>
      <c r="K1452" s="791" t="s">
        <v>33</v>
      </c>
      <c r="L1452" s="519">
        <f t="shared" si="193"/>
        <v>2098828.7599999998</v>
      </c>
      <c r="M1452" s="792">
        <f>1890807.3+178171.46</f>
        <v>2068978.76</v>
      </c>
      <c r="N1452" s="790">
        <v>29850</v>
      </c>
      <c r="O1452" s="643"/>
      <c r="P1452" s="388"/>
      <c r="Q1452" s="790"/>
      <c r="R1452" s="446">
        <f>M1452/G1452</f>
        <v>2951.4675606276746</v>
      </c>
      <c r="S1452" s="383">
        <f t="shared" si="195"/>
        <v>-2.3283064365386963E-10</v>
      </c>
      <c r="U1452" s="404"/>
      <c r="V1452" s="390"/>
      <c r="Y1452" s="419">
        <f t="shared" si="191"/>
        <v>2098828.7599999998</v>
      </c>
      <c r="Z1452" s="419"/>
    </row>
    <row r="1453" spans="1:26" s="403" customFormat="1" ht="42.75" hidden="1" customHeight="1">
      <c r="A1453" s="1112" t="s">
        <v>202</v>
      </c>
      <c r="B1453" s="1112"/>
      <c r="C1453" s="388" t="s">
        <v>28</v>
      </c>
      <c r="D1453" s="388">
        <f>SUM(D1424:D1452)</f>
        <v>359305</v>
      </c>
      <c r="E1453" s="388">
        <f>SUM(E1424:E1452)</f>
        <v>62173.5</v>
      </c>
      <c r="F1453" s="388" t="s">
        <v>28</v>
      </c>
      <c r="G1453" s="388">
        <f>SUM(G1424:G1452)</f>
        <v>27791.03</v>
      </c>
      <c r="H1453" s="446" t="s">
        <v>28</v>
      </c>
      <c r="I1453" s="446" t="s">
        <v>28</v>
      </c>
      <c r="J1453" s="446">
        <f>SUM(J1424:J1452)</f>
        <v>2113</v>
      </c>
      <c r="K1453" s="458" t="s">
        <v>28</v>
      </c>
      <c r="L1453" s="519">
        <f t="shared" ref="L1453:Q1453" si="197">SUM(L1424:L1452)</f>
        <v>60323770.020000003</v>
      </c>
      <c r="M1453" s="519">
        <f t="shared" si="197"/>
        <v>59829805.500000015</v>
      </c>
      <c r="N1453" s="388">
        <f t="shared" si="197"/>
        <v>378250</v>
      </c>
      <c r="O1453" s="473">
        <f t="shared" si="197"/>
        <v>115714.52000000002</v>
      </c>
      <c r="P1453" s="388">
        <f t="shared" si="197"/>
        <v>0</v>
      </c>
      <c r="Q1453" s="388">
        <f t="shared" si="197"/>
        <v>0</v>
      </c>
      <c r="R1453" s="446" t="s">
        <v>28</v>
      </c>
      <c r="S1453" s="383">
        <f t="shared" si="195"/>
        <v>-1.1641532182693481E-8</v>
      </c>
      <c r="T1453" s="387" t="e">
        <f>'1.перечень МКД'!#REF!</f>
        <v>#REF!</v>
      </c>
      <c r="U1453" s="390" t="e">
        <f>L1453-T1453</f>
        <v>#REF!</v>
      </c>
      <c r="V1453" s="390"/>
      <c r="Y1453" s="419">
        <f t="shared" si="191"/>
        <v>60323770.020000018</v>
      </c>
      <c r="Z1453" s="419"/>
    </row>
    <row r="1454" spans="1:26" s="403" customFormat="1" ht="42.75" hidden="1" customHeight="1">
      <c r="A1454" s="1135" t="s">
        <v>203</v>
      </c>
      <c r="B1454" s="1135"/>
      <c r="C1454" s="1135"/>
      <c r="D1454" s="1135"/>
      <c r="E1454" s="1135"/>
      <c r="F1454" s="1135"/>
      <c r="G1454" s="1135"/>
      <c r="H1454" s="1135"/>
      <c r="I1454" s="1135"/>
      <c r="J1454" s="1135"/>
      <c r="K1454" s="1135"/>
      <c r="L1454" s="1135"/>
      <c r="M1454" s="1135"/>
      <c r="N1454" s="1135"/>
      <c r="O1454" s="1135"/>
      <c r="P1454" s="1135"/>
      <c r="Q1454" s="1135"/>
      <c r="R1454" s="1135"/>
      <c r="U1454" s="404"/>
      <c r="V1454" s="390"/>
      <c r="Y1454" s="419">
        <f t="shared" si="191"/>
        <v>0</v>
      </c>
      <c r="Z1454" s="419"/>
    </row>
    <row r="1455" spans="1:26" s="403" customFormat="1" ht="37.5" hidden="1" customHeight="1">
      <c r="A1455" s="797">
        <v>1</v>
      </c>
      <c r="B1455" s="723" t="s">
        <v>1425</v>
      </c>
      <c r="C1455" s="780" t="s">
        <v>319</v>
      </c>
      <c r="D1455" s="780">
        <v>4137</v>
      </c>
      <c r="E1455" s="539">
        <v>624.29999999999995</v>
      </c>
      <c r="F1455" s="539" t="s">
        <v>223</v>
      </c>
      <c r="G1455" s="790"/>
      <c r="H1455" s="789">
        <v>2</v>
      </c>
      <c r="I1455" s="789">
        <v>3</v>
      </c>
      <c r="J1455" s="599">
        <v>18</v>
      </c>
      <c r="K1455" s="791" t="s">
        <v>227</v>
      </c>
      <c r="L1455" s="519">
        <f>SUM(M1455:Q1455)</f>
        <v>1386670.65</v>
      </c>
      <c r="M1455" s="792">
        <v>1356820.65</v>
      </c>
      <c r="N1455" s="790">
        <v>29850</v>
      </c>
      <c r="O1455" s="643"/>
      <c r="P1455" s="388"/>
      <c r="Q1455" s="790"/>
      <c r="R1455" s="528">
        <f>M1455/E1455</f>
        <v>2173.3471888515137</v>
      </c>
      <c r="U1455" s="404"/>
      <c r="V1455" s="390"/>
      <c r="Y1455" s="419">
        <f t="shared" si="191"/>
        <v>1386670.65</v>
      </c>
      <c r="Z1455" s="419"/>
    </row>
    <row r="1456" spans="1:26" s="403" customFormat="1" ht="42.75" hidden="1" customHeight="1">
      <c r="A1456" s="1112" t="s">
        <v>204</v>
      </c>
      <c r="B1456" s="1112"/>
      <c r="C1456" s="617" t="s">
        <v>28</v>
      </c>
      <c r="D1456" s="539">
        <f t="shared" ref="D1456:J1456" si="198">SUM(D1455)</f>
        <v>4137</v>
      </c>
      <c r="E1456" s="539">
        <f t="shared" si="198"/>
        <v>624.29999999999995</v>
      </c>
      <c r="F1456" s="539" t="s">
        <v>28</v>
      </c>
      <c r="G1456" s="539">
        <f>G1455</f>
        <v>0</v>
      </c>
      <c r="H1456" s="599" t="s">
        <v>28</v>
      </c>
      <c r="I1456" s="599" t="s">
        <v>28</v>
      </c>
      <c r="J1456" s="599">
        <f t="shared" si="198"/>
        <v>18</v>
      </c>
      <c r="K1456" s="458" t="s">
        <v>28</v>
      </c>
      <c r="L1456" s="538">
        <f t="shared" ref="L1456:Q1456" si="199">SUM(L1455)</f>
        <v>1386670.65</v>
      </c>
      <c r="M1456" s="538">
        <f t="shared" si="199"/>
        <v>1356820.65</v>
      </c>
      <c r="N1456" s="539">
        <f t="shared" si="199"/>
        <v>29850</v>
      </c>
      <c r="O1456" s="540">
        <f t="shared" si="199"/>
        <v>0</v>
      </c>
      <c r="P1456" s="539">
        <f t="shared" si="199"/>
        <v>0</v>
      </c>
      <c r="Q1456" s="539">
        <f t="shared" si="199"/>
        <v>0</v>
      </c>
      <c r="R1456" s="446" t="s">
        <v>28</v>
      </c>
      <c r="S1456" s="383">
        <f>L1456-M1456-N1456-O1456-P1456-Q1456</f>
        <v>0</v>
      </c>
      <c r="T1456" s="387" t="e">
        <f>'1.перечень МКД'!#REF!</f>
        <v>#REF!</v>
      </c>
      <c r="U1456" s="390" t="e">
        <f>L1456-T1456</f>
        <v>#REF!</v>
      </c>
      <c r="V1456" s="390"/>
      <c r="Y1456" s="419">
        <f t="shared" si="191"/>
        <v>1386670.65</v>
      </c>
      <c r="Z1456" s="419"/>
    </row>
    <row r="1457" spans="1:26" s="403" customFormat="1" ht="42.75" hidden="1" customHeight="1">
      <c r="A1457" s="1113" t="s">
        <v>205</v>
      </c>
      <c r="B1457" s="1113"/>
      <c r="C1457" s="1113"/>
      <c r="D1457" s="1113"/>
      <c r="E1457" s="1113"/>
      <c r="F1457" s="1113"/>
      <c r="G1457" s="1113"/>
      <c r="H1457" s="1113"/>
      <c r="I1457" s="1113"/>
      <c r="J1457" s="1113"/>
      <c r="K1457" s="1113"/>
      <c r="L1457" s="1113"/>
      <c r="M1457" s="1113"/>
      <c r="N1457" s="1113"/>
      <c r="O1457" s="1113"/>
      <c r="P1457" s="1113"/>
      <c r="Q1457" s="1113"/>
      <c r="R1457" s="1113"/>
      <c r="U1457" s="404"/>
      <c r="V1457" s="390"/>
      <c r="Y1457" s="419">
        <f t="shared" si="191"/>
        <v>0</v>
      </c>
      <c r="Z1457" s="419"/>
    </row>
    <row r="1458" spans="1:26" s="403" customFormat="1" ht="37.5" hidden="1" customHeight="1">
      <c r="A1458" s="797">
        <v>1</v>
      </c>
      <c r="B1458" s="723" t="s">
        <v>1426</v>
      </c>
      <c r="C1458" s="780" t="s">
        <v>295</v>
      </c>
      <c r="D1458" s="780"/>
      <c r="E1458" s="539">
        <v>567</v>
      </c>
      <c r="F1458" s="539" t="s">
        <v>292</v>
      </c>
      <c r="G1458" s="790">
        <v>1171</v>
      </c>
      <c r="H1458" s="789">
        <v>2</v>
      </c>
      <c r="I1458" s="789">
        <v>4</v>
      </c>
      <c r="J1458" s="599">
        <v>24</v>
      </c>
      <c r="K1458" s="791" t="s">
        <v>33</v>
      </c>
      <c r="L1458" s="519">
        <f>SUM(M1458:Q1458)</f>
        <v>2652437.86</v>
      </c>
      <c r="M1458" s="792">
        <v>2622587.86</v>
      </c>
      <c r="N1458" s="790">
        <v>29850</v>
      </c>
      <c r="O1458" s="643"/>
      <c r="P1458" s="388"/>
      <c r="Q1458" s="790"/>
      <c r="R1458" s="446">
        <f>M1458/G1458</f>
        <v>2239.6138855678905</v>
      </c>
      <c r="U1458" s="404"/>
      <c r="V1458" s="390"/>
      <c r="Y1458" s="419">
        <f t="shared" si="191"/>
        <v>2652437.86</v>
      </c>
      <c r="Z1458" s="419"/>
    </row>
    <row r="1459" spans="1:26" s="403" customFormat="1" ht="37.5" hidden="1" customHeight="1">
      <c r="A1459" s="797">
        <f>A1458+1</f>
        <v>2</v>
      </c>
      <c r="B1459" s="723" t="s">
        <v>1427</v>
      </c>
      <c r="C1459" s="780" t="s">
        <v>295</v>
      </c>
      <c r="D1459" s="780"/>
      <c r="E1459" s="539">
        <v>1045</v>
      </c>
      <c r="F1459" s="539" t="s">
        <v>292</v>
      </c>
      <c r="G1459" s="790">
        <v>504</v>
      </c>
      <c r="H1459" s="789">
        <v>2</v>
      </c>
      <c r="I1459" s="789">
        <v>2</v>
      </c>
      <c r="J1459" s="599">
        <v>16</v>
      </c>
      <c r="K1459" s="791" t="s">
        <v>33</v>
      </c>
      <c r="L1459" s="519">
        <f>SUM(M1459:Q1459)</f>
        <v>1355311.21</v>
      </c>
      <c r="M1459" s="792">
        <v>1325461.21</v>
      </c>
      <c r="N1459" s="790">
        <v>29850</v>
      </c>
      <c r="O1459" s="643"/>
      <c r="P1459" s="388"/>
      <c r="Q1459" s="790"/>
      <c r="R1459" s="446">
        <f>M1459/G1459</f>
        <v>2629.8833531746031</v>
      </c>
      <c r="U1459" s="404"/>
      <c r="V1459" s="390"/>
      <c r="Y1459" s="419">
        <f t="shared" si="191"/>
        <v>1355311.21</v>
      </c>
      <c r="Z1459" s="419"/>
    </row>
    <row r="1460" spans="1:26" s="403" customFormat="1" ht="37.5" hidden="1" customHeight="1">
      <c r="A1460" s="797">
        <f>A1459+1</f>
        <v>3</v>
      </c>
      <c r="B1460" s="723" t="s">
        <v>1428</v>
      </c>
      <c r="C1460" s="780" t="s">
        <v>315</v>
      </c>
      <c r="D1460" s="780"/>
      <c r="E1460" s="539">
        <v>420</v>
      </c>
      <c r="F1460" s="539" t="s">
        <v>292</v>
      </c>
      <c r="G1460" s="790">
        <v>708</v>
      </c>
      <c r="H1460" s="789">
        <v>2</v>
      </c>
      <c r="I1460" s="789">
        <v>2</v>
      </c>
      <c r="J1460" s="599">
        <v>16</v>
      </c>
      <c r="K1460" s="791" t="s">
        <v>225</v>
      </c>
      <c r="L1460" s="519">
        <f>SUM(M1460:Q1460)</f>
        <v>178060.49</v>
      </c>
      <c r="M1460" s="792">
        <v>148210.49</v>
      </c>
      <c r="N1460" s="790">
        <v>29850</v>
      </c>
      <c r="O1460" s="643"/>
      <c r="P1460" s="388"/>
      <c r="Q1460" s="790"/>
      <c r="R1460" s="446">
        <f>M1460/J1460</f>
        <v>9263.1556249999994</v>
      </c>
      <c r="U1460" s="404"/>
      <c r="V1460" s="390"/>
      <c r="Y1460" s="419">
        <f t="shared" si="191"/>
        <v>178060.49</v>
      </c>
      <c r="Z1460" s="419"/>
    </row>
    <row r="1461" spans="1:26" s="403" customFormat="1" ht="37.5" hidden="1" customHeight="1">
      <c r="A1461" s="797">
        <f>A1460+1</f>
        <v>4</v>
      </c>
      <c r="B1461" s="723" t="s">
        <v>1429</v>
      </c>
      <c r="C1461" s="780" t="s">
        <v>240</v>
      </c>
      <c r="D1461" s="780"/>
      <c r="E1461" s="539">
        <v>750</v>
      </c>
      <c r="F1461" s="539" t="s">
        <v>292</v>
      </c>
      <c r="G1461" s="790">
        <v>675.68</v>
      </c>
      <c r="H1461" s="789">
        <v>2</v>
      </c>
      <c r="I1461" s="789">
        <v>2</v>
      </c>
      <c r="J1461" s="599">
        <v>16</v>
      </c>
      <c r="K1461" s="791" t="s">
        <v>225</v>
      </c>
      <c r="L1461" s="519">
        <f>SUM(M1461:Q1461)</f>
        <v>174830.71</v>
      </c>
      <c r="M1461" s="792">
        <v>144980.71</v>
      </c>
      <c r="N1461" s="790">
        <v>29850</v>
      </c>
      <c r="O1461" s="643"/>
      <c r="P1461" s="388"/>
      <c r="Q1461" s="790"/>
      <c r="R1461" s="446">
        <f>M1461/J1461</f>
        <v>9061.2943749999995</v>
      </c>
      <c r="T1461" s="393"/>
      <c r="U1461" s="404"/>
      <c r="V1461" s="390"/>
      <c r="Y1461" s="419">
        <f t="shared" si="191"/>
        <v>174830.71</v>
      </c>
      <c r="Z1461" s="419"/>
    </row>
    <row r="1462" spans="1:26" s="403" customFormat="1" ht="42.75" hidden="1" customHeight="1">
      <c r="A1462" s="1112" t="s">
        <v>206</v>
      </c>
      <c r="B1462" s="1112"/>
      <c r="C1462" s="455" t="s">
        <v>28</v>
      </c>
      <c r="D1462" s="388">
        <f>SUM(D1458:D1461)</f>
        <v>0</v>
      </c>
      <c r="E1462" s="388">
        <f>SUM(E1458:E1461)</f>
        <v>2782</v>
      </c>
      <c r="F1462" s="388" t="s">
        <v>28</v>
      </c>
      <c r="G1462" s="388">
        <f>SUM(G1458:G1461)</f>
        <v>3058.68</v>
      </c>
      <c r="H1462" s="446" t="s">
        <v>28</v>
      </c>
      <c r="I1462" s="446" t="s">
        <v>28</v>
      </c>
      <c r="J1462" s="446">
        <f>SUM(J1458:J1461)</f>
        <v>72</v>
      </c>
      <c r="K1462" s="458" t="s">
        <v>28</v>
      </c>
      <c r="L1462" s="519">
        <f t="shared" ref="L1462:Q1462" si="200">SUM(L1458:L1461)</f>
        <v>4360640.2699999996</v>
      </c>
      <c r="M1462" s="519">
        <f t="shared" si="200"/>
        <v>4241240.2699999996</v>
      </c>
      <c r="N1462" s="388">
        <f t="shared" si="200"/>
        <v>119400</v>
      </c>
      <c r="O1462" s="473">
        <f t="shared" si="200"/>
        <v>0</v>
      </c>
      <c r="P1462" s="388">
        <f t="shared" si="200"/>
        <v>0</v>
      </c>
      <c r="Q1462" s="388">
        <f t="shared" si="200"/>
        <v>0</v>
      </c>
      <c r="R1462" s="446" t="s">
        <v>28</v>
      </c>
      <c r="S1462" s="383">
        <f>L1462-M1462-N1462-O1462-P1462-Q1462</f>
        <v>0</v>
      </c>
      <c r="T1462" s="387" t="e">
        <f>'1.перечень МКД'!#REF!</f>
        <v>#REF!</v>
      </c>
      <c r="U1462" s="390" t="e">
        <f>L1462-T1462</f>
        <v>#REF!</v>
      </c>
      <c r="V1462" s="390"/>
      <c r="Z1462" s="419"/>
    </row>
    <row r="1463" spans="1:26" s="975" customFormat="1" ht="37.5" hidden="1" customHeight="1">
      <c r="A1463" s="1134" t="s">
        <v>213</v>
      </c>
      <c r="B1463" s="1134"/>
      <c r="C1463" s="524" t="s">
        <v>28</v>
      </c>
      <c r="D1463" s="524">
        <f>D1465+D2113+D2522</f>
        <v>19643655.192202643</v>
      </c>
      <c r="E1463" s="407">
        <f>E1465+E2113+E2522</f>
        <v>3578082.5390000003</v>
      </c>
      <c r="F1463" s="407" t="s">
        <v>28</v>
      </c>
      <c r="G1463" s="407">
        <f>G1465+G2113+G2522</f>
        <v>1350258.1700000002</v>
      </c>
      <c r="H1463" s="524" t="s">
        <v>28</v>
      </c>
      <c r="I1463" s="524" t="s">
        <v>28</v>
      </c>
      <c r="J1463" s="524">
        <f>J1465+J2113+J2522</f>
        <v>94275</v>
      </c>
      <c r="K1463" s="525"/>
      <c r="L1463" s="526">
        <f t="shared" ref="L1463:Q1463" si="201">L1465+L2113+L2522</f>
        <v>4731801975.4400024</v>
      </c>
      <c r="M1463" s="526">
        <f t="shared" si="201"/>
        <v>4657295409.8299999</v>
      </c>
      <c r="N1463" s="407">
        <f t="shared" si="201"/>
        <v>41103389.629999995</v>
      </c>
      <c r="O1463" s="527">
        <f t="shared" si="201"/>
        <v>12202011.09</v>
      </c>
      <c r="P1463" s="407">
        <f t="shared" si="201"/>
        <v>0</v>
      </c>
      <c r="Q1463" s="407">
        <f t="shared" si="201"/>
        <v>21201164.890000008</v>
      </c>
      <c r="R1463" s="446" t="s">
        <v>28</v>
      </c>
      <c r="S1463" s="407">
        <f>L1463-M1463-N1463-O1463-P1463-Q1463</f>
        <v>2.514570951461792E-6</v>
      </c>
      <c r="T1463" s="459" t="e">
        <f>'1.перечень МКД'!#REF!</f>
        <v>#REF!</v>
      </c>
      <c r="U1463" s="460" t="e">
        <f>L1463-T1463</f>
        <v>#REF!</v>
      </c>
      <c r="V1463" s="390"/>
    </row>
    <row r="1464" spans="1:26" s="377" customFormat="1" ht="47.25" hidden="1" customHeight="1">
      <c r="A1464" s="1126" t="s">
        <v>140</v>
      </c>
      <c r="B1464" s="1126"/>
      <c r="C1464" s="1126"/>
      <c r="D1464" s="1126"/>
      <c r="E1464" s="1126"/>
      <c r="F1464" s="1126"/>
      <c r="G1464" s="1126"/>
      <c r="H1464" s="1126"/>
      <c r="I1464" s="1126"/>
      <c r="J1464" s="1126"/>
      <c r="K1464" s="1126"/>
      <c r="L1464" s="1126"/>
      <c r="M1464" s="1126"/>
      <c r="N1464" s="1126"/>
      <c r="O1464" s="1126"/>
      <c r="P1464" s="1126"/>
      <c r="Q1464" s="1126"/>
      <c r="R1464" s="1126"/>
      <c r="S1464" s="376"/>
      <c r="U1464" s="379"/>
      <c r="V1464" s="390"/>
    </row>
    <row r="1465" spans="1:26" s="458" customFormat="1" ht="42.75" hidden="1" customHeight="1">
      <c r="A1465" s="1117" t="s">
        <v>163</v>
      </c>
      <c r="B1465" s="1117"/>
      <c r="C1465" s="382" t="s">
        <v>28</v>
      </c>
      <c r="D1465" s="446">
        <f>D2111</f>
        <v>10693423.819999998</v>
      </c>
      <c r="E1465" s="388">
        <f>E2111</f>
        <v>1874827.0799999998</v>
      </c>
      <c r="F1465" s="383" t="s">
        <v>28</v>
      </c>
      <c r="G1465" s="388">
        <f>G2111</f>
        <v>619905.80000000016</v>
      </c>
      <c r="H1465" s="382" t="s">
        <v>28</v>
      </c>
      <c r="I1465" s="382" t="s">
        <v>28</v>
      </c>
      <c r="J1465" s="446">
        <f>J2111</f>
        <v>48076</v>
      </c>
      <c r="K1465" s="386" t="s">
        <v>28</v>
      </c>
      <c r="L1465" s="519">
        <f t="shared" ref="L1465:Q1465" si="202">L2111</f>
        <v>2614939451.5800023</v>
      </c>
      <c r="M1465" s="519">
        <f t="shared" si="202"/>
        <v>2577576345.0899997</v>
      </c>
      <c r="N1465" s="388">
        <f t="shared" si="202"/>
        <v>19400111.959999993</v>
      </c>
      <c r="O1465" s="473">
        <f t="shared" si="202"/>
        <v>7216440.6899999985</v>
      </c>
      <c r="P1465" s="388">
        <f t="shared" si="202"/>
        <v>0</v>
      </c>
      <c r="Q1465" s="388">
        <f t="shared" si="202"/>
        <v>10746553.840000007</v>
      </c>
      <c r="R1465" s="446" t="s">
        <v>28</v>
      </c>
      <c r="S1465" s="407">
        <f>L1465-M1465-N1465-O1465-P1465-Q1465</f>
        <v>2.6337802410125732E-6</v>
      </c>
      <c r="T1465" s="389" t="e">
        <f>'1.перечень МКД'!#REF!</f>
        <v>#REF!</v>
      </c>
      <c r="U1465" s="390" t="e">
        <f>T1465-L1465</f>
        <v>#REF!</v>
      </c>
      <c r="V1465" s="390"/>
    </row>
    <row r="1466" spans="1:26" s="377" customFormat="1" ht="35.25" hidden="1" customHeight="1">
      <c r="A1466" s="1126" t="s">
        <v>139</v>
      </c>
      <c r="B1466" s="1126"/>
      <c r="C1466" s="1126"/>
      <c r="D1466" s="1126"/>
      <c r="E1466" s="1126"/>
      <c r="F1466" s="1126"/>
      <c r="G1466" s="1126"/>
      <c r="H1466" s="1126"/>
      <c r="I1466" s="1126"/>
      <c r="J1466" s="1126"/>
      <c r="K1466" s="1126"/>
      <c r="L1466" s="1126"/>
      <c r="M1466" s="1126"/>
      <c r="N1466" s="1126"/>
      <c r="O1466" s="1126"/>
      <c r="P1466" s="1126"/>
      <c r="Q1466" s="1126"/>
      <c r="R1466" s="1126"/>
      <c r="S1466" s="376"/>
      <c r="U1466" s="379"/>
      <c r="V1466" s="390"/>
    </row>
    <row r="1467" spans="1:26" s="416" customFormat="1" ht="71.25" hidden="1" customHeight="1">
      <c r="A1467" s="506">
        <v>1</v>
      </c>
      <c r="B1467" s="403" t="s">
        <v>479</v>
      </c>
      <c r="C1467" s="544" t="s">
        <v>218</v>
      </c>
      <c r="D1467" s="594">
        <v>12194</v>
      </c>
      <c r="E1467" s="388">
        <v>2353</v>
      </c>
      <c r="F1467" s="542" t="s">
        <v>234</v>
      </c>
      <c r="G1467" s="542">
        <v>760</v>
      </c>
      <c r="H1467" s="446">
        <v>9</v>
      </c>
      <c r="I1467" s="446">
        <v>1</v>
      </c>
      <c r="J1467" s="446">
        <v>72</v>
      </c>
      <c r="K1467" s="504" t="s">
        <v>220</v>
      </c>
      <c r="L1467" s="529">
        <f>M1467+N1467+O1467+P1467+Q1467</f>
        <v>2084575</v>
      </c>
      <c r="M1467" s="519">
        <v>2000000</v>
      </c>
      <c r="N1467" s="388">
        <v>84575</v>
      </c>
      <c r="O1467" s="530"/>
      <c r="P1467" s="383"/>
      <c r="Q1467" s="388"/>
      <c r="R1467" s="528">
        <v>2000000</v>
      </c>
      <c r="S1467" s="388">
        <f t="shared" ref="S1467:S1530" si="203">L1467-M1467-N1467-O1467-P1467-Q1467</f>
        <v>0</v>
      </c>
      <c r="T1467" s="389"/>
      <c r="U1467" s="388"/>
      <c r="V1467" s="390"/>
      <c r="W1467" s="398"/>
      <c r="X1467" s="398"/>
    </row>
    <row r="1468" spans="1:26" s="978" customFormat="1" ht="43.5" hidden="1" customHeight="1">
      <c r="A1468" s="404">
        <f t="shared" ref="A1468:A1538" si="204">A1467+1</f>
        <v>2</v>
      </c>
      <c r="B1468" s="403" t="s">
        <v>477</v>
      </c>
      <c r="C1468" s="531" t="s">
        <v>218</v>
      </c>
      <c r="D1468" s="487">
        <v>21222</v>
      </c>
      <c r="E1468" s="388">
        <v>4320</v>
      </c>
      <c r="F1468" s="383" t="s">
        <v>234</v>
      </c>
      <c r="G1468" s="575">
        <v>695</v>
      </c>
      <c r="H1468" s="528">
        <v>12</v>
      </c>
      <c r="I1468" s="528">
        <v>2</v>
      </c>
      <c r="J1468" s="576">
        <v>96</v>
      </c>
      <c r="K1468" s="397" t="s">
        <v>364</v>
      </c>
      <c r="L1468" s="529">
        <f t="shared" ref="L1468:L1475" si="205">M1468+N1468+O1468+P1468+Q1468</f>
        <v>8948006.25</v>
      </c>
      <c r="M1468" s="519">
        <v>8800000</v>
      </c>
      <c r="N1468" s="388">
        <v>148006.25</v>
      </c>
      <c r="O1468" s="385"/>
      <c r="P1468" s="383"/>
      <c r="Q1468" s="388"/>
      <c r="R1468" s="446">
        <v>2200000</v>
      </c>
      <c r="S1468" s="388">
        <f t="shared" si="203"/>
        <v>0</v>
      </c>
      <c r="T1468" s="389" t="s">
        <v>3585</v>
      </c>
      <c r="U1468" s="388"/>
      <c r="V1468" s="390"/>
      <c r="W1468" s="398"/>
      <c r="X1468" s="398"/>
    </row>
    <row r="1469" spans="1:26" s="978" customFormat="1" ht="43.5" hidden="1" customHeight="1">
      <c r="A1469" s="404">
        <f t="shared" si="204"/>
        <v>3</v>
      </c>
      <c r="B1469" s="403" t="s">
        <v>478</v>
      </c>
      <c r="C1469" s="455" t="s">
        <v>218</v>
      </c>
      <c r="D1469" s="532">
        <v>16077</v>
      </c>
      <c r="E1469" s="391">
        <v>3240</v>
      </c>
      <c r="F1469" s="539" t="s">
        <v>234</v>
      </c>
      <c r="G1469" s="535">
        <v>712</v>
      </c>
      <c r="H1469" s="536">
        <v>9</v>
      </c>
      <c r="I1469" s="536">
        <v>2</v>
      </c>
      <c r="J1469" s="536">
        <v>72</v>
      </c>
      <c r="K1469" s="458" t="s">
        <v>364</v>
      </c>
      <c r="L1469" s="529">
        <f t="shared" si="205"/>
        <v>4105718.75</v>
      </c>
      <c r="M1469" s="538">
        <v>4000000</v>
      </c>
      <c r="N1469" s="539">
        <v>105718.75</v>
      </c>
      <c r="O1469" s="540"/>
      <c r="P1469" s="388"/>
      <c r="Q1469" s="541"/>
      <c r="R1469" s="446">
        <f>M1469/I1469</f>
        <v>2000000</v>
      </c>
      <c r="S1469" s="388">
        <f t="shared" si="203"/>
        <v>0</v>
      </c>
      <c r="T1469" s="389"/>
      <c r="U1469" s="539"/>
      <c r="V1469" s="390"/>
      <c r="W1469" s="398"/>
      <c r="X1469" s="398"/>
    </row>
    <row r="1470" spans="1:26" s="993" customFormat="1" ht="64.5" hidden="1" customHeight="1">
      <c r="A1470" s="404">
        <f t="shared" si="204"/>
        <v>4</v>
      </c>
      <c r="B1470" s="403" t="s">
        <v>489</v>
      </c>
      <c r="C1470" s="455" t="s">
        <v>272</v>
      </c>
      <c r="D1470" s="487">
        <v>24299</v>
      </c>
      <c r="E1470" s="391">
        <v>1610</v>
      </c>
      <c r="F1470" s="391" t="s">
        <v>234</v>
      </c>
      <c r="G1470" s="391">
        <v>605</v>
      </c>
      <c r="H1470" s="528">
        <v>13</v>
      </c>
      <c r="I1470" s="528">
        <v>1</v>
      </c>
      <c r="J1470" s="528">
        <v>77</v>
      </c>
      <c r="K1470" s="458" t="s">
        <v>364</v>
      </c>
      <c r="L1470" s="529">
        <f t="shared" si="205"/>
        <v>4500406.25</v>
      </c>
      <c r="M1470" s="529">
        <v>4400000</v>
      </c>
      <c r="N1470" s="391">
        <v>100406.25</v>
      </c>
      <c r="O1470" s="473"/>
      <c r="P1470" s="391"/>
      <c r="Q1470" s="391"/>
      <c r="R1470" s="446">
        <v>2200000</v>
      </c>
      <c r="S1470" s="388">
        <f t="shared" si="203"/>
        <v>0</v>
      </c>
      <c r="T1470" s="389" t="s">
        <v>3587</v>
      </c>
      <c r="U1470" s="391"/>
      <c r="V1470" s="390"/>
      <c r="W1470" s="398"/>
      <c r="X1470" s="398"/>
    </row>
    <row r="1471" spans="1:26" s="458" customFormat="1" ht="46.9" hidden="1" customHeight="1">
      <c r="A1471" s="404">
        <f t="shared" si="204"/>
        <v>5</v>
      </c>
      <c r="B1471" s="403" t="s">
        <v>515</v>
      </c>
      <c r="C1471" s="455" t="s">
        <v>218</v>
      </c>
      <c r="D1471" s="532">
        <v>15856</v>
      </c>
      <c r="E1471" s="391">
        <v>3240</v>
      </c>
      <c r="F1471" s="539" t="s">
        <v>234</v>
      </c>
      <c r="G1471" s="535">
        <v>818</v>
      </c>
      <c r="H1471" s="536">
        <v>9</v>
      </c>
      <c r="I1471" s="536">
        <v>2</v>
      </c>
      <c r="J1471" s="536">
        <v>72</v>
      </c>
      <c r="K1471" s="458" t="s">
        <v>364</v>
      </c>
      <c r="L1471" s="529">
        <f t="shared" si="205"/>
        <v>4105718.75</v>
      </c>
      <c r="M1471" s="538">
        <v>4000000</v>
      </c>
      <c r="N1471" s="539">
        <v>105718.75</v>
      </c>
      <c r="O1471" s="540"/>
      <c r="P1471" s="388"/>
      <c r="Q1471" s="541"/>
      <c r="R1471" s="446">
        <f>M1471/I1471</f>
        <v>2000000</v>
      </c>
      <c r="S1471" s="388">
        <f t="shared" si="203"/>
        <v>0</v>
      </c>
      <c r="T1471" s="392"/>
      <c r="U1471" s="539"/>
      <c r="V1471" s="390"/>
      <c r="W1471" s="398"/>
      <c r="X1471" s="398"/>
    </row>
    <row r="1472" spans="1:26" s="458" customFormat="1" ht="43.9" hidden="1" customHeight="1">
      <c r="A1472" s="404">
        <f t="shared" si="204"/>
        <v>6</v>
      </c>
      <c r="B1472" s="403" t="s">
        <v>514</v>
      </c>
      <c r="C1472" s="531" t="s">
        <v>218</v>
      </c>
      <c r="D1472" s="561">
        <v>31380</v>
      </c>
      <c r="E1472" s="565">
        <v>2500</v>
      </c>
      <c r="F1472" s="539" t="s">
        <v>234</v>
      </c>
      <c r="G1472" s="565">
        <v>1346</v>
      </c>
      <c r="H1472" s="446">
        <v>9</v>
      </c>
      <c r="I1472" s="446">
        <v>4</v>
      </c>
      <c r="J1472" s="561">
        <v>144</v>
      </c>
      <c r="K1472" s="458" t="s">
        <v>364</v>
      </c>
      <c r="L1472" s="529">
        <f t="shared" si="205"/>
        <v>8148006.25</v>
      </c>
      <c r="M1472" s="538">
        <v>8000000</v>
      </c>
      <c r="N1472" s="539">
        <v>148006.25</v>
      </c>
      <c r="O1472" s="540"/>
      <c r="P1472" s="388"/>
      <c r="Q1472" s="541"/>
      <c r="R1472" s="446">
        <f>M1472/I1472</f>
        <v>2000000</v>
      </c>
      <c r="S1472" s="388">
        <f t="shared" si="203"/>
        <v>0</v>
      </c>
      <c r="T1472" s="389"/>
      <c r="U1472" s="539"/>
      <c r="V1472" s="390"/>
      <c r="W1472" s="398"/>
      <c r="X1472" s="398"/>
    </row>
    <row r="1473" spans="1:24" s="416" customFormat="1" ht="43.9" hidden="1" customHeight="1">
      <c r="A1473" s="404">
        <f t="shared" si="204"/>
        <v>7</v>
      </c>
      <c r="B1473" s="403" t="s">
        <v>509</v>
      </c>
      <c r="C1473" s="531" t="s">
        <v>218</v>
      </c>
      <c r="D1473" s="446">
        <v>29144</v>
      </c>
      <c r="E1473" s="388">
        <v>2800</v>
      </c>
      <c r="F1473" s="539" t="s">
        <v>231</v>
      </c>
      <c r="G1473" s="388">
        <v>1247</v>
      </c>
      <c r="H1473" s="599">
        <v>9</v>
      </c>
      <c r="I1473" s="446">
        <v>4</v>
      </c>
      <c r="J1473" s="446">
        <v>144</v>
      </c>
      <c r="K1473" s="537" t="s">
        <v>364</v>
      </c>
      <c r="L1473" s="529">
        <f t="shared" si="205"/>
        <v>8148006.25</v>
      </c>
      <c r="M1473" s="538">
        <v>8000000</v>
      </c>
      <c r="N1473" s="539">
        <v>148006.25</v>
      </c>
      <c r="O1473" s="540"/>
      <c r="P1473" s="388"/>
      <c r="Q1473" s="541"/>
      <c r="R1473" s="446">
        <f>M1473/I1473</f>
        <v>2000000</v>
      </c>
      <c r="S1473" s="388">
        <f t="shared" si="203"/>
        <v>0</v>
      </c>
      <c r="T1473" s="389"/>
      <c r="U1473" s="539"/>
      <c r="V1473" s="390"/>
      <c r="W1473" s="398"/>
      <c r="X1473" s="398"/>
    </row>
    <row r="1474" spans="1:24" s="416" customFormat="1" ht="34.9" hidden="1" customHeight="1">
      <c r="A1474" s="404">
        <f t="shared" si="204"/>
        <v>8</v>
      </c>
      <c r="B1474" s="403" t="s">
        <v>510</v>
      </c>
      <c r="C1474" s="531" t="s">
        <v>218</v>
      </c>
      <c r="D1474" s="446">
        <v>15236</v>
      </c>
      <c r="E1474" s="388">
        <v>2240</v>
      </c>
      <c r="F1474" s="533" t="s">
        <v>234</v>
      </c>
      <c r="G1474" s="388">
        <v>665</v>
      </c>
      <c r="H1474" s="446">
        <v>9</v>
      </c>
      <c r="I1474" s="446">
        <v>2</v>
      </c>
      <c r="J1474" s="446">
        <v>72</v>
      </c>
      <c r="K1474" s="397" t="s">
        <v>364</v>
      </c>
      <c r="L1474" s="529">
        <f t="shared" si="205"/>
        <v>4105718.75</v>
      </c>
      <c r="M1474" s="519">
        <v>4000000</v>
      </c>
      <c r="N1474" s="388">
        <v>105718.75</v>
      </c>
      <c r="O1474" s="385"/>
      <c r="P1474" s="383"/>
      <c r="Q1474" s="388"/>
      <c r="R1474" s="446">
        <f>M1474/I1474</f>
        <v>2000000</v>
      </c>
      <c r="S1474" s="388">
        <f t="shared" si="203"/>
        <v>0</v>
      </c>
      <c r="T1474" s="392"/>
      <c r="U1474" s="388"/>
      <c r="V1474" s="390"/>
      <c r="W1474" s="398"/>
      <c r="X1474" s="398"/>
    </row>
    <row r="1475" spans="1:24" s="416" customFormat="1" ht="48" hidden="1" customHeight="1">
      <c r="A1475" s="404">
        <f t="shared" si="204"/>
        <v>9</v>
      </c>
      <c r="B1475" s="403" t="s">
        <v>511</v>
      </c>
      <c r="C1475" s="455" t="s">
        <v>218</v>
      </c>
      <c r="D1475" s="532">
        <v>44279</v>
      </c>
      <c r="E1475" s="391">
        <v>5832</v>
      </c>
      <c r="F1475" s="539" t="s">
        <v>234</v>
      </c>
      <c r="G1475" s="535">
        <v>1885</v>
      </c>
      <c r="H1475" s="536">
        <v>9</v>
      </c>
      <c r="I1475" s="536">
        <v>4</v>
      </c>
      <c r="J1475" s="536">
        <v>216</v>
      </c>
      <c r="K1475" s="458" t="s">
        <v>364</v>
      </c>
      <c r="L1475" s="529">
        <f t="shared" si="205"/>
        <v>8148006.25</v>
      </c>
      <c r="M1475" s="538">
        <v>8000000</v>
      </c>
      <c r="N1475" s="539">
        <v>148006.25</v>
      </c>
      <c r="O1475" s="540"/>
      <c r="P1475" s="388"/>
      <c r="Q1475" s="541"/>
      <c r="R1475" s="446">
        <f>M1475/I1475</f>
        <v>2000000</v>
      </c>
      <c r="S1475" s="388">
        <f t="shared" si="203"/>
        <v>0</v>
      </c>
      <c r="T1475" s="389"/>
      <c r="U1475" s="539"/>
      <c r="V1475" s="390"/>
      <c r="W1475" s="398"/>
      <c r="X1475" s="398"/>
    </row>
    <row r="1476" spans="1:24" ht="60.75" hidden="1" customHeight="1">
      <c r="A1476" s="493">
        <f t="shared" si="204"/>
        <v>10</v>
      </c>
      <c r="B1476" s="404" t="s">
        <v>2387</v>
      </c>
      <c r="C1476" s="495" t="s">
        <v>297</v>
      </c>
      <c r="D1476" s="487">
        <v>22801</v>
      </c>
      <c r="E1476" s="388">
        <v>4320</v>
      </c>
      <c r="F1476" s="391" t="s">
        <v>228</v>
      </c>
      <c r="G1476" s="575">
        <v>720.2</v>
      </c>
      <c r="H1476" s="528">
        <v>12</v>
      </c>
      <c r="I1476" s="528">
        <v>2</v>
      </c>
      <c r="J1476" s="576">
        <v>96</v>
      </c>
      <c r="K1476" s="397" t="s">
        <v>220</v>
      </c>
      <c r="L1476" s="384">
        <f t="shared" ref="L1476:L1486" si="206">SUM(M1476:P1476)</f>
        <v>4506250</v>
      </c>
      <c r="M1476" s="519">
        <v>4400000</v>
      </c>
      <c r="N1476" s="565">
        <v>106250</v>
      </c>
      <c r="O1476" s="473"/>
      <c r="P1476" s="388"/>
      <c r="Q1476" s="388"/>
      <c r="R1476" s="446">
        <v>2200000</v>
      </c>
      <c r="S1476" s="388">
        <f t="shared" si="203"/>
        <v>0</v>
      </c>
      <c r="T1476" s="390"/>
      <c r="U1476" s="388"/>
      <c r="V1476" s="390"/>
      <c r="W1476" s="398"/>
      <c r="X1476" s="398"/>
    </row>
    <row r="1477" spans="1:24" ht="60.75" hidden="1" customHeight="1">
      <c r="A1477" s="493">
        <f t="shared" si="204"/>
        <v>11</v>
      </c>
      <c r="B1477" s="404" t="s">
        <v>4079</v>
      </c>
      <c r="C1477" s="495" t="s">
        <v>297</v>
      </c>
      <c r="D1477" s="799">
        <v>23042</v>
      </c>
      <c r="E1477" s="388">
        <v>1944</v>
      </c>
      <c r="F1477" s="391" t="s">
        <v>228</v>
      </c>
      <c r="G1477" s="575">
        <v>1008</v>
      </c>
      <c r="H1477" s="528">
        <v>9</v>
      </c>
      <c r="I1477" s="528">
        <v>3</v>
      </c>
      <c r="J1477" s="576">
        <v>108</v>
      </c>
      <c r="K1477" s="397" t="s">
        <v>220</v>
      </c>
      <c r="L1477" s="384">
        <f t="shared" si="206"/>
        <v>6127500</v>
      </c>
      <c r="M1477" s="519">
        <v>6000000</v>
      </c>
      <c r="N1477" s="388">
        <v>127500</v>
      </c>
      <c r="O1477" s="473"/>
      <c r="P1477" s="388"/>
      <c r="Q1477" s="388"/>
      <c r="R1477" s="446">
        <f t="shared" ref="R1477:R1482" si="207">M1477/I1477</f>
        <v>2000000</v>
      </c>
      <c r="S1477" s="388">
        <f t="shared" si="203"/>
        <v>0</v>
      </c>
      <c r="T1477" s="390"/>
      <c r="U1477" s="388"/>
      <c r="V1477" s="390"/>
      <c r="W1477" s="398"/>
      <c r="X1477" s="398"/>
    </row>
    <row r="1478" spans="1:24" ht="60.75" hidden="1" customHeight="1">
      <c r="A1478" s="493">
        <f t="shared" si="204"/>
        <v>12</v>
      </c>
      <c r="B1478" s="404" t="s">
        <v>4316</v>
      </c>
      <c r="C1478" s="495" t="s">
        <v>297</v>
      </c>
      <c r="D1478" s="487">
        <v>23168</v>
      </c>
      <c r="E1478" s="388">
        <v>4320</v>
      </c>
      <c r="F1478" s="391" t="s">
        <v>228</v>
      </c>
      <c r="G1478" s="575">
        <v>1011</v>
      </c>
      <c r="H1478" s="528">
        <v>9</v>
      </c>
      <c r="I1478" s="528">
        <v>3</v>
      </c>
      <c r="J1478" s="576">
        <v>108</v>
      </c>
      <c r="K1478" s="397" t="s">
        <v>220</v>
      </c>
      <c r="L1478" s="384">
        <f t="shared" si="206"/>
        <v>6127500</v>
      </c>
      <c r="M1478" s="519">
        <v>6000000</v>
      </c>
      <c r="N1478" s="388">
        <v>127500</v>
      </c>
      <c r="O1478" s="473"/>
      <c r="P1478" s="388"/>
      <c r="Q1478" s="388"/>
      <c r="R1478" s="446">
        <f t="shared" si="207"/>
        <v>2000000</v>
      </c>
      <c r="S1478" s="388">
        <f t="shared" si="203"/>
        <v>0</v>
      </c>
      <c r="T1478" s="390"/>
      <c r="U1478" s="388"/>
      <c r="V1478" s="390"/>
      <c r="W1478" s="398"/>
      <c r="X1478" s="398"/>
    </row>
    <row r="1479" spans="1:24" ht="60.75" hidden="1" customHeight="1">
      <c r="A1479" s="493">
        <f t="shared" si="204"/>
        <v>13</v>
      </c>
      <c r="B1479" s="404" t="s">
        <v>4317</v>
      </c>
      <c r="C1479" s="495" t="s">
        <v>297</v>
      </c>
      <c r="D1479" s="799">
        <v>7761</v>
      </c>
      <c r="E1479" s="550">
        <v>4536</v>
      </c>
      <c r="F1479" s="391" t="s">
        <v>228</v>
      </c>
      <c r="G1479" s="575">
        <v>332</v>
      </c>
      <c r="H1479" s="528">
        <v>9</v>
      </c>
      <c r="I1479" s="528">
        <v>3</v>
      </c>
      <c r="J1479" s="576">
        <v>36</v>
      </c>
      <c r="K1479" s="397" t="s">
        <v>220</v>
      </c>
      <c r="L1479" s="384">
        <f t="shared" si="206"/>
        <v>6127500</v>
      </c>
      <c r="M1479" s="519">
        <v>6000000</v>
      </c>
      <c r="N1479" s="388">
        <v>127500</v>
      </c>
      <c r="O1479" s="473"/>
      <c r="P1479" s="388"/>
      <c r="Q1479" s="388"/>
      <c r="R1479" s="446">
        <f t="shared" si="207"/>
        <v>2000000</v>
      </c>
      <c r="S1479" s="388">
        <f t="shared" si="203"/>
        <v>0</v>
      </c>
      <c r="T1479" s="390"/>
      <c r="U1479" s="388"/>
      <c r="V1479" s="390"/>
      <c r="W1479" s="398"/>
      <c r="X1479" s="398"/>
    </row>
    <row r="1480" spans="1:24" ht="60.75" hidden="1" customHeight="1">
      <c r="A1480" s="493">
        <f t="shared" si="204"/>
        <v>14</v>
      </c>
      <c r="B1480" s="404" t="s">
        <v>4068</v>
      </c>
      <c r="C1480" s="495" t="s">
        <v>297</v>
      </c>
      <c r="D1480" s="487">
        <v>16581</v>
      </c>
      <c r="E1480" s="388">
        <v>3072</v>
      </c>
      <c r="F1480" s="391" t="s">
        <v>228</v>
      </c>
      <c r="G1480" s="575">
        <v>712</v>
      </c>
      <c r="H1480" s="528">
        <v>9</v>
      </c>
      <c r="I1480" s="528">
        <v>2</v>
      </c>
      <c r="J1480" s="576">
        <v>68</v>
      </c>
      <c r="K1480" s="397" t="s">
        <v>220</v>
      </c>
      <c r="L1480" s="384">
        <f t="shared" si="206"/>
        <v>4106250</v>
      </c>
      <c r="M1480" s="519">
        <v>4000000</v>
      </c>
      <c r="N1480" s="565">
        <v>106250</v>
      </c>
      <c r="O1480" s="473"/>
      <c r="P1480" s="388"/>
      <c r="Q1480" s="388"/>
      <c r="R1480" s="446">
        <f t="shared" si="207"/>
        <v>2000000</v>
      </c>
      <c r="S1480" s="388">
        <f t="shared" si="203"/>
        <v>0</v>
      </c>
      <c r="T1480" s="390"/>
      <c r="U1480" s="388"/>
      <c r="V1480" s="390"/>
      <c r="W1480" s="398"/>
      <c r="X1480" s="398"/>
    </row>
    <row r="1481" spans="1:24" ht="60.75" hidden="1" customHeight="1">
      <c r="A1481" s="493">
        <f t="shared" si="204"/>
        <v>15</v>
      </c>
      <c r="B1481" s="404" t="s">
        <v>4080</v>
      </c>
      <c r="C1481" s="495" t="s">
        <v>297</v>
      </c>
      <c r="D1481" s="487">
        <v>25461</v>
      </c>
      <c r="E1481" s="388">
        <v>4608</v>
      </c>
      <c r="F1481" s="391" t="s">
        <v>228</v>
      </c>
      <c r="G1481" s="575">
        <v>1004</v>
      </c>
      <c r="H1481" s="528">
        <v>9</v>
      </c>
      <c r="I1481" s="528">
        <v>3</v>
      </c>
      <c r="J1481" s="576">
        <v>108</v>
      </c>
      <c r="K1481" s="397" t="s">
        <v>220</v>
      </c>
      <c r="L1481" s="384">
        <f t="shared" si="206"/>
        <v>6127500</v>
      </c>
      <c r="M1481" s="519">
        <v>6000000</v>
      </c>
      <c r="N1481" s="388">
        <v>127500</v>
      </c>
      <c r="O1481" s="473"/>
      <c r="P1481" s="388"/>
      <c r="Q1481" s="388"/>
      <c r="R1481" s="446">
        <f t="shared" si="207"/>
        <v>2000000</v>
      </c>
      <c r="S1481" s="388">
        <f t="shared" si="203"/>
        <v>0</v>
      </c>
      <c r="T1481" s="390"/>
      <c r="U1481" s="388"/>
      <c r="V1481" s="390"/>
      <c r="W1481" s="398"/>
      <c r="X1481" s="398"/>
    </row>
    <row r="1482" spans="1:24" ht="60.75" hidden="1" customHeight="1">
      <c r="A1482" s="493">
        <f t="shared" si="204"/>
        <v>16</v>
      </c>
      <c r="B1482" s="404" t="s">
        <v>4081</v>
      </c>
      <c r="C1482" s="495" t="s">
        <v>297</v>
      </c>
      <c r="D1482" s="487">
        <v>12017</v>
      </c>
      <c r="E1482" s="388">
        <v>2406.4</v>
      </c>
      <c r="F1482" s="391" t="s">
        <v>228</v>
      </c>
      <c r="G1482" s="575">
        <v>516</v>
      </c>
      <c r="H1482" s="528">
        <v>9</v>
      </c>
      <c r="I1482" s="528">
        <v>1</v>
      </c>
      <c r="J1482" s="576">
        <v>72</v>
      </c>
      <c r="K1482" s="397" t="s">
        <v>220</v>
      </c>
      <c r="L1482" s="384">
        <f t="shared" si="206"/>
        <v>2085000</v>
      </c>
      <c r="M1482" s="519">
        <v>2000000</v>
      </c>
      <c r="N1482" s="388">
        <v>85000</v>
      </c>
      <c r="O1482" s="473"/>
      <c r="P1482" s="388"/>
      <c r="Q1482" s="388"/>
      <c r="R1482" s="446">
        <f t="shared" si="207"/>
        <v>2000000</v>
      </c>
      <c r="S1482" s="388">
        <f t="shared" si="203"/>
        <v>0</v>
      </c>
      <c r="T1482" s="390"/>
      <c r="U1482" s="388"/>
      <c r="V1482" s="390"/>
      <c r="W1482" s="398"/>
      <c r="X1482" s="398"/>
    </row>
    <row r="1483" spans="1:24" ht="60.75" hidden="1" customHeight="1">
      <c r="A1483" s="493">
        <f t="shared" si="204"/>
        <v>17</v>
      </c>
      <c r="B1483" s="404" t="s">
        <v>4318</v>
      </c>
      <c r="C1483" s="495" t="s">
        <v>297</v>
      </c>
      <c r="D1483" s="487">
        <v>16215</v>
      </c>
      <c r="E1483" s="388">
        <v>3072</v>
      </c>
      <c r="F1483" s="391" t="s">
        <v>228</v>
      </c>
      <c r="G1483" s="575">
        <v>680</v>
      </c>
      <c r="H1483" s="528">
        <v>9</v>
      </c>
      <c r="I1483" s="528">
        <v>2</v>
      </c>
      <c r="J1483" s="576">
        <v>70</v>
      </c>
      <c r="K1483" s="397" t="s">
        <v>220</v>
      </c>
      <c r="L1483" s="384">
        <f t="shared" si="206"/>
        <v>2085000</v>
      </c>
      <c r="M1483" s="519">
        <v>2000000</v>
      </c>
      <c r="N1483" s="388">
        <v>85000</v>
      </c>
      <c r="O1483" s="540"/>
      <c r="P1483" s="539"/>
      <c r="Q1483" s="541"/>
      <c r="R1483" s="446">
        <f>M1483</f>
        <v>2000000</v>
      </c>
      <c r="S1483" s="388">
        <f t="shared" si="203"/>
        <v>0</v>
      </c>
      <c r="T1483" s="390"/>
      <c r="U1483" s="388"/>
      <c r="V1483" s="390"/>
      <c r="W1483" s="398"/>
      <c r="X1483" s="398"/>
    </row>
    <row r="1484" spans="1:24" ht="60.75" hidden="1" customHeight="1">
      <c r="A1484" s="493">
        <f t="shared" si="204"/>
        <v>18</v>
      </c>
      <c r="B1484" s="404" t="s">
        <v>4319</v>
      </c>
      <c r="C1484" s="495" t="s">
        <v>297</v>
      </c>
      <c r="D1484" s="487">
        <v>7908</v>
      </c>
      <c r="E1484" s="388">
        <v>1536</v>
      </c>
      <c r="F1484" s="391" t="s">
        <v>228</v>
      </c>
      <c r="G1484" s="575">
        <v>1007</v>
      </c>
      <c r="H1484" s="528">
        <v>9</v>
      </c>
      <c r="I1484" s="528">
        <v>1</v>
      </c>
      <c r="J1484" s="576">
        <v>80</v>
      </c>
      <c r="K1484" s="397" t="s">
        <v>220</v>
      </c>
      <c r="L1484" s="384">
        <f t="shared" si="206"/>
        <v>2085000</v>
      </c>
      <c r="M1484" s="519">
        <v>2000000</v>
      </c>
      <c r="N1484" s="388">
        <v>85000</v>
      </c>
      <c r="O1484" s="473"/>
      <c r="P1484" s="388"/>
      <c r="Q1484" s="388"/>
      <c r="R1484" s="446">
        <f t="shared" ref="R1484:R1491" si="208">M1484/I1484</f>
        <v>2000000</v>
      </c>
      <c r="S1484" s="388">
        <f t="shared" si="203"/>
        <v>0</v>
      </c>
      <c r="T1484" s="390"/>
      <c r="U1484" s="388"/>
      <c r="V1484" s="390"/>
      <c r="W1484" s="398"/>
      <c r="X1484" s="398"/>
    </row>
    <row r="1485" spans="1:24" ht="60.75" hidden="1" customHeight="1">
      <c r="A1485" s="493">
        <f t="shared" si="204"/>
        <v>19</v>
      </c>
      <c r="B1485" s="404" t="s">
        <v>4320</v>
      </c>
      <c r="C1485" s="495" t="s">
        <v>297</v>
      </c>
      <c r="D1485" s="487">
        <v>16215</v>
      </c>
      <c r="E1485" s="388">
        <v>3240</v>
      </c>
      <c r="F1485" s="391" t="s">
        <v>228</v>
      </c>
      <c r="G1485" s="575">
        <v>680.8</v>
      </c>
      <c r="H1485" s="528">
        <v>9</v>
      </c>
      <c r="I1485" s="528">
        <v>2</v>
      </c>
      <c r="J1485" s="576">
        <v>72</v>
      </c>
      <c r="K1485" s="397" t="s">
        <v>220</v>
      </c>
      <c r="L1485" s="384">
        <f t="shared" si="206"/>
        <v>4106250</v>
      </c>
      <c r="M1485" s="519">
        <v>4000000</v>
      </c>
      <c r="N1485" s="565">
        <v>106250</v>
      </c>
      <c r="O1485" s="473"/>
      <c r="P1485" s="388"/>
      <c r="Q1485" s="388"/>
      <c r="R1485" s="446">
        <f t="shared" si="208"/>
        <v>2000000</v>
      </c>
      <c r="S1485" s="388">
        <f t="shared" si="203"/>
        <v>0</v>
      </c>
      <c r="T1485" s="390"/>
      <c r="U1485" s="388"/>
      <c r="V1485" s="390"/>
      <c r="W1485" s="398"/>
      <c r="X1485" s="398"/>
    </row>
    <row r="1486" spans="1:24" ht="60.75" hidden="1" customHeight="1">
      <c r="A1486" s="493">
        <f t="shared" si="204"/>
        <v>20</v>
      </c>
      <c r="B1486" s="404" t="s">
        <v>2383</v>
      </c>
      <c r="C1486" s="495" t="s">
        <v>297</v>
      </c>
      <c r="D1486" s="487">
        <v>31045</v>
      </c>
      <c r="E1486" s="388">
        <v>5832</v>
      </c>
      <c r="F1486" s="391" t="s">
        <v>228</v>
      </c>
      <c r="G1486" s="575">
        <v>1364</v>
      </c>
      <c r="H1486" s="528">
        <v>9</v>
      </c>
      <c r="I1486" s="528">
        <v>4</v>
      </c>
      <c r="J1486" s="576">
        <v>142</v>
      </c>
      <c r="K1486" s="397" t="s">
        <v>220</v>
      </c>
      <c r="L1486" s="384">
        <f t="shared" si="206"/>
        <v>4106250</v>
      </c>
      <c r="M1486" s="519">
        <v>4000000</v>
      </c>
      <c r="N1486" s="565">
        <v>106250</v>
      </c>
      <c r="O1486" s="473"/>
      <c r="P1486" s="388"/>
      <c r="Q1486" s="388"/>
      <c r="R1486" s="446">
        <f t="shared" si="208"/>
        <v>1000000</v>
      </c>
      <c r="S1486" s="388">
        <f t="shared" si="203"/>
        <v>0</v>
      </c>
      <c r="T1486" s="390"/>
      <c r="U1486" s="388"/>
      <c r="V1486" s="390"/>
      <c r="W1486" s="398"/>
      <c r="X1486" s="398"/>
    </row>
    <row r="1487" spans="1:24" ht="60.75" hidden="1" customHeight="1">
      <c r="A1487" s="493">
        <f t="shared" si="204"/>
        <v>21</v>
      </c>
      <c r="B1487" s="404" t="s">
        <v>4072</v>
      </c>
      <c r="C1487" s="495" t="s">
        <v>297</v>
      </c>
      <c r="D1487" s="487">
        <v>31229</v>
      </c>
      <c r="E1487" s="388">
        <v>2800</v>
      </c>
      <c r="F1487" s="391" t="s">
        <v>228</v>
      </c>
      <c r="G1487" s="575">
        <v>1363</v>
      </c>
      <c r="H1487" s="528">
        <v>9</v>
      </c>
      <c r="I1487" s="528">
        <v>4</v>
      </c>
      <c r="J1487" s="576">
        <v>142</v>
      </c>
      <c r="K1487" s="397" t="s">
        <v>220</v>
      </c>
      <c r="L1487" s="519">
        <f>M1487+N1487</f>
        <v>8148750</v>
      </c>
      <c r="M1487" s="519">
        <v>8000000</v>
      </c>
      <c r="N1487" s="388">
        <v>148750</v>
      </c>
      <c r="O1487" s="473"/>
      <c r="P1487" s="388"/>
      <c r="Q1487" s="388"/>
      <c r="R1487" s="446">
        <f t="shared" si="208"/>
        <v>2000000</v>
      </c>
      <c r="S1487" s="388">
        <f t="shared" si="203"/>
        <v>0</v>
      </c>
      <c r="T1487" s="390"/>
      <c r="U1487" s="388"/>
      <c r="V1487" s="390"/>
      <c r="W1487" s="398"/>
      <c r="X1487" s="398"/>
    </row>
    <row r="1488" spans="1:24" ht="60.75" hidden="1" customHeight="1">
      <c r="A1488" s="493">
        <f t="shared" si="204"/>
        <v>22</v>
      </c>
      <c r="B1488" s="404" t="s">
        <v>4084</v>
      </c>
      <c r="C1488" s="495" t="s">
        <v>297</v>
      </c>
      <c r="D1488" s="487">
        <v>43554</v>
      </c>
      <c r="E1488" s="388">
        <v>3000</v>
      </c>
      <c r="F1488" s="391" t="s">
        <v>228</v>
      </c>
      <c r="G1488" s="575">
        <v>1901.1</v>
      </c>
      <c r="H1488" s="528">
        <v>9</v>
      </c>
      <c r="I1488" s="528">
        <v>4</v>
      </c>
      <c r="J1488" s="576">
        <v>216</v>
      </c>
      <c r="K1488" s="397" t="s">
        <v>220</v>
      </c>
      <c r="L1488" s="519">
        <f>M1488+N1488</f>
        <v>8148750</v>
      </c>
      <c r="M1488" s="519">
        <v>8000000</v>
      </c>
      <c r="N1488" s="388">
        <v>148750</v>
      </c>
      <c r="O1488" s="473"/>
      <c r="P1488" s="388"/>
      <c r="Q1488" s="388"/>
      <c r="R1488" s="446">
        <f t="shared" si="208"/>
        <v>2000000</v>
      </c>
      <c r="S1488" s="388">
        <f t="shared" si="203"/>
        <v>0</v>
      </c>
      <c r="T1488" s="390"/>
      <c r="U1488" s="388"/>
      <c r="V1488" s="390"/>
      <c r="W1488" s="398"/>
      <c r="X1488" s="398"/>
    </row>
    <row r="1489" spans="1:24" ht="60.75" hidden="1" customHeight="1">
      <c r="A1489" s="493">
        <f t="shared" si="204"/>
        <v>23</v>
      </c>
      <c r="B1489" s="404" t="s">
        <v>4073</v>
      </c>
      <c r="C1489" s="495" t="s">
        <v>297</v>
      </c>
      <c r="D1489" s="487">
        <v>31362</v>
      </c>
      <c r="E1489" s="388">
        <v>2800</v>
      </c>
      <c r="F1489" s="391" t="s">
        <v>228</v>
      </c>
      <c r="G1489" s="575">
        <v>1359</v>
      </c>
      <c r="H1489" s="528">
        <v>9</v>
      </c>
      <c r="I1489" s="528">
        <v>4</v>
      </c>
      <c r="J1489" s="576">
        <v>142</v>
      </c>
      <c r="K1489" s="397" t="s">
        <v>220</v>
      </c>
      <c r="L1489" s="519">
        <f>M1489+N1489</f>
        <v>8148750</v>
      </c>
      <c r="M1489" s="519">
        <v>8000000</v>
      </c>
      <c r="N1489" s="388">
        <v>148750</v>
      </c>
      <c r="O1489" s="473"/>
      <c r="P1489" s="388"/>
      <c r="Q1489" s="388"/>
      <c r="R1489" s="446">
        <f t="shared" si="208"/>
        <v>2000000</v>
      </c>
      <c r="S1489" s="388">
        <f t="shared" si="203"/>
        <v>0</v>
      </c>
      <c r="T1489" s="390"/>
      <c r="U1489" s="388"/>
      <c r="V1489" s="390"/>
      <c r="W1489" s="398"/>
      <c r="X1489" s="398"/>
    </row>
    <row r="1490" spans="1:24" ht="60.75" hidden="1" customHeight="1">
      <c r="A1490" s="493">
        <f t="shared" si="204"/>
        <v>24</v>
      </c>
      <c r="B1490" s="404" t="s">
        <v>2633</v>
      </c>
      <c r="C1490" s="495" t="s">
        <v>297</v>
      </c>
      <c r="D1490" s="487">
        <v>36164</v>
      </c>
      <c r="E1490" s="388">
        <v>5832</v>
      </c>
      <c r="F1490" s="391" t="s">
        <v>228</v>
      </c>
      <c r="G1490" s="575">
        <v>1360</v>
      </c>
      <c r="H1490" s="528">
        <v>9</v>
      </c>
      <c r="I1490" s="528">
        <v>4</v>
      </c>
      <c r="J1490" s="576">
        <v>143</v>
      </c>
      <c r="K1490" s="397" t="s">
        <v>220</v>
      </c>
      <c r="L1490" s="519">
        <f>M1490+N1490</f>
        <v>8148750</v>
      </c>
      <c r="M1490" s="519">
        <v>8000000</v>
      </c>
      <c r="N1490" s="388">
        <v>148750</v>
      </c>
      <c r="O1490" s="473"/>
      <c r="P1490" s="388"/>
      <c r="Q1490" s="388"/>
      <c r="R1490" s="446">
        <f t="shared" si="208"/>
        <v>2000000</v>
      </c>
      <c r="S1490" s="388">
        <f t="shared" si="203"/>
        <v>0</v>
      </c>
      <c r="T1490" s="390"/>
      <c r="U1490" s="388"/>
      <c r="V1490" s="390"/>
      <c r="W1490" s="398"/>
      <c r="X1490" s="398"/>
    </row>
    <row r="1491" spans="1:24" ht="60.75" hidden="1" customHeight="1">
      <c r="A1491" s="493">
        <f t="shared" si="204"/>
        <v>25</v>
      </c>
      <c r="B1491" s="404" t="s">
        <v>4050</v>
      </c>
      <c r="C1491" s="495" t="s">
        <v>297</v>
      </c>
      <c r="D1491" s="487">
        <v>31119</v>
      </c>
      <c r="E1491" s="388">
        <v>6804</v>
      </c>
      <c r="F1491" s="391" t="s">
        <v>228</v>
      </c>
      <c r="G1491" s="575">
        <v>1234</v>
      </c>
      <c r="H1491" s="528">
        <v>9</v>
      </c>
      <c r="I1491" s="528">
        <v>4</v>
      </c>
      <c r="J1491" s="576">
        <v>144</v>
      </c>
      <c r="K1491" s="397" t="s">
        <v>220</v>
      </c>
      <c r="L1491" s="519">
        <f>M1491+N1491</f>
        <v>8148750</v>
      </c>
      <c r="M1491" s="519">
        <v>8000000</v>
      </c>
      <c r="N1491" s="388">
        <v>148750</v>
      </c>
      <c r="O1491" s="473"/>
      <c r="P1491" s="388"/>
      <c r="Q1491" s="388"/>
      <c r="R1491" s="446">
        <f t="shared" si="208"/>
        <v>2000000</v>
      </c>
      <c r="S1491" s="388">
        <f t="shared" si="203"/>
        <v>0</v>
      </c>
      <c r="T1491" s="390"/>
      <c r="U1491" s="388"/>
      <c r="V1491" s="390"/>
      <c r="W1491" s="398"/>
      <c r="X1491" s="398"/>
    </row>
    <row r="1492" spans="1:24" ht="60.75" hidden="1" customHeight="1">
      <c r="A1492" s="493">
        <f t="shared" si="204"/>
        <v>26</v>
      </c>
      <c r="B1492" s="404" t="s">
        <v>4075</v>
      </c>
      <c r="C1492" s="495" t="s">
        <v>297</v>
      </c>
      <c r="D1492" s="487">
        <v>21569</v>
      </c>
      <c r="E1492" s="388">
        <v>5400</v>
      </c>
      <c r="F1492" s="391" t="s">
        <v>228</v>
      </c>
      <c r="G1492" s="575">
        <v>679</v>
      </c>
      <c r="H1492" s="528">
        <v>12</v>
      </c>
      <c r="I1492" s="528">
        <v>2</v>
      </c>
      <c r="J1492" s="576">
        <v>90</v>
      </c>
      <c r="K1492" s="397" t="s">
        <v>220</v>
      </c>
      <c r="L1492" s="384">
        <f>SUM(M1492:P1492)</f>
        <v>8948750</v>
      </c>
      <c r="M1492" s="519">
        <v>8800000</v>
      </c>
      <c r="N1492" s="388">
        <v>148750</v>
      </c>
      <c r="O1492" s="473"/>
      <c r="P1492" s="388"/>
      <c r="Q1492" s="388"/>
      <c r="R1492" s="446">
        <v>2200000</v>
      </c>
      <c r="S1492" s="388">
        <f t="shared" si="203"/>
        <v>0</v>
      </c>
      <c r="T1492" s="390"/>
      <c r="U1492" s="388"/>
      <c r="V1492" s="390"/>
      <c r="W1492" s="398"/>
      <c r="X1492" s="398"/>
    </row>
    <row r="1493" spans="1:24" ht="60.75" hidden="1" customHeight="1">
      <c r="A1493" s="493">
        <f t="shared" si="204"/>
        <v>27</v>
      </c>
      <c r="B1493" s="404" t="s">
        <v>4076</v>
      </c>
      <c r="C1493" s="495" t="s">
        <v>297</v>
      </c>
      <c r="D1493" s="487">
        <v>20791</v>
      </c>
      <c r="E1493" s="388">
        <v>3400</v>
      </c>
      <c r="F1493" s="391" t="s">
        <v>228</v>
      </c>
      <c r="G1493" s="575">
        <v>620</v>
      </c>
      <c r="H1493" s="528">
        <v>12</v>
      </c>
      <c r="I1493" s="528">
        <v>2</v>
      </c>
      <c r="J1493" s="576">
        <v>96</v>
      </c>
      <c r="K1493" s="397" t="s">
        <v>220</v>
      </c>
      <c r="L1493" s="384">
        <f>SUM(M1493:P1493)</f>
        <v>8948750</v>
      </c>
      <c r="M1493" s="519">
        <v>8800000</v>
      </c>
      <c r="N1493" s="388">
        <v>148750</v>
      </c>
      <c r="O1493" s="473"/>
      <c r="P1493" s="388"/>
      <c r="Q1493" s="388"/>
      <c r="R1493" s="446">
        <v>2200000</v>
      </c>
      <c r="S1493" s="388">
        <f t="shared" si="203"/>
        <v>0</v>
      </c>
      <c r="T1493" s="390"/>
      <c r="U1493" s="388"/>
      <c r="V1493" s="390"/>
      <c r="W1493" s="398"/>
      <c r="X1493" s="398"/>
    </row>
    <row r="1494" spans="1:24" ht="60.75" hidden="1" customHeight="1">
      <c r="A1494" s="493">
        <f t="shared" si="204"/>
        <v>28</v>
      </c>
      <c r="B1494" s="404" t="s">
        <v>3746</v>
      </c>
      <c r="C1494" s="495" t="s">
        <v>297</v>
      </c>
      <c r="D1494" s="487">
        <v>12971</v>
      </c>
      <c r="E1494" s="388">
        <v>3240</v>
      </c>
      <c r="F1494" s="391" t="s">
        <v>228</v>
      </c>
      <c r="G1494" s="575">
        <v>694</v>
      </c>
      <c r="H1494" s="528">
        <v>9</v>
      </c>
      <c r="I1494" s="528">
        <v>4</v>
      </c>
      <c r="J1494" s="576">
        <v>144</v>
      </c>
      <c r="K1494" s="397" t="s">
        <v>220</v>
      </c>
      <c r="L1494" s="384">
        <f>SUM(M1494:P1494)</f>
        <v>6127500</v>
      </c>
      <c r="M1494" s="519">
        <v>6000000</v>
      </c>
      <c r="N1494" s="388">
        <v>127500</v>
      </c>
      <c r="O1494" s="473"/>
      <c r="P1494" s="388"/>
      <c r="Q1494" s="388"/>
      <c r="R1494" s="446">
        <f>M1494/3</f>
        <v>2000000</v>
      </c>
      <c r="S1494" s="388">
        <f t="shared" si="203"/>
        <v>0</v>
      </c>
      <c r="T1494" s="390"/>
      <c r="U1494" s="388"/>
      <c r="V1494" s="390"/>
      <c r="W1494" s="398"/>
      <c r="X1494" s="398"/>
    </row>
    <row r="1495" spans="1:24" ht="60.75" hidden="1" customHeight="1">
      <c r="A1495" s="493">
        <f t="shared" si="204"/>
        <v>29</v>
      </c>
      <c r="B1495" s="404" t="s">
        <v>4077</v>
      </c>
      <c r="C1495" s="495" t="s">
        <v>297</v>
      </c>
      <c r="D1495" s="487">
        <v>46377</v>
      </c>
      <c r="E1495" s="388">
        <v>9216</v>
      </c>
      <c r="F1495" s="391" t="s">
        <v>228</v>
      </c>
      <c r="G1495" s="575">
        <v>1624.2</v>
      </c>
      <c r="H1495" s="576">
        <v>9</v>
      </c>
      <c r="I1495" s="576">
        <v>6</v>
      </c>
      <c r="J1495" s="576">
        <v>215</v>
      </c>
      <c r="K1495" s="397" t="s">
        <v>220</v>
      </c>
      <c r="L1495" s="384">
        <f>SUM(M1495:P1495)</f>
        <v>12191250</v>
      </c>
      <c r="M1495" s="519">
        <v>12000000</v>
      </c>
      <c r="N1495" s="388">
        <v>191250</v>
      </c>
      <c r="O1495" s="473"/>
      <c r="P1495" s="388"/>
      <c r="Q1495" s="388"/>
      <c r="R1495" s="446">
        <f>M1495/I1495</f>
        <v>2000000</v>
      </c>
      <c r="S1495" s="388">
        <f t="shared" si="203"/>
        <v>0</v>
      </c>
      <c r="T1495" s="390"/>
      <c r="U1495" s="388"/>
      <c r="V1495" s="390"/>
      <c r="W1495" s="398"/>
      <c r="X1495" s="398"/>
    </row>
    <row r="1496" spans="1:24" ht="60.75" hidden="1" customHeight="1">
      <c r="A1496" s="493">
        <f t="shared" si="204"/>
        <v>30</v>
      </c>
      <c r="B1496" s="404" t="s">
        <v>4085</v>
      </c>
      <c r="C1496" s="495" t="s">
        <v>297</v>
      </c>
      <c r="D1496" s="487">
        <v>34316</v>
      </c>
      <c r="E1496" s="391">
        <v>6144</v>
      </c>
      <c r="F1496" s="391" t="s">
        <v>228</v>
      </c>
      <c r="G1496" s="575">
        <v>1374.3</v>
      </c>
      <c r="H1496" s="528">
        <v>9</v>
      </c>
      <c r="I1496" s="528">
        <v>4</v>
      </c>
      <c r="J1496" s="576">
        <v>144</v>
      </c>
      <c r="K1496" s="397" t="s">
        <v>220</v>
      </c>
      <c r="L1496" s="519">
        <f>M1496+N1496</f>
        <v>8148750</v>
      </c>
      <c r="M1496" s="519">
        <v>8000000</v>
      </c>
      <c r="N1496" s="388">
        <v>148750</v>
      </c>
      <c r="O1496" s="473"/>
      <c r="P1496" s="388"/>
      <c r="Q1496" s="388"/>
      <c r="R1496" s="446">
        <f>M1496/I1496</f>
        <v>2000000</v>
      </c>
      <c r="S1496" s="388">
        <f t="shared" si="203"/>
        <v>0</v>
      </c>
      <c r="T1496" s="390"/>
      <c r="U1496" s="388"/>
      <c r="V1496" s="390"/>
      <c r="W1496" s="398"/>
      <c r="X1496" s="398"/>
    </row>
    <row r="1497" spans="1:24" ht="60.75" hidden="1" customHeight="1">
      <c r="A1497" s="493">
        <f t="shared" si="204"/>
        <v>31</v>
      </c>
      <c r="B1497" s="404" t="s">
        <v>4078</v>
      </c>
      <c r="C1497" s="455" t="s">
        <v>297</v>
      </c>
      <c r="D1497" s="446">
        <v>32336</v>
      </c>
      <c r="E1497" s="388">
        <v>6144</v>
      </c>
      <c r="F1497" s="539" t="s">
        <v>228</v>
      </c>
      <c r="G1497" s="388">
        <v>1384</v>
      </c>
      <c r="H1497" s="446">
        <v>9</v>
      </c>
      <c r="I1497" s="446">
        <v>4</v>
      </c>
      <c r="J1497" s="446">
        <v>144</v>
      </c>
      <c r="K1497" s="458" t="s">
        <v>220</v>
      </c>
      <c r="L1497" s="529">
        <v>8148750</v>
      </c>
      <c r="M1497" s="519">
        <v>8000000</v>
      </c>
      <c r="N1497" s="388">
        <v>148750</v>
      </c>
      <c r="Q1497" s="388"/>
      <c r="R1497" s="446">
        <f>M1497/I1497</f>
        <v>2000000</v>
      </c>
      <c r="S1497" s="388">
        <f t="shared" si="203"/>
        <v>0</v>
      </c>
      <c r="T1497" s="390"/>
      <c r="U1497" s="388"/>
      <c r="V1497" s="390"/>
      <c r="W1497" s="398"/>
      <c r="X1497" s="398"/>
    </row>
    <row r="1498" spans="1:24" s="416" customFormat="1" ht="37.5" hidden="1" customHeight="1">
      <c r="A1498" s="493">
        <f t="shared" si="204"/>
        <v>32</v>
      </c>
      <c r="B1498" s="403" t="s">
        <v>1690</v>
      </c>
      <c r="C1498" s="455" t="s">
        <v>218</v>
      </c>
      <c r="D1498" s="487">
        <v>25579</v>
      </c>
      <c r="E1498" s="391">
        <v>4608</v>
      </c>
      <c r="F1498" s="391" t="s">
        <v>234</v>
      </c>
      <c r="G1498" s="391">
        <v>1023</v>
      </c>
      <c r="H1498" s="528">
        <v>9</v>
      </c>
      <c r="I1498" s="528">
        <v>3</v>
      </c>
      <c r="J1498" s="528">
        <v>108</v>
      </c>
      <c r="K1498" s="458" t="s">
        <v>225</v>
      </c>
      <c r="L1498" s="519">
        <f>M1498+N1498+O1498+Q1498+Q1499+O1499+N1499+M1499</f>
        <v>8693898.8000000007</v>
      </c>
      <c r="M1498" s="529">
        <v>2511335</v>
      </c>
      <c r="N1498" s="391">
        <v>35263.800000000003</v>
      </c>
      <c r="O1498" s="530"/>
      <c r="P1498" s="391"/>
      <c r="Q1498" s="391">
        <v>19800</v>
      </c>
      <c r="R1498" s="528">
        <f>M1498/J1498</f>
        <v>23253.10185185185</v>
      </c>
      <c r="S1498" s="388">
        <f t="shared" si="203"/>
        <v>6127500.0000000009</v>
      </c>
      <c r="T1498" s="398"/>
      <c r="U1498" s="391">
        <f>M1498+N1498+O1498+Q1498</f>
        <v>2566398.7999999998</v>
      </c>
      <c r="V1498" s="390"/>
      <c r="W1498" s="398"/>
      <c r="X1498" s="398"/>
    </row>
    <row r="1499" spans="1:24" s="416" customFormat="1" ht="37.5" hidden="1" customHeight="1">
      <c r="A1499" s="506"/>
      <c r="B1499" s="403"/>
      <c r="C1499" s="455"/>
      <c r="D1499" s="487"/>
      <c r="E1499" s="391"/>
      <c r="F1499" s="391"/>
      <c r="G1499" s="391"/>
      <c r="H1499" s="528"/>
      <c r="I1499" s="528"/>
      <c r="J1499" s="528"/>
      <c r="K1499" s="458" t="s">
        <v>220</v>
      </c>
      <c r="L1499" s="529"/>
      <c r="M1499" s="529">
        <v>6000000</v>
      </c>
      <c r="N1499" s="391">
        <v>127500</v>
      </c>
      <c r="O1499" s="530"/>
      <c r="P1499" s="391"/>
      <c r="Q1499" s="391"/>
      <c r="R1499" s="528">
        <f>M1499/I1498</f>
        <v>2000000</v>
      </c>
      <c r="S1499" s="388">
        <f t="shared" si="203"/>
        <v>-6127500</v>
      </c>
      <c r="T1499" s="398"/>
      <c r="U1499" s="391"/>
      <c r="V1499" s="390"/>
      <c r="W1499" s="398"/>
      <c r="X1499" s="398"/>
    </row>
    <row r="1500" spans="1:24" s="416" customFormat="1" ht="37.5" hidden="1" customHeight="1">
      <c r="A1500" s="506">
        <f>A1498+1</f>
        <v>33</v>
      </c>
      <c r="B1500" s="403" t="s">
        <v>1691</v>
      </c>
      <c r="C1500" s="455" t="s">
        <v>218</v>
      </c>
      <c r="D1500" s="487">
        <v>20791</v>
      </c>
      <c r="E1500" s="391">
        <v>3400</v>
      </c>
      <c r="F1500" s="391" t="s">
        <v>234</v>
      </c>
      <c r="G1500" s="391">
        <v>637</v>
      </c>
      <c r="H1500" s="528">
        <v>12</v>
      </c>
      <c r="I1500" s="528">
        <v>2</v>
      </c>
      <c r="J1500" s="528">
        <v>96</v>
      </c>
      <c r="K1500" s="458" t="s">
        <v>225</v>
      </c>
      <c r="L1500" s="519">
        <f>M1500+N1500+O1500+Q1500+Q1501+O1501+N1501+M1501</f>
        <v>10807112.98</v>
      </c>
      <c r="M1500" s="529">
        <v>1803535</v>
      </c>
      <c r="N1500" s="391">
        <v>35027.980000000003</v>
      </c>
      <c r="O1500" s="530"/>
      <c r="P1500" s="391"/>
      <c r="Q1500" s="391">
        <v>19800</v>
      </c>
      <c r="R1500" s="528">
        <f>M1500/J1500</f>
        <v>18786.822916666668</v>
      </c>
      <c r="S1500" s="388">
        <f t="shared" si="203"/>
        <v>8948750</v>
      </c>
      <c r="T1500" s="398"/>
      <c r="U1500" s="391">
        <f>M1500+N1500+O1500+Q1500</f>
        <v>1858362.98</v>
      </c>
      <c r="V1500" s="390"/>
      <c r="W1500" s="398"/>
      <c r="X1500" s="398"/>
    </row>
    <row r="1501" spans="1:24" s="416" customFormat="1" ht="56.25" hidden="1" customHeight="1">
      <c r="A1501" s="506"/>
      <c r="B1501" s="403"/>
      <c r="C1501" s="455"/>
      <c r="D1501" s="487"/>
      <c r="E1501" s="391"/>
      <c r="F1501" s="391"/>
      <c r="G1501" s="391"/>
      <c r="H1501" s="528"/>
      <c r="I1501" s="528"/>
      <c r="J1501" s="528"/>
      <c r="K1501" s="458" t="s">
        <v>220</v>
      </c>
      <c r="L1501" s="529"/>
      <c r="M1501" s="529">
        <v>8800000</v>
      </c>
      <c r="N1501" s="391">
        <v>148750</v>
      </c>
      <c r="O1501" s="530"/>
      <c r="P1501" s="391"/>
      <c r="Q1501" s="391"/>
      <c r="R1501" s="528">
        <f>M1501/4</f>
        <v>2200000</v>
      </c>
      <c r="S1501" s="388">
        <f t="shared" si="203"/>
        <v>-8948750</v>
      </c>
      <c r="T1501" s="398"/>
      <c r="U1501" s="391"/>
      <c r="V1501" s="390"/>
      <c r="W1501" s="398"/>
      <c r="X1501" s="398"/>
    </row>
    <row r="1502" spans="1:24" s="416" customFormat="1" ht="57.75" hidden="1" customHeight="1">
      <c r="A1502" s="506">
        <v>34</v>
      </c>
      <c r="B1502" s="403" t="s">
        <v>1767</v>
      </c>
      <c r="C1502" s="455" t="s">
        <v>218</v>
      </c>
      <c r="D1502" s="487">
        <v>25144</v>
      </c>
      <c r="E1502" s="391">
        <v>2016</v>
      </c>
      <c r="F1502" s="391" t="s">
        <v>234</v>
      </c>
      <c r="G1502" s="391">
        <v>824.5</v>
      </c>
      <c r="H1502" s="528">
        <v>12</v>
      </c>
      <c r="I1502" s="528">
        <v>1</v>
      </c>
      <c r="J1502" s="528">
        <v>56</v>
      </c>
      <c r="K1502" s="458" t="s">
        <v>220</v>
      </c>
      <c r="L1502" s="519">
        <f>M1502+N1502+O1502+P1502+Q1502</f>
        <v>4506250</v>
      </c>
      <c r="M1502" s="529">
        <v>4400000</v>
      </c>
      <c r="N1502" s="391">
        <v>106250</v>
      </c>
      <c r="O1502" s="473"/>
      <c r="P1502" s="391"/>
      <c r="Q1502" s="391"/>
      <c r="R1502" s="528">
        <v>2200000</v>
      </c>
      <c r="S1502" s="388">
        <f t="shared" si="203"/>
        <v>0</v>
      </c>
      <c r="T1502" s="398"/>
      <c r="U1502" s="391"/>
      <c r="V1502" s="390"/>
      <c r="W1502" s="398"/>
      <c r="X1502" s="398"/>
    </row>
    <row r="1503" spans="1:24" ht="60.75" hidden="1" customHeight="1">
      <c r="A1503" s="506">
        <f>A1502+1</f>
        <v>35</v>
      </c>
      <c r="B1503" s="403" t="s">
        <v>3883</v>
      </c>
      <c r="C1503" s="455" t="s">
        <v>272</v>
      </c>
      <c r="D1503" s="487"/>
      <c r="E1503" s="391"/>
      <c r="F1503" s="391" t="s">
        <v>234</v>
      </c>
      <c r="G1503" s="391"/>
      <c r="H1503" s="528">
        <v>10</v>
      </c>
      <c r="I1503" s="528">
        <v>7</v>
      </c>
      <c r="J1503" s="528">
        <v>232</v>
      </c>
      <c r="K1503" s="389" t="s">
        <v>220</v>
      </c>
      <c r="L1503" s="519">
        <f t="shared" ref="L1503:L1551" si="209">M1503+N1503+O1503+P1503+Q1503</f>
        <v>1925775</v>
      </c>
      <c r="M1503" s="529">
        <v>1848000</v>
      </c>
      <c r="N1503" s="391">
        <v>77775</v>
      </c>
      <c r="O1503" s="530"/>
      <c r="P1503" s="391"/>
      <c r="Q1503" s="391"/>
      <c r="R1503" s="446">
        <v>2200000</v>
      </c>
      <c r="S1503" s="388">
        <f t="shared" si="203"/>
        <v>0</v>
      </c>
      <c r="T1503" s="390"/>
      <c r="U1503" s="391"/>
      <c r="V1503" s="390"/>
      <c r="W1503" s="398"/>
      <c r="X1503" s="398"/>
    </row>
    <row r="1504" spans="1:24" ht="60.75" hidden="1" customHeight="1">
      <c r="A1504" s="493">
        <f t="shared" si="204"/>
        <v>36</v>
      </c>
      <c r="B1504" s="404" t="s">
        <v>4023</v>
      </c>
      <c r="C1504" s="455" t="s">
        <v>222</v>
      </c>
      <c r="D1504" s="532">
        <v>19250</v>
      </c>
      <c r="E1504" s="391">
        <v>2108</v>
      </c>
      <c r="F1504" s="575" t="s">
        <v>223</v>
      </c>
      <c r="G1504" s="535">
        <v>1548.7</v>
      </c>
      <c r="H1504" s="446" t="s">
        <v>4024</v>
      </c>
      <c r="I1504" s="446">
        <v>2</v>
      </c>
      <c r="J1504" s="446">
        <v>112</v>
      </c>
      <c r="K1504" s="458" t="s">
        <v>220</v>
      </c>
      <c r="L1504" s="519">
        <f t="shared" si="209"/>
        <v>3827310</v>
      </c>
      <c r="M1504" s="519">
        <v>3721060</v>
      </c>
      <c r="N1504" s="565">
        <v>106250</v>
      </c>
      <c r="O1504" s="540"/>
      <c r="P1504" s="388"/>
      <c r="Q1504" s="541"/>
      <c r="R1504" s="388">
        <f t="shared" ref="R1504:R1516" si="210">M1504/I1504</f>
        <v>1860530</v>
      </c>
      <c r="S1504" s="388">
        <f t="shared" si="203"/>
        <v>0</v>
      </c>
      <c r="T1504" s="390"/>
      <c r="U1504" s="388"/>
      <c r="V1504" s="390"/>
      <c r="W1504" s="398"/>
      <c r="X1504" s="398"/>
    </row>
    <row r="1505" spans="1:24" ht="60.75" hidden="1" customHeight="1">
      <c r="A1505" s="493">
        <f>A1504+1</f>
        <v>37</v>
      </c>
      <c r="B1505" s="379" t="s">
        <v>4026</v>
      </c>
      <c r="C1505" s="382" t="s">
        <v>297</v>
      </c>
      <c r="D1505" s="800">
        <v>46164</v>
      </c>
      <c r="E1505" s="383">
        <v>8789</v>
      </c>
      <c r="F1505" s="383" t="s">
        <v>228</v>
      </c>
      <c r="G1505" s="383">
        <v>2015</v>
      </c>
      <c r="H1505" s="382">
        <v>9</v>
      </c>
      <c r="I1505" s="382">
        <v>6</v>
      </c>
      <c r="J1505" s="382">
        <v>217</v>
      </c>
      <c r="K1505" s="397" t="s">
        <v>220</v>
      </c>
      <c r="L1505" s="519">
        <f t="shared" si="209"/>
        <v>12806680</v>
      </c>
      <c r="M1505" s="519">
        <v>12615430</v>
      </c>
      <c r="N1505" s="388">
        <v>191250</v>
      </c>
      <c r="R1505" s="446">
        <f t="shared" si="210"/>
        <v>2102571.6666666665</v>
      </c>
      <c r="S1505" s="388">
        <f t="shared" si="203"/>
        <v>0</v>
      </c>
      <c r="T1505" s="390"/>
      <c r="U1505" s="388"/>
      <c r="V1505" s="390"/>
      <c r="W1505" s="398"/>
      <c r="X1505" s="398"/>
    </row>
    <row r="1506" spans="1:24" ht="60.75" hidden="1" customHeight="1">
      <c r="A1506" s="493">
        <f t="shared" si="204"/>
        <v>38</v>
      </c>
      <c r="B1506" s="404" t="s">
        <v>2355</v>
      </c>
      <c r="C1506" s="455" t="s">
        <v>218</v>
      </c>
      <c r="D1506" s="455">
        <v>15170</v>
      </c>
      <c r="E1506" s="388">
        <v>3100</v>
      </c>
      <c r="F1506" s="388" t="s">
        <v>234</v>
      </c>
      <c r="G1506" s="388">
        <v>651.9</v>
      </c>
      <c r="H1506" s="446">
        <v>9</v>
      </c>
      <c r="I1506" s="446">
        <v>2</v>
      </c>
      <c r="J1506" s="446">
        <v>72</v>
      </c>
      <c r="K1506" s="458" t="s">
        <v>4027</v>
      </c>
      <c r="L1506" s="519">
        <f t="shared" si="209"/>
        <v>4308620</v>
      </c>
      <c r="M1506" s="519">
        <v>4202370</v>
      </c>
      <c r="N1506" s="565">
        <v>106250</v>
      </c>
      <c r="O1506" s="473"/>
      <c r="P1506" s="446"/>
      <c r="Q1506" s="446"/>
      <c r="R1506" s="446">
        <f t="shared" si="210"/>
        <v>2101185</v>
      </c>
      <c r="S1506" s="388">
        <f t="shared" si="203"/>
        <v>0</v>
      </c>
      <c r="T1506" s="390"/>
      <c r="U1506" s="388"/>
      <c r="V1506" s="390"/>
      <c r="W1506" s="398"/>
      <c r="X1506" s="398"/>
    </row>
    <row r="1507" spans="1:24" ht="60.75" hidden="1" customHeight="1">
      <c r="A1507" s="493">
        <f t="shared" si="204"/>
        <v>39</v>
      </c>
      <c r="B1507" s="404" t="s">
        <v>4082</v>
      </c>
      <c r="C1507" s="495" t="s">
        <v>297</v>
      </c>
      <c r="D1507" s="487">
        <v>30623</v>
      </c>
      <c r="E1507" s="388">
        <v>6144</v>
      </c>
      <c r="F1507" s="391" t="s">
        <v>228</v>
      </c>
      <c r="G1507" s="575">
        <v>1336.7</v>
      </c>
      <c r="H1507" s="528">
        <v>9</v>
      </c>
      <c r="I1507" s="528">
        <v>4</v>
      </c>
      <c r="J1507" s="576">
        <v>144</v>
      </c>
      <c r="K1507" s="397" t="s">
        <v>220</v>
      </c>
      <c r="L1507" s="519">
        <f t="shared" si="209"/>
        <v>8548350</v>
      </c>
      <c r="M1507" s="519">
        <v>8399600</v>
      </c>
      <c r="N1507" s="388">
        <v>148750</v>
      </c>
      <c r="O1507" s="473"/>
      <c r="P1507" s="388"/>
      <c r="Q1507" s="388"/>
      <c r="R1507" s="446">
        <f t="shared" si="210"/>
        <v>2099900</v>
      </c>
      <c r="S1507" s="388">
        <f t="shared" si="203"/>
        <v>0</v>
      </c>
      <c r="T1507" s="390"/>
      <c r="U1507" s="388"/>
      <c r="V1507" s="390"/>
      <c r="W1507" s="398"/>
      <c r="X1507" s="398"/>
    </row>
    <row r="1508" spans="1:24" ht="60.75" hidden="1" customHeight="1">
      <c r="A1508" s="493">
        <f t="shared" si="204"/>
        <v>40</v>
      </c>
      <c r="B1508" s="404" t="s">
        <v>4083</v>
      </c>
      <c r="C1508" s="495" t="s">
        <v>297</v>
      </c>
      <c r="D1508" s="487">
        <v>31509</v>
      </c>
      <c r="E1508" s="388">
        <v>6144</v>
      </c>
      <c r="F1508" s="391" t="s">
        <v>228</v>
      </c>
      <c r="G1508" s="575">
        <v>1354</v>
      </c>
      <c r="H1508" s="528">
        <v>9</v>
      </c>
      <c r="I1508" s="528">
        <v>4</v>
      </c>
      <c r="J1508" s="576">
        <v>144</v>
      </c>
      <c r="K1508" s="397" t="s">
        <v>220</v>
      </c>
      <c r="L1508" s="519">
        <f t="shared" si="209"/>
        <v>8544730</v>
      </c>
      <c r="M1508" s="519">
        <v>8395980</v>
      </c>
      <c r="N1508" s="388">
        <v>148750</v>
      </c>
      <c r="O1508" s="473"/>
      <c r="P1508" s="388"/>
      <c r="Q1508" s="388"/>
      <c r="R1508" s="446">
        <f t="shared" si="210"/>
        <v>2098995</v>
      </c>
      <c r="S1508" s="388">
        <f t="shared" si="203"/>
        <v>0</v>
      </c>
      <c r="T1508" s="390"/>
      <c r="U1508" s="388"/>
      <c r="V1508" s="390"/>
      <c r="W1508" s="398"/>
      <c r="X1508" s="398"/>
    </row>
    <row r="1509" spans="1:24" ht="60.75" hidden="1" customHeight="1">
      <c r="A1509" s="493">
        <f t="shared" si="204"/>
        <v>41</v>
      </c>
      <c r="B1509" s="404" t="s">
        <v>4069</v>
      </c>
      <c r="C1509" s="495" t="s">
        <v>297</v>
      </c>
      <c r="D1509" s="487">
        <v>23501</v>
      </c>
      <c r="E1509" s="388">
        <v>3072</v>
      </c>
      <c r="F1509" s="391" t="s">
        <v>228</v>
      </c>
      <c r="G1509" s="575">
        <v>830</v>
      </c>
      <c r="H1509" s="528">
        <v>9</v>
      </c>
      <c r="I1509" s="528">
        <v>3</v>
      </c>
      <c r="J1509" s="576">
        <v>108</v>
      </c>
      <c r="K1509" s="397" t="s">
        <v>220</v>
      </c>
      <c r="L1509" s="519">
        <f t="shared" si="209"/>
        <v>6414110</v>
      </c>
      <c r="M1509" s="519">
        <v>6286610</v>
      </c>
      <c r="N1509" s="565">
        <v>127500</v>
      </c>
      <c r="O1509" s="473"/>
      <c r="P1509" s="388"/>
      <c r="Q1509" s="388"/>
      <c r="R1509" s="446">
        <f t="shared" si="210"/>
        <v>2095536.6666666667</v>
      </c>
      <c r="S1509" s="388">
        <f t="shared" si="203"/>
        <v>0</v>
      </c>
      <c r="T1509" s="390"/>
      <c r="U1509" s="388"/>
      <c r="V1509" s="390"/>
      <c r="W1509" s="398"/>
      <c r="X1509" s="398"/>
    </row>
    <row r="1510" spans="1:24" ht="60.75" hidden="1" customHeight="1">
      <c r="A1510" s="493">
        <f t="shared" si="204"/>
        <v>42</v>
      </c>
      <c r="B1510" s="404" t="s">
        <v>4070</v>
      </c>
      <c r="C1510" s="495" t="s">
        <v>297</v>
      </c>
      <c r="D1510" s="487">
        <v>32109</v>
      </c>
      <c r="E1510" s="388">
        <v>6144</v>
      </c>
      <c r="F1510" s="391" t="s">
        <v>228</v>
      </c>
      <c r="G1510" s="575">
        <v>1233</v>
      </c>
      <c r="H1510" s="528">
        <v>9</v>
      </c>
      <c r="I1510" s="528">
        <v>4</v>
      </c>
      <c r="J1510" s="576">
        <v>142</v>
      </c>
      <c r="K1510" s="397" t="s">
        <v>220</v>
      </c>
      <c r="L1510" s="519">
        <f t="shared" si="209"/>
        <v>8544730</v>
      </c>
      <c r="M1510" s="519">
        <v>8395980</v>
      </c>
      <c r="N1510" s="388">
        <v>148750</v>
      </c>
      <c r="O1510" s="473"/>
      <c r="P1510" s="388"/>
      <c r="Q1510" s="388"/>
      <c r="R1510" s="446">
        <f t="shared" si="210"/>
        <v>2098995</v>
      </c>
      <c r="S1510" s="388">
        <f t="shared" si="203"/>
        <v>0</v>
      </c>
      <c r="T1510" s="390"/>
      <c r="U1510" s="388"/>
      <c r="V1510" s="390"/>
      <c r="W1510" s="398"/>
      <c r="X1510" s="398"/>
    </row>
    <row r="1511" spans="1:24" ht="60.75" hidden="1" customHeight="1">
      <c r="A1511" s="493">
        <f t="shared" si="204"/>
        <v>43</v>
      </c>
      <c r="B1511" s="404" t="s">
        <v>2386</v>
      </c>
      <c r="C1511" s="495" t="s">
        <v>297</v>
      </c>
      <c r="D1511" s="487">
        <v>34473</v>
      </c>
      <c r="E1511" s="388">
        <v>5832</v>
      </c>
      <c r="F1511" s="391" t="s">
        <v>228</v>
      </c>
      <c r="G1511" s="575">
        <v>1384</v>
      </c>
      <c r="H1511" s="528">
        <v>9</v>
      </c>
      <c r="I1511" s="528">
        <v>4</v>
      </c>
      <c r="J1511" s="576">
        <v>144</v>
      </c>
      <c r="K1511" s="397" t="s">
        <v>220</v>
      </c>
      <c r="L1511" s="519">
        <f t="shared" si="209"/>
        <v>8544730</v>
      </c>
      <c r="M1511" s="519">
        <v>8395980</v>
      </c>
      <c r="N1511" s="388">
        <v>148750</v>
      </c>
      <c r="O1511" s="473"/>
      <c r="P1511" s="388"/>
      <c r="Q1511" s="388"/>
      <c r="R1511" s="446">
        <f t="shared" si="210"/>
        <v>2098995</v>
      </c>
      <c r="S1511" s="388">
        <f t="shared" si="203"/>
        <v>0</v>
      </c>
      <c r="T1511" s="390"/>
      <c r="U1511" s="388"/>
      <c r="V1511" s="390"/>
      <c r="W1511" s="398"/>
      <c r="X1511" s="398"/>
    </row>
    <row r="1512" spans="1:24" ht="60.75" hidden="1" customHeight="1">
      <c r="A1512" s="493">
        <f t="shared" si="204"/>
        <v>44</v>
      </c>
      <c r="B1512" s="404" t="s">
        <v>4071</v>
      </c>
      <c r="C1512" s="495" t="s">
        <v>297</v>
      </c>
      <c r="D1512" s="487">
        <v>43555</v>
      </c>
      <c r="E1512" s="388">
        <v>3000</v>
      </c>
      <c r="F1512" s="391" t="s">
        <v>228</v>
      </c>
      <c r="G1512" s="575">
        <v>1872</v>
      </c>
      <c r="H1512" s="528">
        <v>9</v>
      </c>
      <c r="I1512" s="528">
        <v>4</v>
      </c>
      <c r="J1512" s="576">
        <v>216</v>
      </c>
      <c r="K1512" s="397" t="s">
        <v>220</v>
      </c>
      <c r="L1512" s="519">
        <f t="shared" si="209"/>
        <v>8544730</v>
      </c>
      <c r="M1512" s="519">
        <v>8395980</v>
      </c>
      <c r="N1512" s="388">
        <v>148750</v>
      </c>
      <c r="O1512" s="473"/>
      <c r="P1512" s="388"/>
      <c r="Q1512" s="388"/>
      <c r="R1512" s="446">
        <f t="shared" si="210"/>
        <v>2098995</v>
      </c>
      <c r="S1512" s="388">
        <f t="shared" si="203"/>
        <v>0</v>
      </c>
      <c r="T1512" s="390"/>
      <c r="U1512" s="388"/>
      <c r="V1512" s="390"/>
      <c r="W1512" s="398"/>
      <c r="X1512" s="398"/>
    </row>
    <row r="1513" spans="1:24" ht="60.75" hidden="1" customHeight="1">
      <c r="A1513" s="493">
        <f t="shared" si="204"/>
        <v>45</v>
      </c>
      <c r="B1513" s="404" t="s">
        <v>4028</v>
      </c>
      <c r="C1513" s="455" t="s">
        <v>4029</v>
      </c>
      <c r="D1513" s="606">
        <v>56992</v>
      </c>
      <c r="E1513" s="391">
        <v>9677</v>
      </c>
      <c r="F1513" s="391" t="s">
        <v>234</v>
      </c>
      <c r="G1513" s="391">
        <v>2247</v>
      </c>
      <c r="H1513" s="528">
        <v>9</v>
      </c>
      <c r="I1513" s="528">
        <v>7</v>
      </c>
      <c r="J1513" s="528">
        <v>252</v>
      </c>
      <c r="K1513" s="458" t="s">
        <v>220</v>
      </c>
      <c r="L1513" s="519">
        <f t="shared" si="209"/>
        <v>14963130</v>
      </c>
      <c r="M1513" s="519">
        <v>14750630</v>
      </c>
      <c r="N1513" s="391">
        <v>212500</v>
      </c>
      <c r="O1513" s="530"/>
      <c r="P1513" s="391"/>
      <c r="Q1513" s="391"/>
      <c r="R1513" s="446">
        <f t="shared" si="210"/>
        <v>2107232.8571428573</v>
      </c>
      <c r="S1513" s="388">
        <f t="shared" si="203"/>
        <v>0</v>
      </c>
      <c r="T1513" s="390"/>
      <c r="U1513" s="388"/>
      <c r="V1513" s="390"/>
      <c r="W1513" s="398"/>
      <c r="X1513" s="398"/>
    </row>
    <row r="1514" spans="1:24" ht="60.75" hidden="1" customHeight="1">
      <c r="A1514" s="493">
        <f t="shared" si="204"/>
        <v>46</v>
      </c>
      <c r="B1514" s="404" t="s">
        <v>4030</v>
      </c>
      <c r="C1514" s="455" t="s">
        <v>4029</v>
      </c>
      <c r="D1514" s="606">
        <v>60476</v>
      </c>
      <c r="E1514" s="391">
        <v>9816</v>
      </c>
      <c r="F1514" s="391" t="s">
        <v>234</v>
      </c>
      <c r="G1514" s="391">
        <v>2372</v>
      </c>
      <c r="H1514" s="528">
        <v>9</v>
      </c>
      <c r="I1514" s="528">
        <v>7</v>
      </c>
      <c r="J1514" s="528">
        <v>252</v>
      </c>
      <c r="K1514" s="458" t="s">
        <v>220</v>
      </c>
      <c r="L1514" s="519">
        <f t="shared" si="209"/>
        <v>14963100</v>
      </c>
      <c r="M1514" s="519">
        <v>14750600</v>
      </c>
      <c r="N1514" s="391">
        <v>212500</v>
      </c>
      <c r="O1514" s="530"/>
      <c r="P1514" s="391"/>
      <c r="Q1514" s="391"/>
      <c r="R1514" s="446">
        <f t="shared" si="210"/>
        <v>2107228.5714285714</v>
      </c>
      <c r="S1514" s="388">
        <f t="shared" si="203"/>
        <v>0</v>
      </c>
      <c r="T1514" s="390"/>
      <c r="U1514" s="388"/>
      <c r="V1514" s="390"/>
      <c r="W1514" s="398"/>
      <c r="X1514" s="398"/>
    </row>
    <row r="1515" spans="1:24" ht="60.75" hidden="1" customHeight="1">
      <c r="A1515" s="493">
        <f t="shared" si="204"/>
        <v>47</v>
      </c>
      <c r="B1515" s="404" t="s">
        <v>3651</v>
      </c>
      <c r="C1515" s="455" t="s">
        <v>222</v>
      </c>
      <c r="D1515" s="532">
        <v>21263</v>
      </c>
      <c r="E1515" s="391">
        <v>3792.9</v>
      </c>
      <c r="F1515" s="391" t="s">
        <v>234</v>
      </c>
      <c r="G1515" s="535">
        <v>1110</v>
      </c>
      <c r="H1515" s="446">
        <v>9</v>
      </c>
      <c r="I1515" s="446">
        <v>2</v>
      </c>
      <c r="J1515" s="446">
        <v>104</v>
      </c>
      <c r="K1515" s="458" t="s">
        <v>220</v>
      </c>
      <c r="L1515" s="519">
        <f t="shared" si="209"/>
        <v>4345160</v>
      </c>
      <c r="M1515" s="519">
        <v>4238910</v>
      </c>
      <c r="N1515" s="565">
        <v>106250</v>
      </c>
      <c r="O1515" s="540"/>
      <c r="P1515" s="388"/>
      <c r="Q1515" s="541"/>
      <c r="R1515" s="446">
        <f t="shared" si="210"/>
        <v>2119455</v>
      </c>
      <c r="S1515" s="388">
        <f t="shared" si="203"/>
        <v>0</v>
      </c>
      <c r="T1515" s="390"/>
      <c r="U1515" s="388"/>
      <c r="V1515" s="390"/>
      <c r="W1515" s="398"/>
      <c r="X1515" s="398"/>
    </row>
    <row r="1516" spans="1:24" ht="60.75" hidden="1" customHeight="1">
      <c r="A1516" s="493">
        <f t="shared" si="204"/>
        <v>48</v>
      </c>
      <c r="B1516" s="493" t="s">
        <v>4031</v>
      </c>
      <c r="C1516" s="455" t="s">
        <v>222</v>
      </c>
      <c r="D1516" s="532">
        <v>21660</v>
      </c>
      <c r="E1516" s="391">
        <v>3668.8</v>
      </c>
      <c r="F1516" s="391" t="s">
        <v>234</v>
      </c>
      <c r="G1516" s="535">
        <v>908</v>
      </c>
      <c r="H1516" s="446">
        <v>9</v>
      </c>
      <c r="I1516" s="446">
        <v>2</v>
      </c>
      <c r="J1516" s="446">
        <v>107</v>
      </c>
      <c r="K1516" s="458" t="s">
        <v>220</v>
      </c>
      <c r="L1516" s="519">
        <f t="shared" si="209"/>
        <v>4318670</v>
      </c>
      <c r="M1516" s="519">
        <v>4212420</v>
      </c>
      <c r="N1516" s="565">
        <v>106250</v>
      </c>
      <c r="O1516" s="540"/>
      <c r="P1516" s="388"/>
      <c r="Q1516" s="541"/>
      <c r="R1516" s="446">
        <f t="shared" si="210"/>
        <v>2106210</v>
      </c>
      <c r="S1516" s="388">
        <f t="shared" si="203"/>
        <v>0</v>
      </c>
      <c r="T1516" s="390"/>
      <c r="U1516" s="388"/>
      <c r="V1516" s="390"/>
      <c r="W1516" s="398"/>
      <c r="X1516" s="398"/>
    </row>
    <row r="1517" spans="1:24" ht="60.75" hidden="1" customHeight="1">
      <c r="A1517" s="493">
        <f t="shared" si="204"/>
        <v>49</v>
      </c>
      <c r="B1517" s="404" t="s">
        <v>4032</v>
      </c>
      <c r="C1517" s="455" t="s">
        <v>222</v>
      </c>
      <c r="D1517" s="532">
        <v>92359</v>
      </c>
      <c r="E1517" s="391">
        <v>31499.7</v>
      </c>
      <c r="F1517" s="391" t="s">
        <v>234</v>
      </c>
      <c r="G1517" s="535">
        <v>3816.6</v>
      </c>
      <c r="H1517" s="446">
        <v>10</v>
      </c>
      <c r="I1517" s="446">
        <v>8</v>
      </c>
      <c r="J1517" s="446">
        <v>453</v>
      </c>
      <c r="K1517" s="458" t="s">
        <v>220</v>
      </c>
      <c r="L1517" s="519">
        <f t="shared" si="209"/>
        <v>17307770</v>
      </c>
      <c r="M1517" s="519">
        <v>17074020</v>
      </c>
      <c r="N1517" s="388">
        <v>233750</v>
      </c>
      <c r="O1517" s="540"/>
      <c r="P1517" s="388"/>
      <c r="Q1517" s="541"/>
      <c r="R1517" s="446">
        <v>2200000</v>
      </c>
      <c r="S1517" s="388">
        <f t="shared" si="203"/>
        <v>0</v>
      </c>
      <c r="T1517" s="390"/>
      <c r="U1517" s="388"/>
      <c r="V1517" s="390"/>
      <c r="W1517" s="398"/>
      <c r="X1517" s="398"/>
    </row>
    <row r="1518" spans="1:24" ht="60.75" hidden="1" customHeight="1">
      <c r="A1518" s="493">
        <f t="shared" si="204"/>
        <v>50</v>
      </c>
      <c r="B1518" s="404" t="s">
        <v>4033</v>
      </c>
      <c r="C1518" s="455" t="s">
        <v>222</v>
      </c>
      <c r="D1518" s="532">
        <v>33091</v>
      </c>
      <c r="E1518" s="391">
        <v>10906.8</v>
      </c>
      <c r="F1518" s="391" t="s">
        <v>234</v>
      </c>
      <c r="G1518" s="535">
        <v>1417</v>
      </c>
      <c r="H1518" s="446">
        <v>9</v>
      </c>
      <c r="I1518" s="446">
        <v>4</v>
      </c>
      <c r="J1518" s="599">
        <v>150</v>
      </c>
      <c r="K1518" s="458" t="s">
        <v>220</v>
      </c>
      <c r="L1518" s="519">
        <f t="shared" si="209"/>
        <v>8684990</v>
      </c>
      <c r="M1518" s="519">
        <v>8536240</v>
      </c>
      <c r="N1518" s="388">
        <v>148750</v>
      </c>
      <c r="O1518" s="540"/>
      <c r="P1518" s="388"/>
      <c r="Q1518" s="541"/>
      <c r="R1518" s="446">
        <f t="shared" ref="R1518:R1527" si="211">M1518/I1518</f>
        <v>2134060</v>
      </c>
      <c r="S1518" s="388">
        <f t="shared" si="203"/>
        <v>0</v>
      </c>
      <c r="T1518" s="390"/>
      <c r="U1518" s="388"/>
      <c r="V1518" s="390"/>
      <c r="W1518" s="398"/>
      <c r="X1518" s="398"/>
    </row>
    <row r="1519" spans="1:24" ht="60.75" hidden="1" customHeight="1">
      <c r="A1519" s="493">
        <f t="shared" si="204"/>
        <v>51</v>
      </c>
      <c r="B1519" s="404" t="s">
        <v>4034</v>
      </c>
      <c r="C1519" s="617" t="s">
        <v>297</v>
      </c>
      <c r="D1519" s="779">
        <v>33231</v>
      </c>
      <c r="E1519" s="388">
        <v>6191</v>
      </c>
      <c r="F1519" s="388" t="s">
        <v>228</v>
      </c>
      <c r="G1519" s="388">
        <v>1139</v>
      </c>
      <c r="H1519" s="382">
        <v>9</v>
      </c>
      <c r="I1519" s="382">
        <v>4</v>
      </c>
      <c r="J1519" s="446">
        <v>133</v>
      </c>
      <c r="K1519" s="397" t="s">
        <v>220</v>
      </c>
      <c r="L1519" s="519">
        <f t="shared" si="209"/>
        <v>8623190</v>
      </c>
      <c r="M1519" s="519">
        <v>8474440</v>
      </c>
      <c r="N1519" s="388">
        <v>148750</v>
      </c>
      <c r="O1519" s="473"/>
      <c r="P1519" s="388"/>
      <c r="Q1519" s="388"/>
      <c r="R1519" s="446">
        <f t="shared" si="211"/>
        <v>2118610</v>
      </c>
      <c r="S1519" s="388">
        <f t="shared" si="203"/>
        <v>0</v>
      </c>
      <c r="T1519" s="390"/>
      <c r="U1519" s="388"/>
      <c r="V1519" s="390"/>
      <c r="W1519" s="398"/>
      <c r="X1519" s="398"/>
    </row>
    <row r="1520" spans="1:24" ht="60.75" hidden="1" customHeight="1">
      <c r="A1520" s="493">
        <f t="shared" si="204"/>
        <v>52</v>
      </c>
      <c r="B1520" s="379" t="s">
        <v>4035</v>
      </c>
      <c r="C1520" s="382" t="s">
        <v>297</v>
      </c>
      <c r="D1520" s="800">
        <v>48732</v>
      </c>
      <c r="E1520" s="383">
        <v>5849</v>
      </c>
      <c r="F1520" s="383" t="s">
        <v>228</v>
      </c>
      <c r="G1520" s="383">
        <v>1454</v>
      </c>
      <c r="H1520" s="382">
        <v>9</v>
      </c>
      <c r="I1520" s="382">
        <v>4</v>
      </c>
      <c r="J1520" s="382">
        <v>137</v>
      </c>
      <c r="K1520" s="397" t="s">
        <v>220</v>
      </c>
      <c r="L1520" s="519">
        <f t="shared" si="209"/>
        <v>8638050</v>
      </c>
      <c r="M1520" s="519">
        <v>8489300</v>
      </c>
      <c r="N1520" s="388">
        <v>148750</v>
      </c>
      <c r="R1520" s="446">
        <f t="shared" si="211"/>
        <v>2122325</v>
      </c>
      <c r="S1520" s="388">
        <f t="shared" si="203"/>
        <v>0</v>
      </c>
      <c r="T1520" s="390"/>
      <c r="U1520" s="388"/>
      <c r="V1520" s="390"/>
      <c r="W1520" s="398"/>
      <c r="X1520" s="398"/>
    </row>
    <row r="1521" spans="1:28" ht="60.75" hidden="1" customHeight="1">
      <c r="A1521" s="493">
        <f t="shared" si="204"/>
        <v>53</v>
      </c>
      <c r="B1521" s="404" t="s">
        <v>4074</v>
      </c>
      <c r="C1521" s="495" t="s">
        <v>297</v>
      </c>
      <c r="D1521" s="799">
        <v>37549</v>
      </c>
      <c r="E1521" s="388">
        <v>4725</v>
      </c>
      <c r="F1521" s="391" t="s">
        <v>228</v>
      </c>
      <c r="G1521" s="575">
        <v>957</v>
      </c>
      <c r="H1521" s="528">
        <v>9</v>
      </c>
      <c r="I1521" s="528">
        <v>4</v>
      </c>
      <c r="J1521" s="576">
        <v>89</v>
      </c>
      <c r="K1521" s="397" t="s">
        <v>220</v>
      </c>
      <c r="L1521" s="519">
        <f t="shared" si="209"/>
        <v>8601190</v>
      </c>
      <c r="M1521" s="519">
        <v>8452440</v>
      </c>
      <c r="N1521" s="388">
        <v>148750</v>
      </c>
      <c r="O1521" s="473"/>
      <c r="P1521" s="388"/>
      <c r="Q1521" s="388"/>
      <c r="R1521" s="446">
        <f t="shared" si="211"/>
        <v>2113110</v>
      </c>
      <c r="S1521" s="388">
        <f t="shared" si="203"/>
        <v>0</v>
      </c>
      <c r="T1521" s="390"/>
      <c r="U1521" s="388"/>
      <c r="V1521" s="390"/>
      <c r="W1521" s="398"/>
      <c r="X1521" s="398"/>
    </row>
    <row r="1522" spans="1:28" ht="60.75" hidden="1" customHeight="1">
      <c r="A1522" s="493">
        <f t="shared" si="204"/>
        <v>54</v>
      </c>
      <c r="B1522" s="379" t="s">
        <v>4145</v>
      </c>
      <c r="C1522" s="382" t="s">
        <v>297</v>
      </c>
      <c r="D1522" s="800">
        <v>51076</v>
      </c>
      <c r="E1522" s="383">
        <v>7128</v>
      </c>
      <c r="F1522" s="383" t="s">
        <v>228</v>
      </c>
      <c r="G1522" s="383">
        <v>2002</v>
      </c>
      <c r="H1522" s="382">
        <v>9</v>
      </c>
      <c r="I1522" s="382">
        <v>6</v>
      </c>
      <c r="J1522" s="382">
        <v>237</v>
      </c>
      <c r="K1522" s="397" t="s">
        <v>220</v>
      </c>
      <c r="L1522" s="519">
        <f t="shared" si="209"/>
        <v>12797850</v>
      </c>
      <c r="M1522" s="519">
        <v>12606600</v>
      </c>
      <c r="N1522" s="388">
        <v>191250</v>
      </c>
      <c r="R1522" s="446">
        <f t="shared" si="211"/>
        <v>2101100</v>
      </c>
      <c r="S1522" s="388">
        <f t="shared" si="203"/>
        <v>0</v>
      </c>
      <c r="T1522" s="390"/>
      <c r="U1522" s="388"/>
      <c r="V1522" s="390"/>
      <c r="W1522" s="398"/>
      <c r="X1522" s="398"/>
    </row>
    <row r="1523" spans="1:28" ht="60.75" hidden="1" customHeight="1">
      <c r="A1523" s="493">
        <f t="shared" si="204"/>
        <v>55</v>
      </c>
      <c r="B1523" s="404" t="s">
        <v>4036</v>
      </c>
      <c r="C1523" s="531" t="s">
        <v>218</v>
      </c>
      <c r="D1523" s="531">
        <v>44487</v>
      </c>
      <c r="E1523" s="388">
        <v>7055</v>
      </c>
      <c r="F1523" s="533" t="s">
        <v>4037</v>
      </c>
      <c r="G1523" s="388">
        <v>2033</v>
      </c>
      <c r="H1523" s="446">
        <v>9</v>
      </c>
      <c r="I1523" s="446">
        <v>5</v>
      </c>
      <c r="J1523" s="446">
        <v>216</v>
      </c>
      <c r="K1523" s="458" t="s">
        <v>220</v>
      </c>
      <c r="L1523" s="519">
        <f t="shared" si="209"/>
        <v>10653990</v>
      </c>
      <c r="M1523" s="519">
        <v>10483990</v>
      </c>
      <c r="N1523" s="388">
        <v>170000</v>
      </c>
      <c r="O1523" s="473"/>
      <c r="P1523" s="388"/>
      <c r="Q1523" s="388"/>
      <c r="R1523" s="446">
        <f t="shared" si="211"/>
        <v>2096798</v>
      </c>
      <c r="S1523" s="388">
        <f t="shared" si="203"/>
        <v>0</v>
      </c>
      <c r="T1523" s="390"/>
      <c r="U1523" s="388"/>
      <c r="V1523" s="390"/>
      <c r="W1523" s="398"/>
      <c r="X1523" s="398"/>
    </row>
    <row r="1524" spans="1:28" ht="60.75" hidden="1" customHeight="1">
      <c r="A1524" s="493">
        <f t="shared" si="204"/>
        <v>56</v>
      </c>
      <c r="B1524" s="404" t="s">
        <v>4038</v>
      </c>
      <c r="C1524" s="455" t="s">
        <v>218</v>
      </c>
      <c r="D1524" s="455">
        <v>45924</v>
      </c>
      <c r="E1524" s="388">
        <v>9204</v>
      </c>
      <c r="F1524" s="388" t="s">
        <v>234</v>
      </c>
      <c r="G1524" s="388">
        <v>2025</v>
      </c>
      <c r="H1524" s="446">
        <v>9</v>
      </c>
      <c r="I1524" s="446">
        <v>6</v>
      </c>
      <c r="J1524" s="446">
        <v>216</v>
      </c>
      <c r="K1524" s="458" t="s">
        <v>4027</v>
      </c>
      <c r="L1524" s="519">
        <f t="shared" si="209"/>
        <v>12817710</v>
      </c>
      <c r="M1524" s="519">
        <v>12626460</v>
      </c>
      <c r="N1524" s="388">
        <v>191250</v>
      </c>
      <c r="O1524" s="473"/>
      <c r="P1524" s="446"/>
      <c r="Q1524" s="446"/>
      <c r="R1524" s="446">
        <f t="shared" si="211"/>
        <v>2104410</v>
      </c>
      <c r="S1524" s="388">
        <f t="shared" si="203"/>
        <v>0</v>
      </c>
      <c r="T1524" s="390"/>
      <c r="U1524" s="388"/>
      <c r="V1524" s="390"/>
      <c r="W1524" s="398"/>
      <c r="X1524" s="398"/>
    </row>
    <row r="1525" spans="1:28" ht="60.75" hidden="1" customHeight="1">
      <c r="A1525" s="493">
        <f t="shared" si="204"/>
        <v>57</v>
      </c>
      <c r="B1525" s="404" t="s">
        <v>4039</v>
      </c>
      <c r="C1525" s="455" t="s">
        <v>218</v>
      </c>
      <c r="D1525" s="455">
        <v>46610</v>
      </c>
      <c r="E1525" s="388">
        <v>8800</v>
      </c>
      <c r="F1525" s="388" t="s">
        <v>234</v>
      </c>
      <c r="G1525" s="388">
        <v>1995</v>
      </c>
      <c r="H1525" s="446">
        <v>9</v>
      </c>
      <c r="I1525" s="446">
        <v>6</v>
      </c>
      <c r="J1525" s="446">
        <v>216</v>
      </c>
      <c r="K1525" s="458" t="s">
        <v>4027</v>
      </c>
      <c r="L1525" s="519">
        <f t="shared" si="209"/>
        <v>12797730</v>
      </c>
      <c r="M1525" s="519">
        <v>12606480</v>
      </c>
      <c r="N1525" s="388">
        <v>191250</v>
      </c>
      <c r="O1525" s="473"/>
      <c r="P1525" s="446"/>
      <c r="Q1525" s="446"/>
      <c r="R1525" s="446">
        <f t="shared" si="211"/>
        <v>2101080</v>
      </c>
      <c r="S1525" s="388">
        <f t="shared" si="203"/>
        <v>0</v>
      </c>
      <c r="T1525" s="390"/>
      <c r="U1525" s="388"/>
      <c r="V1525" s="390"/>
      <c r="W1525" s="398"/>
      <c r="X1525" s="398"/>
    </row>
    <row r="1526" spans="1:28" ht="60.75" hidden="1" customHeight="1">
      <c r="A1526" s="493">
        <f t="shared" si="204"/>
        <v>58</v>
      </c>
      <c r="B1526" s="379" t="s">
        <v>4040</v>
      </c>
      <c r="C1526" s="382" t="s">
        <v>297</v>
      </c>
      <c r="D1526" s="800">
        <v>46060</v>
      </c>
      <c r="E1526" s="383">
        <v>8789</v>
      </c>
      <c r="F1526" s="383" t="s">
        <v>228</v>
      </c>
      <c r="G1526" s="383">
        <v>1987</v>
      </c>
      <c r="H1526" s="382">
        <v>9</v>
      </c>
      <c r="I1526" s="382">
        <v>6</v>
      </c>
      <c r="J1526" s="382">
        <v>216</v>
      </c>
      <c r="K1526" s="397" t="s">
        <v>220</v>
      </c>
      <c r="L1526" s="519">
        <f t="shared" si="209"/>
        <v>12806680</v>
      </c>
      <c r="M1526" s="519">
        <v>12615430</v>
      </c>
      <c r="N1526" s="388">
        <v>191250</v>
      </c>
      <c r="R1526" s="446">
        <f t="shared" si="211"/>
        <v>2102571.6666666665</v>
      </c>
      <c r="S1526" s="388">
        <f t="shared" si="203"/>
        <v>0</v>
      </c>
      <c r="T1526" s="390"/>
      <c r="U1526" s="388"/>
      <c r="V1526" s="390"/>
      <c r="W1526" s="398"/>
      <c r="X1526" s="398"/>
    </row>
    <row r="1527" spans="1:28" ht="60.75" hidden="1" customHeight="1">
      <c r="A1527" s="493">
        <f t="shared" si="204"/>
        <v>59</v>
      </c>
      <c r="B1527" s="404" t="s">
        <v>4041</v>
      </c>
      <c r="C1527" s="455" t="s">
        <v>218</v>
      </c>
      <c r="D1527" s="532">
        <v>32745</v>
      </c>
      <c r="E1527" s="391">
        <v>10373.9</v>
      </c>
      <c r="F1527" s="535" t="s">
        <v>234</v>
      </c>
      <c r="G1527" s="535">
        <v>1208</v>
      </c>
      <c r="H1527" s="446">
        <v>9</v>
      </c>
      <c r="I1527" s="446">
        <v>4</v>
      </c>
      <c r="J1527" s="446">
        <v>144</v>
      </c>
      <c r="K1527" s="458" t="s">
        <v>220</v>
      </c>
      <c r="L1527" s="519">
        <f t="shared" si="209"/>
        <v>8562640</v>
      </c>
      <c r="M1527" s="519">
        <v>8413890</v>
      </c>
      <c r="N1527" s="388">
        <v>148750</v>
      </c>
      <c r="O1527" s="473"/>
      <c r="P1527" s="388"/>
      <c r="Q1527" s="388"/>
      <c r="R1527" s="446">
        <f t="shared" si="211"/>
        <v>2103472.5</v>
      </c>
      <c r="S1527" s="388">
        <f t="shared" si="203"/>
        <v>0</v>
      </c>
      <c r="T1527" s="390"/>
      <c r="U1527" s="388"/>
      <c r="V1527" s="390"/>
      <c r="W1527" s="398"/>
      <c r="X1527" s="398"/>
    </row>
    <row r="1528" spans="1:28" ht="60.75" hidden="1" customHeight="1">
      <c r="A1528" s="493">
        <f t="shared" si="204"/>
        <v>60</v>
      </c>
      <c r="B1528" s="493" t="s">
        <v>4042</v>
      </c>
      <c r="C1528" s="446" t="s">
        <v>222</v>
      </c>
      <c r="D1528" s="382">
        <v>48504</v>
      </c>
      <c r="E1528" s="383">
        <v>7507.5</v>
      </c>
      <c r="F1528" s="383" t="s">
        <v>234</v>
      </c>
      <c r="G1528" s="383">
        <v>2272</v>
      </c>
      <c r="H1528" s="382">
        <v>10</v>
      </c>
      <c r="I1528" s="382">
        <v>4</v>
      </c>
      <c r="J1528" s="382">
        <v>144</v>
      </c>
      <c r="K1528" s="386" t="s">
        <v>364</v>
      </c>
      <c r="L1528" s="519">
        <f t="shared" si="209"/>
        <v>8615070</v>
      </c>
      <c r="M1528" s="519">
        <v>8466320</v>
      </c>
      <c r="N1528" s="388">
        <v>148750</v>
      </c>
      <c r="P1528" s="382"/>
      <c r="Q1528" s="382"/>
      <c r="R1528" s="446">
        <v>2200000</v>
      </c>
      <c r="S1528" s="388">
        <f t="shared" si="203"/>
        <v>0</v>
      </c>
      <c r="T1528" s="390"/>
      <c r="U1528" s="388"/>
      <c r="V1528" s="390"/>
      <c r="W1528" s="398"/>
      <c r="X1528" s="398"/>
    </row>
    <row r="1529" spans="1:28" ht="60.75" hidden="1" customHeight="1">
      <c r="A1529" s="493">
        <f t="shared" si="204"/>
        <v>61</v>
      </c>
      <c r="B1529" s="404" t="s">
        <v>4043</v>
      </c>
      <c r="C1529" s="455" t="s">
        <v>222</v>
      </c>
      <c r="D1529" s="531">
        <v>39787</v>
      </c>
      <c r="E1529" s="388">
        <v>8521</v>
      </c>
      <c r="F1529" s="388" t="s">
        <v>4037</v>
      </c>
      <c r="G1529" s="388">
        <v>3784</v>
      </c>
      <c r="H1529" s="446">
        <v>9</v>
      </c>
      <c r="I1529" s="446">
        <v>4</v>
      </c>
      <c r="J1529" s="446">
        <v>144</v>
      </c>
      <c r="K1529" s="458" t="s">
        <v>220</v>
      </c>
      <c r="L1529" s="519">
        <f t="shared" si="209"/>
        <v>8752090</v>
      </c>
      <c r="M1529" s="519">
        <v>8603340</v>
      </c>
      <c r="N1529" s="388">
        <v>148750</v>
      </c>
      <c r="O1529" s="473"/>
      <c r="P1529" s="388"/>
      <c r="Q1529" s="388"/>
      <c r="R1529" s="446">
        <f>M1529/I1529</f>
        <v>2150835</v>
      </c>
      <c r="S1529" s="388">
        <f t="shared" si="203"/>
        <v>0</v>
      </c>
      <c r="T1529" s="390"/>
      <c r="U1529" s="388"/>
      <c r="V1529" s="390"/>
      <c r="W1529" s="398"/>
      <c r="X1529" s="398"/>
    </row>
    <row r="1530" spans="1:28" ht="60.75" hidden="1" customHeight="1">
      <c r="A1530" s="493">
        <f t="shared" si="204"/>
        <v>62</v>
      </c>
      <c r="B1530" s="404" t="s">
        <v>4044</v>
      </c>
      <c r="C1530" s="495" t="s">
        <v>315</v>
      </c>
      <c r="D1530" s="801">
        <v>30424</v>
      </c>
      <c r="E1530" s="388">
        <v>3200</v>
      </c>
      <c r="F1530" s="575" t="s">
        <v>228</v>
      </c>
      <c r="G1530" s="575">
        <v>1028</v>
      </c>
      <c r="H1530" s="528">
        <v>9</v>
      </c>
      <c r="I1530" s="528">
        <v>2</v>
      </c>
      <c r="J1530" s="576">
        <v>81</v>
      </c>
      <c r="K1530" s="397" t="s">
        <v>220</v>
      </c>
      <c r="L1530" s="519">
        <f t="shared" si="209"/>
        <v>4407930</v>
      </c>
      <c r="M1530" s="519">
        <v>4301680</v>
      </c>
      <c r="N1530" s="565">
        <v>106250</v>
      </c>
      <c r="O1530" s="473"/>
      <c r="P1530" s="388"/>
      <c r="Q1530" s="388"/>
      <c r="R1530" s="446">
        <f>M1530/I1530</f>
        <v>2150840</v>
      </c>
      <c r="S1530" s="388">
        <f t="shared" si="203"/>
        <v>0</v>
      </c>
      <c r="T1530" s="390"/>
      <c r="U1530" s="388"/>
      <c r="V1530" s="390"/>
      <c r="W1530" s="398"/>
      <c r="X1530" s="398"/>
    </row>
    <row r="1531" spans="1:28" ht="60.75" hidden="1" customHeight="1">
      <c r="A1531" s="493">
        <f t="shared" si="204"/>
        <v>63</v>
      </c>
      <c r="B1531" s="493" t="s">
        <v>4045</v>
      </c>
      <c r="C1531" s="446" t="s">
        <v>222</v>
      </c>
      <c r="D1531" s="382">
        <v>42528</v>
      </c>
      <c r="E1531" s="383">
        <v>6380</v>
      </c>
      <c r="F1531" s="383" t="s">
        <v>234</v>
      </c>
      <c r="G1531" s="383">
        <v>1237</v>
      </c>
      <c r="H1531" s="382">
        <v>12</v>
      </c>
      <c r="I1531" s="382">
        <v>2</v>
      </c>
      <c r="J1531" s="382">
        <v>110</v>
      </c>
      <c r="K1531" s="386" t="s">
        <v>364</v>
      </c>
      <c r="L1531" s="519">
        <f t="shared" si="209"/>
        <v>8948750</v>
      </c>
      <c r="M1531" s="519">
        <v>8800000</v>
      </c>
      <c r="N1531" s="388">
        <v>148750</v>
      </c>
      <c r="P1531" s="382"/>
      <c r="Q1531" s="382"/>
      <c r="R1531" s="446">
        <v>2200000</v>
      </c>
      <c r="S1531" s="388">
        <f t="shared" ref="S1531:S1594" si="212">L1531-M1531-N1531-O1531-P1531-Q1531</f>
        <v>0</v>
      </c>
      <c r="T1531" s="390"/>
      <c r="U1531" s="388"/>
      <c r="V1531" s="390"/>
      <c r="W1531" s="398"/>
      <c r="X1531" s="398"/>
    </row>
    <row r="1532" spans="1:28" ht="60.75" hidden="1" customHeight="1">
      <c r="A1532" s="493">
        <f t="shared" si="204"/>
        <v>64</v>
      </c>
      <c r="B1532" s="404" t="s">
        <v>4046</v>
      </c>
      <c r="C1532" s="455" t="s">
        <v>222</v>
      </c>
      <c r="D1532" s="532">
        <v>28930</v>
      </c>
      <c r="E1532" s="391">
        <v>1125.7</v>
      </c>
      <c r="F1532" s="535" t="s">
        <v>4047</v>
      </c>
      <c r="G1532" s="535">
        <v>1238</v>
      </c>
      <c r="H1532" s="446">
        <v>9</v>
      </c>
      <c r="I1532" s="446">
        <v>3</v>
      </c>
      <c r="J1532" s="446">
        <v>108</v>
      </c>
      <c r="K1532" s="458" t="s">
        <v>220</v>
      </c>
      <c r="L1532" s="519">
        <f t="shared" si="209"/>
        <v>6466510</v>
      </c>
      <c r="M1532" s="519">
        <v>6339010</v>
      </c>
      <c r="N1532" s="388">
        <v>127500</v>
      </c>
      <c r="O1532" s="540"/>
      <c r="P1532" s="388"/>
      <c r="Q1532" s="541"/>
      <c r="R1532" s="446">
        <f>M1532/I1532</f>
        <v>2113003.3333333335</v>
      </c>
      <c r="S1532" s="388">
        <f t="shared" si="212"/>
        <v>0</v>
      </c>
      <c r="T1532" s="390"/>
      <c r="U1532" s="388"/>
      <c r="V1532" s="390"/>
      <c r="W1532" s="398"/>
      <c r="X1532" s="398"/>
    </row>
    <row r="1533" spans="1:28" s="478" customFormat="1" ht="61.5" hidden="1" customHeight="1">
      <c r="A1533" s="493">
        <f t="shared" si="204"/>
        <v>65</v>
      </c>
      <c r="B1533" s="379" t="s">
        <v>4112</v>
      </c>
      <c r="C1533" s="802" t="s">
        <v>218</v>
      </c>
      <c r="D1533" s="494">
        <v>15937</v>
      </c>
      <c r="E1533" s="803">
        <v>3250</v>
      </c>
      <c r="F1533" s="804" t="s">
        <v>234</v>
      </c>
      <c r="G1533" s="805">
        <v>760</v>
      </c>
      <c r="H1533" s="806">
        <v>9</v>
      </c>
      <c r="I1533" s="806">
        <v>2</v>
      </c>
      <c r="J1533" s="807">
        <v>72</v>
      </c>
      <c r="K1533" s="386" t="s">
        <v>220</v>
      </c>
      <c r="L1533" s="519">
        <f t="shared" si="209"/>
        <v>4295110</v>
      </c>
      <c r="M1533" s="384">
        <v>4188860</v>
      </c>
      <c r="N1533" s="391">
        <v>106250</v>
      </c>
      <c r="O1533" s="530"/>
      <c r="P1533" s="391"/>
      <c r="Q1533" s="391"/>
      <c r="R1533" s="446">
        <f>M1533/I1533</f>
        <v>2094430</v>
      </c>
      <c r="S1533" s="388">
        <f t="shared" si="212"/>
        <v>0</v>
      </c>
      <c r="T1533" s="390"/>
      <c r="U1533" s="383"/>
      <c r="V1533" s="390"/>
      <c r="W1533" s="398"/>
      <c r="X1533" s="398"/>
      <c r="Y1533" s="485"/>
      <c r="Z1533" s="994"/>
      <c r="AB1533" s="461"/>
    </row>
    <row r="1534" spans="1:28" ht="60.75" hidden="1" customHeight="1">
      <c r="A1534" s="493">
        <f t="shared" si="204"/>
        <v>66</v>
      </c>
      <c r="B1534" s="404" t="s">
        <v>2565</v>
      </c>
      <c r="C1534" s="495" t="s">
        <v>297</v>
      </c>
      <c r="D1534" s="487">
        <v>21890</v>
      </c>
      <c r="E1534" s="388">
        <v>4320</v>
      </c>
      <c r="F1534" s="391" t="s">
        <v>228</v>
      </c>
      <c r="G1534" s="575">
        <v>720</v>
      </c>
      <c r="H1534" s="528">
        <v>12</v>
      </c>
      <c r="I1534" s="528">
        <v>2</v>
      </c>
      <c r="J1534" s="576">
        <v>96</v>
      </c>
      <c r="K1534" s="397" t="s">
        <v>220</v>
      </c>
      <c r="L1534" s="519">
        <f t="shared" si="209"/>
        <v>8948750</v>
      </c>
      <c r="M1534" s="519">
        <v>8800000</v>
      </c>
      <c r="N1534" s="388">
        <v>148750</v>
      </c>
      <c r="O1534" s="473"/>
      <c r="P1534" s="388"/>
      <c r="Q1534" s="388"/>
      <c r="R1534" s="446">
        <v>2200000</v>
      </c>
      <c r="S1534" s="388">
        <f t="shared" si="212"/>
        <v>0</v>
      </c>
      <c r="T1534" s="390"/>
      <c r="U1534" s="388"/>
      <c r="V1534" s="390"/>
      <c r="W1534" s="398"/>
      <c r="X1534" s="398"/>
    </row>
    <row r="1535" spans="1:28" ht="60.75" hidden="1" customHeight="1">
      <c r="A1535" s="493">
        <f t="shared" si="204"/>
        <v>67</v>
      </c>
      <c r="B1535" s="404" t="s">
        <v>2566</v>
      </c>
      <c r="C1535" s="495" t="s">
        <v>297</v>
      </c>
      <c r="D1535" s="487">
        <v>21844</v>
      </c>
      <c r="E1535" s="388">
        <v>4320</v>
      </c>
      <c r="F1535" s="391" t="s">
        <v>228</v>
      </c>
      <c r="G1535" s="575">
        <v>718</v>
      </c>
      <c r="H1535" s="528">
        <v>12</v>
      </c>
      <c r="I1535" s="528">
        <v>2</v>
      </c>
      <c r="J1535" s="576">
        <v>96</v>
      </c>
      <c r="K1535" s="397" t="s">
        <v>220</v>
      </c>
      <c r="L1535" s="519">
        <f t="shared" si="209"/>
        <v>8948750</v>
      </c>
      <c r="M1535" s="519">
        <v>8800000</v>
      </c>
      <c r="N1535" s="388">
        <v>148750</v>
      </c>
      <c r="O1535" s="473"/>
      <c r="P1535" s="388"/>
      <c r="Q1535" s="388"/>
      <c r="R1535" s="446">
        <v>2200000</v>
      </c>
      <c r="S1535" s="388">
        <f t="shared" si="212"/>
        <v>0</v>
      </c>
      <c r="T1535" s="390"/>
      <c r="U1535" s="388"/>
      <c r="V1535" s="390"/>
      <c r="W1535" s="398"/>
      <c r="X1535" s="398"/>
    </row>
    <row r="1536" spans="1:28" ht="60.75" hidden="1" customHeight="1">
      <c r="A1536" s="493">
        <f t="shared" si="204"/>
        <v>68</v>
      </c>
      <c r="B1536" s="404" t="s">
        <v>4048</v>
      </c>
      <c r="C1536" s="455" t="s">
        <v>218</v>
      </c>
      <c r="D1536" s="455">
        <v>43430</v>
      </c>
      <c r="E1536" s="388">
        <v>8204</v>
      </c>
      <c r="F1536" s="388" t="s">
        <v>234</v>
      </c>
      <c r="G1536" s="388">
        <v>1697</v>
      </c>
      <c r="H1536" s="446">
        <v>9</v>
      </c>
      <c r="I1536" s="446">
        <v>4</v>
      </c>
      <c r="J1536" s="446">
        <v>216</v>
      </c>
      <c r="K1536" s="458" t="s">
        <v>4027</v>
      </c>
      <c r="L1536" s="519">
        <f t="shared" si="209"/>
        <v>8569080</v>
      </c>
      <c r="M1536" s="519">
        <v>8420330</v>
      </c>
      <c r="N1536" s="388">
        <v>148750</v>
      </c>
      <c r="O1536" s="473"/>
      <c r="P1536" s="446"/>
      <c r="Q1536" s="446"/>
      <c r="R1536" s="446">
        <f>M1536/I1536</f>
        <v>2105082.5</v>
      </c>
      <c r="S1536" s="388">
        <f t="shared" si="212"/>
        <v>0</v>
      </c>
      <c r="T1536" s="390"/>
      <c r="U1536" s="388"/>
      <c r="V1536" s="390"/>
      <c r="W1536" s="398"/>
      <c r="X1536" s="398"/>
    </row>
    <row r="1537" spans="1:24" ht="60.75" hidden="1" customHeight="1">
      <c r="A1537" s="493">
        <f t="shared" si="204"/>
        <v>69</v>
      </c>
      <c r="B1537" s="493" t="s">
        <v>4049</v>
      </c>
      <c r="C1537" s="446" t="s">
        <v>222</v>
      </c>
      <c r="D1537" s="382">
        <v>81835</v>
      </c>
      <c r="E1537" s="383">
        <v>9218</v>
      </c>
      <c r="F1537" s="383" t="s">
        <v>234</v>
      </c>
      <c r="G1537" s="383">
        <v>3056</v>
      </c>
      <c r="H1537" s="382">
        <v>9</v>
      </c>
      <c r="I1537" s="382">
        <v>6</v>
      </c>
      <c r="J1537" s="382">
        <v>288</v>
      </c>
      <c r="K1537" s="386" t="s">
        <v>364</v>
      </c>
      <c r="L1537" s="519">
        <f t="shared" si="209"/>
        <v>8597150</v>
      </c>
      <c r="M1537" s="519">
        <v>8448400</v>
      </c>
      <c r="N1537" s="388">
        <v>148750</v>
      </c>
      <c r="P1537" s="382"/>
      <c r="Q1537" s="382"/>
      <c r="R1537" s="446">
        <f>M1537/4</f>
        <v>2112100</v>
      </c>
      <c r="S1537" s="388">
        <f t="shared" si="212"/>
        <v>0</v>
      </c>
      <c r="T1537" s="390"/>
      <c r="U1537" s="388"/>
      <c r="V1537" s="390"/>
      <c r="W1537" s="398"/>
      <c r="X1537" s="398"/>
    </row>
    <row r="1538" spans="1:24" ht="60.75" hidden="1" customHeight="1">
      <c r="A1538" s="493">
        <f t="shared" si="204"/>
        <v>70</v>
      </c>
      <c r="B1538" s="404" t="s">
        <v>4051</v>
      </c>
      <c r="C1538" s="455" t="s">
        <v>222</v>
      </c>
      <c r="D1538" s="532">
        <v>16180</v>
      </c>
      <c r="E1538" s="391">
        <v>2275</v>
      </c>
      <c r="F1538" s="391" t="s">
        <v>234</v>
      </c>
      <c r="G1538" s="535">
        <v>625</v>
      </c>
      <c r="H1538" s="446">
        <v>9</v>
      </c>
      <c r="I1538" s="446">
        <v>1</v>
      </c>
      <c r="J1538" s="446">
        <v>50</v>
      </c>
      <c r="K1538" s="458" t="s">
        <v>220</v>
      </c>
      <c r="L1538" s="519">
        <f t="shared" si="209"/>
        <v>2208100</v>
      </c>
      <c r="M1538" s="519">
        <v>2123100</v>
      </c>
      <c r="N1538" s="388">
        <v>85000</v>
      </c>
      <c r="O1538" s="540"/>
      <c r="P1538" s="388"/>
      <c r="Q1538" s="541"/>
      <c r="R1538" s="446">
        <f>M1538/I1538</f>
        <v>2123100</v>
      </c>
      <c r="S1538" s="388">
        <f t="shared" si="212"/>
        <v>0</v>
      </c>
      <c r="T1538" s="390"/>
      <c r="U1538" s="388"/>
      <c r="V1538" s="390"/>
      <c r="W1538" s="398"/>
      <c r="X1538" s="398"/>
    </row>
    <row r="1539" spans="1:24" ht="60.75" hidden="1" customHeight="1">
      <c r="A1539" s="493">
        <f>A1538+1</f>
        <v>71</v>
      </c>
      <c r="B1539" s="404" t="s">
        <v>3726</v>
      </c>
      <c r="C1539" s="455" t="s">
        <v>218</v>
      </c>
      <c r="D1539" s="446">
        <v>62917</v>
      </c>
      <c r="E1539" s="550">
        <v>7500</v>
      </c>
      <c r="F1539" s="539" t="s">
        <v>234</v>
      </c>
      <c r="G1539" s="550">
        <v>2737.6</v>
      </c>
      <c r="H1539" s="549">
        <v>9</v>
      </c>
      <c r="I1539" s="446">
        <v>6</v>
      </c>
      <c r="J1539" s="446">
        <v>320</v>
      </c>
      <c r="K1539" s="386" t="s">
        <v>364</v>
      </c>
      <c r="L1539" s="519">
        <f t="shared" si="209"/>
        <v>6446140</v>
      </c>
      <c r="M1539" s="519">
        <v>6318640</v>
      </c>
      <c r="N1539" s="388">
        <v>127500</v>
      </c>
      <c r="P1539" s="382"/>
      <c r="Q1539" s="382"/>
      <c r="R1539" s="446">
        <f>M1539/3</f>
        <v>2106213.3333333335</v>
      </c>
      <c r="S1539" s="388">
        <f t="shared" si="212"/>
        <v>0</v>
      </c>
      <c r="T1539" s="390"/>
      <c r="U1539" s="388"/>
      <c r="V1539" s="390"/>
      <c r="W1539" s="398"/>
      <c r="X1539" s="398"/>
    </row>
    <row r="1540" spans="1:24" ht="60.75" hidden="1" customHeight="1">
      <c r="A1540" s="493">
        <f t="shared" ref="A1540:A1552" si="213">A1539+1</f>
        <v>72</v>
      </c>
      <c r="B1540" s="404" t="s">
        <v>4052</v>
      </c>
      <c r="C1540" s="455" t="s">
        <v>4029</v>
      </c>
      <c r="D1540" s="606">
        <v>21411</v>
      </c>
      <c r="E1540" s="391">
        <v>2003</v>
      </c>
      <c r="F1540" s="391" t="s">
        <v>234</v>
      </c>
      <c r="G1540" s="391">
        <v>665</v>
      </c>
      <c r="H1540" s="528">
        <v>13</v>
      </c>
      <c r="I1540" s="528">
        <v>1</v>
      </c>
      <c r="J1540" s="528">
        <v>83</v>
      </c>
      <c r="K1540" s="458" t="s">
        <v>220</v>
      </c>
      <c r="L1540" s="519">
        <f t="shared" si="209"/>
        <v>2285000</v>
      </c>
      <c r="M1540" s="519">
        <v>2200000</v>
      </c>
      <c r="N1540" s="388">
        <v>85000</v>
      </c>
      <c r="O1540" s="530"/>
      <c r="P1540" s="391"/>
      <c r="Q1540" s="391"/>
      <c r="R1540" s="446">
        <v>2200000</v>
      </c>
      <c r="S1540" s="388">
        <f t="shared" si="212"/>
        <v>0</v>
      </c>
      <c r="T1540" s="390"/>
      <c r="U1540" s="388"/>
      <c r="V1540" s="390"/>
      <c r="W1540" s="398"/>
      <c r="X1540" s="398"/>
    </row>
    <row r="1541" spans="1:24" ht="60.75" hidden="1" customHeight="1">
      <c r="A1541" s="493">
        <f t="shared" si="213"/>
        <v>73</v>
      </c>
      <c r="B1541" s="404" t="s">
        <v>4053</v>
      </c>
      <c r="C1541" s="495" t="s">
        <v>315</v>
      </c>
      <c r="D1541" s="487">
        <v>60832</v>
      </c>
      <c r="E1541" s="388">
        <v>3200</v>
      </c>
      <c r="F1541" s="391" t="s">
        <v>228</v>
      </c>
      <c r="G1541" s="575">
        <v>1438.3</v>
      </c>
      <c r="H1541" s="528">
        <v>9</v>
      </c>
      <c r="I1541" s="528">
        <v>4</v>
      </c>
      <c r="J1541" s="576">
        <v>128</v>
      </c>
      <c r="K1541" s="397" t="s">
        <v>220</v>
      </c>
      <c r="L1541" s="519">
        <f t="shared" si="209"/>
        <v>8653450</v>
      </c>
      <c r="M1541" s="519">
        <v>8504700</v>
      </c>
      <c r="N1541" s="388">
        <v>148750</v>
      </c>
      <c r="O1541" s="473"/>
      <c r="P1541" s="388"/>
      <c r="Q1541" s="388"/>
      <c r="R1541" s="446">
        <f>M1541/I1541</f>
        <v>2126175</v>
      </c>
      <c r="S1541" s="388">
        <f t="shared" si="212"/>
        <v>0</v>
      </c>
      <c r="T1541" s="390"/>
      <c r="U1541" s="388"/>
      <c r="V1541" s="390"/>
      <c r="W1541" s="398"/>
      <c r="X1541" s="398"/>
    </row>
    <row r="1542" spans="1:24" ht="60.75" hidden="1" customHeight="1">
      <c r="A1542" s="493">
        <f t="shared" si="213"/>
        <v>74</v>
      </c>
      <c r="B1542" s="379" t="s">
        <v>4054</v>
      </c>
      <c r="C1542" s="382" t="s">
        <v>297</v>
      </c>
      <c r="D1542" s="800">
        <v>21041</v>
      </c>
      <c r="E1542" s="383">
        <v>3168</v>
      </c>
      <c r="F1542" s="383" t="s">
        <v>228</v>
      </c>
      <c r="G1542" s="383">
        <v>791</v>
      </c>
      <c r="H1542" s="382">
        <v>12</v>
      </c>
      <c r="I1542" s="382">
        <v>4</v>
      </c>
      <c r="J1542" s="382">
        <v>94</v>
      </c>
      <c r="K1542" s="397" t="s">
        <v>220</v>
      </c>
      <c r="L1542" s="519">
        <f t="shared" si="209"/>
        <v>8948750</v>
      </c>
      <c r="M1542" s="519">
        <v>8800000</v>
      </c>
      <c r="N1542" s="388">
        <v>148750</v>
      </c>
      <c r="R1542" s="446">
        <v>2200000</v>
      </c>
      <c r="S1542" s="388">
        <f t="shared" si="212"/>
        <v>0</v>
      </c>
      <c r="T1542" s="390"/>
      <c r="U1542" s="388"/>
      <c r="V1542" s="390"/>
      <c r="W1542" s="398"/>
      <c r="X1542" s="398"/>
    </row>
    <row r="1543" spans="1:24" ht="60.75" hidden="1" customHeight="1">
      <c r="A1543" s="493">
        <f t="shared" si="213"/>
        <v>75</v>
      </c>
      <c r="B1543" s="379" t="s">
        <v>4055</v>
      </c>
      <c r="C1543" s="382" t="s">
        <v>297</v>
      </c>
      <c r="D1543" s="800">
        <v>23428</v>
      </c>
      <c r="E1543" s="383">
        <v>3168</v>
      </c>
      <c r="F1543" s="383" t="s">
        <v>228</v>
      </c>
      <c r="G1543" s="383">
        <v>680</v>
      </c>
      <c r="H1543" s="382">
        <v>12</v>
      </c>
      <c r="I1543" s="382">
        <v>4</v>
      </c>
      <c r="J1543" s="382">
        <v>92</v>
      </c>
      <c r="K1543" s="397" t="s">
        <v>220</v>
      </c>
      <c r="L1543" s="519">
        <f t="shared" si="209"/>
        <v>8948750</v>
      </c>
      <c r="M1543" s="519">
        <v>8800000</v>
      </c>
      <c r="N1543" s="388">
        <v>148750</v>
      </c>
      <c r="R1543" s="446">
        <v>2200000</v>
      </c>
      <c r="S1543" s="388">
        <f t="shared" si="212"/>
        <v>0</v>
      </c>
      <c r="T1543" s="390"/>
      <c r="U1543" s="388"/>
      <c r="V1543" s="390"/>
      <c r="W1543" s="398"/>
      <c r="X1543" s="398"/>
    </row>
    <row r="1544" spans="1:24" ht="60.75" hidden="1" customHeight="1">
      <c r="A1544" s="493">
        <f t="shared" si="213"/>
        <v>76</v>
      </c>
      <c r="B1544" s="379" t="s">
        <v>4056</v>
      </c>
      <c r="C1544" s="382" t="s">
        <v>297</v>
      </c>
      <c r="D1544" s="800">
        <v>41603</v>
      </c>
      <c r="E1544" s="383">
        <v>4015</v>
      </c>
      <c r="F1544" s="383" t="s">
        <v>228</v>
      </c>
      <c r="G1544" s="383">
        <v>1505</v>
      </c>
      <c r="H1544" s="382">
        <v>9</v>
      </c>
      <c r="I1544" s="382">
        <v>4</v>
      </c>
      <c r="J1544" s="382">
        <v>141</v>
      </c>
      <c r="K1544" s="397" t="s">
        <v>220</v>
      </c>
      <c r="L1544" s="519">
        <f t="shared" si="209"/>
        <v>8617250</v>
      </c>
      <c r="M1544" s="519">
        <v>8468500</v>
      </c>
      <c r="N1544" s="388">
        <v>148750</v>
      </c>
      <c r="R1544" s="446">
        <f>M1544/I1544</f>
        <v>2117125</v>
      </c>
      <c r="S1544" s="388">
        <f t="shared" si="212"/>
        <v>0</v>
      </c>
      <c r="T1544" s="390"/>
      <c r="U1544" s="388"/>
      <c r="V1544" s="390"/>
      <c r="W1544" s="398"/>
      <c r="X1544" s="398"/>
    </row>
    <row r="1545" spans="1:24" ht="60.75" hidden="1" customHeight="1">
      <c r="A1545" s="493">
        <f t="shared" si="213"/>
        <v>77</v>
      </c>
      <c r="B1545" s="379" t="s">
        <v>4057</v>
      </c>
      <c r="C1545" s="382" t="s">
        <v>297</v>
      </c>
      <c r="D1545" s="800">
        <v>32165</v>
      </c>
      <c r="E1545" s="383">
        <v>6089</v>
      </c>
      <c r="F1545" s="383" t="s">
        <v>228</v>
      </c>
      <c r="G1545" s="383">
        <v>1375</v>
      </c>
      <c r="H1545" s="382">
        <v>9</v>
      </c>
      <c r="I1545" s="382">
        <v>4</v>
      </c>
      <c r="J1545" s="382">
        <v>144</v>
      </c>
      <c r="K1545" s="397" t="s">
        <v>220</v>
      </c>
      <c r="L1545" s="519">
        <f t="shared" si="209"/>
        <v>8569040</v>
      </c>
      <c r="M1545" s="519">
        <v>8420290</v>
      </c>
      <c r="N1545" s="388">
        <v>148750</v>
      </c>
      <c r="R1545" s="446">
        <f>M1545/I1545</f>
        <v>2105072.5</v>
      </c>
      <c r="S1545" s="388">
        <f t="shared" si="212"/>
        <v>0</v>
      </c>
      <c r="T1545" s="390"/>
      <c r="U1545" s="388"/>
      <c r="V1545" s="390"/>
      <c r="W1545" s="398"/>
      <c r="X1545" s="398"/>
    </row>
    <row r="1546" spans="1:24" ht="60.75" hidden="1" customHeight="1">
      <c r="A1546" s="493">
        <f t="shared" si="213"/>
        <v>78</v>
      </c>
      <c r="B1546" s="379" t="s">
        <v>4058</v>
      </c>
      <c r="C1546" s="382" t="s">
        <v>297</v>
      </c>
      <c r="D1546" s="800">
        <v>29281</v>
      </c>
      <c r="E1546" s="383">
        <v>6089</v>
      </c>
      <c r="F1546" s="383" t="s">
        <v>228</v>
      </c>
      <c r="G1546" s="383">
        <v>1258.2</v>
      </c>
      <c r="H1546" s="382">
        <v>9</v>
      </c>
      <c r="I1546" s="382">
        <v>4</v>
      </c>
      <c r="J1546" s="382">
        <v>144</v>
      </c>
      <c r="K1546" s="397" t="s">
        <v>220</v>
      </c>
      <c r="L1546" s="519">
        <f t="shared" si="209"/>
        <v>8569040</v>
      </c>
      <c r="M1546" s="519">
        <v>8420290</v>
      </c>
      <c r="N1546" s="388">
        <v>148750</v>
      </c>
      <c r="R1546" s="446">
        <f>M1546/I1546</f>
        <v>2105072.5</v>
      </c>
      <c r="S1546" s="388">
        <f t="shared" si="212"/>
        <v>0</v>
      </c>
      <c r="T1546" s="390"/>
      <c r="U1546" s="388"/>
      <c r="V1546" s="390"/>
      <c r="W1546" s="398"/>
      <c r="X1546" s="398"/>
    </row>
    <row r="1547" spans="1:24" ht="60.75" hidden="1" customHeight="1">
      <c r="A1547" s="493">
        <f t="shared" si="213"/>
        <v>79</v>
      </c>
      <c r="B1547" s="379" t="s">
        <v>4059</v>
      </c>
      <c r="C1547" s="382" t="s">
        <v>297</v>
      </c>
      <c r="D1547" s="800">
        <v>46351</v>
      </c>
      <c r="E1547" s="383">
        <v>8789</v>
      </c>
      <c r="F1547" s="383" t="s">
        <v>228</v>
      </c>
      <c r="G1547" s="383">
        <v>1999</v>
      </c>
      <c r="H1547" s="382">
        <v>9</v>
      </c>
      <c r="I1547" s="382">
        <v>6</v>
      </c>
      <c r="J1547" s="382">
        <v>216</v>
      </c>
      <c r="K1547" s="397" t="s">
        <v>220</v>
      </c>
      <c r="L1547" s="519">
        <f t="shared" si="209"/>
        <v>12800570</v>
      </c>
      <c r="M1547" s="519">
        <v>12609320</v>
      </c>
      <c r="N1547" s="388">
        <v>191250</v>
      </c>
      <c r="R1547" s="446">
        <f>M1547/I1547</f>
        <v>2101553.3333333335</v>
      </c>
      <c r="S1547" s="388">
        <f t="shared" si="212"/>
        <v>0</v>
      </c>
      <c r="T1547" s="390"/>
      <c r="U1547" s="388"/>
      <c r="V1547" s="390"/>
      <c r="W1547" s="398"/>
      <c r="X1547" s="398"/>
    </row>
    <row r="1548" spans="1:24" ht="60.75" hidden="1" customHeight="1">
      <c r="A1548" s="493">
        <f t="shared" si="213"/>
        <v>80</v>
      </c>
      <c r="B1548" s="404" t="s">
        <v>2706</v>
      </c>
      <c r="C1548" s="455" t="s">
        <v>222</v>
      </c>
      <c r="D1548" s="532">
        <v>23535</v>
      </c>
      <c r="E1548" s="391">
        <v>4645</v>
      </c>
      <c r="F1548" s="391" t="s">
        <v>234</v>
      </c>
      <c r="G1548" s="535">
        <v>866.9</v>
      </c>
      <c r="H1548" s="446">
        <v>9</v>
      </c>
      <c r="I1548" s="446">
        <v>1</v>
      </c>
      <c r="J1548" s="446">
        <v>72</v>
      </c>
      <c r="K1548" s="458" t="s">
        <v>220</v>
      </c>
      <c r="L1548" s="519">
        <f t="shared" si="209"/>
        <v>2212660</v>
      </c>
      <c r="M1548" s="519">
        <v>2127660</v>
      </c>
      <c r="N1548" s="388">
        <v>85000</v>
      </c>
      <c r="O1548" s="540"/>
      <c r="P1548" s="388"/>
      <c r="Q1548" s="541"/>
      <c r="R1548" s="446">
        <f>M1548/I1548</f>
        <v>2127660</v>
      </c>
      <c r="S1548" s="388">
        <f t="shared" si="212"/>
        <v>0</v>
      </c>
      <c r="T1548" s="390"/>
      <c r="U1548" s="388"/>
      <c r="V1548" s="390"/>
      <c r="W1548" s="398"/>
      <c r="X1548" s="398"/>
    </row>
    <row r="1549" spans="1:24" ht="60.75" hidden="1" customHeight="1">
      <c r="A1549" s="493">
        <f t="shared" si="213"/>
        <v>81</v>
      </c>
      <c r="B1549" s="404" t="s">
        <v>4146</v>
      </c>
      <c r="C1549" s="455" t="s">
        <v>222</v>
      </c>
      <c r="D1549" s="532">
        <v>28465</v>
      </c>
      <c r="E1549" s="391">
        <v>402</v>
      </c>
      <c r="F1549" s="391" t="s">
        <v>234</v>
      </c>
      <c r="G1549" s="535">
        <v>685</v>
      </c>
      <c r="H1549" s="446">
        <v>14</v>
      </c>
      <c r="I1549" s="446">
        <v>1</v>
      </c>
      <c r="J1549" s="446">
        <v>85</v>
      </c>
      <c r="K1549" s="458" t="s">
        <v>220</v>
      </c>
      <c r="L1549" s="519">
        <f t="shared" si="209"/>
        <v>4506250</v>
      </c>
      <c r="M1549" s="529">
        <v>4400000</v>
      </c>
      <c r="N1549" s="388">
        <v>106250</v>
      </c>
      <c r="O1549" s="540"/>
      <c r="P1549" s="388"/>
      <c r="Q1549" s="541"/>
      <c r="R1549" s="446">
        <v>2200000</v>
      </c>
      <c r="S1549" s="388">
        <f t="shared" si="212"/>
        <v>0</v>
      </c>
      <c r="T1549" s="390"/>
      <c r="U1549" s="388"/>
      <c r="V1549" s="390"/>
      <c r="W1549" s="398"/>
      <c r="X1549" s="398"/>
    </row>
    <row r="1550" spans="1:24" ht="60.75" hidden="1" customHeight="1">
      <c r="A1550" s="493">
        <f t="shared" si="213"/>
        <v>82</v>
      </c>
      <c r="B1550" s="404" t="s">
        <v>2721</v>
      </c>
      <c r="C1550" s="495" t="s">
        <v>315</v>
      </c>
      <c r="D1550" s="531">
        <v>22128</v>
      </c>
      <c r="E1550" s="388">
        <v>3240</v>
      </c>
      <c r="F1550" s="391" t="s">
        <v>228</v>
      </c>
      <c r="G1550" s="575">
        <v>881.1</v>
      </c>
      <c r="H1550" s="576">
        <v>9</v>
      </c>
      <c r="I1550" s="576">
        <v>2</v>
      </c>
      <c r="J1550" s="576">
        <v>97</v>
      </c>
      <c r="K1550" s="397" t="s">
        <v>220</v>
      </c>
      <c r="L1550" s="519">
        <f t="shared" si="209"/>
        <v>4311710</v>
      </c>
      <c r="M1550" s="519">
        <v>4205460</v>
      </c>
      <c r="N1550" s="388">
        <v>106250</v>
      </c>
      <c r="O1550" s="473"/>
      <c r="P1550" s="388"/>
      <c r="Q1550" s="388"/>
      <c r="R1550" s="446">
        <f>M1550/I1550</f>
        <v>2102730</v>
      </c>
      <c r="S1550" s="388">
        <f t="shared" si="212"/>
        <v>0</v>
      </c>
      <c r="T1550" s="390"/>
      <c r="U1550" s="388"/>
      <c r="V1550" s="390"/>
      <c r="W1550" s="398"/>
      <c r="X1550" s="398"/>
    </row>
    <row r="1551" spans="1:24" ht="60.75" hidden="1" customHeight="1">
      <c r="A1551" s="493">
        <f t="shared" si="213"/>
        <v>83</v>
      </c>
      <c r="B1551" s="493" t="s">
        <v>4060</v>
      </c>
      <c r="C1551" s="446" t="s">
        <v>222</v>
      </c>
      <c r="D1551" s="382">
        <v>55719</v>
      </c>
      <c r="E1551" s="383">
        <v>6600</v>
      </c>
      <c r="F1551" s="383" t="s">
        <v>234</v>
      </c>
      <c r="G1551" s="383">
        <v>2456</v>
      </c>
      <c r="H1551" s="382">
        <v>9</v>
      </c>
      <c r="I1551" s="382">
        <v>5</v>
      </c>
      <c r="J1551" s="382">
        <v>269</v>
      </c>
      <c r="K1551" s="386" t="s">
        <v>364</v>
      </c>
      <c r="L1551" s="519">
        <f t="shared" si="209"/>
        <v>10864800</v>
      </c>
      <c r="M1551" s="519">
        <v>10694800</v>
      </c>
      <c r="N1551" s="383">
        <v>170000</v>
      </c>
      <c r="P1551" s="382"/>
      <c r="Q1551" s="382"/>
      <c r="R1551" s="446">
        <f>M1551/I1551</f>
        <v>2138960</v>
      </c>
      <c r="S1551" s="388">
        <f t="shared" si="212"/>
        <v>0</v>
      </c>
      <c r="T1551" s="390"/>
      <c r="U1551" s="388"/>
      <c r="V1551" s="390"/>
      <c r="W1551" s="398"/>
      <c r="X1551" s="398"/>
    </row>
    <row r="1552" spans="1:24" s="416" customFormat="1" ht="48" hidden="1" customHeight="1">
      <c r="A1552" s="493">
        <f t="shared" si="213"/>
        <v>84</v>
      </c>
      <c r="B1552" s="403" t="s">
        <v>1435</v>
      </c>
      <c r="C1552" s="455" t="s">
        <v>218</v>
      </c>
      <c r="D1552" s="487">
        <v>21440</v>
      </c>
      <c r="E1552" s="391">
        <v>4181</v>
      </c>
      <c r="F1552" s="391" t="s">
        <v>234</v>
      </c>
      <c r="G1552" s="391">
        <v>678</v>
      </c>
      <c r="H1552" s="528">
        <v>12</v>
      </c>
      <c r="I1552" s="528">
        <v>2</v>
      </c>
      <c r="J1552" s="528">
        <v>96</v>
      </c>
      <c r="K1552" s="458" t="s">
        <v>33</v>
      </c>
      <c r="L1552" s="519">
        <f>M1552+N1552+O1552+Q1552+M1553+N1553+O1553+Q1553</f>
        <v>11095899.07</v>
      </c>
      <c r="M1552" s="529">
        <v>2100000</v>
      </c>
      <c r="N1552" s="391"/>
      <c r="O1552" s="473">
        <v>27249.07</v>
      </c>
      <c r="P1552" s="391"/>
      <c r="Q1552" s="391">
        <v>19900</v>
      </c>
      <c r="R1552" s="528">
        <f>M1552/G1552</f>
        <v>3097.3451327433627</v>
      </c>
      <c r="S1552" s="388">
        <f t="shared" si="212"/>
        <v>8948750</v>
      </c>
      <c r="T1552" s="398"/>
      <c r="U1552" s="391"/>
      <c r="V1552" s="390"/>
      <c r="W1552" s="398"/>
      <c r="X1552" s="398"/>
    </row>
    <row r="1553" spans="1:27" s="416" customFormat="1" ht="73.5" hidden="1" customHeight="1">
      <c r="A1553" s="506"/>
      <c r="B1553" s="403"/>
      <c r="C1553" s="455"/>
      <c r="D1553" s="487"/>
      <c r="E1553" s="391"/>
      <c r="F1553" s="391"/>
      <c r="G1553" s="391"/>
      <c r="H1553" s="528"/>
      <c r="I1553" s="528"/>
      <c r="J1553" s="528"/>
      <c r="K1553" s="458" t="s">
        <v>220</v>
      </c>
      <c r="L1553" s="519"/>
      <c r="M1553" s="519">
        <v>8800000</v>
      </c>
      <c r="N1553" s="391">
        <v>148750</v>
      </c>
      <c r="O1553" s="473"/>
      <c r="P1553" s="391"/>
      <c r="Q1553" s="391"/>
      <c r="R1553" s="528">
        <v>2200000</v>
      </c>
      <c r="S1553" s="388">
        <f t="shared" si="212"/>
        <v>-8948750</v>
      </c>
      <c r="T1553" s="398"/>
      <c r="U1553" s="391"/>
      <c r="V1553" s="390"/>
      <c r="W1553" s="398"/>
      <c r="X1553" s="398"/>
    </row>
    <row r="1554" spans="1:27" s="416" customFormat="1" ht="37.5" hidden="1" customHeight="1">
      <c r="A1554" s="506">
        <f>A1552+1</f>
        <v>85</v>
      </c>
      <c r="B1554" s="403" t="s">
        <v>1578</v>
      </c>
      <c r="C1554" s="455" t="s">
        <v>272</v>
      </c>
      <c r="D1554" s="487">
        <v>24052</v>
      </c>
      <c r="E1554" s="391">
        <v>3720</v>
      </c>
      <c r="F1554" s="391" t="s">
        <v>234</v>
      </c>
      <c r="G1554" s="391">
        <v>662</v>
      </c>
      <c r="H1554" s="528">
        <v>9</v>
      </c>
      <c r="I1554" s="528">
        <v>2</v>
      </c>
      <c r="J1554" s="528">
        <v>72</v>
      </c>
      <c r="K1554" s="458" t="s">
        <v>33</v>
      </c>
      <c r="L1554" s="519">
        <f>M1554+N1554+O1554+Q1554+M1555+N1555+O1555+Q1555</f>
        <v>5746931</v>
      </c>
      <c r="M1554" s="529">
        <v>1390200</v>
      </c>
      <c r="N1554" s="391"/>
      <c r="O1554" s="473">
        <v>27701</v>
      </c>
      <c r="P1554" s="391"/>
      <c r="Q1554" s="391">
        <v>19900</v>
      </c>
      <c r="R1554" s="528">
        <f>M1554/G1554</f>
        <v>2100</v>
      </c>
      <c r="S1554" s="388">
        <f t="shared" si="212"/>
        <v>4309130</v>
      </c>
      <c r="T1554" s="398"/>
      <c r="U1554" s="391"/>
      <c r="V1554" s="390"/>
      <c r="W1554" s="398"/>
      <c r="X1554" s="398"/>
    </row>
    <row r="1555" spans="1:27" s="416" customFormat="1" ht="37.5" hidden="1">
      <c r="A1555" s="506"/>
      <c r="B1555" s="403"/>
      <c r="C1555" s="455"/>
      <c r="D1555" s="487"/>
      <c r="E1555" s="391"/>
      <c r="F1555" s="391"/>
      <c r="G1555" s="391"/>
      <c r="H1555" s="528"/>
      <c r="I1555" s="528"/>
      <c r="J1555" s="528"/>
      <c r="K1555" s="458" t="s">
        <v>220</v>
      </c>
      <c r="L1555" s="519"/>
      <c r="M1555" s="529">
        <v>4202880</v>
      </c>
      <c r="N1555" s="391">
        <v>106250</v>
      </c>
      <c r="O1555" s="473"/>
      <c r="P1555" s="391"/>
      <c r="Q1555" s="391"/>
      <c r="R1555" s="528">
        <v>2000000</v>
      </c>
      <c r="S1555" s="388">
        <f t="shared" si="212"/>
        <v>-4309130</v>
      </c>
      <c r="T1555" s="398"/>
      <c r="U1555" s="391"/>
      <c r="V1555" s="390"/>
      <c r="W1555" s="398"/>
      <c r="X1555" s="398"/>
    </row>
    <row r="1556" spans="1:27" s="416" customFormat="1" ht="56.25" hidden="1" customHeight="1">
      <c r="A1556" s="543">
        <f>A1554+1</f>
        <v>86</v>
      </c>
      <c r="B1556" s="403" t="s">
        <v>1593</v>
      </c>
      <c r="C1556" s="455" t="s">
        <v>272</v>
      </c>
      <c r="D1556" s="487">
        <v>24472</v>
      </c>
      <c r="E1556" s="391">
        <v>1950</v>
      </c>
      <c r="F1556" s="391" t="s">
        <v>234</v>
      </c>
      <c r="G1556" s="391">
        <v>975</v>
      </c>
      <c r="H1556" s="528">
        <v>9</v>
      </c>
      <c r="I1556" s="528">
        <v>1</v>
      </c>
      <c r="J1556" s="528">
        <v>204</v>
      </c>
      <c r="K1556" s="458" t="s">
        <v>30</v>
      </c>
      <c r="L1556" s="519">
        <f>M1556+N1556+O1556+Q1556+M1557+N1557+O1557+Q1557</f>
        <v>10676197</v>
      </c>
      <c r="M1556" s="529">
        <v>6496000</v>
      </c>
      <c r="N1556" s="391"/>
      <c r="O1556" s="473">
        <v>18777</v>
      </c>
      <c r="P1556" s="391"/>
      <c r="Q1556" s="391">
        <v>39800</v>
      </c>
      <c r="R1556" s="528">
        <f>M1556/J1556</f>
        <v>31843.137254901962</v>
      </c>
      <c r="S1556" s="388">
        <f t="shared" si="212"/>
        <v>4121620</v>
      </c>
      <c r="T1556" s="398"/>
      <c r="U1556" s="391"/>
      <c r="V1556" s="390"/>
      <c r="W1556" s="398"/>
      <c r="X1556" s="398"/>
      <c r="Z1556" s="416">
        <v>1</v>
      </c>
      <c r="AA1556" s="416">
        <f>J1556</f>
        <v>204</v>
      </c>
    </row>
    <row r="1557" spans="1:27" s="416" customFormat="1" ht="56.25" hidden="1" customHeight="1">
      <c r="A1557" s="543"/>
      <c r="B1557" s="403"/>
      <c r="C1557" s="455"/>
      <c r="D1557" s="487"/>
      <c r="E1557" s="391"/>
      <c r="F1557" s="391"/>
      <c r="G1557" s="391"/>
      <c r="H1557" s="528"/>
      <c r="I1557" s="528"/>
      <c r="J1557" s="528"/>
      <c r="K1557" s="458" t="s">
        <v>220</v>
      </c>
      <c r="L1557" s="519"/>
      <c r="M1557" s="529">
        <v>4015370</v>
      </c>
      <c r="N1557" s="391">
        <v>106250</v>
      </c>
      <c r="O1557" s="473"/>
      <c r="P1557" s="391"/>
      <c r="Q1557" s="391"/>
      <c r="R1557" s="528">
        <v>2000000</v>
      </c>
      <c r="S1557" s="388">
        <f t="shared" si="212"/>
        <v>-4121620</v>
      </c>
      <c r="T1557" s="398"/>
      <c r="U1557" s="391"/>
      <c r="V1557" s="390"/>
      <c r="W1557" s="398"/>
      <c r="X1557" s="398"/>
    </row>
    <row r="1558" spans="1:27" s="416" customFormat="1" ht="109.5" hidden="1" customHeight="1">
      <c r="A1558" s="543">
        <f>A1556+1</f>
        <v>87</v>
      </c>
      <c r="B1558" s="403" t="s">
        <v>1627</v>
      </c>
      <c r="C1558" s="455" t="s">
        <v>272</v>
      </c>
      <c r="D1558" s="487">
        <v>24749</v>
      </c>
      <c r="E1558" s="391">
        <v>5166</v>
      </c>
      <c r="F1558" s="391" t="s">
        <v>234</v>
      </c>
      <c r="G1558" s="391">
        <v>2400</v>
      </c>
      <c r="H1558" s="528">
        <v>6</v>
      </c>
      <c r="I1558" s="528">
        <v>8</v>
      </c>
      <c r="J1558" s="528">
        <v>152</v>
      </c>
      <c r="K1558" s="458" t="s">
        <v>4186</v>
      </c>
      <c r="L1558" s="519">
        <f>M1558+N1558+O1558+Q1558+M1559+N1559+O1559+Q1559</f>
        <v>23873590</v>
      </c>
      <c r="M1558" s="391">
        <v>8322272</v>
      </c>
      <c r="N1558" s="391">
        <v>27728</v>
      </c>
      <c r="O1558" s="530"/>
      <c r="P1558" s="391"/>
      <c r="Q1558" s="391">
        <v>19900</v>
      </c>
      <c r="R1558" s="446">
        <f>M1558/G1558</f>
        <v>3467.6133333333332</v>
      </c>
      <c r="S1558" s="388">
        <f t="shared" si="212"/>
        <v>15503690</v>
      </c>
      <c r="T1558" s="398"/>
      <c r="U1558" s="391"/>
      <c r="V1558" s="390"/>
      <c r="W1558" s="398"/>
      <c r="X1558" s="398"/>
    </row>
    <row r="1559" spans="1:27" s="416" customFormat="1" ht="37.5" hidden="1" customHeight="1">
      <c r="A1559" s="543"/>
      <c r="B1559" s="403"/>
      <c r="C1559" s="455"/>
      <c r="D1559" s="487"/>
      <c r="E1559" s="391"/>
      <c r="F1559" s="391"/>
      <c r="G1559" s="391"/>
      <c r="H1559" s="528"/>
      <c r="I1559" s="528"/>
      <c r="J1559" s="528"/>
      <c r="K1559" s="458" t="s">
        <v>220</v>
      </c>
      <c r="L1559" s="519"/>
      <c r="M1559" s="529">
        <v>15269940</v>
      </c>
      <c r="N1559" s="391">
        <v>233750</v>
      </c>
      <c r="O1559" s="530"/>
      <c r="P1559" s="391"/>
      <c r="Q1559" s="391"/>
      <c r="R1559" s="528">
        <v>2000000</v>
      </c>
      <c r="S1559" s="388">
        <f t="shared" si="212"/>
        <v>-15503690</v>
      </c>
      <c r="T1559" s="398"/>
      <c r="U1559" s="391"/>
      <c r="V1559" s="390"/>
      <c r="W1559" s="398"/>
      <c r="X1559" s="398"/>
    </row>
    <row r="1560" spans="1:27" s="416" customFormat="1" ht="48" hidden="1" customHeight="1">
      <c r="A1560" s="506">
        <f>A1558+1</f>
        <v>88</v>
      </c>
      <c r="B1560" s="403" t="s">
        <v>1639</v>
      </c>
      <c r="C1560" s="455" t="s">
        <v>218</v>
      </c>
      <c r="D1560" s="487">
        <v>21995</v>
      </c>
      <c r="E1560" s="391">
        <v>3600</v>
      </c>
      <c r="F1560" s="391" t="s">
        <v>234</v>
      </c>
      <c r="G1560" s="391">
        <v>720</v>
      </c>
      <c r="H1560" s="528">
        <v>12</v>
      </c>
      <c r="I1560" s="528">
        <v>2</v>
      </c>
      <c r="J1560" s="528">
        <v>96</v>
      </c>
      <c r="K1560" s="458" t="s">
        <v>225</v>
      </c>
      <c r="L1560" s="519">
        <f>M1560+N1560+O1560+Q1560+Q1561+O1561+N1561+M1561</f>
        <v>11312510.689999999</v>
      </c>
      <c r="M1560" s="529">
        <v>2308476</v>
      </c>
      <c r="N1560" s="391">
        <v>35484.69</v>
      </c>
      <c r="O1560" s="530"/>
      <c r="P1560" s="391"/>
      <c r="Q1560" s="391">
        <v>19800</v>
      </c>
      <c r="R1560" s="528">
        <f>M1560/J1560</f>
        <v>24046.625</v>
      </c>
      <c r="S1560" s="388">
        <f t="shared" si="212"/>
        <v>8948750</v>
      </c>
      <c r="T1560" s="398"/>
      <c r="U1560" s="391">
        <f>M1560+N1560+O1560+Q1560</f>
        <v>2363760.69</v>
      </c>
      <c r="V1560" s="390"/>
      <c r="W1560" s="398"/>
      <c r="X1560" s="398"/>
    </row>
    <row r="1561" spans="1:27" s="416" customFormat="1" ht="37.5" hidden="1">
      <c r="A1561" s="506"/>
      <c r="B1561" s="403"/>
      <c r="C1561" s="455"/>
      <c r="D1561" s="487"/>
      <c r="E1561" s="391"/>
      <c r="F1561" s="391"/>
      <c r="G1561" s="391"/>
      <c r="H1561" s="528"/>
      <c r="I1561" s="528"/>
      <c r="J1561" s="528"/>
      <c r="K1561" s="458" t="s">
        <v>220</v>
      </c>
      <c r="L1561" s="519"/>
      <c r="M1561" s="519">
        <v>8800000</v>
      </c>
      <c r="N1561" s="391">
        <v>148750</v>
      </c>
      <c r="O1561" s="530"/>
      <c r="P1561" s="391"/>
      <c r="Q1561" s="391"/>
      <c r="R1561" s="528">
        <v>2200000</v>
      </c>
      <c r="S1561" s="388">
        <f t="shared" si="212"/>
        <v>-8948750</v>
      </c>
      <c r="T1561" s="398"/>
      <c r="U1561" s="391"/>
      <c r="V1561" s="390"/>
      <c r="W1561" s="398"/>
      <c r="X1561" s="398"/>
    </row>
    <row r="1562" spans="1:27" s="416" customFormat="1" ht="22.5" hidden="1" customHeight="1">
      <c r="A1562" s="506">
        <f>A1560+1</f>
        <v>89</v>
      </c>
      <c r="B1562" s="403" t="s">
        <v>1640</v>
      </c>
      <c r="C1562" s="455" t="s">
        <v>218</v>
      </c>
      <c r="D1562" s="487">
        <v>22080</v>
      </c>
      <c r="E1562" s="391">
        <v>3600</v>
      </c>
      <c r="F1562" s="391" t="s">
        <v>234</v>
      </c>
      <c r="G1562" s="391">
        <v>718</v>
      </c>
      <c r="H1562" s="528">
        <v>12</v>
      </c>
      <c r="I1562" s="528">
        <v>2</v>
      </c>
      <c r="J1562" s="528">
        <v>96</v>
      </c>
      <c r="K1562" s="458" t="s">
        <v>225</v>
      </c>
      <c r="L1562" s="519">
        <f>M1562+N1562+O1562+Q1562+Q1563+O1563+N1563+M1563</f>
        <v>12511390.52</v>
      </c>
      <c r="M1562" s="529">
        <v>3507323</v>
      </c>
      <c r="N1562" s="391">
        <v>35517.519999999997</v>
      </c>
      <c r="O1562" s="530"/>
      <c r="P1562" s="391"/>
      <c r="Q1562" s="391">
        <v>19800</v>
      </c>
      <c r="R1562" s="528">
        <f>M1562/J1562</f>
        <v>36534.614583333336</v>
      </c>
      <c r="S1562" s="388">
        <f t="shared" si="212"/>
        <v>8948750</v>
      </c>
      <c r="T1562" s="398"/>
      <c r="U1562" s="391">
        <f>M1562+N1562+O1562+Q1562</f>
        <v>3562640.52</v>
      </c>
      <c r="V1562" s="390"/>
      <c r="W1562" s="398"/>
      <c r="X1562" s="398"/>
    </row>
    <row r="1563" spans="1:27" s="416" customFormat="1" ht="70.5" hidden="1" customHeight="1">
      <c r="A1563" s="506"/>
      <c r="B1563" s="403"/>
      <c r="C1563" s="455"/>
      <c r="D1563" s="487"/>
      <c r="E1563" s="391"/>
      <c r="F1563" s="391"/>
      <c r="G1563" s="391"/>
      <c r="H1563" s="528"/>
      <c r="I1563" s="528"/>
      <c r="J1563" s="528"/>
      <c r="K1563" s="458" t="s">
        <v>220</v>
      </c>
      <c r="L1563" s="519"/>
      <c r="M1563" s="519">
        <v>8800000</v>
      </c>
      <c r="N1563" s="391">
        <v>148750</v>
      </c>
      <c r="O1563" s="530"/>
      <c r="P1563" s="391"/>
      <c r="Q1563" s="391"/>
      <c r="R1563" s="528">
        <v>2200000</v>
      </c>
      <c r="S1563" s="388">
        <f t="shared" si="212"/>
        <v>-8948750</v>
      </c>
      <c r="T1563" s="398"/>
      <c r="U1563" s="391"/>
      <c r="V1563" s="390"/>
      <c r="W1563" s="398"/>
      <c r="X1563" s="398"/>
    </row>
    <row r="1564" spans="1:27" s="416" customFormat="1" ht="37.5" hidden="1" customHeight="1">
      <c r="A1564" s="506">
        <f>A1562+1</f>
        <v>90</v>
      </c>
      <c r="B1564" s="403" t="s">
        <v>1650</v>
      </c>
      <c r="C1564" s="455" t="s">
        <v>218</v>
      </c>
      <c r="D1564" s="487">
        <v>15776</v>
      </c>
      <c r="E1564" s="391">
        <v>4800</v>
      </c>
      <c r="F1564" s="391" t="s">
        <v>234</v>
      </c>
      <c r="G1564" s="391">
        <v>683</v>
      </c>
      <c r="H1564" s="528">
        <v>9</v>
      </c>
      <c r="I1564" s="528">
        <v>2</v>
      </c>
      <c r="J1564" s="528">
        <v>72</v>
      </c>
      <c r="K1564" s="458" t="s">
        <v>33</v>
      </c>
      <c r="L1564" s="519">
        <f>M1564+N1564+O1564+Q1564+Q1565+O1565+N1565+M1565</f>
        <v>5961369.2199999997</v>
      </c>
      <c r="M1564" s="529">
        <v>1600000</v>
      </c>
      <c r="N1564" s="391"/>
      <c r="O1564" s="473">
        <v>23239.22</v>
      </c>
      <c r="P1564" s="391"/>
      <c r="Q1564" s="391">
        <v>19900</v>
      </c>
      <c r="R1564" s="528">
        <f>M1564/G1564</f>
        <v>2342.6061493411421</v>
      </c>
      <c r="S1564" s="388">
        <f t="shared" si="212"/>
        <v>4318230</v>
      </c>
      <c r="T1564" s="398"/>
      <c r="U1564" s="391"/>
      <c r="V1564" s="390"/>
      <c r="W1564" s="398"/>
      <c r="X1564" s="398"/>
    </row>
    <row r="1565" spans="1:27" s="416" customFormat="1" ht="60" hidden="1" customHeight="1">
      <c r="A1565" s="506"/>
      <c r="B1565" s="403"/>
      <c r="C1565" s="455"/>
      <c r="D1565" s="487"/>
      <c r="E1565" s="391"/>
      <c r="F1565" s="391"/>
      <c r="G1565" s="391"/>
      <c r="H1565" s="528"/>
      <c r="I1565" s="528"/>
      <c r="J1565" s="528"/>
      <c r="K1565" s="458" t="s">
        <v>220</v>
      </c>
      <c r="L1565" s="519"/>
      <c r="M1565" s="529">
        <v>4211980</v>
      </c>
      <c r="N1565" s="391">
        <v>106250</v>
      </c>
      <c r="O1565" s="473"/>
      <c r="P1565" s="391"/>
      <c r="Q1565" s="391"/>
      <c r="R1565" s="528">
        <v>2000000</v>
      </c>
      <c r="S1565" s="388">
        <f t="shared" si="212"/>
        <v>-4318230</v>
      </c>
      <c r="T1565" s="398"/>
      <c r="U1565" s="391"/>
      <c r="V1565" s="390"/>
      <c r="W1565" s="398"/>
      <c r="X1565" s="398"/>
    </row>
    <row r="1566" spans="1:27" s="416" customFormat="1" ht="45" hidden="1" customHeight="1">
      <c r="A1566" s="506">
        <f>A1564+1</f>
        <v>91</v>
      </c>
      <c r="B1566" s="403" t="s">
        <v>1692</v>
      </c>
      <c r="C1566" s="455" t="s">
        <v>272</v>
      </c>
      <c r="D1566" s="487">
        <v>26920</v>
      </c>
      <c r="E1566" s="391">
        <v>1000</v>
      </c>
      <c r="F1566" s="391" t="s">
        <v>234</v>
      </c>
      <c r="G1566" s="391">
        <v>1219</v>
      </c>
      <c r="H1566" s="528">
        <v>12</v>
      </c>
      <c r="I1566" s="528">
        <v>1</v>
      </c>
      <c r="J1566" s="528">
        <v>70</v>
      </c>
      <c r="K1566" s="458" t="s">
        <v>30</v>
      </c>
      <c r="L1566" s="519">
        <f>M1566+N1566+O1566+Q1566+Q1567+O1567+N1567+M1567</f>
        <v>6797151.7000000002</v>
      </c>
      <c r="M1566" s="529">
        <v>2229550</v>
      </c>
      <c r="N1566" s="391"/>
      <c r="O1566" s="473">
        <v>21551.7</v>
      </c>
      <c r="P1566" s="391"/>
      <c r="Q1566" s="391">
        <v>39800</v>
      </c>
      <c r="R1566" s="528">
        <f>M1566/J1566</f>
        <v>31850.714285714286</v>
      </c>
      <c r="S1566" s="388">
        <f t="shared" si="212"/>
        <v>4506250</v>
      </c>
      <c r="T1566" s="398"/>
      <c r="U1566" s="391"/>
      <c r="V1566" s="390"/>
      <c r="W1566" s="398"/>
      <c r="X1566" s="398"/>
      <c r="Z1566" s="416">
        <v>1</v>
      </c>
      <c r="AA1566" s="416">
        <f>J1566</f>
        <v>70</v>
      </c>
    </row>
    <row r="1567" spans="1:27" s="416" customFormat="1" ht="56.25" hidden="1" customHeight="1">
      <c r="A1567" s="506"/>
      <c r="B1567" s="403"/>
      <c r="C1567" s="455"/>
      <c r="D1567" s="487"/>
      <c r="E1567" s="391"/>
      <c r="F1567" s="391"/>
      <c r="G1567" s="391"/>
      <c r="H1567" s="528"/>
      <c r="I1567" s="528"/>
      <c r="J1567" s="528"/>
      <c r="K1567" s="458" t="s">
        <v>220</v>
      </c>
      <c r="L1567" s="529"/>
      <c r="M1567" s="529">
        <v>4400000</v>
      </c>
      <c r="N1567" s="391">
        <v>106250</v>
      </c>
      <c r="O1567" s="473"/>
      <c r="P1567" s="391"/>
      <c r="Q1567" s="391"/>
      <c r="R1567" s="528">
        <v>2200000</v>
      </c>
      <c r="S1567" s="388">
        <f t="shared" si="212"/>
        <v>-4506250</v>
      </c>
      <c r="T1567" s="398"/>
      <c r="U1567" s="391"/>
      <c r="V1567" s="390"/>
      <c r="W1567" s="398"/>
      <c r="X1567" s="398"/>
    </row>
    <row r="1568" spans="1:27" s="416" customFormat="1" ht="37.5" hidden="1">
      <c r="A1568" s="506">
        <v>92</v>
      </c>
      <c r="B1568" s="403" t="s">
        <v>1768</v>
      </c>
      <c r="C1568" s="455" t="s">
        <v>218</v>
      </c>
      <c r="D1568" s="487">
        <v>45042</v>
      </c>
      <c r="E1568" s="391">
        <v>8789</v>
      </c>
      <c r="F1568" s="391" t="s">
        <v>234</v>
      </c>
      <c r="G1568" s="391">
        <v>2076</v>
      </c>
      <c r="H1568" s="528"/>
      <c r="I1568" s="528"/>
      <c r="J1568" s="528"/>
      <c r="K1568" s="458" t="s">
        <v>220</v>
      </c>
      <c r="L1568" s="391">
        <f>M1568+N1568+O1568+P1568+Q1568</f>
        <v>12836759</v>
      </c>
      <c r="M1568" s="529">
        <v>12609320</v>
      </c>
      <c r="N1568" s="391">
        <v>227439</v>
      </c>
      <c r="O1568" s="530"/>
      <c r="P1568" s="391"/>
      <c r="Q1568" s="391"/>
      <c r="R1568" s="528">
        <v>2000000</v>
      </c>
      <c r="S1568" s="388">
        <f t="shared" si="212"/>
        <v>0</v>
      </c>
      <c r="T1568" s="398"/>
      <c r="U1568" s="391"/>
      <c r="V1568" s="390"/>
      <c r="W1568" s="398"/>
      <c r="X1568" s="398"/>
    </row>
    <row r="1569" spans="1:27" s="416" customFormat="1" ht="56.25" hidden="1" customHeight="1">
      <c r="A1569" s="506">
        <v>93</v>
      </c>
      <c r="B1569" s="403" t="s">
        <v>1783</v>
      </c>
      <c r="C1569" s="455" t="s">
        <v>218</v>
      </c>
      <c r="D1569" s="487">
        <v>21497</v>
      </c>
      <c r="E1569" s="391">
        <v>2500</v>
      </c>
      <c r="F1569" s="391" t="s">
        <v>234</v>
      </c>
      <c r="G1569" s="391">
        <v>913</v>
      </c>
      <c r="H1569" s="528">
        <v>9</v>
      </c>
      <c r="I1569" s="528">
        <v>2</v>
      </c>
      <c r="J1569" s="528">
        <v>101</v>
      </c>
      <c r="K1569" s="458" t="s">
        <v>30</v>
      </c>
      <c r="L1569" s="519">
        <f>M1569+N1569+O1569+Q1569+Q1570+O1570+N1570+M1570</f>
        <v>5249047</v>
      </c>
      <c r="M1569" s="529">
        <v>2987812</v>
      </c>
      <c r="N1569" s="391"/>
      <c r="O1569" s="473">
        <v>20240</v>
      </c>
      <c r="P1569" s="391"/>
      <c r="Q1569" s="391">
        <v>40000</v>
      </c>
      <c r="R1569" s="528">
        <f>M1569/J1569</f>
        <v>29582.297029702971</v>
      </c>
      <c r="S1569" s="388">
        <f t="shared" si="212"/>
        <v>2200995</v>
      </c>
      <c r="T1569" s="398"/>
      <c r="U1569" s="391"/>
      <c r="V1569" s="390"/>
      <c r="W1569" s="398"/>
      <c r="X1569" s="398"/>
      <c r="Z1569" s="416">
        <v>1</v>
      </c>
      <c r="AA1569" s="416">
        <f>J1569</f>
        <v>101</v>
      </c>
    </row>
    <row r="1570" spans="1:27" s="416" customFormat="1" ht="56.25" hidden="1" customHeight="1">
      <c r="A1570" s="506"/>
      <c r="B1570" s="403"/>
      <c r="C1570" s="455"/>
      <c r="D1570" s="487"/>
      <c r="E1570" s="391"/>
      <c r="F1570" s="391"/>
      <c r="G1570" s="391"/>
      <c r="H1570" s="528"/>
      <c r="I1570" s="528"/>
      <c r="J1570" s="528"/>
      <c r="K1570" s="458" t="s">
        <v>220</v>
      </c>
      <c r="L1570" s="529"/>
      <c r="M1570" s="529">
        <v>2112420</v>
      </c>
      <c r="N1570" s="391">
        <v>88575</v>
      </c>
      <c r="O1570" s="473"/>
      <c r="P1570" s="391"/>
      <c r="Q1570" s="391"/>
      <c r="R1570" s="528">
        <v>2000000</v>
      </c>
      <c r="S1570" s="388">
        <f t="shared" si="212"/>
        <v>-2200995</v>
      </c>
      <c r="T1570" s="398"/>
      <c r="U1570" s="391"/>
      <c r="V1570" s="390"/>
      <c r="W1570" s="398"/>
      <c r="X1570" s="398"/>
    </row>
    <row r="1571" spans="1:27" ht="60.75" hidden="1" customHeight="1">
      <c r="A1571" s="506">
        <f>A1569+1</f>
        <v>94</v>
      </c>
      <c r="B1571" s="403" t="s">
        <v>3260</v>
      </c>
      <c r="C1571" s="455" t="s">
        <v>272</v>
      </c>
      <c r="D1571" s="446">
        <v>27959</v>
      </c>
      <c r="E1571" s="388">
        <v>4220</v>
      </c>
      <c r="F1571" s="539" t="s">
        <v>234</v>
      </c>
      <c r="G1571" s="388">
        <v>872</v>
      </c>
      <c r="H1571" s="446">
        <v>14</v>
      </c>
      <c r="I1571" s="446">
        <v>1</v>
      </c>
      <c r="J1571" s="446">
        <v>75</v>
      </c>
      <c r="K1571" s="458" t="s">
        <v>220</v>
      </c>
      <c r="L1571" s="391">
        <f t="shared" ref="L1571:L1592" si="214">M1571+N1571+O1571+P1571+Q1571</f>
        <v>4412937.5</v>
      </c>
      <c r="M1571" s="519">
        <v>4312000</v>
      </c>
      <c r="N1571" s="388">
        <v>100937.5</v>
      </c>
      <c r="Q1571" s="388"/>
      <c r="R1571" s="446">
        <v>2200000</v>
      </c>
      <c r="S1571" s="388">
        <f t="shared" si="212"/>
        <v>0</v>
      </c>
      <c r="T1571" s="390"/>
      <c r="U1571" s="388"/>
      <c r="V1571" s="390"/>
      <c r="W1571" s="398"/>
      <c r="X1571" s="398"/>
    </row>
    <row r="1572" spans="1:27" ht="60.75" hidden="1" customHeight="1">
      <c r="A1572" s="506">
        <f>A1571+1</f>
        <v>95</v>
      </c>
      <c r="B1572" s="403" t="s">
        <v>685</v>
      </c>
      <c r="C1572" s="455" t="s">
        <v>218</v>
      </c>
      <c r="D1572" s="808">
        <v>7512</v>
      </c>
      <c r="E1572" s="388">
        <v>917</v>
      </c>
      <c r="F1572" s="388" t="s">
        <v>234</v>
      </c>
      <c r="G1572" s="391">
        <v>575</v>
      </c>
      <c r="H1572" s="446">
        <v>6</v>
      </c>
      <c r="I1572" s="446">
        <v>1</v>
      </c>
      <c r="J1572" s="446">
        <v>12</v>
      </c>
      <c r="K1572" s="458" t="s">
        <v>364</v>
      </c>
      <c r="L1572" s="391">
        <f t="shared" si="214"/>
        <v>1951375</v>
      </c>
      <c r="M1572" s="388">
        <v>1866800</v>
      </c>
      <c r="N1572" s="388">
        <v>84575</v>
      </c>
      <c r="O1572" s="388"/>
      <c r="P1572" s="388"/>
      <c r="Q1572" s="388"/>
      <c r="R1572" s="446"/>
      <c r="S1572" s="388">
        <f t="shared" si="212"/>
        <v>0</v>
      </c>
      <c r="T1572" s="390"/>
      <c r="U1572" s="388"/>
      <c r="V1572" s="390"/>
      <c r="W1572" s="398"/>
      <c r="X1572" s="398"/>
    </row>
    <row r="1573" spans="1:27" ht="60.75" hidden="1" customHeight="1">
      <c r="A1573" s="506">
        <f>A1572+1</f>
        <v>96</v>
      </c>
      <c r="B1573" s="403" t="s">
        <v>4240</v>
      </c>
      <c r="C1573" s="455" t="s">
        <v>272</v>
      </c>
      <c r="D1573" s="544">
        <v>29269</v>
      </c>
      <c r="E1573" s="388">
        <v>4800</v>
      </c>
      <c r="F1573" s="539" t="s">
        <v>4237</v>
      </c>
      <c r="G1573" s="388">
        <v>557</v>
      </c>
      <c r="H1573" s="446">
        <v>17</v>
      </c>
      <c r="I1573" s="446">
        <v>1</v>
      </c>
      <c r="J1573" s="446">
        <v>91</v>
      </c>
      <c r="K1573" s="458" t="s">
        <v>220</v>
      </c>
      <c r="L1573" s="391">
        <f t="shared" si="214"/>
        <v>4506250</v>
      </c>
      <c r="M1573" s="529">
        <v>4400000</v>
      </c>
      <c r="N1573" s="388">
        <v>106250</v>
      </c>
      <c r="O1573" s="383"/>
      <c r="Q1573" s="388"/>
      <c r="R1573" s="446"/>
      <c r="S1573" s="388">
        <f t="shared" si="212"/>
        <v>0</v>
      </c>
      <c r="T1573" s="390"/>
      <c r="U1573" s="388"/>
      <c r="V1573" s="390"/>
      <c r="W1573" s="398"/>
      <c r="X1573" s="398"/>
    </row>
    <row r="1574" spans="1:27" ht="60.75" hidden="1" customHeight="1">
      <c r="A1574" s="506">
        <f>A1573+1</f>
        <v>97</v>
      </c>
      <c r="B1574" s="403" t="s">
        <v>4241</v>
      </c>
      <c r="C1574" s="455" t="s">
        <v>4238</v>
      </c>
      <c r="D1574" s="544">
        <v>27119</v>
      </c>
      <c r="E1574" s="388">
        <v>4186</v>
      </c>
      <c r="F1574" s="539" t="s">
        <v>4239</v>
      </c>
      <c r="G1574" s="388">
        <v>604</v>
      </c>
      <c r="H1574" s="446">
        <v>18</v>
      </c>
      <c r="I1574" s="446">
        <v>1</v>
      </c>
      <c r="J1574" s="446">
        <v>93</v>
      </c>
      <c r="K1574" s="458" t="s">
        <v>220</v>
      </c>
      <c r="L1574" s="391">
        <f t="shared" si="214"/>
        <v>4506250</v>
      </c>
      <c r="M1574" s="529">
        <v>4400000</v>
      </c>
      <c r="N1574" s="388">
        <v>106250</v>
      </c>
      <c r="O1574" s="383"/>
      <c r="Q1574" s="388"/>
      <c r="R1574" s="446"/>
      <c r="S1574" s="388">
        <f t="shared" si="212"/>
        <v>0</v>
      </c>
      <c r="T1574" s="390"/>
      <c r="U1574" s="388"/>
      <c r="V1574" s="390"/>
      <c r="W1574" s="398"/>
      <c r="X1574" s="398"/>
    </row>
    <row r="1575" spans="1:27" ht="60.75" hidden="1" customHeight="1">
      <c r="A1575" s="506">
        <v>98</v>
      </c>
      <c r="B1575" s="403" t="s">
        <v>4297</v>
      </c>
      <c r="C1575" s="455" t="s">
        <v>272</v>
      </c>
      <c r="D1575" s="544">
        <v>29803</v>
      </c>
      <c r="E1575" s="388">
        <v>1076</v>
      </c>
      <c r="F1575" s="539" t="s">
        <v>234</v>
      </c>
      <c r="G1575" s="388">
        <v>1235</v>
      </c>
      <c r="H1575" s="446">
        <v>9</v>
      </c>
      <c r="I1575" s="446">
        <v>1</v>
      </c>
      <c r="J1575" s="446">
        <v>36</v>
      </c>
      <c r="K1575" s="458" t="s">
        <v>220</v>
      </c>
      <c r="L1575" s="391">
        <f>M1575+N1575+O1575+P1575+Q1575</f>
        <v>2085000</v>
      </c>
      <c r="M1575" s="388">
        <v>2000000</v>
      </c>
      <c r="N1575" s="388">
        <v>85000</v>
      </c>
      <c r="O1575" s="383"/>
      <c r="Q1575" s="388"/>
      <c r="R1575" s="446"/>
      <c r="S1575" s="388">
        <f t="shared" si="212"/>
        <v>0</v>
      </c>
      <c r="T1575" s="390"/>
      <c r="U1575" s="388"/>
      <c r="V1575" s="390"/>
      <c r="W1575" s="398"/>
      <c r="X1575" s="398"/>
    </row>
    <row r="1576" spans="1:27" ht="37.5" hidden="1" customHeight="1">
      <c r="A1576" s="506">
        <v>99</v>
      </c>
      <c r="B1576" s="403" t="s">
        <v>1430</v>
      </c>
      <c r="C1576" s="455" t="s">
        <v>218</v>
      </c>
      <c r="D1576" s="487">
        <v>20200</v>
      </c>
      <c r="E1576" s="391">
        <v>4050</v>
      </c>
      <c r="F1576" s="391" t="s">
        <v>234</v>
      </c>
      <c r="G1576" s="391">
        <v>882</v>
      </c>
      <c r="H1576" s="528">
        <v>9</v>
      </c>
      <c r="I1576" s="528">
        <v>3</v>
      </c>
      <c r="J1576" s="528">
        <v>108</v>
      </c>
      <c r="K1576" s="458" t="s">
        <v>33</v>
      </c>
      <c r="L1576" s="519">
        <f t="shared" si="214"/>
        <v>2070234</v>
      </c>
      <c r="M1576" s="529">
        <v>2023710</v>
      </c>
      <c r="N1576" s="391"/>
      <c r="O1576" s="473">
        <v>26624</v>
      </c>
      <c r="P1576" s="391"/>
      <c r="Q1576" s="391">
        <v>19900</v>
      </c>
      <c r="R1576" s="528">
        <f>M1576/G1576</f>
        <v>2294.4557823129253</v>
      </c>
      <c r="S1576" s="388">
        <f t="shared" si="212"/>
        <v>0</v>
      </c>
      <c r="T1576" s="389"/>
      <c r="U1576" s="391"/>
      <c r="V1576" s="390"/>
      <c r="W1576" s="398"/>
      <c r="X1576" s="398"/>
    </row>
    <row r="1577" spans="1:27" ht="37.5" hidden="1" customHeight="1">
      <c r="A1577" s="493">
        <f t="shared" ref="A1577:A1593" si="215">A1576+1</f>
        <v>100</v>
      </c>
      <c r="B1577" s="403" t="s">
        <v>1431</v>
      </c>
      <c r="C1577" s="455" t="s">
        <v>272</v>
      </c>
      <c r="D1577" s="487">
        <v>42649</v>
      </c>
      <c r="E1577" s="391">
        <v>7130</v>
      </c>
      <c r="F1577" s="391" t="s">
        <v>234</v>
      </c>
      <c r="G1577" s="391">
        <v>1181.5</v>
      </c>
      <c r="H1577" s="528">
        <v>9</v>
      </c>
      <c r="I1577" s="528">
        <v>4</v>
      </c>
      <c r="J1577" s="528">
        <v>127</v>
      </c>
      <c r="K1577" s="458" t="s">
        <v>225</v>
      </c>
      <c r="L1577" s="519">
        <f t="shared" si="214"/>
        <v>4183490.52</v>
      </c>
      <c r="M1577" s="529">
        <v>4125388</v>
      </c>
      <c r="N1577" s="391">
        <v>38302.519999999997</v>
      </c>
      <c r="O1577" s="530"/>
      <c r="P1577" s="391"/>
      <c r="Q1577" s="391">
        <v>19800</v>
      </c>
      <c r="R1577" s="528">
        <f>M1577/J1577</f>
        <v>32483.370078740158</v>
      </c>
      <c r="S1577" s="388">
        <f t="shared" si="212"/>
        <v>0</v>
      </c>
      <c r="T1577" s="389"/>
      <c r="U1577" s="391">
        <f>M1577+N1577+O1577+Q1577</f>
        <v>4183490.52</v>
      </c>
      <c r="V1577" s="390"/>
      <c r="W1577" s="398"/>
      <c r="X1577" s="398"/>
    </row>
    <row r="1578" spans="1:27" s="416" customFormat="1" ht="56.25" hidden="1" customHeight="1">
      <c r="A1578" s="493">
        <f t="shared" si="215"/>
        <v>101</v>
      </c>
      <c r="B1578" s="403" t="s">
        <v>1432</v>
      </c>
      <c r="C1578" s="455" t="s">
        <v>272</v>
      </c>
      <c r="D1578" s="487">
        <v>41121</v>
      </c>
      <c r="E1578" s="391">
        <v>7130</v>
      </c>
      <c r="F1578" s="391" t="s">
        <v>234</v>
      </c>
      <c r="G1578" s="391">
        <v>1283</v>
      </c>
      <c r="H1578" s="528">
        <v>9</v>
      </c>
      <c r="I1578" s="528">
        <v>3</v>
      </c>
      <c r="J1578" s="528">
        <v>161</v>
      </c>
      <c r="K1578" s="458" t="s">
        <v>30</v>
      </c>
      <c r="L1578" s="519">
        <f t="shared" si="214"/>
        <v>5214329</v>
      </c>
      <c r="M1578" s="529">
        <v>5152000</v>
      </c>
      <c r="N1578" s="391"/>
      <c r="O1578" s="473">
        <v>22529</v>
      </c>
      <c r="P1578" s="391"/>
      <c r="Q1578" s="391">
        <v>39800</v>
      </c>
      <c r="R1578" s="528">
        <f>M1578/J1578</f>
        <v>32000</v>
      </c>
      <c r="S1578" s="388">
        <f t="shared" si="212"/>
        <v>0</v>
      </c>
      <c r="T1578" s="398"/>
      <c r="U1578" s="391"/>
      <c r="V1578" s="390"/>
      <c r="W1578" s="398"/>
      <c r="X1578" s="398"/>
      <c r="Z1578" s="416">
        <v>1</v>
      </c>
      <c r="AA1578" s="416">
        <f>J1578</f>
        <v>161</v>
      </c>
    </row>
    <row r="1579" spans="1:27" s="416" customFormat="1" ht="37.5" hidden="1" customHeight="1">
      <c r="A1579" s="493">
        <f t="shared" si="215"/>
        <v>102</v>
      </c>
      <c r="B1579" s="403" t="s">
        <v>1433</v>
      </c>
      <c r="C1579" s="455" t="s">
        <v>218</v>
      </c>
      <c r="D1579" s="487">
        <v>16088</v>
      </c>
      <c r="E1579" s="391">
        <v>3134</v>
      </c>
      <c r="F1579" s="391" t="s">
        <v>234</v>
      </c>
      <c r="G1579" s="391">
        <v>1300</v>
      </c>
      <c r="H1579" s="528">
        <v>9</v>
      </c>
      <c r="I1579" s="528">
        <v>2</v>
      </c>
      <c r="J1579" s="528">
        <v>72</v>
      </c>
      <c r="K1579" s="458" t="s">
        <v>33</v>
      </c>
      <c r="L1579" s="519">
        <f t="shared" si="214"/>
        <v>4284246.63</v>
      </c>
      <c r="M1579" s="529">
        <v>4239000</v>
      </c>
      <c r="N1579" s="391"/>
      <c r="O1579" s="473">
        <v>25346.63</v>
      </c>
      <c r="P1579" s="391"/>
      <c r="Q1579" s="391">
        <v>19900</v>
      </c>
      <c r="R1579" s="528">
        <f>M1579/G1579</f>
        <v>3260.7692307692309</v>
      </c>
      <c r="S1579" s="388">
        <f t="shared" si="212"/>
        <v>-1.127773430198431E-10</v>
      </c>
      <c r="T1579" s="398"/>
      <c r="U1579" s="391"/>
      <c r="V1579" s="390"/>
      <c r="W1579" s="398"/>
      <c r="X1579" s="398"/>
    </row>
    <row r="1580" spans="1:27" s="416" customFormat="1" ht="31.5" hidden="1" customHeight="1">
      <c r="A1580" s="493">
        <f t="shared" si="215"/>
        <v>103</v>
      </c>
      <c r="B1580" s="403" t="s">
        <v>1434</v>
      </c>
      <c r="C1580" s="455" t="s">
        <v>218</v>
      </c>
      <c r="D1580" s="487">
        <v>15503</v>
      </c>
      <c r="E1580" s="391">
        <v>3132</v>
      </c>
      <c r="F1580" s="391" t="s">
        <v>234</v>
      </c>
      <c r="G1580" s="391">
        <v>695.8</v>
      </c>
      <c r="H1580" s="528">
        <v>9</v>
      </c>
      <c r="I1580" s="528">
        <v>2</v>
      </c>
      <c r="J1580" s="528">
        <v>72</v>
      </c>
      <c r="K1580" s="458" t="s">
        <v>33</v>
      </c>
      <c r="L1580" s="519">
        <f t="shared" si="214"/>
        <v>1645083.45</v>
      </c>
      <c r="M1580" s="529">
        <v>1600000</v>
      </c>
      <c r="N1580" s="391"/>
      <c r="O1580" s="473">
        <v>25183.45</v>
      </c>
      <c r="P1580" s="391"/>
      <c r="Q1580" s="391">
        <v>19900</v>
      </c>
      <c r="R1580" s="528">
        <f>M1580/G1580</f>
        <v>2299.5113538373098</v>
      </c>
      <c r="S1580" s="388">
        <f t="shared" si="212"/>
        <v>-4.7293724492192268E-11</v>
      </c>
      <c r="T1580" s="398"/>
      <c r="U1580" s="391"/>
      <c r="V1580" s="390"/>
      <c r="W1580" s="398"/>
      <c r="X1580" s="398"/>
    </row>
    <row r="1581" spans="1:27" s="416" customFormat="1" ht="37.5" hidden="1" customHeight="1">
      <c r="A1581" s="493">
        <f t="shared" si="215"/>
        <v>104</v>
      </c>
      <c r="B1581" s="403" t="s">
        <v>1437</v>
      </c>
      <c r="C1581" s="455" t="s">
        <v>272</v>
      </c>
      <c r="D1581" s="487">
        <v>29223</v>
      </c>
      <c r="E1581" s="391">
        <v>4484</v>
      </c>
      <c r="F1581" s="391" t="s">
        <v>234</v>
      </c>
      <c r="G1581" s="391">
        <v>1080</v>
      </c>
      <c r="H1581" s="528">
        <v>9</v>
      </c>
      <c r="I1581" s="528">
        <v>3</v>
      </c>
      <c r="J1581" s="528">
        <v>96</v>
      </c>
      <c r="K1581" s="458" t="s">
        <v>33</v>
      </c>
      <c r="L1581" s="519">
        <f t="shared" si="214"/>
        <v>2816901.27</v>
      </c>
      <c r="M1581" s="529">
        <v>2768000</v>
      </c>
      <c r="N1581" s="391"/>
      <c r="O1581" s="473">
        <v>29001.27</v>
      </c>
      <c r="P1581" s="391"/>
      <c r="Q1581" s="391">
        <v>19900</v>
      </c>
      <c r="R1581" s="528">
        <f>M1581/G1581</f>
        <v>2562.962962962963</v>
      </c>
      <c r="S1581" s="388">
        <f t="shared" si="212"/>
        <v>0</v>
      </c>
      <c r="T1581" s="398"/>
      <c r="U1581" s="391"/>
      <c r="V1581" s="390"/>
      <c r="W1581" s="398"/>
      <c r="X1581" s="398"/>
    </row>
    <row r="1582" spans="1:27" s="416" customFormat="1" ht="33.75" hidden="1" customHeight="1">
      <c r="A1582" s="493">
        <f t="shared" si="215"/>
        <v>105</v>
      </c>
      <c r="B1582" s="403" t="s">
        <v>1438</v>
      </c>
      <c r="C1582" s="455" t="s">
        <v>218</v>
      </c>
      <c r="D1582" s="487">
        <v>31421</v>
      </c>
      <c r="E1582" s="391">
        <v>4018</v>
      </c>
      <c r="F1582" s="391" t="s">
        <v>234</v>
      </c>
      <c r="G1582" s="391">
        <v>1345</v>
      </c>
      <c r="H1582" s="528">
        <v>9</v>
      </c>
      <c r="I1582" s="528">
        <v>4</v>
      </c>
      <c r="J1582" s="528">
        <v>144</v>
      </c>
      <c r="K1582" s="458" t="s">
        <v>33</v>
      </c>
      <c r="L1582" s="519">
        <f t="shared" si="214"/>
        <v>3517150.06</v>
      </c>
      <c r="M1582" s="529">
        <v>3470000</v>
      </c>
      <c r="N1582" s="391"/>
      <c r="O1582" s="473">
        <v>27250.06</v>
      </c>
      <c r="P1582" s="391"/>
      <c r="Q1582" s="391">
        <v>19900</v>
      </c>
      <c r="R1582" s="528">
        <f>M1582/G1582</f>
        <v>2579.9256505576209</v>
      </c>
      <c r="S1582" s="388">
        <f t="shared" si="212"/>
        <v>5.4569682106375694E-11</v>
      </c>
      <c r="T1582" s="398"/>
      <c r="U1582" s="391"/>
      <c r="V1582" s="390"/>
      <c r="W1582" s="398"/>
      <c r="X1582" s="398"/>
    </row>
    <row r="1583" spans="1:27" s="416" customFormat="1" ht="37.5" hidden="1" customHeight="1">
      <c r="A1583" s="493">
        <f t="shared" si="215"/>
        <v>106</v>
      </c>
      <c r="B1583" s="403" t="s">
        <v>1440</v>
      </c>
      <c r="C1583" s="455" t="s">
        <v>218</v>
      </c>
      <c r="D1583" s="487">
        <v>56304</v>
      </c>
      <c r="E1583" s="391">
        <v>8500</v>
      </c>
      <c r="F1583" s="391" t="s">
        <v>234</v>
      </c>
      <c r="G1583" s="391">
        <v>2881</v>
      </c>
      <c r="H1583" s="528">
        <v>10</v>
      </c>
      <c r="I1583" s="528">
        <v>5</v>
      </c>
      <c r="J1583" s="528">
        <v>190</v>
      </c>
      <c r="K1583" s="458" t="s">
        <v>225</v>
      </c>
      <c r="L1583" s="519">
        <f t="shared" si="214"/>
        <v>3996434.23</v>
      </c>
      <c r="M1583" s="529">
        <v>3932900</v>
      </c>
      <c r="N1583" s="391">
        <v>43734.23</v>
      </c>
      <c r="O1583" s="530"/>
      <c r="P1583" s="391"/>
      <c r="Q1583" s="391">
        <v>19800</v>
      </c>
      <c r="R1583" s="528">
        <f>M1583/J1583</f>
        <v>20699.473684210527</v>
      </c>
      <c r="S1583" s="388">
        <f t="shared" si="212"/>
        <v>0</v>
      </c>
      <c r="T1583" s="398"/>
      <c r="U1583" s="391">
        <f>M1583+N1583+O1583+Q1583</f>
        <v>3996434.23</v>
      </c>
      <c r="V1583" s="390"/>
      <c r="W1583" s="398"/>
      <c r="X1583" s="398"/>
    </row>
    <row r="1584" spans="1:27" s="416" customFormat="1" ht="37.5" hidden="1" customHeight="1">
      <c r="A1584" s="493">
        <f t="shared" si="215"/>
        <v>107</v>
      </c>
      <c r="B1584" s="403" t="s">
        <v>1439</v>
      </c>
      <c r="C1584" s="455" t="s">
        <v>272</v>
      </c>
      <c r="D1584" s="487">
        <v>28278</v>
      </c>
      <c r="E1584" s="391">
        <v>3900</v>
      </c>
      <c r="F1584" s="391" t="s">
        <v>234</v>
      </c>
      <c r="G1584" s="391">
        <v>592</v>
      </c>
      <c r="H1584" s="528">
        <v>12</v>
      </c>
      <c r="I1584" s="528">
        <v>1</v>
      </c>
      <c r="J1584" s="528">
        <v>81</v>
      </c>
      <c r="K1584" s="458" t="s">
        <v>33</v>
      </c>
      <c r="L1584" s="519">
        <f t="shared" si="214"/>
        <v>1494666.14</v>
      </c>
      <c r="M1584" s="529">
        <v>1448327</v>
      </c>
      <c r="N1584" s="391"/>
      <c r="O1584" s="473">
        <v>26439.14</v>
      </c>
      <c r="P1584" s="391"/>
      <c r="Q1584" s="391">
        <v>19900</v>
      </c>
      <c r="R1584" s="528">
        <f>M1584/G1584</f>
        <v>2446.4983108108108</v>
      </c>
      <c r="S1584" s="388">
        <f t="shared" si="212"/>
        <v>-1.0186340659856796E-10</v>
      </c>
      <c r="T1584" s="398"/>
      <c r="U1584" s="391"/>
      <c r="V1584" s="390"/>
      <c r="W1584" s="398"/>
      <c r="X1584" s="398"/>
    </row>
    <row r="1585" spans="1:27" s="416" customFormat="1" ht="37.5" hidden="1" customHeight="1">
      <c r="A1585" s="493">
        <f t="shared" si="215"/>
        <v>108</v>
      </c>
      <c r="B1585" s="403" t="s">
        <v>1441</v>
      </c>
      <c r="C1585" s="455" t="s">
        <v>272</v>
      </c>
      <c r="D1585" s="487">
        <v>9828</v>
      </c>
      <c r="E1585" s="391">
        <v>1809</v>
      </c>
      <c r="F1585" s="391" t="s">
        <v>223</v>
      </c>
      <c r="G1585" s="391">
        <v>914.6</v>
      </c>
      <c r="H1585" s="528">
        <v>5</v>
      </c>
      <c r="I1585" s="528">
        <v>3</v>
      </c>
      <c r="J1585" s="528">
        <v>58</v>
      </c>
      <c r="K1585" s="458" t="s">
        <v>225</v>
      </c>
      <c r="L1585" s="519">
        <f t="shared" si="214"/>
        <v>1103353.1599999999</v>
      </c>
      <c r="M1585" s="529">
        <v>1060900</v>
      </c>
      <c r="N1585" s="391">
        <v>30945.5</v>
      </c>
      <c r="O1585" s="530"/>
      <c r="P1585" s="391"/>
      <c r="Q1585" s="391">
        <v>11507.66</v>
      </c>
      <c r="R1585" s="528">
        <f>M1585/J1585</f>
        <v>18291.379310344826</v>
      </c>
      <c r="S1585" s="388">
        <f t="shared" si="212"/>
        <v>-8.3673512563109398E-11</v>
      </c>
      <c r="T1585" s="398"/>
      <c r="U1585" s="391">
        <f>M1585+N1585+O1585+Q1585</f>
        <v>1103353.1599999999</v>
      </c>
      <c r="V1585" s="390"/>
      <c r="W1585" s="398"/>
      <c r="X1585" s="398"/>
    </row>
    <row r="1586" spans="1:27" s="416" customFormat="1" ht="37.5" hidden="1" customHeight="1">
      <c r="A1586" s="493">
        <f t="shared" si="215"/>
        <v>109</v>
      </c>
      <c r="B1586" s="403" t="s">
        <v>1776</v>
      </c>
      <c r="C1586" s="455" t="s">
        <v>393</v>
      </c>
      <c r="D1586" s="487">
        <v>2657</v>
      </c>
      <c r="E1586" s="391">
        <v>620.79999999999995</v>
      </c>
      <c r="F1586" s="391" t="s">
        <v>223</v>
      </c>
      <c r="G1586" s="391">
        <v>810</v>
      </c>
      <c r="H1586" s="528">
        <v>2</v>
      </c>
      <c r="I1586" s="528">
        <v>2</v>
      </c>
      <c r="J1586" s="528">
        <v>12</v>
      </c>
      <c r="K1586" s="458" t="s">
        <v>33</v>
      </c>
      <c r="L1586" s="519">
        <f t="shared" si="214"/>
        <v>1812332.48</v>
      </c>
      <c r="M1586" s="529">
        <v>1782000</v>
      </c>
      <c r="N1586" s="391"/>
      <c r="O1586" s="473">
        <v>17387</v>
      </c>
      <c r="P1586" s="391"/>
      <c r="Q1586" s="391">
        <v>12945.48</v>
      </c>
      <c r="R1586" s="528">
        <f>M1586/G1586</f>
        <v>2200</v>
      </c>
      <c r="S1586" s="388">
        <f t="shared" si="212"/>
        <v>-1.8189894035458565E-11</v>
      </c>
      <c r="T1586" s="398"/>
      <c r="U1586" s="391"/>
      <c r="V1586" s="390"/>
      <c r="W1586" s="398"/>
      <c r="X1586" s="398"/>
    </row>
    <row r="1587" spans="1:27" s="416" customFormat="1" ht="56.25" hidden="1" customHeight="1">
      <c r="A1587" s="493">
        <f t="shared" si="215"/>
        <v>110</v>
      </c>
      <c r="B1587" s="403" t="s">
        <v>1443</v>
      </c>
      <c r="C1587" s="455" t="s">
        <v>272</v>
      </c>
      <c r="D1587" s="487">
        <v>11096</v>
      </c>
      <c r="E1587" s="391">
        <v>2770</v>
      </c>
      <c r="F1587" s="391" t="s">
        <v>223</v>
      </c>
      <c r="G1587" s="391">
        <v>1154</v>
      </c>
      <c r="H1587" s="528">
        <v>5</v>
      </c>
      <c r="I1587" s="528">
        <v>4</v>
      </c>
      <c r="J1587" s="528">
        <v>69</v>
      </c>
      <c r="K1587" s="458" t="s">
        <v>30</v>
      </c>
      <c r="L1587" s="1129">
        <f>M1587+N1587+O1587+P1587+Q1587+M1588+N1588+O1588+Q1588+M1589+N1589+O1589+Q1589</f>
        <v>9935070.370000001</v>
      </c>
      <c r="M1587" s="529">
        <v>1863000</v>
      </c>
      <c r="N1587" s="391"/>
      <c r="O1587" s="473">
        <v>14731.97</v>
      </c>
      <c r="P1587" s="391"/>
      <c r="Q1587" s="391">
        <v>27362.400000000001</v>
      </c>
      <c r="R1587" s="528">
        <f>M1587/J1587</f>
        <v>27000</v>
      </c>
      <c r="S1587" s="388">
        <f t="shared" si="212"/>
        <v>8029976.0000000009</v>
      </c>
      <c r="T1587" s="398"/>
      <c r="U1587" s="391"/>
      <c r="V1587" s="390"/>
      <c r="W1587" s="398"/>
      <c r="X1587" s="398"/>
      <c r="Z1587" s="416">
        <v>1</v>
      </c>
      <c r="AA1587" s="416">
        <f>J1587</f>
        <v>69</v>
      </c>
    </row>
    <row r="1588" spans="1:27" s="416" customFormat="1" ht="56.25" hidden="1" customHeight="1">
      <c r="A1588" s="493"/>
      <c r="B1588" s="403"/>
      <c r="C1588" s="455"/>
      <c r="D1588" s="487"/>
      <c r="E1588" s="391"/>
      <c r="F1588" s="391"/>
      <c r="G1588" s="391"/>
      <c r="H1588" s="528"/>
      <c r="I1588" s="528"/>
      <c r="J1588" s="528"/>
      <c r="K1588" s="458" t="s">
        <v>38</v>
      </c>
      <c r="L1588" s="1129"/>
      <c r="M1588" s="529">
        <v>4510170</v>
      </c>
      <c r="N1588" s="391"/>
      <c r="O1588" s="473">
        <v>12737</v>
      </c>
      <c r="P1588" s="391"/>
      <c r="Q1588" s="391"/>
      <c r="R1588" s="528"/>
      <c r="S1588" s="388">
        <f t="shared" si="212"/>
        <v>-4522907</v>
      </c>
      <c r="T1588" s="398"/>
      <c r="U1588" s="391"/>
      <c r="V1588" s="390"/>
      <c r="W1588" s="398"/>
      <c r="X1588" s="398"/>
    </row>
    <row r="1589" spans="1:27" s="416" customFormat="1" ht="56.25" hidden="1" customHeight="1">
      <c r="A1589" s="493"/>
      <c r="B1589" s="403"/>
      <c r="C1589" s="455"/>
      <c r="D1589" s="487"/>
      <c r="E1589" s="391"/>
      <c r="F1589" s="391"/>
      <c r="G1589" s="391"/>
      <c r="H1589" s="528"/>
      <c r="I1589" s="528"/>
      <c r="J1589" s="528"/>
      <c r="K1589" s="458" t="s">
        <v>33</v>
      </c>
      <c r="L1589" s="1129"/>
      <c r="M1589" s="529">
        <v>3494332</v>
      </c>
      <c r="N1589" s="391"/>
      <c r="O1589" s="473">
        <v>12737</v>
      </c>
      <c r="P1589" s="391"/>
      <c r="Q1589" s="391"/>
      <c r="R1589" s="528"/>
      <c r="S1589" s="388">
        <f t="shared" si="212"/>
        <v>-3507069</v>
      </c>
      <c r="T1589" s="398"/>
      <c r="U1589" s="391"/>
      <c r="V1589" s="390"/>
      <c r="W1589" s="398"/>
      <c r="X1589" s="398"/>
    </row>
    <row r="1590" spans="1:27" s="416" customFormat="1" ht="37.5" hidden="1" customHeight="1">
      <c r="A1590" s="493">
        <f>A1587+1</f>
        <v>111</v>
      </c>
      <c r="B1590" s="403" t="s">
        <v>1444</v>
      </c>
      <c r="C1590" s="455" t="s">
        <v>218</v>
      </c>
      <c r="D1590" s="487">
        <v>9705</v>
      </c>
      <c r="E1590" s="391">
        <v>1660</v>
      </c>
      <c r="F1590" s="391" t="s">
        <v>234</v>
      </c>
      <c r="G1590" s="391">
        <v>762</v>
      </c>
      <c r="H1590" s="528">
        <v>5</v>
      </c>
      <c r="I1590" s="528">
        <v>4</v>
      </c>
      <c r="J1590" s="528">
        <v>59</v>
      </c>
      <c r="K1590" s="458" t="s">
        <v>285</v>
      </c>
      <c r="L1590" s="519">
        <f t="shared" si="214"/>
        <v>6057517.21</v>
      </c>
      <c r="M1590" s="529">
        <v>6000000</v>
      </c>
      <c r="N1590" s="391">
        <v>27817.21</v>
      </c>
      <c r="O1590" s="530"/>
      <c r="P1590" s="391"/>
      <c r="Q1590" s="391">
        <v>29700</v>
      </c>
      <c r="R1590" s="528">
        <f>M1590/E1590</f>
        <v>3614.4578313253014</v>
      </c>
      <c r="S1590" s="388">
        <f t="shared" si="212"/>
        <v>-3.637978807091713E-11</v>
      </c>
      <c r="T1590" s="398"/>
      <c r="U1590" s="391"/>
      <c r="V1590" s="390"/>
      <c r="W1590" s="398"/>
      <c r="X1590" s="398"/>
    </row>
    <row r="1591" spans="1:27" s="416" customFormat="1" ht="37.5" hidden="1" customHeight="1">
      <c r="A1591" s="493">
        <f t="shared" si="215"/>
        <v>112</v>
      </c>
      <c r="B1591" s="403" t="s">
        <v>1445</v>
      </c>
      <c r="C1591" s="455" t="s">
        <v>272</v>
      </c>
      <c r="D1591" s="487">
        <v>12360</v>
      </c>
      <c r="E1591" s="391">
        <v>2627</v>
      </c>
      <c r="F1591" s="391" t="s">
        <v>223</v>
      </c>
      <c r="G1591" s="391">
        <v>1150</v>
      </c>
      <c r="H1591" s="528">
        <v>5</v>
      </c>
      <c r="I1591" s="528">
        <v>4</v>
      </c>
      <c r="J1591" s="528">
        <v>80</v>
      </c>
      <c r="K1591" s="458" t="s">
        <v>33</v>
      </c>
      <c r="L1591" s="519">
        <f t="shared" si="214"/>
        <v>4085240.21</v>
      </c>
      <c r="M1591" s="529">
        <v>4025000</v>
      </c>
      <c r="N1591" s="391"/>
      <c r="O1591" s="473">
        <v>22133</v>
      </c>
      <c r="P1591" s="391"/>
      <c r="Q1591" s="391">
        <v>38107.21</v>
      </c>
      <c r="R1591" s="528">
        <f>M1591/G1591</f>
        <v>3500</v>
      </c>
      <c r="S1591" s="388">
        <f t="shared" si="212"/>
        <v>0</v>
      </c>
      <c r="T1591" s="398"/>
      <c r="U1591" s="391"/>
      <c r="V1591" s="390"/>
      <c r="W1591" s="398"/>
      <c r="X1591" s="398"/>
    </row>
    <row r="1592" spans="1:27" s="416" customFormat="1" ht="56.25" hidden="1" customHeight="1">
      <c r="A1592" s="493">
        <f t="shared" si="215"/>
        <v>113</v>
      </c>
      <c r="B1592" s="403" t="s">
        <v>1446</v>
      </c>
      <c r="C1592" s="455" t="s">
        <v>272</v>
      </c>
      <c r="D1592" s="487">
        <v>15535</v>
      </c>
      <c r="E1592" s="391">
        <v>2445.8000000000002</v>
      </c>
      <c r="F1592" s="391" t="s">
        <v>223</v>
      </c>
      <c r="G1592" s="391">
        <v>880</v>
      </c>
      <c r="H1592" s="528">
        <v>5</v>
      </c>
      <c r="I1592" s="528">
        <v>3</v>
      </c>
      <c r="J1592" s="528">
        <v>157</v>
      </c>
      <c r="K1592" s="458" t="s">
        <v>30</v>
      </c>
      <c r="L1592" s="519">
        <f t="shared" si="214"/>
        <v>4288687.71</v>
      </c>
      <c r="M1592" s="529">
        <v>4239000</v>
      </c>
      <c r="N1592" s="391"/>
      <c r="O1592" s="473">
        <v>15368.77</v>
      </c>
      <c r="P1592" s="391"/>
      <c r="Q1592" s="391">
        <v>34318.94</v>
      </c>
      <c r="R1592" s="528">
        <f>M1592/J1592</f>
        <v>27000</v>
      </c>
      <c r="S1592" s="388">
        <f t="shared" si="212"/>
        <v>0</v>
      </c>
      <c r="T1592" s="398"/>
      <c r="U1592" s="391"/>
      <c r="V1592" s="390"/>
      <c r="W1592" s="398"/>
      <c r="X1592" s="398"/>
      <c r="Z1592" s="416">
        <v>1</v>
      </c>
      <c r="AA1592" s="416">
        <f>J1592</f>
        <v>157</v>
      </c>
    </row>
    <row r="1593" spans="1:27" s="416" customFormat="1" ht="37.5" hidden="1" customHeight="1">
      <c r="A1593" s="493">
        <f t="shared" si="215"/>
        <v>114</v>
      </c>
      <c r="B1593" s="403" t="s">
        <v>1447</v>
      </c>
      <c r="C1593" s="455" t="s">
        <v>272</v>
      </c>
      <c r="D1593" s="487">
        <v>9732</v>
      </c>
      <c r="E1593" s="391">
        <v>4000</v>
      </c>
      <c r="F1593" s="391" t="s">
        <v>223</v>
      </c>
      <c r="G1593" s="391">
        <v>907</v>
      </c>
      <c r="H1593" s="528">
        <v>5</v>
      </c>
      <c r="I1593" s="528">
        <v>3</v>
      </c>
      <c r="J1593" s="528">
        <v>51</v>
      </c>
      <c r="K1593" s="458" t="s">
        <v>33</v>
      </c>
      <c r="L1593" s="1129">
        <f>M1593+N1593+O1593+P1593+Q1593+M1594+N1594+O1594+Q1594</f>
        <v>9777393.8000000007</v>
      </c>
      <c r="M1593" s="529">
        <v>3174500</v>
      </c>
      <c r="N1593" s="391"/>
      <c r="O1593" s="473">
        <v>21134</v>
      </c>
      <c r="P1593" s="391"/>
      <c r="Q1593" s="391">
        <v>30004.799999999999</v>
      </c>
      <c r="R1593" s="528">
        <f>M1593/G1593</f>
        <v>3500</v>
      </c>
      <c r="S1593" s="388">
        <f t="shared" si="212"/>
        <v>6551755.0000000009</v>
      </c>
      <c r="T1593" s="398"/>
      <c r="U1593" s="391"/>
      <c r="V1593" s="390"/>
      <c r="W1593" s="398"/>
      <c r="X1593" s="398"/>
    </row>
    <row r="1594" spans="1:27" s="416" customFormat="1" ht="48.75" hidden="1" customHeight="1">
      <c r="A1594" s="506"/>
      <c r="B1594" s="403"/>
      <c r="C1594" s="455"/>
      <c r="D1594" s="487"/>
      <c r="E1594" s="391"/>
      <c r="F1594" s="391"/>
      <c r="G1594" s="391"/>
      <c r="H1594" s="528"/>
      <c r="I1594" s="528"/>
      <c r="J1594" s="528"/>
      <c r="K1594" s="458" t="s">
        <v>38</v>
      </c>
      <c r="L1594" s="1129"/>
      <c r="M1594" s="529">
        <v>6500000</v>
      </c>
      <c r="N1594" s="391"/>
      <c r="O1594" s="530">
        <v>21755</v>
      </c>
      <c r="P1594" s="391"/>
      <c r="Q1594" s="391">
        <v>30000</v>
      </c>
      <c r="R1594" s="528">
        <f>M1594/E1593</f>
        <v>1625</v>
      </c>
      <c r="S1594" s="388">
        <f t="shared" si="212"/>
        <v>-6551755</v>
      </c>
      <c r="T1594" s="398"/>
      <c r="U1594" s="388"/>
      <c r="V1594" s="390"/>
      <c r="W1594" s="398"/>
      <c r="X1594" s="398"/>
    </row>
    <row r="1595" spans="1:27" s="416" customFormat="1" ht="37.5" hidden="1" customHeight="1">
      <c r="A1595" s="506">
        <f>A1593+1</f>
        <v>115</v>
      </c>
      <c r="B1595" s="403" t="s">
        <v>1448</v>
      </c>
      <c r="C1595" s="455" t="s">
        <v>272</v>
      </c>
      <c r="D1595" s="487">
        <v>15489</v>
      </c>
      <c r="E1595" s="391">
        <v>4000</v>
      </c>
      <c r="F1595" s="391" t="s">
        <v>223</v>
      </c>
      <c r="G1595" s="391">
        <v>1149</v>
      </c>
      <c r="H1595" s="528">
        <v>5</v>
      </c>
      <c r="I1595" s="528">
        <v>4</v>
      </c>
      <c r="J1595" s="528">
        <v>64</v>
      </c>
      <c r="K1595" s="458" t="s">
        <v>33</v>
      </c>
      <c r="L1595" s="1129">
        <f>M1595+N1595+O1595+P1595+Q1595+M1596+N1596+O1596+Q1596</f>
        <v>10135092.24</v>
      </c>
      <c r="M1595" s="529">
        <v>4021500</v>
      </c>
      <c r="N1595" s="391"/>
      <c r="O1595" s="473">
        <v>21841.24</v>
      </c>
      <c r="P1595" s="391"/>
      <c r="Q1595" s="391">
        <v>39800</v>
      </c>
      <c r="R1595" s="528">
        <f>M1595/G1595</f>
        <v>3500</v>
      </c>
      <c r="S1595" s="388">
        <f t="shared" ref="S1595:S1658" si="216">L1595-M1595-N1595-O1595-P1595-Q1595</f>
        <v>6051951</v>
      </c>
      <c r="T1595" s="398"/>
      <c r="U1595" s="391"/>
      <c r="V1595" s="390"/>
      <c r="W1595" s="398"/>
      <c r="X1595" s="398"/>
    </row>
    <row r="1596" spans="1:27" s="416" customFormat="1" ht="36" hidden="1" customHeight="1">
      <c r="A1596" s="506"/>
      <c r="B1596" s="403"/>
      <c r="C1596" s="455"/>
      <c r="D1596" s="487"/>
      <c r="E1596" s="391"/>
      <c r="F1596" s="391"/>
      <c r="G1596" s="391"/>
      <c r="H1596" s="528"/>
      <c r="I1596" s="528"/>
      <c r="J1596" s="528"/>
      <c r="K1596" s="458" t="s">
        <v>38</v>
      </c>
      <c r="L1596" s="1129"/>
      <c r="M1596" s="529">
        <v>6000000</v>
      </c>
      <c r="N1596" s="391"/>
      <c r="O1596" s="530">
        <v>21951</v>
      </c>
      <c r="P1596" s="391"/>
      <c r="Q1596" s="391">
        <v>30000</v>
      </c>
      <c r="R1596" s="528">
        <f>M1596/E1595</f>
        <v>1500</v>
      </c>
      <c r="S1596" s="388">
        <f t="shared" si="216"/>
        <v>-6051951</v>
      </c>
      <c r="T1596" s="398"/>
      <c r="U1596" s="388"/>
      <c r="V1596" s="390"/>
      <c r="W1596" s="398"/>
      <c r="X1596" s="398"/>
    </row>
    <row r="1597" spans="1:27" s="416" customFormat="1" ht="37.5" hidden="1" customHeight="1">
      <c r="A1597" s="506">
        <f>A1595+1</f>
        <v>116</v>
      </c>
      <c r="B1597" s="403" t="s">
        <v>1449</v>
      </c>
      <c r="C1597" s="455" t="s">
        <v>272</v>
      </c>
      <c r="D1597" s="487">
        <v>15991</v>
      </c>
      <c r="E1597" s="391">
        <v>4000</v>
      </c>
      <c r="F1597" s="391" t="s">
        <v>223</v>
      </c>
      <c r="G1597" s="391">
        <v>1149</v>
      </c>
      <c r="H1597" s="528">
        <v>5</v>
      </c>
      <c r="I1597" s="528">
        <v>4</v>
      </c>
      <c r="J1597" s="528">
        <v>64</v>
      </c>
      <c r="K1597" s="458" t="s">
        <v>33</v>
      </c>
      <c r="L1597" s="1129">
        <f>M1597+N1597+O1597+P1597+Q1597+M1598+N1598+O1598+Q1598</f>
        <v>10635451.35</v>
      </c>
      <c r="M1597" s="529">
        <v>4021500</v>
      </c>
      <c r="N1597" s="391"/>
      <c r="O1597" s="473">
        <v>22020.35</v>
      </c>
      <c r="P1597" s="391"/>
      <c r="Q1597" s="391">
        <v>39800</v>
      </c>
      <c r="R1597" s="528">
        <f>M1597/G1597</f>
        <v>3500</v>
      </c>
      <c r="S1597" s="388">
        <f t="shared" si="216"/>
        <v>6552131</v>
      </c>
      <c r="T1597" s="398"/>
      <c r="U1597" s="391"/>
      <c r="V1597" s="390"/>
      <c r="W1597" s="398"/>
      <c r="X1597" s="398"/>
    </row>
    <row r="1598" spans="1:27" s="416" customFormat="1" ht="36" hidden="1" customHeight="1">
      <c r="A1598" s="506"/>
      <c r="B1598" s="403"/>
      <c r="C1598" s="455"/>
      <c r="D1598" s="487"/>
      <c r="E1598" s="391"/>
      <c r="F1598" s="391"/>
      <c r="G1598" s="391"/>
      <c r="H1598" s="528"/>
      <c r="I1598" s="528"/>
      <c r="J1598" s="528"/>
      <c r="K1598" s="458" t="s">
        <v>38</v>
      </c>
      <c r="L1598" s="1129"/>
      <c r="M1598" s="529">
        <v>6500000</v>
      </c>
      <c r="N1598" s="391"/>
      <c r="O1598" s="530">
        <v>22131</v>
      </c>
      <c r="P1598" s="391"/>
      <c r="Q1598" s="391">
        <v>30000</v>
      </c>
      <c r="R1598" s="528">
        <f>M1598/E1597</f>
        <v>1625</v>
      </c>
      <c r="S1598" s="388">
        <f t="shared" si="216"/>
        <v>-6552131</v>
      </c>
      <c r="T1598" s="398"/>
      <c r="U1598" s="388"/>
      <c r="V1598" s="390"/>
      <c r="W1598" s="398"/>
      <c r="X1598" s="398"/>
    </row>
    <row r="1599" spans="1:27" s="416" customFormat="1" ht="56.25" hidden="1" customHeight="1">
      <c r="A1599" s="506">
        <f>A1597+1</f>
        <v>117</v>
      </c>
      <c r="B1599" s="403" t="s">
        <v>1450</v>
      </c>
      <c r="C1599" s="455" t="s">
        <v>272</v>
      </c>
      <c r="D1599" s="487">
        <v>12719</v>
      </c>
      <c r="E1599" s="391">
        <v>2320.6999999999998</v>
      </c>
      <c r="F1599" s="391" t="s">
        <v>223</v>
      </c>
      <c r="G1599" s="391">
        <v>1145</v>
      </c>
      <c r="H1599" s="528">
        <v>5</v>
      </c>
      <c r="I1599" s="528">
        <v>4</v>
      </c>
      <c r="J1599" s="528">
        <v>68</v>
      </c>
      <c r="K1599" s="458" t="s">
        <v>30</v>
      </c>
      <c r="L1599" s="519">
        <f>M1599+N1599+O1599+P1599+Q1599</f>
        <v>1878515.25</v>
      </c>
      <c r="M1599" s="529">
        <v>1836000</v>
      </c>
      <c r="N1599" s="391"/>
      <c r="O1599" s="473">
        <v>15152.85</v>
      </c>
      <c r="P1599" s="391"/>
      <c r="Q1599" s="391">
        <v>27362.400000000001</v>
      </c>
      <c r="R1599" s="528">
        <f>M1599/J1599</f>
        <v>27000</v>
      </c>
      <c r="S1599" s="388">
        <f t="shared" si="216"/>
        <v>0</v>
      </c>
      <c r="T1599" s="398"/>
      <c r="U1599" s="391"/>
      <c r="V1599" s="390"/>
      <c r="W1599" s="398"/>
      <c r="X1599" s="398"/>
      <c r="Z1599" s="416">
        <v>1</v>
      </c>
      <c r="AA1599" s="416">
        <f>J1599</f>
        <v>68</v>
      </c>
    </row>
    <row r="1600" spans="1:27" s="416" customFormat="1" ht="37.5" hidden="1" customHeight="1">
      <c r="A1600" s="506">
        <f>A1599+1</f>
        <v>118</v>
      </c>
      <c r="B1600" s="403" t="s">
        <v>1451</v>
      </c>
      <c r="C1600" s="455" t="s">
        <v>272</v>
      </c>
      <c r="D1600" s="487">
        <v>11864</v>
      </c>
      <c r="E1600" s="391">
        <v>1952</v>
      </c>
      <c r="F1600" s="391" t="s">
        <v>223</v>
      </c>
      <c r="G1600" s="391">
        <v>907</v>
      </c>
      <c r="H1600" s="528">
        <v>5</v>
      </c>
      <c r="I1600" s="528">
        <v>3</v>
      </c>
      <c r="J1600" s="528">
        <v>60</v>
      </c>
      <c r="K1600" s="458" t="s">
        <v>225</v>
      </c>
      <c r="L1600" s="519">
        <f>M1600+N1600+O1600+P1600+Q1600</f>
        <v>603937.01</v>
      </c>
      <c r="M1600" s="529">
        <v>556129</v>
      </c>
      <c r="N1600" s="391">
        <v>31789.25</v>
      </c>
      <c r="O1600" s="530"/>
      <c r="P1600" s="391"/>
      <c r="Q1600" s="391">
        <v>16018.76</v>
      </c>
      <c r="R1600" s="528">
        <f>M1600/J1600</f>
        <v>9268.8166666666675</v>
      </c>
      <c r="S1600" s="388">
        <f t="shared" si="216"/>
        <v>0</v>
      </c>
      <c r="T1600" s="398"/>
      <c r="U1600" s="391">
        <f>M1600+N1600+O1600+Q1600</f>
        <v>603937.01</v>
      </c>
      <c r="V1600" s="390"/>
      <c r="W1600" s="398"/>
      <c r="X1600" s="398"/>
    </row>
    <row r="1601" spans="1:27" s="416" customFormat="1" ht="37.5" hidden="1" customHeight="1">
      <c r="A1601" s="506">
        <f t="shared" ref="A1601:A1607" si="217">A1600+1</f>
        <v>119</v>
      </c>
      <c r="B1601" s="403" t="s">
        <v>1452</v>
      </c>
      <c r="C1601" s="455" t="s">
        <v>272</v>
      </c>
      <c r="D1601" s="487">
        <v>17821</v>
      </c>
      <c r="E1601" s="391">
        <v>3642.5</v>
      </c>
      <c r="F1601" s="391" t="s">
        <v>223</v>
      </c>
      <c r="G1601" s="391">
        <v>1643</v>
      </c>
      <c r="H1601" s="528">
        <v>5</v>
      </c>
      <c r="I1601" s="528">
        <v>6</v>
      </c>
      <c r="J1601" s="528">
        <v>100</v>
      </c>
      <c r="K1601" s="458" t="s">
        <v>225</v>
      </c>
      <c r="L1601" s="519">
        <f>M1601+N1601+O1601+P1601+Q1601</f>
        <v>1748637.77</v>
      </c>
      <c r="M1601" s="529">
        <v>1695361</v>
      </c>
      <c r="N1601" s="391">
        <v>33476.769999999997</v>
      </c>
      <c r="O1601" s="530"/>
      <c r="P1601" s="391"/>
      <c r="Q1601" s="391">
        <v>19800</v>
      </c>
      <c r="R1601" s="528">
        <f>L1601/J1601</f>
        <v>17486.377700000001</v>
      </c>
      <c r="S1601" s="388">
        <f t="shared" si="216"/>
        <v>0</v>
      </c>
      <c r="T1601" s="398"/>
      <c r="U1601" s="391">
        <f>M1601+N1601+O1601+Q1601</f>
        <v>1748637.77</v>
      </c>
      <c r="V1601" s="390"/>
      <c r="W1601" s="398"/>
      <c r="X1601" s="398"/>
    </row>
    <row r="1602" spans="1:27" s="416" customFormat="1" ht="56.25" hidden="1" customHeight="1">
      <c r="A1602" s="506">
        <f t="shared" si="217"/>
        <v>120</v>
      </c>
      <c r="B1602" s="403" t="s">
        <v>1453</v>
      </c>
      <c r="C1602" s="455" t="s">
        <v>272</v>
      </c>
      <c r="D1602" s="487">
        <v>10960</v>
      </c>
      <c r="E1602" s="391">
        <v>2120.8000000000002</v>
      </c>
      <c r="F1602" s="391" t="s">
        <v>234</v>
      </c>
      <c r="G1602" s="391">
        <v>397</v>
      </c>
      <c r="H1602" s="528">
        <v>9</v>
      </c>
      <c r="I1602" s="528">
        <v>1</v>
      </c>
      <c r="J1602" s="528">
        <f>54-2</f>
        <v>52</v>
      </c>
      <c r="K1602" s="458" t="s">
        <v>30</v>
      </c>
      <c r="L1602" s="519">
        <f>M1602+N1602+O1602+P1602+Q1602</f>
        <v>1710198.74</v>
      </c>
      <c r="M1602" s="529">
        <v>1664000</v>
      </c>
      <c r="N1602" s="391"/>
      <c r="O1602" s="473">
        <v>18836.34</v>
      </c>
      <c r="P1602" s="391"/>
      <c r="Q1602" s="391">
        <v>27362.400000000001</v>
      </c>
      <c r="R1602" s="528">
        <f>M1602/J1602</f>
        <v>32000</v>
      </c>
      <c r="S1602" s="388">
        <f t="shared" si="216"/>
        <v>0</v>
      </c>
      <c r="T1602" s="398"/>
      <c r="U1602" s="391"/>
      <c r="V1602" s="390"/>
      <c r="W1602" s="398"/>
      <c r="X1602" s="398"/>
      <c r="Z1602" s="416">
        <v>1</v>
      </c>
      <c r="AA1602" s="416">
        <f>J1602</f>
        <v>52</v>
      </c>
    </row>
    <row r="1603" spans="1:27" s="416" customFormat="1" ht="37.5" hidden="1" customHeight="1">
      <c r="A1603" s="506">
        <f t="shared" si="217"/>
        <v>121</v>
      </c>
      <c r="B1603" s="403" t="s">
        <v>1454</v>
      </c>
      <c r="C1603" s="455" t="s">
        <v>272</v>
      </c>
      <c r="D1603" s="487">
        <v>11949</v>
      </c>
      <c r="E1603" s="391">
        <v>2190</v>
      </c>
      <c r="F1603" s="391" t="s">
        <v>223</v>
      </c>
      <c r="G1603" s="391">
        <v>1095</v>
      </c>
      <c r="H1603" s="528">
        <v>5</v>
      </c>
      <c r="I1603" s="528">
        <v>3</v>
      </c>
      <c r="J1603" s="528">
        <v>24</v>
      </c>
      <c r="K1603" s="458" t="s">
        <v>33</v>
      </c>
      <c r="L1603" s="519">
        <f>M1603+N1603+O1603+P1603+Q1603</f>
        <v>3890563.39</v>
      </c>
      <c r="M1603" s="529">
        <v>3832500</v>
      </c>
      <c r="N1603" s="391"/>
      <c r="O1603" s="473">
        <v>21223.35</v>
      </c>
      <c r="P1603" s="391"/>
      <c r="Q1603" s="391">
        <v>36840.04</v>
      </c>
      <c r="R1603" s="528">
        <f>M1603/G1603</f>
        <v>3500</v>
      </c>
      <c r="S1603" s="388">
        <f t="shared" si="216"/>
        <v>1.3096723705530167E-10</v>
      </c>
      <c r="T1603" s="398"/>
      <c r="U1603" s="391"/>
      <c r="V1603" s="390"/>
      <c r="W1603" s="398"/>
      <c r="X1603" s="398"/>
    </row>
    <row r="1604" spans="1:27" s="416" customFormat="1" ht="37.5" hidden="1" customHeight="1">
      <c r="A1604" s="506">
        <f t="shared" si="217"/>
        <v>122</v>
      </c>
      <c r="B1604" s="403" t="s">
        <v>1455</v>
      </c>
      <c r="C1604" s="455" t="s">
        <v>272</v>
      </c>
      <c r="D1604" s="487">
        <v>20095</v>
      </c>
      <c r="E1604" s="391">
        <v>4160</v>
      </c>
      <c r="F1604" s="391" t="s">
        <v>234</v>
      </c>
      <c r="G1604" s="391">
        <v>583.6</v>
      </c>
      <c r="H1604" s="528">
        <v>12</v>
      </c>
      <c r="I1604" s="528">
        <v>1</v>
      </c>
      <c r="J1604" s="528">
        <v>80</v>
      </c>
      <c r="K1604" s="458" t="s">
        <v>33</v>
      </c>
      <c r="L1604" s="519">
        <f>M1604+N1604+O1604+P1604+Q1604+M1605+N1605+O1605+P1605+Q1605</f>
        <v>8331796</v>
      </c>
      <c r="M1604" s="529">
        <v>1232607</v>
      </c>
      <c r="N1604" s="391"/>
      <c r="O1604" s="473">
        <v>26594</v>
      </c>
      <c r="P1604" s="391"/>
      <c r="Q1604" s="391">
        <v>19900</v>
      </c>
      <c r="R1604" s="528">
        <f>M1604/G1604</f>
        <v>2112.0750514050719</v>
      </c>
      <c r="S1604" s="388">
        <f t="shared" si="216"/>
        <v>7052695</v>
      </c>
      <c r="T1604" s="398"/>
      <c r="U1604" s="391"/>
      <c r="V1604" s="390"/>
      <c r="W1604" s="398"/>
      <c r="X1604" s="398"/>
    </row>
    <row r="1605" spans="1:27" s="401" customFormat="1" ht="46.9" hidden="1" customHeight="1">
      <c r="A1605" s="506"/>
      <c r="B1605" s="404"/>
      <c r="C1605" s="455"/>
      <c r="D1605" s="487"/>
      <c r="E1605" s="391"/>
      <c r="F1605" s="391"/>
      <c r="G1605" s="391"/>
      <c r="H1605" s="528"/>
      <c r="I1605" s="528"/>
      <c r="J1605" s="528"/>
      <c r="K1605" s="458" t="s">
        <v>38</v>
      </c>
      <c r="L1605" s="519"/>
      <c r="M1605" s="529">
        <v>7000000</v>
      </c>
      <c r="N1605" s="391"/>
      <c r="O1605" s="473">
        <v>22695</v>
      </c>
      <c r="P1605" s="391"/>
      <c r="Q1605" s="391">
        <v>30000</v>
      </c>
      <c r="R1605" s="391">
        <f>M1605/E1604</f>
        <v>1682.6923076923076</v>
      </c>
      <c r="S1605" s="388">
        <f t="shared" si="216"/>
        <v>-7052695</v>
      </c>
      <c r="T1605" s="390"/>
      <c r="U1605" s="391"/>
      <c r="V1605" s="390"/>
      <c r="W1605" s="398"/>
      <c r="X1605" s="398"/>
    </row>
    <row r="1606" spans="1:27" s="416" customFormat="1" ht="37.5" hidden="1" customHeight="1">
      <c r="A1606" s="506">
        <f>A1604+1</f>
        <v>123</v>
      </c>
      <c r="B1606" s="403" t="s">
        <v>1456</v>
      </c>
      <c r="C1606" s="455" t="s">
        <v>218</v>
      </c>
      <c r="D1606" s="487">
        <v>14952</v>
      </c>
      <c r="E1606" s="391">
        <v>2125</v>
      </c>
      <c r="F1606" s="391" t="s">
        <v>223</v>
      </c>
      <c r="G1606" s="391">
        <v>1166</v>
      </c>
      <c r="H1606" s="528">
        <v>5</v>
      </c>
      <c r="I1606" s="528">
        <v>4</v>
      </c>
      <c r="J1606" s="528">
        <v>80</v>
      </c>
      <c r="K1606" s="458" t="s">
        <v>33</v>
      </c>
      <c r="L1606" s="519">
        <f>M1606+N1606+O1606+P1606+Q1606</f>
        <v>4142759</v>
      </c>
      <c r="M1606" s="529">
        <v>4081000</v>
      </c>
      <c r="N1606" s="391"/>
      <c r="O1606" s="473">
        <v>21759</v>
      </c>
      <c r="P1606" s="391"/>
      <c r="Q1606" s="391">
        <v>40000</v>
      </c>
      <c r="R1606" s="528">
        <f>M1606/G1606</f>
        <v>3500</v>
      </c>
      <c r="S1606" s="388">
        <f t="shared" si="216"/>
        <v>0</v>
      </c>
      <c r="T1606" s="398"/>
      <c r="U1606" s="391"/>
      <c r="V1606" s="390"/>
      <c r="W1606" s="398"/>
      <c r="X1606" s="398"/>
    </row>
    <row r="1607" spans="1:27" s="416" customFormat="1" ht="37.5" hidden="1" customHeight="1">
      <c r="A1607" s="506">
        <f t="shared" si="217"/>
        <v>124</v>
      </c>
      <c r="B1607" s="403" t="s">
        <v>1458</v>
      </c>
      <c r="C1607" s="455" t="s">
        <v>272</v>
      </c>
      <c r="D1607" s="487">
        <v>20724</v>
      </c>
      <c r="E1607" s="391">
        <v>3578</v>
      </c>
      <c r="F1607" s="391" t="s">
        <v>223</v>
      </c>
      <c r="G1607" s="391">
        <v>1789</v>
      </c>
      <c r="H1607" s="528">
        <v>5</v>
      </c>
      <c r="I1607" s="528">
        <v>6</v>
      </c>
      <c r="J1607" s="528">
        <v>96</v>
      </c>
      <c r="K1607" s="458" t="s">
        <v>33</v>
      </c>
      <c r="L1607" s="519">
        <f>M1607+N1607+O1607+P1607+Q1607</f>
        <v>6324265.5999999996</v>
      </c>
      <c r="M1607" s="529">
        <v>6261500</v>
      </c>
      <c r="N1607" s="391"/>
      <c r="O1607" s="473">
        <v>22965.599999999999</v>
      </c>
      <c r="P1607" s="391"/>
      <c r="Q1607" s="391">
        <v>39800</v>
      </c>
      <c r="R1607" s="528">
        <f>M1607/G1607</f>
        <v>3500</v>
      </c>
      <c r="S1607" s="388">
        <f t="shared" si="216"/>
        <v>-3.7107383832335472E-10</v>
      </c>
      <c r="T1607" s="398"/>
      <c r="U1607" s="391"/>
      <c r="V1607" s="390"/>
      <c r="W1607" s="398"/>
      <c r="X1607" s="398"/>
    </row>
    <row r="1608" spans="1:27" s="416" customFormat="1" ht="26.25" hidden="1" customHeight="1">
      <c r="A1608" s="543">
        <f>A1607+1</f>
        <v>125</v>
      </c>
      <c r="B1608" s="403" t="s">
        <v>1459</v>
      </c>
      <c r="C1608" s="455" t="s">
        <v>272</v>
      </c>
      <c r="D1608" s="487">
        <v>13366</v>
      </c>
      <c r="E1608" s="391">
        <v>2432</v>
      </c>
      <c r="F1608" s="391" t="s">
        <v>223</v>
      </c>
      <c r="G1608" s="391">
        <v>1216</v>
      </c>
      <c r="H1608" s="528">
        <v>5</v>
      </c>
      <c r="I1608" s="528">
        <v>4</v>
      </c>
      <c r="J1608" s="528">
        <v>70</v>
      </c>
      <c r="K1608" s="458" t="s">
        <v>33</v>
      </c>
      <c r="L1608" s="1129">
        <f>M1608+N1608+O1608+P1608+Q1608+M1609+N1609+O1609+P1609+Q1609</f>
        <v>6256135.4400000004</v>
      </c>
      <c r="M1608" s="529">
        <v>4256000</v>
      </c>
      <c r="N1608" s="391"/>
      <c r="O1608" s="473">
        <v>21191</v>
      </c>
      <c r="P1608" s="391"/>
      <c r="Q1608" s="391">
        <v>39800</v>
      </c>
      <c r="R1608" s="528">
        <f>M1608/G1608</f>
        <v>3500</v>
      </c>
      <c r="S1608" s="388">
        <f t="shared" si="216"/>
        <v>1939144.4400000004</v>
      </c>
      <c r="T1608" s="398"/>
      <c r="U1608" s="391"/>
      <c r="V1608" s="390"/>
      <c r="W1608" s="398"/>
      <c r="X1608" s="398"/>
    </row>
    <row r="1609" spans="1:27" s="416" customFormat="1" ht="56.25" hidden="1" customHeight="1">
      <c r="A1609" s="543"/>
      <c r="B1609" s="403"/>
      <c r="C1609" s="455"/>
      <c r="D1609" s="487"/>
      <c r="E1609" s="391"/>
      <c r="F1609" s="391"/>
      <c r="G1609" s="391"/>
      <c r="H1609" s="528"/>
      <c r="I1609" s="528"/>
      <c r="J1609" s="528"/>
      <c r="K1609" s="458" t="s">
        <v>30</v>
      </c>
      <c r="L1609" s="1129"/>
      <c r="M1609" s="529">
        <v>1890000</v>
      </c>
      <c r="N1609" s="391"/>
      <c r="O1609" s="473">
        <v>14825.5</v>
      </c>
      <c r="P1609" s="391"/>
      <c r="Q1609" s="391">
        <v>34318.94</v>
      </c>
      <c r="R1609" s="528">
        <f>M1609/J1608</f>
        <v>27000</v>
      </c>
      <c r="S1609" s="388">
        <f t="shared" si="216"/>
        <v>-1939144.44</v>
      </c>
      <c r="T1609" s="398"/>
      <c r="U1609" s="391"/>
      <c r="V1609" s="390"/>
      <c r="W1609" s="398"/>
      <c r="X1609" s="398"/>
      <c r="Z1609" s="416">
        <v>1</v>
      </c>
      <c r="AA1609" s="416">
        <v>70</v>
      </c>
    </row>
    <row r="1610" spans="1:27" s="416" customFormat="1" ht="37.5" hidden="1" customHeight="1">
      <c r="A1610" s="506">
        <f>A1608+1</f>
        <v>126</v>
      </c>
      <c r="B1610" s="403" t="s">
        <v>1461</v>
      </c>
      <c r="C1610" s="455" t="s">
        <v>218</v>
      </c>
      <c r="D1610" s="487">
        <v>48884.5</v>
      </c>
      <c r="E1610" s="391">
        <v>2260</v>
      </c>
      <c r="F1610" s="391" t="s">
        <v>223</v>
      </c>
      <c r="G1610" s="391">
        <v>1114</v>
      </c>
      <c r="H1610" s="528">
        <v>5</v>
      </c>
      <c r="I1610" s="528">
        <v>5</v>
      </c>
      <c r="J1610" s="528">
        <v>100</v>
      </c>
      <c r="K1610" s="458" t="s">
        <v>33</v>
      </c>
      <c r="L1610" s="519">
        <f t="shared" ref="L1610:L1624" si="218">M1610+N1610+O1610+P1610+Q1610</f>
        <v>3959687.04</v>
      </c>
      <c r="M1610" s="529">
        <v>3899000</v>
      </c>
      <c r="N1610" s="391"/>
      <c r="O1610" s="473">
        <v>20887.04</v>
      </c>
      <c r="P1610" s="391"/>
      <c r="Q1610" s="391">
        <v>39800</v>
      </c>
      <c r="R1610" s="528">
        <f>M1610/G1610</f>
        <v>3500</v>
      </c>
      <c r="S1610" s="388">
        <f t="shared" si="216"/>
        <v>0</v>
      </c>
      <c r="T1610" s="398"/>
      <c r="U1610" s="391"/>
      <c r="V1610" s="390"/>
      <c r="W1610" s="398"/>
      <c r="X1610" s="398"/>
    </row>
    <row r="1611" spans="1:27" s="416" customFormat="1" ht="37.5" hidden="1" customHeight="1">
      <c r="A1611" s="506">
        <f t="shared" ref="A1611:A1638" si="219">A1610+1</f>
        <v>127</v>
      </c>
      <c r="B1611" s="403" t="s">
        <v>1462</v>
      </c>
      <c r="C1611" s="455" t="s">
        <v>218</v>
      </c>
      <c r="D1611" s="487">
        <v>5214.3</v>
      </c>
      <c r="E1611" s="391">
        <v>2260</v>
      </c>
      <c r="F1611" s="391" t="s">
        <v>223</v>
      </c>
      <c r="G1611" s="391">
        <v>1500</v>
      </c>
      <c r="H1611" s="528">
        <v>5</v>
      </c>
      <c r="I1611" s="528">
        <v>5</v>
      </c>
      <c r="J1611" s="528">
        <v>100</v>
      </c>
      <c r="K1611" s="458" t="s">
        <v>33</v>
      </c>
      <c r="L1611" s="519">
        <f t="shared" si="218"/>
        <v>4837666.75</v>
      </c>
      <c r="M1611" s="529">
        <v>4800000</v>
      </c>
      <c r="N1611" s="391"/>
      <c r="O1611" s="473">
        <v>21590.51</v>
      </c>
      <c r="P1611" s="391"/>
      <c r="Q1611" s="391">
        <v>16076.24</v>
      </c>
      <c r="R1611" s="528">
        <f>M1611/G1611</f>
        <v>3200</v>
      </c>
      <c r="S1611" s="388">
        <f t="shared" si="216"/>
        <v>0</v>
      </c>
      <c r="T1611" s="398"/>
      <c r="U1611" s="391"/>
      <c r="V1611" s="390"/>
      <c r="W1611" s="398"/>
      <c r="X1611" s="398"/>
    </row>
    <row r="1612" spans="1:27" s="416" customFormat="1" ht="37.5" hidden="1" customHeight="1">
      <c r="A1612" s="506">
        <f t="shared" si="219"/>
        <v>128</v>
      </c>
      <c r="B1612" s="403" t="s">
        <v>1463</v>
      </c>
      <c r="C1612" s="455" t="s">
        <v>272</v>
      </c>
      <c r="D1612" s="487">
        <v>20456</v>
      </c>
      <c r="E1612" s="391">
        <v>2970</v>
      </c>
      <c r="F1612" s="391" t="s">
        <v>234</v>
      </c>
      <c r="G1612" s="391">
        <v>785</v>
      </c>
      <c r="H1612" s="528">
        <v>10</v>
      </c>
      <c r="I1612" s="528">
        <v>2</v>
      </c>
      <c r="J1612" s="528">
        <v>80</v>
      </c>
      <c r="K1612" s="458" t="s">
        <v>225</v>
      </c>
      <c r="L1612" s="519">
        <f t="shared" si="218"/>
        <v>1951869.33</v>
      </c>
      <c r="M1612" s="529">
        <v>1900000</v>
      </c>
      <c r="N1612" s="391">
        <v>34662.82</v>
      </c>
      <c r="O1612" s="530"/>
      <c r="P1612" s="391"/>
      <c r="Q1612" s="391">
        <v>17206.509999999998</v>
      </c>
      <c r="R1612" s="528">
        <f>M1612/J1612</f>
        <v>23750</v>
      </c>
      <c r="S1612" s="388">
        <f t="shared" si="216"/>
        <v>7.6397554948925972E-11</v>
      </c>
      <c r="T1612" s="398"/>
      <c r="U1612" s="391">
        <f>M1612+N1612+O1612+Q1612</f>
        <v>1951869.33</v>
      </c>
      <c r="V1612" s="390"/>
      <c r="W1612" s="398"/>
      <c r="X1612" s="398"/>
    </row>
    <row r="1613" spans="1:27" s="416" customFormat="1" ht="37.5" hidden="1" customHeight="1">
      <c r="A1613" s="506">
        <f t="shared" si="219"/>
        <v>129</v>
      </c>
      <c r="B1613" s="403" t="s">
        <v>1464</v>
      </c>
      <c r="C1613" s="455" t="s">
        <v>218</v>
      </c>
      <c r="D1613" s="487">
        <v>6191</v>
      </c>
      <c r="E1613" s="391">
        <v>1510</v>
      </c>
      <c r="F1613" s="391" t="s">
        <v>223</v>
      </c>
      <c r="G1613" s="391">
        <v>900</v>
      </c>
      <c r="H1613" s="528">
        <v>5</v>
      </c>
      <c r="I1613" s="528">
        <v>2</v>
      </c>
      <c r="J1613" s="528">
        <v>93</v>
      </c>
      <c r="K1613" s="458" t="s">
        <v>285</v>
      </c>
      <c r="L1613" s="1129">
        <f>M1613+N1613+O1613+P1613+Q1613+M1614+N1614+O1614+Q1614</f>
        <v>7293482.7699999996</v>
      </c>
      <c r="M1613" s="529">
        <v>4530000</v>
      </c>
      <c r="N1613" s="391">
        <v>27360.51</v>
      </c>
      <c r="O1613" s="530"/>
      <c r="P1613" s="391"/>
      <c r="Q1613" s="391">
        <v>24483.26</v>
      </c>
      <c r="R1613" s="528">
        <f>M1613/E1613</f>
        <v>3000</v>
      </c>
      <c r="S1613" s="388">
        <f t="shared" si="216"/>
        <v>2711639</v>
      </c>
      <c r="T1613" s="398"/>
      <c r="U1613" s="391"/>
      <c r="V1613" s="390"/>
      <c r="W1613" s="398"/>
      <c r="X1613" s="398"/>
    </row>
    <row r="1614" spans="1:27" s="416" customFormat="1" ht="37.5" hidden="1" customHeight="1">
      <c r="A1614" s="506"/>
      <c r="B1614" s="403"/>
      <c r="C1614" s="455"/>
      <c r="D1614" s="487"/>
      <c r="E1614" s="391"/>
      <c r="F1614" s="391"/>
      <c r="G1614" s="391"/>
      <c r="H1614" s="528"/>
      <c r="I1614" s="528"/>
      <c r="J1614" s="528"/>
      <c r="K1614" s="458" t="s">
        <v>33</v>
      </c>
      <c r="L1614" s="1129"/>
      <c r="M1614" s="529">
        <v>2700000</v>
      </c>
      <c r="N1614" s="391"/>
      <c r="O1614" s="530">
        <v>11639</v>
      </c>
      <c r="P1614" s="391"/>
      <c r="Q1614" s="391"/>
      <c r="R1614" s="528"/>
      <c r="S1614" s="388">
        <f t="shared" si="216"/>
        <v>-2711639</v>
      </c>
      <c r="T1614" s="398"/>
      <c r="U1614" s="391"/>
      <c r="V1614" s="390"/>
      <c r="W1614" s="398"/>
      <c r="X1614" s="398"/>
    </row>
    <row r="1615" spans="1:27" s="416" customFormat="1" ht="56.25" hidden="1" customHeight="1">
      <c r="A1615" s="506">
        <f>A1613+1</f>
        <v>130</v>
      </c>
      <c r="B1615" s="403" t="s">
        <v>1469</v>
      </c>
      <c r="C1615" s="455" t="s">
        <v>272</v>
      </c>
      <c r="D1615" s="487">
        <v>12790</v>
      </c>
      <c r="E1615" s="391">
        <v>2439</v>
      </c>
      <c r="F1615" s="391" t="s">
        <v>223</v>
      </c>
      <c r="G1615" s="391">
        <v>1163</v>
      </c>
      <c r="H1615" s="528">
        <v>5</v>
      </c>
      <c r="I1615" s="528">
        <v>3</v>
      </c>
      <c r="J1615" s="528">
        <v>60</v>
      </c>
      <c r="K1615" s="458" t="s">
        <v>30</v>
      </c>
      <c r="L1615" s="519">
        <f t="shared" si="218"/>
        <v>1662043.63</v>
      </c>
      <c r="M1615" s="529">
        <v>1620000</v>
      </c>
      <c r="N1615" s="391"/>
      <c r="O1615" s="473">
        <v>14681.23</v>
      </c>
      <c r="P1615" s="391"/>
      <c r="Q1615" s="391">
        <v>27362.400000000001</v>
      </c>
      <c r="R1615" s="528">
        <f>M1615/J1615</f>
        <v>27000</v>
      </c>
      <c r="S1615" s="388">
        <f t="shared" si="216"/>
        <v>-1.127773430198431E-10</v>
      </c>
      <c r="T1615" s="398"/>
      <c r="U1615" s="391"/>
      <c r="V1615" s="390"/>
      <c r="W1615" s="398"/>
      <c r="X1615" s="398"/>
      <c r="Z1615" s="416">
        <v>1</v>
      </c>
      <c r="AA1615" s="416">
        <f>J1615</f>
        <v>60</v>
      </c>
    </row>
    <row r="1616" spans="1:27" s="416" customFormat="1" ht="31.5" hidden="1" customHeight="1">
      <c r="A1616" s="506">
        <f t="shared" si="219"/>
        <v>131</v>
      </c>
      <c r="B1616" s="403" t="s">
        <v>1442</v>
      </c>
      <c r="C1616" s="455" t="s">
        <v>218</v>
      </c>
      <c r="D1616" s="487">
        <v>62625</v>
      </c>
      <c r="E1616" s="391">
        <v>11344.5</v>
      </c>
      <c r="F1616" s="391" t="s">
        <v>234</v>
      </c>
      <c r="G1616" s="391">
        <v>2688</v>
      </c>
      <c r="H1616" s="528">
        <v>9</v>
      </c>
      <c r="I1616" s="528">
        <v>6</v>
      </c>
      <c r="J1616" s="528">
        <v>324</v>
      </c>
      <c r="K1616" s="458" t="s">
        <v>33</v>
      </c>
      <c r="L1616" s="519">
        <f t="shared" si="218"/>
        <v>5689549</v>
      </c>
      <c r="M1616" s="529">
        <v>5644800</v>
      </c>
      <c r="N1616" s="391"/>
      <c r="O1616" s="473">
        <v>24849</v>
      </c>
      <c r="P1616" s="391"/>
      <c r="Q1616" s="391">
        <v>19900</v>
      </c>
      <c r="R1616" s="528">
        <f>M1616/G1616</f>
        <v>2100</v>
      </c>
      <c r="S1616" s="388">
        <f t="shared" si="216"/>
        <v>0</v>
      </c>
      <c r="T1616" s="398"/>
      <c r="U1616" s="391"/>
      <c r="V1616" s="390"/>
      <c r="W1616" s="398"/>
      <c r="X1616" s="398"/>
    </row>
    <row r="1617" spans="1:27" s="416" customFormat="1" ht="56.25" hidden="1" customHeight="1">
      <c r="A1617" s="506">
        <f t="shared" si="219"/>
        <v>132</v>
      </c>
      <c r="B1617" s="403" t="s">
        <v>1471</v>
      </c>
      <c r="C1617" s="455" t="s">
        <v>272</v>
      </c>
      <c r="D1617" s="487">
        <v>16429</v>
      </c>
      <c r="E1617" s="391">
        <v>1420</v>
      </c>
      <c r="F1617" s="391" t="s">
        <v>234</v>
      </c>
      <c r="G1617" s="391">
        <v>1270</v>
      </c>
      <c r="H1617" s="528">
        <v>5</v>
      </c>
      <c r="I1617" s="528">
        <v>1</v>
      </c>
      <c r="J1617" s="528">
        <v>191</v>
      </c>
      <c r="K1617" s="458" t="s">
        <v>30</v>
      </c>
      <c r="L1617" s="519">
        <f t="shared" si="218"/>
        <v>4826432.9400000004</v>
      </c>
      <c r="M1617" s="529">
        <v>4776443</v>
      </c>
      <c r="N1617" s="391"/>
      <c r="O1617" s="473">
        <v>15671</v>
      </c>
      <c r="P1617" s="391"/>
      <c r="Q1617" s="391">
        <v>34318.94</v>
      </c>
      <c r="R1617" s="528">
        <f>M1617/J1617</f>
        <v>25007.554973821989</v>
      </c>
      <c r="S1617" s="388">
        <f t="shared" si="216"/>
        <v>4.0745362639427185E-10</v>
      </c>
      <c r="T1617" s="398"/>
      <c r="U1617" s="391"/>
      <c r="V1617" s="390"/>
      <c r="W1617" s="398"/>
      <c r="X1617" s="398"/>
      <c r="Z1617" s="416">
        <v>1</v>
      </c>
      <c r="AA1617" s="416">
        <f>J1617</f>
        <v>191</v>
      </c>
    </row>
    <row r="1618" spans="1:27" s="416" customFormat="1" ht="37.5" hidden="1" customHeight="1">
      <c r="A1618" s="506">
        <f t="shared" si="219"/>
        <v>133</v>
      </c>
      <c r="B1618" s="403" t="s">
        <v>1473</v>
      </c>
      <c r="C1618" s="455" t="s">
        <v>272</v>
      </c>
      <c r="D1618" s="487">
        <v>5235</v>
      </c>
      <c r="E1618" s="391">
        <v>452.1</v>
      </c>
      <c r="F1618" s="391" t="s">
        <v>223</v>
      </c>
      <c r="G1618" s="391">
        <v>565</v>
      </c>
      <c r="H1618" s="528">
        <v>4</v>
      </c>
      <c r="I1618" s="528">
        <v>2</v>
      </c>
      <c r="J1618" s="528">
        <v>30</v>
      </c>
      <c r="K1618" s="458" t="s">
        <v>33</v>
      </c>
      <c r="L1618" s="519">
        <f t="shared" si="218"/>
        <v>2012957.98</v>
      </c>
      <c r="M1618" s="529">
        <v>1977500</v>
      </c>
      <c r="N1618" s="391"/>
      <c r="O1618" s="473">
        <v>19317.919999999998</v>
      </c>
      <c r="P1618" s="391"/>
      <c r="Q1618" s="391">
        <v>16140.06</v>
      </c>
      <c r="R1618" s="528">
        <f>M1618/G1618</f>
        <v>3500</v>
      </c>
      <c r="S1618" s="388">
        <f t="shared" si="216"/>
        <v>-1.6370904631912708E-11</v>
      </c>
      <c r="T1618" s="398"/>
      <c r="U1618" s="391"/>
      <c r="V1618" s="390"/>
      <c r="W1618" s="398"/>
      <c r="X1618" s="398"/>
    </row>
    <row r="1619" spans="1:27" s="416" customFormat="1" ht="37.5" hidden="1" customHeight="1">
      <c r="A1619" s="506">
        <f t="shared" si="219"/>
        <v>134</v>
      </c>
      <c r="B1619" s="403" t="s">
        <v>1474</v>
      </c>
      <c r="C1619" s="455" t="s">
        <v>218</v>
      </c>
      <c r="D1619" s="487">
        <v>15703</v>
      </c>
      <c r="E1619" s="391">
        <v>3067.05</v>
      </c>
      <c r="F1619" s="391" t="s">
        <v>234</v>
      </c>
      <c r="G1619" s="391">
        <v>683.4</v>
      </c>
      <c r="H1619" s="528">
        <v>9</v>
      </c>
      <c r="I1619" s="528">
        <v>2</v>
      </c>
      <c r="J1619" s="528">
        <v>67</v>
      </c>
      <c r="K1619" s="458" t="s">
        <v>285</v>
      </c>
      <c r="L1619" s="519">
        <f t="shared" si="218"/>
        <v>8262651.1900000004</v>
      </c>
      <c r="M1619" s="529">
        <v>8201150</v>
      </c>
      <c r="N1619" s="391">
        <v>31801.19</v>
      </c>
      <c r="O1619" s="530"/>
      <c r="P1619" s="391"/>
      <c r="Q1619" s="391">
        <v>29700</v>
      </c>
      <c r="R1619" s="528">
        <f>M1619/E1619</f>
        <v>2673.9537992533542</v>
      </c>
      <c r="S1619" s="388">
        <f t="shared" si="216"/>
        <v>4.1109160520136356E-10</v>
      </c>
      <c r="T1619" s="398"/>
      <c r="U1619" s="391"/>
      <c r="V1619" s="390"/>
      <c r="W1619" s="398"/>
      <c r="X1619" s="398"/>
    </row>
    <row r="1620" spans="1:27" s="416" customFormat="1" ht="37.5" hidden="1" customHeight="1">
      <c r="A1620" s="506">
        <f t="shared" si="219"/>
        <v>135</v>
      </c>
      <c r="B1620" s="403" t="s">
        <v>1475</v>
      </c>
      <c r="C1620" s="455" t="s">
        <v>218</v>
      </c>
      <c r="D1620" s="487">
        <v>12509</v>
      </c>
      <c r="E1620" s="391">
        <v>2435</v>
      </c>
      <c r="F1620" s="391" t="s">
        <v>223</v>
      </c>
      <c r="G1620" s="391">
        <v>1136</v>
      </c>
      <c r="H1620" s="528">
        <v>5</v>
      </c>
      <c r="I1620" s="528">
        <v>4</v>
      </c>
      <c r="J1620" s="528">
        <v>80</v>
      </c>
      <c r="K1620" s="458" t="s">
        <v>225</v>
      </c>
      <c r="L1620" s="519">
        <f t="shared" si="218"/>
        <v>1464190.24</v>
      </c>
      <c r="M1620" s="529">
        <v>1412900</v>
      </c>
      <c r="N1620" s="391">
        <v>32144.47</v>
      </c>
      <c r="O1620" s="530"/>
      <c r="P1620" s="391"/>
      <c r="Q1620" s="391">
        <v>19145.77</v>
      </c>
      <c r="R1620" s="528">
        <f>M1620/J1620</f>
        <v>17661.25</v>
      </c>
      <c r="S1620" s="388">
        <f t="shared" si="216"/>
        <v>0</v>
      </c>
      <c r="T1620" s="398"/>
      <c r="U1620" s="391">
        <f>M1620+N1620+O1620+Q1620</f>
        <v>1464190.24</v>
      </c>
      <c r="V1620" s="390"/>
      <c r="W1620" s="398"/>
      <c r="X1620" s="398"/>
    </row>
    <row r="1621" spans="1:27" ht="37.5" hidden="1" customHeight="1">
      <c r="A1621" s="506">
        <f t="shared" si="219"/>
        <v>136</v>
      </c>
      <c r="B1621" s="427" t="s">
        <v>3662</v>
      </c>
      <c r="C1621" s="455" t="s">
        <v>272</v>
      </c>
      <c r="D1621" s="532">
        <v>10517</v>
      </c>
      <c r="E1621" s="391">
        <v>320</v>
      </c>
      <c r="F1621" s="539" t="s">
        <v>223</v>
      </c>
      <c r="G1621" s="535">
        <v>1086</v>
      </c>
      <c r="H1621" s="536">
        <v>3</v>
      </c>
      <c r="I1621" s="536">
        <v>3</v>
      </c>
      <c r="J1621" s="536">
        <v>18</v>
      </c>
      <c r="K1621" s="458" t="s">
        <v>225</v>
      </c>
      <c r="L1621" s="529">
        <f t="shared" si="218"/>
        <v>554549.71000000008</v>
      </c>
      <c r="M1621" s="538">
        <v>521762.5</v>
      </c>
      <c r="N1621" s="539">
        <v>25061.06</v>
      </c>
      <c r="O1621" s="540"/>
      <c r="P1621" s="388"/>
      <c r="Q1621" s="541">
        <v>7726.15</v>
      </c>
      <c r="R1621" s="528">
        <f>M1621/J1621</f>
        <v>28986.805555555555</v>
      </c>
      <c r="S1621" s="388">
        <f t="shared" si="216"/>
        <v>7.8216544352471828E-11</v>
      </c>
      <c r="T1621" s="389"/>
      <c r="U1621" s="391">
        <f>M1621+N1621+O1621+Q1621</f>
        <v>554549.71000000008</v>
      </c>
      <c r="V1621" s="390"/>
      <c r="W1621" s="398"/>
      <c r="X1621" s="398"/>
    </row>
    <row r="1622" spans="1:27" s="416" customFormat="1" ht="37.5" hidden="1" customHeight="1">
      <c r="A1622" s="506">
        <f t="shared" si="219"/>
        <v>137</v>
      </c>
      <c r="B1622" s="403" t="s">
        <v>1476</v>
      </c>
      <c r="C1622" s="455" t="s">
        <v>218</v>
      </c>
      <c r="D1622" s="487">
        <v>21969</v>
      </c>
      <c r="E1622" s="391">
        <v>1321.2</v>
      </c>
      <c r="F1622" s="391" t="s">
        <v>223</v>
      </c>
      <c r="G1622" s="391">
        <v>1652</v>
      </c>
      <c r="H1622" s="528">
        <v>5</v>
      </c>
      <c r="I1622" s="528">
        <v>6</v>
      </c>
      <c r="J1622" s="528">
        <v>113</v>
      </c>
      <c r="K1622" s="458" t="s">
        <v>33</v>
      </c>
      <c r="L1622" s="519">
        <f t="shared" si="218"/>
        <v>5844440.2300000004</v>
      </c>
      <c r="M1622" s="529">
        <v>5782000</v>
      </c>
      <c r="N1622" s="391"/>
      <c r="O1622" s="473">
        <v>22640.23</v>
      </c>
      <c r="P1622" s="391"/>
      <c r="Q1622" s="391">
        <v>39800</v>
      </c>
      <c r="R1622" s="528">
        <f>M1622/G1622</f>
        <v>3500</v>
      </c>
      <c r="S1622" s="388">
        <f t="shared" si="216"/>
        <v>4.5110937207937241E-10</v>
      </c>
      <c r="T1622" s="398"/>
      <c r="U1622" s="391"/>
      <c r="V1622" s="390"/>
      <c r="W1622" s="398"/>
      <c r="X1622" s="398"/>
    </row>
    <row r="1623" spans="1:27" s="416" customFormat="1" ht="67.5" hidden="1" customHeight="1">
      <c r="A1623" s="506">
        <f t="shared" si="219"/>
        <v>138</v>
      </c>
      <c r="B1623" s="403" t="s">
        <v>1477</v>
      </c>
      <c r="C1623" s="455" t="s">
        <v>272</v>
      </c>
      <c r="D1623" s="487">
        <v>12618</v>
      </c>
      <c r="E1623" s="391">
        <v>2001</v>
      </c>
      <c r="F1623" s="391" t="s">
        <v>234</v>
      </c>
      <c r="G1623" s="391">
        <v>1147</v>
      </c>
      <c r="H1623" s="528">
        <v>5</v>
      </c>
      <c r="I1623" s="528">
        <v>4</v>
      </c>
      <c r="J1623" s="528">
        <v>79</v>
      </c>
      <c r="K1623" s="458" t="s">
        <v>3880</v>
      </c>
      <c r="L1623" s="519">
        <f t="shared" si="218"/>
        <v>5089303.7300000004</v>
      </c>
      <c r="M1623" s="391">
        <v>5041689</v>
      </c>
      <c r="N1623" s="391">
        <v>27714.73</v>
      </c>
      <c r="O1623" s="530"/>
      <c r="P1623" s="391"/>
      <c r="Q1623" s="391">
        <v>19900</v>
      </c>
      <c r="R1623" s="446">
        <f>M1623/G1623</f>
        <v>4395.5440278988663</v>
      </c>
      <c r="S1623" s="388">
        <f t="shared" si="216"/>
        <v>4.4747139327228069E-10</v>
      </c>
      <c r="T1623" s="398"/>
      <c r="U1623" s="391"/>
      <c r="V1623" s="390"/>
      <c r="W1623" s="398"/>
      <c r="X1623" s="398"/>
    </row>
    <row r="1624" spans="1:27" s="416" customFormat="1" ht="37.5" hidden="1" customHeight="1">
      <c r="A1624" s="506">
        <f t="shared" si="219"/>
        <v>139</v>
      </c>
      <c r="B1624" s="403" t="s">
        <v>1478</v>
      </c>
      <c r="C1624" s="455" t="s">
        <v>272</v>
      </c>
      <c r="D1624" s="487">
        <v>9849</v>
      </c>
      <c r="E1624" s="391">
        <v>695.5</v>
      </c>
      <c r="F1624" s="391" t="s">
        <v>223</v>
      </c>
      <c r="G1624" s="391">
        <v>908</v>
      </c>
      <c r="H1624" s="528">
        <v>5</v>
      </c>
      <c r="I1624" s="528">
        <v>3</v>
      </c>
      <c r="J1624" s="528">
        <v>60</v>
      </c>
      <c r="K1624" s="458" t="s">
        <v>33</v>
      </c>
      <c r="L1624" s="519">
        <f t="shared" si="218"/>
        <v>2594096</v>
      </c>
      <c r="M1624" s="529">
        <v>2542400</v>
      </c>
      <c r="N1624" s="391"/>
      <c r="O1624" s="473">
        <v>21178</v>
      </c>
      <c r="P1624" s="391"/>
      <c r="Q1624" s="391">
        <v>30518</v>
      </c>
      <c r="R1624" s="528">
        <f>M1624/J1624</f>
        <v>42373.333333333336</v>
      </c>
      <c r="S1624" s="388">
        <f t="shared" si="216"/>
        <v>0</v>
      </c>
      <c r="T1624" s="398"/>
      <c r="U1624" s="391"/>
      <c r="V1624" s="390"/>
      <c r="W1624" s="398"/>
      <c r="X1624" s="398"/>
    </row>
    <row r="1625" spans="1:27" s="416" customFormat="1" ht="56.25" hidden="1" customHeight="1">
      <c r="A1625" s="543">
        <f>A1624+1</f>
        <v>140</v>
      </c>
      <c r="B1625" s="403" t="s">
        <v>1482</v>
      </c>
      <c r="C1625" s="455" t="s">
        <v>272</v>
      </c>
      <c r="D1625" s="487">
        <v>17501</v>
      </c>
      <c r="E1625" s="391">
        <v>3250</v>
      </c>
      <c r="F1625" s="391" t="s">
        <v>223</v>
      </c>
      <c r="G1625" s="391">
        <v>1649.1</v>
      </c>
      <c r="H1625" s="528">
        <v>4</v>
      </c>
      <c r="I1625" s="528">
        <v>4</v>
      </c>
      <c r="J1625" s="528">
        <v>39</v>
      </c>
      <c r="K1625" s="458" t="s">
        <v>30</v>
      </c>
      <c r="L1625" s="1129">
        <f>M1625+N1625+O1625+P1625+Q1625+M1626+N1626+O1626+P1626+Q1626+M1627+N1627+O1627+Q1627</f>
        <v>11327811.699999999</v>
      </c>
      <c r="M1625" s="529">
        <v>1200000</v>
      </c>
      <c r="N1625" s="391"/>
      <c r="O1625" s="530">
        <v>12795</v>
      </c>
      <c r="P1625" s="391"/>
      <c r="Q1625" s="388">
        <v>39800</v>
      </c>
      <c r="R1625" s="528">
        <f>M1625/J1625</f>
        <v>30769.23076923077</v>
      </c>
      <c r="S1625" s="388">
        <f t="shared" si="216"/>
        <v>10075216.699999999</v>
      </c>
      <c r="T1625" s="398"/>
      <c r="U1625" s="391"/>
      <c r="V1625" s="390"/>
      <c r="W1625" s="398"/>
      <c r="X1625" s="398"/>
      <c r="Z1625" s="416">
        <v>1</v>
      </c>
      <c r="AA1625" s="416">
        <f>J1625</f>
        <v>39</v>
      </c>
    </row>
    <row r="1626" spans="1:27" s="416" customFormat="1" ht="30" hidden="1" customHeight="1">
      <c r="A1626" s="543"/>
      <c r="B1626" s="403"/>
      <c r="C1626" s="455"/>
      <c r="D1626" s="487"/>
      <c r="E1626" s="391"/>
      <c r="F1626" s="391"/>
      <c r="G1626" s="391"/>
      <c r="H1626" s="528"/>
      <c r="I1626" s="528"/>
      <c r="J1626" s="528"/>
      <c r="K1626" s="458" t="s">
        <v>38</v>
      </c>
      <c r="L1626" s="1129"/>
      <c r="M1626" s="529">
        <v>5395140</v>
      </c>
      <c r="N1626" s="391"/>
      <c r="O1626" s="530">
        <v>15922</v>
      </c>
      <c r="P1626" s="391"/>
      <c r="Q1626" s="388">
        <v>29700</v>
      </c>
      <c r="R1626" s="528">
        <f>M1626/E1625</f>
        <v>1660.043076923077</v>
      </c>
      <c r="S1626" s="388">
        <f t="shared" si="216"/>
        <v>-5440762</v>
      </c>
      <c r="T1626" s="398"/>
      <c r="U1626" s="391"/>
      <c r="V1626" s="390"/>
      <c r="W1626" s="398"/>
      <c r="X1626" s="398"/>
    </row>
    <row r="1627" spans="1:27" s="416" customFormat="1" ht="30" hidden="1" customHeight="1">
      <c r="A1627" s="543"/>
      <c r="B1627" s="403"/>
      <c r="C1627" s="455"/>
      <c r="D1627" s="487"/>
      <c r="E1627" s="391"/>
      <c r="F1627" s="391"/>
      <c r="G1627" s="391"/>
      <c r="H1627" s="528">
        <v>4</v>
      </c>
      <c r="I1627" s="528">
        <v>4</v>
      </c>
      <c r="J1627" s="528"/>
      <c r="K1627" s="458" t="s">
        <v>33</v>
      </c>
      <c r="L1627" s="519"/>
      <c r="M1627" s="529">
        <v>4617480</v>
      </c>
      <c r="N1627" s="391"/>
      <c r="O1627" s="530">
        <v>16974.7</v>
      </c>
      <c r="P1627" s="391"/>
      <c r="Q1627" s="388"/>
      <c r="R1627" s="528"/>
      <c r="S1627" s="388">
        <f t="shared" si="216"/>
        <v>-4634454.7</v>
      </c>
      <c r="T1627" s="398"/>
      <c r="U1627" s="391"/>
      <c r="V1627" s="390"/>
      <c r="W1627" s="398"/>
      <c r="X1627" s="398"/>
    </row>
    <row r="1628" spans="1:27" s="416" customFormat="1" ht="37.5" hidden="1" customHeight="1">
      <c r="A1628" s="506">
        <f>A1625+1</f>
        <v>141</v>
      </c>
      <c r="B1628" s="403" t="s">
        <v>1483</v>
      </c>
      <c r="C1628" s="455" t="s">
        <v>272</v>
      </c>
      <c r="D1628" s="487">
        <v>12402</v>
      </c>
      <c r="E1628" s="391">
        <v>1560</v>
      </c>
      <c r="F1628" s="391" t="s">
        <v>223</v>
      </c>
      <c r="G1628" s="391">
        <v>1144</v>
      </c>
      <c r="H1628" s="528">
        <v>5</v>
      </c>
      <c r="I1628" s="528">
        <v>4</v>
      </c>
      <c r="J1628" s="528">
        <v>76</v>
      </c>
      <c r="K1628" s="458" t="s">
        <v>33</v>
      </c>
      <c r="L1628" s="519">
        <f>M1628+N1628+O1628+P1628+Q1628</f>
        <v>4063627.21</v>
      </c>
      <c r="M1628" s="529">
        <v>4004000</v>
      </c>
      <c r="N1628" s="391"/>
      <c r="O1628" s="473">
        <v>21390.51</v>
      </c>
      <c r="P1628" s="391"/>
      <c r="Q1628" s="391">
        <v>38236.699999999997</v>
      </c>
      <c r="R1628" s="528">
        <f>M1628/G1628</f>
        <v>3500</v>
      </c>
      <c r="S1628" s="388">
        <f t="shared" si="216"/>
        <v>0</v>
      </c>
      <c r="T1628" s="398"/>
      <c r="U1628" s="391"/>
      <c r="V1628" s="390"/>
      <c r="W1628" s="398"/>
      <c r="X1628" s="398"/>
    </row>
    <row r="1629" spans="1:27" s="416" customFormat="1" ht="37.5" hidden="1" customHeight="1">
      <c r="A1629" s="506">
        <f>A1628+1</f>
        <v>142</v>
      </c>
      <c r="B1629" s="403" t="s">
        <v>1479</v>
      </c>
      <c r="C1629" s="544" t="s">
        <v>272</v>
      </c>
      <c r="D1629" s="545">
        <v>12165</v>
      </c>
      <c r="E1629" s="391">
        <v>2180.6</v>
      </c>
      <c r="F1629" s="391" t="s">
        <v>223</v>
      </c>
      <c r="G1629" s="391">
        <v>1285</v>
      </c>
      <c r="H1629" s="446">
        <v>4</v>
      </c>
      <c r="I1629" s="528">
        <v>4</v>
      </c>
      <c r="J1629" s="528">
        <v>63</v>
      </c>
      <c r="K1629" s="504" t="s">
        <v>33</v>
      </c>
      <c r="L1629" s="529">
        <f>SUM(M1629:Q1629)</f>
        <v>4555263.21</v>
      </c>
      <c r="M1629" s="529">
        <v>4497500</v>
      </c>
      <c r="N1629" s="391"/>
      <c r="O1629" s="530">
        <v>20257.21</v>
      </c>
      <c r="P1629" s="809"/>
      <c r="Q1629" s="391">
        <v>37506</v>
      </c>
      <c r="R1629" s="446">
        <f>M1629/G1629</f>
        <v>3500</v>
      </c>
      <c r="S1629" s="388">
        <f t="shared" si="216"/>
        <v>0</v>
      </c>
      <c r="T1629" s="398"/>
      <c r="U1629" s="391"/>
      <c r="V1629" s="390"/>
      <c r="W1629" s="398"/>
      <c r="X1629" s="398"/>
    </row>
    <row r="1630" spans="1:27" s="416" customFormat="1" ht="56.25" hidden="1" customHeight="1">
      <c r="A1630" s="543">
        <f>A1629+1</f>
        <v>143</v>
      </c>
      <c r="B1630" s="403" t="s">
        <v>1480</v>
      </c>
      <c r="C1630" s="455" t="s">
        <v>272</v>
      </c>
      <c r="D1630" s="487">
        <v>5351</v>
      </c>
      <c r="E1630" s="391">
        <v>1232.0999999999999</v>
      </c>
      <c r="F1630" s="391" t="s">
        <v>223</v>
      </c>
      <c r="G1630" s="391">
        <v>652</v>
      </c>
      <c r="H1630" s="528">
        <v>4</v>
      </c>
      <c r="I1630" s="528">
        <v>2</v>
      </c>
      <c r="J1630" s="528">
        <v>32</v>
      </c>
      <c r="K1630" s="458" t="s">
        <v>30</v>
      </c>
      <c r="L1630" s="1129">
        <f>M1630+N1630+O1630+P1630+Q1630+M1631+N1631+O1631+P1631+Q1631</f>
        <v>2701358.83</v>
      </c>
      <c r="M1630" s="529">
        <v>471235</v>
      </c>
      <c r="N1630" s="391"/>
      <c r="O1630" s="530">
        <v>12917.09</v>
      </c>
      <c r="P1630" s="391"/>
      <c r="Q1630" s="388">
        <v>21333.4</v>
      </c>
      <c r="R1630" s="528">
        <f>M1630/J1630</f>
        <v>14726.09375</v>
      </c>
      <c r="S1630" s="388">
        <f t="shared" si="216"/>
        <v>2195873.3400000003</v>
      </c>
      <c r="T1630" s="398"/>
      <c r="U1630" s="391"/>
      <c r="V1630" s="390"/>
      <c r="W1630" s="398"/>
      <c r="X1630" s="398"/>
      <c r="Z1630" s="416">
        <v>1</v>
      </c>
      <c r="AA1630" s="416">
        <f>J1630</f>
        <v>32</v>
      </c>
    </row>
    <row r="1631" spans="1:27" s="416" customFormat="1" ht="43.5" hidden="1" customHeight="1">
      <c r="A1631" s="543"/>
      <c r="B1631" s="403"/>
      <c r="C1631" s="455"/>
      <c r="D1631" s="487"/>
      <c r="E1631" s="391">
        <v>1232.0999999999999</v>
      </c>
      <c r="F1631" s="391" t="s">
        <v>223</v>
      </c>
      <c r="G1631" s="391">
        <v>652</v>
      </c>
      <c r="H1631" s="528">
        <v>4</v>
      </c>
      <c r="I1631" s="528">
        <v>2</v>
      </c>
      <c r="J1631" s="528">
        <v>32</v>
      </c>
      <c r="K1631" s="458" t="s">
        <v>33</v>
      </c>
      <c r="L1631" s="1129"/>
      <c r="M1631" s="529">
        <v>2160000</v>
      </c>
      <c r="N1631" s="391"/>
      <c r="O1631" s="530">
        <v>19375.63</v>
      </c>
      <c r="P1631" s="391"/>
      <c r="Q1631" s="388">
        <v>16497.71</v>
      </c>
      <c r="R1631" s="528">
        <f>M1631/G1630</f>
        <v>3312.8834355828221</v>
      </c>
      <c r="S1631" s="388">
        <f t="shared" si="216"/>
        <v>-2195873.34</v>
      </c>
      <c r="T1631" s="398"/>
      <c r="U1631" s="391"/>
      <c r="V1631" s="390"/>
      <c r="W1631" s="398"/>
      <c r="X1631" s="398"/>
    </row>
    <row r="1632" spans="1:27" ht="37.5" hidden="1" customHeight="1">
      <c r="A1632" s="506">
        <f>A1630+1</f>
        <v>144</v>
      </c>
      <c r="B1632" s="427" t="s">
        <v>3957</v>
      </c>
      <c r="C1632" s="455" t="s">
        <v>272</v>
      </c>
      <c r="D1632" s="532">
        <v>10917</v>
      </c>
      <c r="E1632" s="391">
        <v>2056.1999999999998</v>
      </c>
      <c r="F1632" s="539" t="s">
        <v>223</v>
      </c>
      <c r="G1632" s="535">
        <v>981</v>
      </c>
      <c r="H1632" s="536">
        <v>4</v>
      </c>
      <c r="I1632" s="536">
        <v>5</v>
      </c>
      <c r="J1632" s="536">
        <v>31</v>
      </c>
      <c r="K1632" s="458" t="s">
        <v>225</v>
      </c>
      <c r="L1632" s="529">
        <f>M1632+N1632+O1632+P1632+Q1632</f>
        <v>1157771.25</v>
      </c>
      <c r="M1632" s="538">
        <v>1122262</v>
      </c>
      <c r="N1632" s="539">
        <v>26596.35</v>
      </c>
      <c r="O1632" s="540"/>
      <c r="P1632" s="388"/>
      <c r="Q1632" s="541">
        <v>8912.9</v>
      </c>
      <c r="R1632" s="528">
        <f>M1632/J1632</f>
        <v>36202</v>
      </c>
      <c r="S1632" s="388">
        <f t="shared" si="216"/>
        <v>0</v>
      </c>
      <c r="T1632" s="389"/>
      <c r="U1632" s="391">
        <f>M1632+N1632+O1632+Q1632</f>
        <v>1157771.25</v>
      </c>
      <c r="V1632" s="390"/>
      <c r="W1632" s="398"/>
      <c r="X1632" s="398"/>
    </row>
    <row r="1633" spans="1:27" s="416" customFormat="1" ht="37.5" hidden="1" customHeight="1">
      <c r="A1633" s="543">
        <f>A1632+1</f>
        <v>145</v>
      </c>
      <c r="B1633" s="403" t="s">
        <v>1485</v>
      </c>
      <c r="C1633" s="455" t="s">
        <v>272</v>
      </c>
      <c r="D1633" s="487">
        <v>18117</v>
      </c>
      <c r="E1633" s="391">
        <v>4150</v>
      </c>
      <c r="F1633" s="391" t="s">
        <v>223</v>
      </c>
      <c r="G1633" s="391">
        <v>1515</v>
      </c>
      <c r="H1633" s="528">
        <v>4</v>
      </c>
      <c r="I1633" s="528">
        <v>5</v>
      </c>
      <c r="J1633" s="528">
        <v>47</v>
      </c>
      <c r="K1633" s="458" t="s">
        <v>239</v>
      </c>
      <c r="L1633" s="1129">
        <f>M1633+N1633+O1633+P1633+Q1633+M1634+N1634+O1634+P1634+Q1634+M1635+N1635+O1635+Q1635</f>
        <v>14857791.380000001</v>
      </c>
      <c r="M1633" s="529">
        <v>3500000</v>
      </c>
      <c r="N1633" s="391">
        <v>30072</v>
      </c>
      <c r="O1633" s="530"/>
      <c r="P1633" s="391"/>
      <c r="Q1633" s="391">
        <v>22724.71</v>
      </c>
      <c r="R1633" s="528">
        <f>M1633/J1633</f>
        <v>74468.085106382976</v>
      </c>
      <c r="S1633" s="388">
        <f t="shared" si="216"/>
        <v>11304994.67</v>
      </c>
      <c r="T1633" s="398"/>
      <c r="U1633" s="391"/>
      <c r="V1633" s="390"/>
      <c r="W1633" s="398"/>
      <c r="X1633" s="398"/>
    </row>
    <row r="1634" spans="1:27" s="416" customFormat="1" ht="31.5" hidden="1" customHeight="1">
      <c r="A1634" s="543"/>
      <c r="B1634" s="403"/>
      <c r="C1634" s="455"/>
      <c r="D1634" s="487"/>
      <c r="E1634" s="391"/>
      <c r="F1634" s="391"/>
      <c r="G1634" s="391"/>
      <c r="H1634" s="528"/>
      <c r="I1634" s="528"/>
      <c r="J1634" s="528"/>
      <c r="K1634" s="458" t="s">
        <v>38</v>
      </c>
      <c r="L1634" s="1129"/>
      <c r="M1634" s="529">
        <v>7000000</v>
      </c>
      <c r="N1634" s="391"/>
      <c r="O1634" s="473">
        <v>16115</v>
      </c>
      <c r="P1634" s="391"/>
      <c r="Q1634" s="391">
        <v>29700</v>
      </c>
      <c r="R1634" s="528">
        <f>M1634/E1633</f>
        <v>1686.7469879518073</v>
      </c>
      <c r="S1634" s="388">
        <f t="shared" si="216"/>
        <v>-7045815</v>
      </c>
      <c r="T1634" s="398"/>
      <c r="U1634" s="391"/>
      <c r="V1634" s="390"/>
      <c r="W1634" s="398"/>
      <c r="X1634" s="398"/>
    </row>
    <row r="1635" spans="1:27" s="416" customFormat="1" ht="31.5" hidden="1" customHeight="1">
      <c r="A1635" s="543"/>
      <c r="B1635" s="403"/>
      <c r="C1635" s="455"/>
      <c r="D1635" s="487"/>
      <c r="E1635" s="391"/>
      <c r="F1635" s="391"/>
      <c r="G1635" s="391"/>
      <c r="H1635" s="528">
        <v>4</v>
      </c>
      <c r="I1635" s="528">
        <v>5</v>
      </c>
      <c r="J1635" s="528"/>
      <c r="K1635" s="458" t="s">
        <v>33</v>
      </c>
      <c r="L1635" s="519"/>
      <c r="M1635" s="529">
        <v>4242000</v>
      </c>
      <c r="N1635" s="391"/>
      <c r="O1635" s="473">
        <v>17179.669999999998</v>
      </c>
      <c r="P1635" s="391"/>
      <c r="Q1635" s="391"/>
      <c r="R1635" s="528"/>
      <c r="S1635" s="388">
        <f t="shared" si="216"/>
        <v>-4259179.67</v>
      </c>
      <c r="T1635" s="398"/>
      <c r="U1635" s="391"/>
      <c r="V1635" s="390"/>
      <c r="W1635" s="398"/>
      <c r="X1635" s="398"/>
    </row>
    <row r="1636" spans="1:27" s="416" customFormat="1" ht="37.5" hidden="1" customHeight="1">
      <c r="A1636" s="506">
        <f>A1633+1</f>
        <v>146</v>
      </c>
      <c r="B1636" s="403" t="s">
        <v>1486</v>
      </c>
      <c r="C1636" s="455" t="s">
        <v>272</v>
      </c>
      <c r="D1636" s="487">
        <v>32718</v>
      </c>
      <c r="E1636" s="391">
        <v>4932</v>
      </c>
      <c r="F1636" s="391" t="s">
        <v>223</v>
      </c>
      <c r="G1636" s="391">
        <v>2211</v>
      </c>
      <c r="H1636" s="528">
        <v>4</v>
      </c>
      <c r="I1636" s="528">
        <v>5</v>
      </c>
      <c r="J1636" s="528">
        <v>90</v>
      </c>
      <c r="K1636" s="458" t="s">
        <v>239</v>
      </c>
      <c r="L1636" s="519">
        <f t="shared" ref="L1636:L1647" si="220">M1636+N1636+O1636+P1636+Q1636</f>
        <v>3569173.87</v>
      </c>
      <c r="M1636" s="529">
        <v>3500000</v>
      </c>
      <c r="N1636" s="391">
        <v>36710</v>
      </c>
      <c r="O1636" s="530"/>
      <c r="P1636" s="391"/>
      <c r="Q1636" s="391">
        <v>32463.87</v>
      </c>
      <c r="R1636" s="528">
        <f>M1636/J1636</f>
        <v>38888.888888888891</v>
      </c>
      <c r="S1636" s="388">
        <f t="shared" si="216"/>
        <v>1.127773430198431E-10</v>
      </c>
      <c r="T1636" s="398"/>
      <c r="U1636" s="391"/>
      <c r="V1636" s="390"/>
      <c r="W1636" s="398"/>
      <c r="X1636" s="398"/>
    </row>
    <row r="1637" spans="1:27" s="416" customFormat="1" ht="37.5" hidden="1" customHeight="1">
      <c r="A1637" s="506">
        <f t="shared" si="219"/>
        <v>147</v>
      </c>
      <c r="B1637" s="403" t="s">
        <v>1487</v>
      </c>
      <c r="C1637" s="455" t="s">
        <v>272</v>
      </c>
      <c r="D1637" s="487">
        <v>19183</v>
      </c>
      <c r="E1637" s="391">
        <v>3521.3</v>
      </c>
      <c r="F1637" s="391" t="s">
        <v>223</v>
      </c>
      <c r="G1637" s="391">
        <v>1483</v>
      </c>
      <c r="H1637" s="528">
        <v>5</v>
      </c>
      <c r="I1637" s="528">
        <v>5</v>
      </c>
      <c r="J1637" s="528">
        <v>60</v>
      </c>
      <c r="K1637" s="458" t="s">
        <v>225</v>
      </c>
      <c r="L1637" s="519">
        <f t="shared" si="220"/>
        <v>1533750.6199999999</v>
      </c>
      <c r="M1637" s="529">
        <v>1484655</v>
      </c>
      <c r="N1637" s="391">
        <v>34193.17</v>
      </c>
      <c r="O1637" s="530"/>
      <c r="P1637" s="391"/>
      <c r="Q1637" s="391">
        <v>14902.45</v>
      </c>
      <c r="R1637" s="528">
        <f>M1637/J1637</f>
        <v>24744.25</v>
      </c>
      <c r="S1637" s="388">
        <f t="shared" si="216"/>
        <v>-1.2005330063402653E-10</v>
      </c>
      <c r="T1637" s="398"/>
      <c r="U1637" s="391">
        <f>M1637+N1637+O1637+Q1637</f>
        <v>1533750.6199999999</v>
      </c>
      <c r="V1637" s="390"/>
      <c r="W1637" s="398"/>
      <c r="X1637" s="398"/>
    </row>
    <row r="1638" spans="1:27" s="416" customFormat="1" ht="37.5" hidden="1" customHeight="1">
      <c r="A1638" s="506">
        <f t="shared" si="219"/>
        <v>148</v>
      </c>
      <c r="B1638" s="403" t="s">
        <v>1488</v>
      </c>
      <c r="C1638" s="455" t="s">
        <v>230</v>
      </c>
      <c r="D1638" s="487">
        <v>2764</v>
      </c>
      <c r="E1638" s="391">
        <v>390</v>
      </c>
      <c r="F1638" s="391" t="s">
        <v>223</v>
      </c>
      <c r="G1638" s="391">
        <v>502</v>
      </c>
      <c r="H1638" s="528">
        <v>2</v>
      </c>
      <c r="I1638" s="528">
        <v>2</v>
      </c>
      <c r="J1638" s="528">
        <v>12</v>
      </c>
      <c r="K1638" s="458" t="s">
        <v>395</v>
      </c>
      <c r="L1638" s="519">
        <f t="shared" si="220"/>
        <v>1530925.06</v>
      </c>
      <c r="M1638" s="529">
        <v>1500000</v>
      </c>
      <c r="N1638" s="391"/>
      <c r="O1638" s="473">
        <v>17458.25</v>
      </c>
      <c r="P1638" s="391"/>
      <c r="Q1638" s="391">
        <v>13466.81</v>
      </c>
      <c r="R1638" s="528">
        <f>M1638/G1638</f>
        <v>2988.0478087649403</v>
      </c>
      <c r="S1638" s="388">
        <f t="shared" si="216"/>
        <v>5.6388671509921551E-11</v>
      </c>
      <c r="T1638" s="398"/>
      <c r="U1638" s="391"/>
      <c r="V1638" s="390"/>
      <c r="W1638" s="398"/>
      <c r="X1638" s="398"/>
    </row>
    <row r="1639" spans="1:27" s="416" customFormat="1" ht="37.5" hidden="1" customHeight="1">
      <c r="A1639" s="506">
        <f t="shared" ref="A1639:A1695" si="221">A1638+1</f>
        <v>149</v>
      </c>
      <c r="B1639" s="403" t="s">
        <v>1489</v>
      </c>
      <c r="C1639" s="455" t="s">
        <v>218</v>
      </c>
      <c r="D1639" s="487">
        <v>5793</v>
      </c>
      <c r="E1639" s="391">
        <v>7080</v>
      </c>
      <c r="F1639" s="391" t="s">
        <v>234</v>
      </c>
      <c r="G1639" s="391">
        <v>1849.6</v>
      </c>
      <c r="H1639" s="528">
        <v>9</v>
      </c>
      <c r="I1639" s="528">
        <v>7</v>
      </c>
      <c r="J1639" s="528">
        <v>245</v>
      </c>
      <c r="K1639" s="458" t="s">
        <v>225</v>
      </c>
      <c r="L1639" s="519">
        <f t="shared" si="220"/>
        <v>4357568.5199999996</v>
      </c>
      <c r="M1639" s="529">
        <v>4294491</v>
      </c>
      <c r="N1639" s="391">
        <v>43277.52</v>
      </c>
      <c r="O1639" s="530"/>
      <c r="P1639" s="391"/>
      <c r="Q1639" s="391">
        <v>19800</v>
      </c>
      <c r="R1639" s="528">
        <f>M1639/J1639</f>
        <v>17528.534693877551</v>
      </c>
      <c r="S1639" s="388">
        <f t="shared" si="216"/>
        <v>-4.4383341446518898E-10</v>
      </c>
      <c r="T1639" s="398"/>
      <c r="U1639" s="391">
        <f>M1639+N1639+O1639+Q1639</f>
        <v>4357568.5199999996</v>
      </c>
      <c r="V1639" s="390"/>
      <c r="W1639" s="398"/>
      <c r="X1639" s="398"/>
    </row>
    <row r="1640" spans="1:27" s="416" customFormat="1" ht="37.5" hidden="1" customHeight="1">
      <c r="A1640" s="506">
        <f t="shared" si="221"/>
        <v>150</v>
      </c>
      <c r="B1640" s="403" t="s">
        <v>1490</v>
      </c>
      <c r="C1640" s="455" t="s">
        <v>218</v>
      </c>
      <c r="D1640" s="487">
        <v>17056</v>
      </c>
      <c r="E1640" s="391">
        <v>3510</v>
      </c>
      <c r="F1640" s="391" t="s">
        <v>234</v>
      </c>
      <c r="G1640" s="391">
        <v>663</v>
      </c>
      <c r="H1640" s="528">
        <v>9</v>
      </c>
      <c r="I1640" s="528">
        <v>2</v>
      </c>
      <c r="J1640" s="528">
        <v>72</v>
      </c>
      <c r="K1640" s="458" t="s">
        <v>33</v>
      </c>
      <c r="L1640" s="519">
        <f t="shared" si="220"/>
        <v>1552551</v>
      </c>
      <c r="M1640" s="529">
        <v>1506907</v>
      </c>
      <c r="N1640" s="391"/>
      <c r="O1640" s="473">
        <v>25744</v>
      </c>
      <c r="P1640" s="391"/>
      <c r="Q1640" s="391">
        <v>19900</v>
      </c>
      <c r="R1640" s="528">
        <f>M1640/G1640</f>
        <v>2272.8612368024133</v>
      </c>
      <c r="S1640" s="388">
        <f t="shared" si="216"/>
        <v>0</v>
      </c>
      <c r="T1640" s="398"/>
      <c r="U1640" s="391"/>
      <c r="V1640" s="390"/>
      <c r="W1640" s="398"/>
      <c r="X1640" s="398"/>
    </row>
    <row r="1641" spans="1:27" s="416" customFormat="1" ht="56.25" hidden="1" customHeight="1">
      <c r="A1641" s="506">
        <f t="shared" si="221"/>
        <v>151</v>
      </c>
      <c r="B1641" s="403" t="s">
        <v>1491</v>
      </c>
      <c r="C1641" s="455" t="s">
        <v>218</v>
      </c>
      <c r="D1641" s="487">
        <v>16086</v>
      </c>
      <c r="E1641" s="391">
        <v>3510</v>
      </c>
      <c r="F1641" s="391" t="s">
        <v>234</v>
      </c>
      <c r="G1641" s="391">
        <v>455.5</v>
      </c>
      <c r="H1641" s="528">
        <v>9</v>
      </c>
      <c r="I1641" s="528">
        <v>2</v>
      </c>
      <c r="J1641" s="528">
        <v>72</v>
      </c>
      <c r="K1641" s="458" t="s">
        <v>30</v>
      </c>
      <c r="L1641" s="519">
        <f t="shared" si="220"/>
        <v>2156419.64</v>
      </c>
      <c r="M1641" s="529">
        <v>2102141</v>
      </c>
      <c r="N1641" s="391"/>
      <c r="O1641" s="473">
        <v>19959.7</v>
      </c>
      <c r="P1641" s="391"/>
      <c r="Q1641" s="391">
        <v>34318.94</v>
      </c>
      <c r="R1641" s="528">
        <f>M1641/J1641</f>
        <v>29196.402777777777</v>
      </c>
      <c r="S1641" s="388">
        <f t="shared" si="216"/>
        <v>1.3096723705530167E-10</v>
      </c>
      <c r="T1641" s="398"/>
      <c r="U1641" s="391"/>
      <c r="V1641" s="390"/>
      <c r="W1641" s="398"/>
      <c r="X1641" s="398"/>
      <c r="Z1641" s="416">
        <v>1</v>
      </c>
      <c r="AA1641" s="416">
        <f>J1641</f>
        <v>72</v>
      </c>
    </row>
    <row r="1642" spans="1:27" s="416" customFormat="1" ht="37.5" hidden="1" customHeight="1">
      <c r="A1642" s="506">
        <f t="shared" si="221"/>
        <v>152</v>
      </c>
      <c r="B1642" s="403" t="s">
        <v>1492</v>
      </c>
      <c r="C1642" s="455" t="s">
        <v>218</v>
      </c>
      <c r="D1642" s="487">
        <v>56947</v>
      </c>
      <c r="E1642" s="391">
        <v>7080</v>
      </c>
      <c r="F1642" s="391" t="s">
        <v>234</v>
      </c>
      <c r="G1642" s="391">
        <v>1628.5</v>
      </c>
      <c r="H1642" s="528">
        <v>9</v>
      </c>
      <c r="I1642" s="528">
        <v>7</v>
      </c>
      <c r="J1642" s="528">
        <v>250</v>
      </c>
      <c r="K1642" s="458" t="s">
        <v>225</v>
      </c>
      <c r="L1642" s="519">
        <f t="shared" si="220"/>
        <v>4357248.13</v>
      </c>
      <c r="M1642" s="529">
        <v>4294491</v>
      </c>
      <c r="N1642" s="391">
        <v>42957.13</v>
      </c>
      <c r="O1642" s="530"/>
      <c r="P1642" s="391"/>
      <c r="Q1642" s="391">
        <v>19800</v>
      </c>
      <c r="R1642" s="528">
        <f>M1642/J1642</f>
        <v>17177.964</v>
      </c>
      <c r="S1642" s="388">
        <f t="shared" si="216"/>
        <v>-1.0913936421275139E-10</v>
      </c>
      <c r="T1642" s="398"/>
      <c r="U1642" s="391">
        <f>M1642+N1642+O1642+Q1642</f>
        <v>4357248.13</v>
      </c>
      <c r="V1642" s="390"/>
      <c r="W1642" s="398"/>
      <c r="X1642" s="398"/>
    </row>
    <row r="1643" spans="1:27" s="416" customFormat="1" ht="37.5" hidden="1" customHeight="1">
      <c r="A1643" s="506">
        <f t="shared" si="221"/>
        <v>153</v>
      </c>
      <c r="B1643" s="403" t="s">
        <v>1493</v>
      </c>
      <c r="C1643" s="455" t="s">
        <v>272</v>
      </c>
      <c r="D1643" s="487">
        <v>18973</v>
      </c>
      <c r="E1643" s="391">
        <v>4860</v>
      </c>
      <c r="F1643" s="391" t="s">
        <v>234</v>
      </c>
      <c r="G1643" s="391">
        <v>1794</v>
      </c>
      <c r="H1643" s="528">
        <v>9</v>
      </c>
      <c r="I1643" s="528">
        <v>3</v>
      </c>
      <c r="J1643" s="528">
        <v>162</v>
      </c>
      <c r="K1643" s="458" t="s">
        <v>33</v>
      </c>
      <c r="L1643" s="519">
        <f t="shared" si="220"/>
        <v>3813580</v>
      </c>
      <c r="M1643" s="529">
        <v>3767400</v>
      </c>
      <c r="N1643" s="391"/>
      <c r="O1643" s="473">
        <v>26280</v>
      </c>
      <c r="P1643" s="391"/>
      <c r="Q1643" s="391">
        <v>19900</v>
      </c>
      <c r="R1643" s="528">
        <f>M1643/G1643</f>
        <v>2100</v>
      </c>
      <c r="S1643" s="388">
        <f t="shared" si="216"/>
        <v>0</v>
      </c>
      <c r="T1643" s="398"/>
      <c r="U1643" s="391"/>
      <c r="V1643" s="390"/>
      <c r="W1643" s="398"/>
      <c r="X1643" s="398"/>
    </row>
    <row r="1644" spans="1:27" s="416" customFormat="1" ht="56.25" hidden="1" customHeight="1">
      <c r="A1644" s="506">
        <f t="shared" si="221"/>
        <v>154</v>
      </c>
      <c r="B1644" s="403" t="s">
        <v>1494</v>
      </c>
      <c r="C1644" s="455" t="s">
        <v>272</v>
      </c>
      <c r="D1644" s="487">
        <v>4089</v>
      </c>
      <c r="E1644" s="391">
        <v>1344.35</v>
      </c>
      <c r="F1644" s="391" t="s">
        <v>369</v>
      </c>
      <c r="G1644" s="391">
        <v>908.6</v>
      </c>
      <c r="H1644" s="528">
        <v>3</v>
      </c>
      <c r="I1644" s="528">
        <v>3</v>
      </c>
      <c r="J1644" s="528">
        <v>44</v>
      </c>
      <c r="K1644" s="458" t="s">
        <v>30</v>
      </c>
      <c r="L1644" s="519">
        <f t="shared" si="220"/>
        <v>862595.78</v>
      </c>
      <c r="M1644" s="529">
        <v>839987.31</v>
      </c>
      <c r="N1644" s="391"/>
      <c r="O1644" s="473">
        <v>11478</v>
      </c>
      <c r="P1644" s="391"/>
      <c r="Q1644" s="391">
        <v>11130.47</v>
      </c>
      <c r="R1644" s="528">
        <f>M1644/J1644</f>
        <v>19090.620681818182</v>
      </c>
      <c r="S1644" s="388">
        <f t="shared" si="216"/>
        <v>-2.7284841053187847E-11</v>
      </c>
      <c r="T1644" s="398"/>
      <c r="U1644" s="391"/>
      <c r="V1644" s="390"/>
      <c r="W1644" s="398"/>
      <c r="X1644" s="398"/>
      <c r="Z1644" s="416">
        <v>1</v>
      </c>
      <c r="AA1644" s="416">
        <f>J1644</f>
        <v>44</v>
      </c>
    </row>
    <row r="1645" spans="1:27" s="416" customFormat="1" ht="37.5" hidden="1" customHeight="1">
      <c r="A1645" s="506">
        <f t="shared" si="221"/>
        <v>155</v>
      </c>
      <c r="B1645" s="403" t="s">
        <v>1495</v>
      </c>
      <c r="C1645" s="455" t="s">
        <v>218</v>
      </c>
      <c r="D1645" s="487">
        <v>17478</v>
      </c>
      <c r="E1645" s="391">
        <v>3337.6</v>
      </c>
      <c r="F1645" s="391" t="s">
        <v>234</v>
      </c>
      <c r="G1645" s="391">
        <v>686.5</v>
      </c>
      <c r="H1645" s="528">
        <v>10</v>
      </c>
      <c r="I1645" s="528">
        <v>2</v>
      </c>
      <c r="J1645" s="528">
        <v>80</v>
      </c>
      <c r="K1645" s="458" t="s">
        <v>225</v>
      </c>
      <c r="L1645" s="519">
        <f t="shared" si="220"/>
        <v>1343185.6900000002</v>
      </c>
      <c r="M1645" s="529">
        <v>1292781</v>
      </c>
      <c r="N1645" s="391">
        <v>32424.07</v>
      </c>
      <c r="O1645" s="530"/>
      <c r="P1645" s="391"/>
      <c r="Q1645" s="391">
        <v>17980.62</v>
      </c>
      <c r="R1645" s="528">
        <f>M1645/G1645</f>
        <v>1883.1478514202477</v>
      </c>
      <c r="S1645" s="388">
        <f t="shared" si="216"/>
        <v>1.7826096154749393E-10</v>
      </c>
      <c r="T1645" s="398"/>
      <c r="U1645" s="391">
        <f>M1645+N1645+O1645+Q1645</f>
        <v>1343185.6900000002</v>
      </c>
      <c r="V1645" s="390"/>
      <c r="W1645" s="398"/>
      <c r="X1645" s="398"/>
    </row>
    <row r="1646" spans="1:27" s="416" customFormat="1" ht="37.5" hidden="1" customHeight="1">
      <c r="A1646" s="506">
        <f t="shared" si="221"/>
        <v>156</v>
      </c>
      <c r="B1646" s="403" t="s">
        <v>1496</v>
      </c>
      <c r="C1646" s="455" t="s">
        <v>272</v>
      </c>
      <c r="D1646" s="487">
        <v>14723</v>
      </c>
      <c r="E1646" s="391">
        <v>2400</v>
      </c>
      <c r="F1646" s="391" t="s">
        <v>223</v>
      </c>
      <c r="G1646" s="391">
        <v>973</v>
      </c>
      <c r="H1646" s="528">
        <v>5</v>
      </c>
      <c r="I1646" s="528">
        <v>4</v>
      </c>
      <c r="J1646" s="528">
        <v>87</v>
      </c>
      <c r="K1646" s="458" t="s">
        <v>33</v>
      </c>
      <c r="L1646" s="519">
        <f t="shared" si="220"/>
        <v>3466868.62</v>
      </c>
      <c r="M1646" s="529">
        <v>3405500</v>
      </c>
      <c r="N1646" s="391"/>
      <c r="O1646" s="473">
        <v>21568.62</v>
      </c>
      <c r="P1646" s="391"/>
      <c r="Q1646" s="391">
        <v>39800</v>
      </c>
      <c r="R1646" s="528">
        <f>M1646/G1646</f>
        <v>3500</v>
      </c>
      <c r="S1646" s="388">
        <f t="shared" si="216"/>
        <v>1.1641532182693481E-10</v>
      </c>
      <c r="T1646" s="398"/>
      <c r="U1646" s="391"/>
      <c r="V1646" s="390"/>
      <c r="W1646" s="398"/>
      <c r="X1646" s="398"/>
    </row>
    <row r="1647" spans="1:27" ht="37.5" hidden="1" customHeight="1">
      <c r="A1647" s="506">
        <f t="shared" si="221"/>
        <v>157</v>
      </c>
      <c r="B1647" s="427" t="s">
        <v>3667</v>
      </c>
      <c r="C1647" s="455" t="s">
        <v>218</v>
      </c>
      <c r="D1647" s="532">
        <v>6965</v>
      </c>
      <c r="E1647" s="391">
        <v>6937</v>
      </c>
      <c r="F1647" s="539" t="s">
        <v>234</v>
      </c>
      <c r="G1647" s="535">
        <v>298.10000000000002</v>
      </c>
      <c r="H1647" s="536">
        <v>9</v>
      </c>
      <c r="I1647" s="536">
        <v>1</v>
      </c>
      <c r="J1647" s="536">
        <v>27</v>
      </c>
      <c r="K1647" s="458" t="s">
        <v>225</v>
      </c>
      <c r="L1647" s="529">
        <f t="shared" si="220"/>
        <v>839266.61</v>
      </c>
      <c r="M1647" s="538">
        <v>800000</v>
      </c>
      <c r="N1647" s="539">
        <v>30790.27</v>
      </c>
      <c r="O1647" s="540"/>
      <c r="P1647" s="388"/>
      <c r="Q1647" s="541">
        <v>8476.34</v>
      </c>
      <c r="R1647" s="528">
        <f>M1647/J1647</f>
        <v>29629.629629629631</v>
      </c>
      <c r="S1647" s="388">
        <f t="shared" si="216"/>
        <v>-1.4551915228366852E-11</v>
      </c>
      <c r="T1647" s="389"/>
      <c r="U1647" s="391">
        <f>M1647+N1647+O1647+Q1647</f>
        <v>839266.61</v>
      </c>
      <c r="V1647" s="390"/>
      <c r="W1647" s="398"/>
      <c r="X1647" s="398"/>
    </row>
    <row r="1648" spans="1:27" s="416" customFormat="1" ht="32.25" hidden="1" customHeight="1">
      <c r="A1648" s="543">
        <f>A1647+1</f>
        <v>158</v>
      </c>
      <c r="B1648" s="403" t="s">
        <v>1498</v>
      </c>
      <c r="C1648" s="455" t="s">
        <v>218</v>
      </c>
      <c r="D1648" s="487">
        <v>12473</v>
      </c>
      <c r="E1648" s="391">
        <v>2674</v>
      </c>
      <c r="F1648" s="391" t="s">
        <v>223</v>
      </c>
      <c r="G1648" s="391">
        <v>1140</v>
      </c>
      <c r="H1648" s="528">
        <v>5</v>
      </c>
      <c r="I1648" s="528">
        <v>4</v>
      </c>
      <c r="J1648" s="528">
        <v>80</v>
      </c>
      <c r="K1648" s="458" t="s">
        <v>33</v>
      </c>
      <c r="L1648" s="1129">
        <f>M1648+N1648+O1648+P1648+Q1648+M1649+N1649+O1649+P1649+Q1649</f>
        <v>5378506.3300000001</v>
      </c>
      <c r="M1648" s="529">
        <v>3990000</v>
      </c>
      <c r="N1648" s="391"/>
      <c r="O1648" s="473">
        <v>33846.910000000003</v>
      </c>
      <c r="P1648" s="391"/>
      <c r="Q1648" s="391">
        <v>38455.599999999999</v>
      </c>
      <c r="R1648" s="528">
        <f>M1648/G1648</f>
        <v>3500</v>
      </c>
      <c r="S1648" s="388">
        <f t="shared" si="216"/>
        <v>1316203.82</v>
      </c>
      <c r="T1648" s="398"/>
      <c r="U1648" s="391"/>
      <c r="V1648" s="390"/>
      <c r="W1648" s="398"/>
      <c r="X1648" s="398"/>
    </row>
    <row r="1649" spans="1:27" s="416" customFormat="1" ht="37.5" hidden="1" customHeight="1">
      <c r="A1649" s="543"/>
      <c r="B1649" s="403"/>
      <c r="C1649" s="455"/>
      <c r="D1649" s="487"/>
      <c r="E1649" s="391"/>
      <c r="F1649" s="391"/>
      <c r="G1649" s="391"/>
      <c r="H1649" s="528"/>
      <c r="I1649" s="528"/>
      <c r="J1649" s="528"/>
      <c r="K1649" s="458" t="s">
        <v>225</v>
      </c>
      <c r="L1649" s="1129"/>
      <c r="M1649" s="529">
        <v>1265984</v>
      </c>
      <c r="N1649" s="391">
        <v>34017</v>
      </c>
      <c r="O1649" s="530"/>
      <c r="P1649" s="391">
        <v>0</v>
      </c>
      <c r="Q1649" s="391">
        <v>16202.82</v>
      </c>
      <c r="R1649" s="528">
        <f>M1649/J1648</f>
        <v>15824.8</v>
      </c>
      <c r="S1649" s="388">
        <f t="shared" si="216"/>
        <v>-1316203.82</v>
      </c>
      <c r="T1649" s="398"/>
      <c r="U1649" s="391">
        <f>M1649+N1649+O1649+Q1649</f>
        <v>1316203.82</v>
      </c>
      <c r="V1649" s="390"/>
      <c r="W1649" s="398"/>
      <c r="X1649" s="398"/>
    </row>
    <row r="1650" spans="1:27" s="416" customFormat="1" ht="37.5" hidden="1" customHeight="1">
      <c r="A1650" s="506">
        <f>A1648+1</f>
        <v>159</v>
      </c>
      <c r="B1650" s="403" t="s">
        <v>1499</v>
      </c>
      <c r="C1650" s="455" t="s">
        <v>272</v>
      </c>
      <c r="D1650" s="487">
        <v>16186</v>
      </c>
      <c r="E1650" s="391">
        <v>5693</v>
      </c>
      <c r="F1650" s="391" t="s">
        <v>234</v>
      </c>
      <c r="G1650" s="391">
        <v>1465</v>
      </c>
      <c r="H1650" s="528">
        <v>9</v>
      </c>
      <c r="I1650" s="528">
        <v>2</v>
      </c>
      <c r="J1650" s="528">
        <v>99</v>
      </c>
      <c r="K1650" s="458" t="s">
        <v>225</v>
      </c>
      <c r="L1650" s="519">
        <f t="shared" ref="L1650:L1658" si="222">M1650+N1650+O1650+P1650+Q1650</f>
        <v>1962488.47</v>
      </c>
      <c r="M1650" s="529">
        <v>1914511</v>
      </c>
      <c r="N1650" s="391">
        <v>31970.34</v>
      </c>
      <c r="O1650" s="530"/>
      <c r="P1650" s="391"/>
      <c r="Q1650" s="391">
        <v>16007.13</v>
      </c>
      <c r="R1650" s="528">
        <f>M1650/J1650</f>
        <v>19338.494949494951</v>
      </c>
      <c r="S1650" s="388">
        <f t="shared" si="216"/>
        <v>-2.7284841053187847E-11</v>
      </c>
      <c r="T1650" s="398"/>
      <c r="U1650" s="391">
        <f>M1650+N1650+O1650+Q1650</f>
        <v>1962488.47</v>
      </c>
      <c r="V1650" s="390"/>
      <c r="W1650" s="398"/>
      <c r="X1650" s="398"/>
    </row>
    <row r="1651" spans="1:27" s="416" customFormat="1" ht="37.5" hidden="1" customHeight="1">
      <c r="A1651" s="506">
        <f t="shared" si="221"/>
        <v>160</v>
      </c>
      <c r="B1651" s="403" t="s">
        <v>1500</v>
      </c>
      <c r="C1651" s="455" t="s">
        <v>272</v>
      </c>
      <c r="D1651" s="487">
        <v>14143</v>
      </c>
      <c r="E1651" s="391">
        <v>2436.6</v>
      </c>
      <c r="F1651" s="391" t="s">
        <v>223</v>
      </c>
      <c r="G1651" s="391">
        <v>1052.5999999999999</v>
      </c>
      <c r="H1651" s="528">
        <v>5</v>
      </c>
      <c r="I1651" s="528">
        <v>2</v>
      </c>
      <c r="J1651" s="528">
        <v>173</v>
      </c>
      <c r="K1651" s="458" t="s">
        <v>225</v>
      </c>
      <c r="L1651" s="519">
        <f t="shared" si="222"/>
        <v>1019927.2699999999</v>
      </c>
      <c r="M1651" s="529">
        <v>975174</v>
      </c>
      <c r="N1651" s="391">
        <v>33044.94</v>
      </c>
      <c r="O1651" s="530"/>
      <c r="P1651" s="391"/>
      <c r="Q1651" s="391">
        <v>11708.33</v>
      </c>
      <c r="R1651" s="528">
        <f>M1651/J1651</f>
        <v>5636.8439306358378</v>
      </c>
      <c r="S1651" s="388">
        <f t="shared" si="216"/>
        <v>-1.0004441719502211E-10</v>
      </c>
      <c r="T1651" s="398"/>
      <c r="U1651" s="391">
        <f>M1651+N1651+O1651+Q1651</f>
        <v>1019927.2699999999</v>
      </c>
      <c r="V1651" s="390"/>
      <c r="W1651" s="398"/>
      <c r="X1651" s="398"/>
    </row>
    <row r="1652" spans="1:27" s="416" customFormat="1" ht="56.25" hidden="1" customHeight="1">
      <c r="A1652" s="506">
        <f t="shared" si="221"/>
        <v>161</v>
      </c>
      <c r="B1652" s="403" t="s">
        <v>1501</v>
      </c>
      <c r="C1652" s="455" t="s">
        <v>272</v>
      </c>
      <c r="D1652" s="487">
        <v>13842</v>
      </c>
      <c r="E1652" s="391">
        <v>2801</v>
      </c>
      <c r="F1652" s="391" t="s">
        <v>223</v>
      </c>
      <c r="G1652" s="391">
        <v>1108</v>
      </c>
      <c r="H1652" s="528">
        <v>5</v>
      </c>
      <c r="I1652" s="528">
        <v>4</v>
      </c>
      <c r="J1652" s="528">
        <v>80</v>
      </c>
      <c r="K1652" s="458" t="s">
        <v>30</v>
      </c>
      <c r="L1652" s="519">
        <f t="shared" si="222"/>
        <v>2209263.84</v>
      </c>
      <c r="M1652" s="529">
        <v>2160000</v>
      </c>
      <c r="N1652" s="391"/>
      <c r="O1652" s="473">
        <v>14944.9</v>
      </c>
      <c r="P1652" s="391"/>
      <c r="Q1652" s="391">
        <v>34318.94</v>
      </c>
      <c r="R1652" s="528">
        <f>M1652/J1652</f>
        <v>27000</v>
      </c>
      <c r="S1652" s="388">
        <f t="shared" si="216"/>
        <v>-1.5279510989785194E-10</v>
      </c>
      <c r="T1652" s="398"/>
      <c r="U1652" s="391"/>
      <c r="V1652" s="390"/>
      <c r="W1652" s="398"/>
      <c r="X1652" s="398"/>
      <c r="Z1652" s="416">
        <v>1</v>
      </c>
      <c r="AA1652" s="416">
        <f>J1652</f>
        <v>80</v>
      </c>
    </row>
    <row r="1653" spans="1:27" s="416" customFormat="1" ht="37.5" hidden="1" customHeight="1">
      <c r="A1653" s="506">
        <f t="shared" si="221"/>
        <v>162</v>
      </c>
      <c r="B1653" s="403" t="s">
        <v>1502</v>
      </c>
      <c r="C1653" s="455" t="s">
        <v>272</v>
      </c>
      <c r="D1653" s="487">
        <v>13318</v>
      </c>
      <c r="E1653" s="391">
        <v>2176</v>
      </c>
      <c r="F1653" s="391" t="s">
        <v>223</v>
      </c>
      <c r="G1653" s="391">
        <v>1200</v>
      </c>
      <c r="H1653" s="528">
        <v>5</v>
      </c>
      <c r="I1653" s="528">
        <v>4</v>
      </c>
      <c r="J1653" s="528">
        <v>80</v>
      </c>
      <c r="K1653" s="458" t="s">
        <v>33</v>
      </c>
      <c r="L1653" s="519">
        <f t="shared" si="222"/>
        <v>3921526.82</v>
      </c>
      <c r="M1653" s="529">
        <v>3860000</v>
      </c>
      <c r="N1653" s="391"/>
      <c r="O1653" s="473">
        <v>21726.82</v>
      </c>
      <c r="P1653" s="391"/>
      <c r="Q1653" s="391">
        <v>39800</v>
      </c>
      <c r="R1653" s="528">
        <f>M1653/G1653</f>
        <v>3216.6666666666665</v>
      </c>
      <c r="S1653" s="388">
        <f t="shared" si="216"/>
        <v>-1.673470251262188E-10</v>
      </c>
      <c r="T1653" s="398"/>
      <c r="U1653" s="391"/>
      <c r="V1653" s="390"/>
      <c r="W1653" s="398"/>
      <c r="X1653" s="398"/>
    </row>
    <row r="1654" spans="1:27" s="416" customFormat="1" ht="37.5" hidden="1" customHeight="1">
      <c r="A1654" s="506">
        <f t="shared" si="221"/>
        <v>163</v>
      </c>
      <c r="B1654" s="403" t="s">
        <v>1503</v>
      </c>
      <c r="C1654" s="455" t="s">
        <v>272</v>
      </c>
      <c r="D1654" s="487">
        <v>2471</v>
      </c>
      <c r="E1654" s="391">
        <v>3068</v>
      </c>
      <c r="F1654" s="391" t="s">
        <v>223</v>
      </c>
      <c r="G1654" s="391">
        <v>505.2</v>
      </c>
      <c r="H1654" s="528">
        <v>2</v>
      </c>
      <c r="I1654" s="528">
        <v>2</v>
      </c>
      <c r="J1654" s="528">
        <v>16</v>
      </c>
      <c r="K1654" s="458" t="s">
        <v>33</v>
      </c>
      <c r="L1654" s="519">
        <f t="shared" si="222"/>
        <v>1444474.42</v>
      </c>
      <c r="M1654" s="529">
        <v>1414560</v>
      </c>
      <c r="N1654" s="391"/>
      <c r="O1654" s="473">
        <v>17875.169999999998</v>
      </c>
      <c r="P1654" s="391"/>
      <c r="Q1654" s="391">
        <v>12039.25</v>
      </c>
      <c r="R1654" s="528">
        <f>M1654/G1654</f>
        <v>2800</v>
      </c>
      <c r="S1654" s="388">
        <f t="shared" si="216"/>
        <v>-7.2759576141834259E-11</v>
      </c>
      <c r="T1654" s="398"/>
      <c r="U1654" s="391"/>
      <c r="V1654" s="390"/>
      <c r="W1654" s="398"/>
      <c r="X1654" s="398"/>
    </row>
    <row r="1655" spans="1:27" s="416" customFormat="1" ht="37.5" hidden="1" customHeight="1">
      <c r="A1655" s="506">
        <f t="shared" si="221"/>
        <v>164</v>
      </c>
      <c r="B1655" s="403" t="s">
        <v>1504</v>
      </c>
      <c r="C1655" s="455" t="s">
        <v>218</v>
      </c>
      <c r="D1655" s="487">
        <v>30774</v>
      </c>
      <c r="E1655" s="391">
        <v>2964</v>
      </c>
      <c r="F1655" s="391" t="s">
        <v>234</v>
      </c>
      <c r="G1655" s="391">
        <v>1453.7</v>
      </c>
      <c r="H1655" s="528">
        <v>9</v>
      </c>
      <c r="I1655" s="528">
        <v>4</v>
      </c>
      <c r="J1655" s="528">
        <v>144</v>
      </c>
      <c r="K1655" s="458" t="s">
        <v>33</v>
      </c>
      <c r="L1655" s="519">
        <f t="shared" si="222"/>
        <v>3349481</v>
      </c>
      <c r="M1655" s="529">
        <v>3300000</v>
      </c>
      <c r="N1655" s="391"/>
      <c r="O1655" s="473">
        <v>29581</v>
      </c>
      <c r="P1655" s="391"/>
      <c r="Q1655" s="391">
        <v>19900</v>
      </c>
      <c r="R1655" s="528">
        <f>M1655/G1655</f>
        <v>2270.0694778840202</v>
      </c>
      <c r="S1655" s="388">
        <f t="shared" si="216"/>
        <v>0</v>
      </c>
      <c r="T1655" s="398"/>
      <c r="U1655" s="391"/>
      <c r="V1655" s="390"/>
      <c r="W1655" s="398"/>
      <c r="X1655" s="398"/>
    </row>
    <row r="1656" spans="1:27" s="416" customFormat="1" ht="37.5" hidden="1" customHeight="1">
      <c r="A1656" s="506">
        <f t="shared" si="221"/>
        <v>165</v>
      </c>
      <c r="B1656" s="403" t="s">
        <v>1505</v>
      </c>
      <c r="C1656" s="455" t="s">
        <v>218</v>
      </c>
      <c r="D1656" s="487">
        <v>9301</v>
      </c>
      <c r="E1656" s="391">
        <v>2160</v>
      </c>
      <c r="F1656" s="391" t="s">
        <v>223</v>
      </c>
      <c r="G1656" s="391">
        <v>860.6</v>
      </c>
      <c r="H1656" s="528">
        <v>5</v>
      </c>
      <c r="I1656" s="528">
        <v>3</v>
      </c>
      <c r="J1656" s="528">
        <v>60</v>
      </c>
      <c r="K1656" s="458" t="s">
        <v>33</v>
      </c>
      <c r="L1656" s="519">
        <f t="shared" si="222"/>
        <v>3062361.98</v>
      </c>
      <c r="M1656" s="529">
        <v>3012100</v>
      </c>
      <c r="N1656" s="391"/>
      <c r="O1656" s="473">
        <v>21586</v>
      </c>
      <c r="P1656" s="391"/>
      <c r="Q1656" s="391">
        <v>28675.98</v>
      </c>
      <c r="R1656" s="528">
        <f>M1656/G1656</f>
        <v>3500</v>
      </c>
      <c r="S1656" s="388">
        <f t="shared" si="216"/>
        <v>0</v>
      </c>
      <c r="T1656" s="398"/>
      <c r="U1656" s="391"/>
      <c r="V1656" s="390"/>
      <c r="W1656" s="398"/>
      <c r="X1656" s="398"/>
    </row>
    <row r="1657" spans="1:27" s="416" customFormat="1" ht="37.5" hidden="1" customHeight="1">
      <c r="A1657" s="506">
        <f t="shared" si="221"/>
        <v>166</v>
      </c>
      <c r="B1657" s="403" t="s">
        <v>1506</v>
      </c>
      <c r="C1657" s="455" t="s">
        <v>240</v>
      </c>
      <c r="D1657" s="487">
        <v>3067</v>
      </c>
      <c r="E1657" s="391">
        <v>2400</v>
      </c>
      <c r="F1657" s="391" t="s">
        <v>223</v>
      </c>
      <c r="G1657" s="391">
        <v>690.6</v>
      </c>
      <c r="H1657" s="528">
        <v>2</v>
      </c>
      <c r="I1657" s="528">
        <v>1</v>
      </c>
      <c r="J1657" s="528">
        <v>39</v>
      </c>
      <c r="K1657" s="458" t="s">
        <v>38</v>
      </c>
      <c r="L1657" s="519">
        <f t="shared" si="222"/>
        <v>4031736.98</v>
      </c>
      <c r="M1657" s="529">
        <v>4000000</v>
      </c>
      <c r="N1657" s="391"/>
      <c r="O1657" s="473">
        <v>12374</v>
      </c>
      <c r="P1657" s="391"/>
      <c r="Q1657" s="391">
        <v>19362.98</v>
      </c>
      <c r="R1657" s="528">
        <f>M1657/E1657</f>
        <v>1666.6666666666667</v>
      </c>
      <c r="S1657" s="388">
        <f t="shared" si="216"/>
        <v>0</v>
      </c>
      <c r="T1657" s="398"/>
      <c r="U1657" s="391"/>
      <c r="V1657" s="390"/>
      <c r="W1657" s="398"/>
      <c r="X1657" s="398"/>
    </row>
    <row r="1658" spans="1:27" s="416" customFormat="1" ht="37.5" hidden="1" customHeight="1">
      <c r="A1658" s="506">
        <f t="shared" si="221"/>
        <v>167</v>
      </c>
      <c r="B1658" s="403" t="s">
        <v>1507</v>
      </c>
      <c r="C1658" s="455" t="s">
        <v>218</v>
      </c>
      <c r="D1658" s="487">
        <v>14103</v>
      </c>
      <c r="E1658" s="391">
        <v>2729</v>
      </c>
      <c r="F1658" s="391" t="s">
        <v>223</v>
      </c>
      <c r="G1658" s="391">
        <v>1139</v>
      </c>
      <c r="H1658" s="528">
        <v>5</v>
      </c>
      <c r="I1658" s="528">
        <v>4</v>
      </c>
      <c r="J1658" s="528">
        <v>80</v>
      </c>
      <c r="K1658" s="458" t="s">
        <v>225</v>
      </c>
      <c r="L1658" s="519">
        <f t="shared" si="222"/>
        <v>1315086.6200000001</v>
      </c>
      <c r="M1658" s="529">
        <v>1265984</v>
      </c>
      <c r="N1658" s="391">
        <v>33022.06</v>
      </c>
      <c r="O1658" s="530"/>
      <c r="P1658" s="391"/>
      <c r="Q1658" s="391">
        <v>16080.56</v>
      </c>
      <c r="R1658" s="528">
        <f>M1658/J1658</f>
        <v>15824.8</v>
      </c>
      <c r="S1658" s="388">
        <f t="shared" si="216"/>
        <v>1.1459633242338896E-10</v>
      </c>
      <c r="T1658" s="398"/>
      <c r="U1658" s="391">
        <f>M1658+N1658+O1658+Q1658</f>
        <v>1315086.6200000001</v>
      </c>
      <c r="V1658" s="390"/>
      <c r="W1658" s="398"/>
      <c r="X1658" s="398"/>
    </row>
    <row r="1659" spans="1:27" s="416" customFormat="1" ht="37.5" hidden="1" customHeight="1">
      <c r="A1659" s="506">
        <f t="shared" si="221"/>
        <v>168</v>
      </c>
      <c r="B1659" s="403" t="s">
        <v>1508</v>
      </c>
      <c r="C1659" s="578" t="s">
        <v>272</v>
      </c>
      <c r="D1659" s="545">
        <v>27114</v>
      </c>
      <c r="E1659" s="391">
        <v>3732</v>
      </c>
      <c r="F1659" s="539" t="s">
        <v>234</v>
      </c>
      <c r="G1659" s="558">
        <v>1400</v>
      </c>
      <c r="H1659" s="561">
        <v>9</v>
      </c>
      <c r="I1659" s="555">
        <v>3</v>
      </c>
      <c r="J1659" s="555">
        <v>104</v>
      </c>
      <c r="K1659" s="589" t="s">
        <v>33</v>
      </c>
      <c r="L1659" s="529">
        <f>SUM(M1659:Q1659)</f>
        <v>2295182</v>
      </c>
      <c r="M1659" s="557">
        <v>2247867</v>
      </c>
      <c r="N1659" s="558"/>
      <c r="O1659" s="562">
        <v>27415</v>
      </c>
      <c r="P1659" s="810"/>
      <c r="Q1659" s="391">
        <v>19900</v>
      </c>
      <c r="R1659" s="446">
        <f>M1659/G1659</f>
        <v>1605.6192857142858</v>
      </c>
      <c r="S1659" s="388">
        <f t="shared" ref="S1659:S1722" si="223">L1659-M1659-N1659-O1659-P1659-Q1659</f>
        <v>0</v>
      </c>
      <c r="T1659" s="398"/>
      <c r="U1659" s="568"/>
      <c r="V1659" s="390"/>
      <c r="W1659" s="398"/>
      <c r="X1659" s="398"/>
    </row>
    <row r="1660" spans="1:27" s="416" customFormat="1" ht="37.5" hidden="1" customHeight="1">
      <c r="A1660" s="506">
        <f t="shared" si="221"/>
        <v>169</v>
      </c>
      <c r="B1660" s="403" t="s">
        <v>1509</v>
      </c>
      <c r="C1660" s="455" t="s">
        <v>218</v>
      </c>
      <c r="D1660" s="487">
        <v>9639</v>
      </c>
      <c r="E1660" s="391">
        <v>2353.1999999999998</v>
      </c>
      <c r="F1660" s="391" t="s">
        <v>223</v>
      </c>
      <c r="G1660" s="391">
        <v>1047</v>
      </c>
      <c r="H1660" s="528">
        <v>5</v>
      </c>
      <c r="I1660" s="528">
        <v>4</v>
      </c>
      <c r="J1660" s="528">
        <v>60</v>
      </c>
      <c r="K1660" s="458" t="s">
        <v>285</v>
      </c>
      <c r="L1660" s="519">
        <f>M1660+N1660+O1660+P1660+Q1660</f>
        <v>7157624</v>
      </c>
      <c r="M1660" s="529">
        <v>7100000</v>
      </c>
      <c r="N1660" s="391">
        <v>27924</v>
      </c>
      <c r="O1660" s="530"/>
      <c r="P1660" s="391"/>
      <c r="Q1660" s="391">
        <v>29700</v>
      </c>
      <c r="R1660" s="528">
        <f>M1660/E1660</f>
        <v>3017.1681115077345</v>
      </c>
      <c r="S1660" s="388">
        <f t="shared" si="223"/>
        <v>0</v>
      </c>
      <c r="T1660" s="398"/>
      <c r="U1660" s="391"/>
      <c r="V1660" s="390"/>
      <c r="W1660" s="398"/>
      <c r="X1660" s="398"/>
    </row>
    <row r="1661" spans="1:27" s="416" customFormat="1" ht="56.25" hidden="1" customHeight="1">
      <c r="A1661" s="543">
        <f>A1660+1</f>
        <v>170</v>
      </c>
      <c r="B1661" s="403" t="s">
        <v>1510</v>
      </c>
      <c r="C1661" s="455" t="s">
        <v>272</v>
      </c>
      <c r="D1661" s="487">
        <v>7609</v>
      </c>
      <c r="E1661" s="391">
        <v>1602.3</v>
      </c>
      <c r="F1661" s="391" t="s">
        <v>223</v>
      </c>
      <c r="G1661" s="391">
        <v>974</v>
      </c>
      <c r="H1661" s="528">
        <v>3</v>
      </c>
      <c r="I1661" s="528">
        <v>3</v>
      </c>
      <c r="J1661" s="528">
        <v>20</v>
      </c>
      <c r="K1661" s="458" t="s">
        <v>30</v>
      </c>
      <c r="L1661" s="1129">
        <f>M1661+N1661+O1661+P1661+Q1661+M1662+N1662+O1662+P1662+Q1662</f>
        <v>3994126.13</v>
      </c>
      <c r="M1661" s="529">
        <v>508700.76</v>
      </c>
      <c r="N1661" s="391"/>
      <c r="O1661" s="473">
        <v>12053</v>
      </c>
      <c r="P1661" s="391"/>
      <c r="Q1661" s="391">
        <v>21333.4</v>
      </c>
      <c r="R1661" s="528">
        <f>M1661/J1661</f>
        <v>25435.038</v>
      </c>
      <c r="S1661" s="388">
        <f t="shared" si="223"/>
        <v>3452038.97</v>
      </c>
      <c r="T1661" s="398"/>
      <c r="U1661" s="391"/>
      <c r="V1661" s="390"/>
      <c r="W1661" s="398"/>
      <c r="X1661" s="398"/>
      <c r="Z1661" s="416">
        <v>1</v>
      </c>
      <c r="AA1661" s="416">
        <f>J1661</f>
        <v>20</v>
      </c>
    </row>
    <row r="1662" spans="1:27" s="416" customFormat="1" ht="33.75" hidden="1" customHeight="1">
      <c r="A1662" s="543"/>
      <c r="B1662" s="403"/>
      <c r="C1662" s="455"/>
      <c r="D1662" s="487"/>
      <c r="E1662" s="391">
        <v>1602.3</v>
      </c>
      <c r="F1662" s="391" t="s">
        <v>223</v>
      </c>
      <c r="G1662" s="391">
        <v>974</v>
      </c>
      <c r="H1662" s="528">
        <v>3</v>
      </c>
      <c r="I1662" s="528">
        <v>3</v>
      </c>
      <c r="J1662" s="528">
        <v>20</v>
      </c>
      <c r="K1662" s="458" t="s">
        <v>33</v>
      </c>
      <c r="L1662" s="1129"/>
      <c r="M1662" s="529">
        <v>3409000</v>
      </c>
      <c r="N1662" s="391"/>
      <c r="O1662" s="473">
        <v>19579.61</v>
      </c>
      <c r="P1662" s="391"/>
      <c r="Q1662" s="391">
        <v>23459.360000000001</v>
      </c>
      <c r="R1662" s="528">
        <f>M1662/G1661</f>
        <v>3500</v>
      </c>
      <c r="S1662" s="388">
        <f t="shared" si="223"/>
        <v>-3452038.9699999997</v>
      </c>
      <c r="T1662" s="398"/>
      <c r="U1662" s="391"/>
      <c r="V1662" s="390"/>
      <c r="W1662" s="398"/>
      <c r="X1662" s="398"/>
    </row>
    <row r="1663" spans="1:27" s="416" customFormat="1" ht="56.25" hidden="1" customHeight="1">
      <c r="A1663" s="506">
        <f>A1661+1</f>
        <v>171</v>
      </c>
      <c r="B1663" s="403" t="s">
        <v>1511</v>
      </c>
      <c r="C1663" s="455" t="s">
        <v>272</v>
      </c>
      <c r="D1663" s="487">
        <v>14134</v>
      </c>
      <c r="E1663" s="391">
        <v>2427</v>
      </c>
      <c r="F1663" s="391" t="s">
        <v>223</v>
      </c>
      <c r="G1663" s="391">
        <v>1053</v>
      </c>
      <c r="H1663" s="528">
        <v>5</v>
      </c>
      <c r="I1663" s="528">
        <v>2</v>
      </c>
      <c r="J1663" s="528">
        <v>172</v>
      </c>
      <c r="K1663" s="458" t="s">
        <v>33</v>
      </c>
      <c r="L1663" s="519">
        <f>M1663+N1663+O1663+P1663+Q1663</f>
        <v>2976909</v>
      </c>
      <c r="M1663" s="529">
        <v>2948400</v>
      </c>
      <c r="N1663" s="391"/>
      <c r="O1663" s="473">
        <v>28509</v>
      </c>
      <c r="P1663" s="391"/>
      <c r="Q1663" s="391"/>
      <c r="R1663" s="528">
        <f>M1663/J1663</f>
        <v>17141.860465116279</v>
      </c>
      <c r="S1663" s="388">
        <f t="shared" si="223"/>
        <v>0</v>
      </c>
      <c r="T1663" s="398"/>
      <c r="U1663" s="391"/>
      <c r="V1663" s="390"/>
      <c r="W1663" s="398"/>
      <c r="X1663" s="398"/>
      <c r="Z1663" s="416">
        <v>1</v>
      </c>
      <c r="AA1663" s="416">
        <f>J1663</f>
        <v>172</v>
      </c>
    </row>
    <row r="1664" spans="1:27" s="416" customFormat="1" ht="37.5" hidden="1" customHeight="1">
      <c r="A1664" s="506">
        <f t="shared" si="221"/>
        <v>172</v>
      </c>
      <c r="B1664" s="403" t="s">
        <v>1512</v>
      </c>
      <c r="C1664" s="455" t="s">
        <v>272</v>
      </c>
      <c r="D1664" s="545">
        <v>13170</v>
      </c>
      <c r="E1664" s="391">
        <v>2754</v>
      </c>
      <c r="F1664" s="388" t="s">
        <v>223</v>
      </c>
      <c r="G1664" s="391">
        <v>1104</v>
      </c>
      <c r="H1664" s="528">
        <v>5</v>
      </c>
      <c r="I1664" s="528">
        <v>4</v>
      </c>
      <c r="J1664" s="528">
        <v>64</v>
      </c>
      <c r="K1664" s="458" t="s">
        <v>33</v>
      </c>
      <c r="L1664" s="519">
        <f>SUBTOTAL(9,M1664:Q1664)</f>
        <v>3925472.1</v>
      </c>
      <c r="M1664" s="519">
        <v>3864000</v>
      </c>
      <c r="N1664" s="388"/>
      <c r="O1664" s="530">
        <v>21672.1</v>
      </c>
      <c r="P1664" s="388"/>
      <c r="Q1664" s="388">
        <v>39800</v>
      </c>
      <c r="R1664" s="446">
        <f>M1664/G1664</f>
        <v>3500</v>
      </c>
      <c r="S1664" s="388">
        <f t="shared" si="223"/>
        <v>9.4587448984384537E-11</v>
      </c>
      <c r="T1664" s="398"/>
      <c r="U1664" s="388"/>
      <c r="V1664" s="390"/>
      <c r="W1664" s="398"/>
      <c r="X1664" s="398"/>
    </row>
    <row r="1665" spans="1:27" s="416" customFormat="1" ht="56.25" hidden="1" customHeight="1">
      <c r="A1665" s="506">
        <f t="shared" si="221"/>
        <v>173</v>
      </c>
      <c r="B1665" s="403" t="s">
        <v>1513</v>
      </c>
      <c r="C1665" s="455" t="s">
        <v>218</v>
      </c>
      <c r="D1665" s="487">
        <v>12648</v>
      </c>
      <c r="E1665" s="391">
        <v>1000</v>
      </c>
      <c r="F1665" s="391" t="s">
        <v>223</v>
      </c>
      <c r="G1665" s="391">
        <v>1145</v>
      </c>
      <c r="H1665" s="528">
        <v>5</v>
      </c>
      <c r="I1665" s="528">
        <v>4</v>
      </c>
      <c r="J1665" s="528">
        <v>72</v>
      </c>
      <c r="K1665" s="458" t="s">
        <v>30</v>
      </c>
      <c r="L1665" s="519">
        <f>M1665+N1665+O1665+P1665+Q1665</f>
        <v>1897338.4</v>
      </c>
      <c r="M1665" s="529">
        <v>1854766</v>
      </c>
      <c r="N1665" s="391"/>
      <c r="O1665" s="473">
        <v>15210</v>
      </c>
      <c r="P1665" s="391"/>
      <c r="Q1665" s="391">
        <v>27362.400000000001</v>
      </c>
      <c r="R1665" s="528">
        <f>M1665/J1665</f>
        <v>25760.638888888891</v>
      </c>
      <c r="S1665" s="388">
        <f t="shared" si="223"/>
        <v>-9.4587448984384537E-11</v>
      </c>
      <c r="T1665" s="398"/>
      <c r="U1665" s="391"/>
      <c r="V1665" s="390"/>
      <c r="W1665" s="398"/>
      <c r="X1665" s="398"/>
      <c r="Z1665" s="416">
        <v>1</v>
      </c>
      <c r="AA1665" s="416">
        <f>J1665</f>
        <v>72</v>
      </c>
    </row>
    <row r="1666" spans="1:27" s="416" customFormat="1" ht="37.5" hidden="1" customHeight="1">
      <c r="A1666" s="506">
        <f t="shared" si="221"/>
        <v>174</v>
      </c>
      <c r="B1666" s="403" t="s">
        <v>1514</v>
      </c>
      <c r="C1666" s="455" t="s">
        <v>218</v>
      </c>
      <c r="D1666" s="487">
        <v>15828</v>
      </c>
      <c r="E1666" s="391">
        <v>3115</v>
      </c>
      <c r="F1666" s="391" t="s">
        <v>234</v>
      </c>
      <c r="G1666" s="391">
        <v>803</v>
      </c>
      <c r="H1666" s="528">
        <v>9</v>
      </c>
      <c r="I1666" s="528">
        <v>2</v>
      </c>
      <c r="J1666" s="528">
        <v>72</v>
      </c>
      <c r="K1666" s="458" t="s">
        <v>33</v>
      </c>
      <c r="L1666" s="519">
        <f>M1666+N1666+O1666+P1666+Q1666</f>
        <v>1475955</v>
      </c>
      <c r="M1666" s="529">
        <v>1430654</v>
      </c>
      <c r="N1666" s="391"/>
      <c r="O1666" s="473">
        <v>25401</v>
      </c>
      <c r="P1666" s="391"/>
      <c r="Q1666" s="391">
        <v>19900</v>
      </c>
      <c r="R1666" s="528">
        <f>M1666/G1666</f>
        <v>1781.6363636363637</v>
      </c>
      <c r="S1666" s="388">
        <f t="shared" si="223"/>
        <v>0</v>
      </c>
      <c r="T1666" s="398"/>
      <c r="U1666" s="391"/>
      <c r="V1666" s="390"/>
      <c r="W1666" s="398"/>
      <c r="X1666" s="398"/>
    </row>
    <row r="1667" spans="1:27" s="416" customFormat="1" ht="37.5" hidden="1" customHeight="1">
      <c r="A1667" s="506">
        <f t="shared" si="221"/>
        <v>175</v>
      </c>
      <c r="B1667" s="403" t="s">
        <v>1515</v>
      </c>
      <c r="C1667" s="455" t="s">
        <v>218</v>
      </c>
      <c r="D1667" s="487">
        <v>8709</v>
      </c>
      <c r="E1667" s="388">
        <v>1851</v>
      </c>
      <c r="F1667" s="388" t="s">
        <v>234</v>
      </c>
      <c r="G1667" s="388">
        <v>869.3</v>
      </c>
      <c r="H1667" s="446">
        <v>5</v>
      </c>
      <c r="I1667" s="446">
        <v>4</v>
      </c>
      <c r="J1667" s="446">
        <v>60</v>
      </c>
      <c r="K1667" s="458" t="s">
        <v>33</v>
      </c>
      <c r="L1667" s="529">
        <f>SUM(M1667:Q1667)</f>
        <v>1866678.22</v>
      </c>
      <c r="M1667" s="519">
        <v>1825530</v>
      </c>
      <c r="N1667" s="388"/>
      <c r="O1667" s="530">
        <v>21248.22</v>
      </c>
      <c r="P1667" s="388"/>
      <c r="Q1667" s="391">
        <v>19900</v>
      </c>
      <c r="R1667" s="446">
        <f>M1667/G1667</f>
        <v>2100</v>
      </c>
      <c r="S1667" s="388">
        <f t="shared" si="223"/>
        <v>-2.9103830456733704E-11</v>
      </c>
      <c r="T1667" s="398"/>
      <c r="U1667" s="388"/>
      <c r="V1667" s="390"/>
      <c r="W1667" s="398"/>
      <c r="X1667" s="398"/>
    </row>
    <row r="1668" spans="1:27" s="416" customFormat="1" ht="39.75" hidden="1" customHeight="1">
      <c r="A1668" s="506">
        <f t="shared" si="221"/>
        <v>176</v>
      </c>
      <c r="B1668" s="403" t="s">
        <v>1516</v>
      </c>
      <c r="C1668" s="455" t="s">
        <v>218</v>
      </c>
      <c r="D1668" s="487">
        <v>14951</v>
      </c>
      <c r="E1668" s="391">
        <v>3082</v>
      </c>
      <c r="F1668" s="391" t="s">
        <v>234</v>
      </c>
      <c r="G1668" s="391">
        <v>694</v>
      </c>
      <c r="H1668" s="528">
        <v>9</v>
      </c>
      <c r="I1668" s="528">
        <v>2</v>
      </c>
      <c r="J1668" s="528">
        <v>72</v>
      </c>
      <c r="K1668" s="458" t="s">
        <v>33</v>
      </c>
      <c r="L1668" s="519">
        <f>M1668+N1668+O1668+P1668+Q1668</f>
        <v>1430330.22</v>
      </c>
      <c r="M1668" s="529">
        <v>1385400</v>
      </c>
      <c r="N1668" s="391"/>
      <c r="O1668" s="473">
        <v>25030.22</v>
      </c>
      <c r="P1668" s="391"/>
      <c r="Q1668" s="391">
        <v>19900</v>
      </c>
      <c r="R1668" s="528">
        <f>M1668/G1668</f>
        <v>1996.2536023054754</v>
      </c>
      <c r="S1668" s="388">
        <f t="shared" si="223"/>
        <v>-2.9103830456733704E-11</v>
      </c>
      <c r="T1668" s="398"/>
      <c r="U1668" s="391"/>
      <c r="V1668" s="390"/>
      <c r="W1668" s="398"/>
      <c r="X1668" s="398"/>
    </row>
    <row r="1669" spans="1:27" s="416" customFormat="1" ht="37.5" hidden="1" customHeight="1">
      <c r="A1669" s="543">
        <f>A1668+1</f>
        <v>177</v>
      </c>
      <c r="B1669" s="403" t="s">
        <v>1517</v>
      </c>
      <c r="C1669" s="455" t="s">
        <v>218</v>
      </c>
      <c r="D1669" s="487">
        <v>16255</v>
      </c>
      <c r="E1669" s="391">
        <v>3208</v>
      </c>
      <c r="F1669" s="391" t="s">
        <v>234</v>
      </c>
      <c r="G1669" s="391">
        <v>1750</v>
      </c>
      <c r="H1669" s="528">
        <v>5</v>
      </c>
      <c r="I1669" s="528">
        <v>6</v>
      </c>
      <c r="J1669" s="528">
        <v>90</v>
      </c>
      <c r="K1669" s="458" t="s">
        <v>4273</v>
      </c>
      <c r="L1669" s="1129">
        <f>M1669+N1669+O1669+P1669+Q1669+M1670+N1670+O1670+Q1670</f>
        <v>7881341</v>
      </c>
      <c r="M1669" s="391">
        <v>6090000</v>
      </c>
      <c r="N1669" s="391">
        <v>28355</v>
      </c>
      <c r="O1669" s="530"/>
      <c r="P1669" s="391"/>
      <c r="Q1669" s="391">
        <v>19900</v>
      </c>
      <c r="R1669" s="446">
        <f>M1669/G1669</f>
        <v>3480</v>
      </c>
      <c r="S1669" s="388">
        <f t="shared" si="223"/>
        <v>1743086</v>
      </c>
      <c r="T1669" s="398"/>
      <c r="U1669" s="391"/>
      <c r="V1669" s="390"/>
      <c r="W1669" s="398"/>
      <c r="X1669" s="398"/>
    </row>
    <row r="1670" spans="1:27" s="416" customFormat="1" ht="37.5" hidden="1" customHeight="1">
      <c r="A1670" s="543"/>
      <c r="B1670" s="403"/>
      <c r="C1670" s="455"/>
      <c r="D1670" s="487"/>
      <c r="E1670" s="391"/>
      <c r="F1670" s="391"/>
      <c r="G1670" s="391"/>
      <c r="H1670" s="528"/>
      <c r="I1670" s="528"/>
      <c r="J1670" s="528"/>
      <c r="K1670" s="458" t="s">
        <v>225</v>
      </c>
      <c r="L1670" s="1129"/>
      <c r="M1670" s="529">
        <v>1690000</v>
      </c>
      <c r="N1670" s="391">
        <v>33599</v>
      </c>
      <c r="O1670" s="530"/>
      <c r="P1670" s="391"/>
      <c r="Q1670" s="391">
        <v>19487</v>
      </c>
      <c r="R1670" s="528">
        <f>M1670/J1669</f>
        <v>18777.777777777777</v>
      </c>
      <c r="S1670" s="388">
        <f t="shared" si="223"/>
        <v>-1743086</v>
      </c>
      <c r="T1670" s="398"/>
      <c r="U1670" s="391">
        <f>M1670+N1670+O1670+Q1670</f>
        <v>1743086</v>
      </c>
      <c r="V1670" s="390"/>
      <c r="W1670" s="398"/>
      <c r="X1670" s="398"/>
    </row>
    <row r="1671" spans="1:27" s="416" customFormat="1" ht="39.75" hidden="1" customHeight="1">
      <c r="A1671" s="506">
        <f>A1669+1</f>
        <v>178</v>
      </c>
      <c r="B1671" s="403" t="s">
        <v>1518</v>
      </c>
      <c r="C1671" s="455" t="s">
        <v>218</v>
      </c>
      <c r="D1671" s="487">
        <v>16800</v>
      </c>
      <c r="E1671" s="391">
        <v>2100</v>
      </c>
      <c r="F1671" s="391" t="s">
        <v>234</v>
      </c>
      <c r="G1671" s="391">
        <v>681</v>
      </c>
      <c r="H1671" s="528">
        <v>9</v>
      </c>
      <c r="I1671" s="528">
        <v>2</v>
      </c>
      <c r="J1671" s="528">
        <v>72</v>
      </c>
      <c r="K1671" s="458" t="s">
        <v>33</v>
      </c>
      <c r="L1671" s="519">
        <f t="shared" ref="L1671:L1699" si="224">M1671+N1671+O1671+P1671+Q1671</f>
        <v>1386368.63</v>
      </c>
      <c r="M1671" s="529">
        <v>1340924</v>
      </c>
      <c r="N1671" s="391"/>
      <c r="O1671" s="473">
        <v>25544.63</v>
      </c>
      <c r="P1671" s="391"/>
      <c r="Q1671" s="391">
        <v>19900</v>
      </c>
      <c r="R1671" s="528">
        <f>M1671/G1671</f>
        <v>1969.0513950073421</v>
      </c>
      <c r="S1671" s="388">
        <f t="shared" si="223"/>
        <v>-1.127773430198431E-10</v>
      </c>
      <c r="T1671" s="398"/>
      <c r="U1671" s="391"/>
      <c r="V1671" s="390"/>
      <c r="W1671" s="398"/>
      <c r="X1671" s="398"/>
    </row>
    <row r="1672" spans="1:27" s="416" customFormat="1" ht="39.75" hidden="1" customHeight="1">
      <c r="A1672" s="506">
        <f t="shared" si="221"/>
        <v>179</v>
      </c>
      <c r="B1672" s="403" t="s">
        <v>1519</v>
      </c>
      <c r="C1672" s="455" t="s">
        <v>218</v>
      </c>
      <c r="D1672" s="487">
        <v>42567</v>
      </c>
      <c r="E1672" s="391">
        <v>7128</v>
      </c>
      <c r="F1672" s="391" t="s">
        <v>234</v>
      </c>
      <c r="G1672" s="391">
        <v>1800</v>
      </c>
      <c r="H1672" s="528">
        <v>9</v>
      </c>
      <c r="I1672" s="528">
        <v>4</v>
      </c>
      <c r="J1672" s="528">
        <v>215</v>
      </c>
      <c r="K1672" s="458" t="s">
        <v>33</v>
      </c>
      <c r="L1672" s="519">
        <f t="shared" si="224"/>
        <v>4247102.34</v>
      </c>
      <c r="M1672" s="529">
        <v>4198414</v>
      </c>
      <c r="N1672" s="391"/>
      <c r="O1672" s="473">
        <v>28788.34</v>
      </c>
      <c r="P1672" s="391"/>
      <c r="Q1672" s="391">
        <v>19900</v>
      </c>
      <c r="R1672" s="528">
        <f>M1672/G1672</f>
        <v>2332.4522222222222</v>
      </c>
      <c r="S1672" s="388">
        <f t="shared" si="223"/>
        <v>-1.4915713109076023E-10</v>
      </c>
      <c r="T1672" s="398"/>
      <c r="U1672" s="391"/>
      <c r="V1672" s="390"/>
      <c r="W1672" s="398"/>
      <c r="X1672" s="398"/>
    </row>
    <row r="1673" spans="1:27" s="416" customFormat="1" ht="56.25" hidden="1" customHeight="1">
      <c r="A1673" s="506">
        <f t="shared" si="221"/>
        <v>180</v>
      </c>
      <c r="B1673" s="403" t="s">
        <v>1520</v>
      </c>
      <c r="C1673" s="455" t="s">
        <v>218</v>
      </c>
      <c r="D1673" s="487">
        <v>15503</v>
      </c>
      <c r="E1673" s="391">
        <v>3054</v>
      </c>
      <c r="F1673" s="391" t="s">
        <v>234</v>
      </c>
      <c r="G1673" s="391">
        <v>676.7</v>
      </c>
      <c r="H1673" s="528">
        <v>9</v>
      </c>
      <c r="I1673" s="528">
        <v>2</v>
      </c>
      <c r="J1673" s="528">
        <v>71</v>
      </c>
      <c r="K1673" s="458" t="s">
        <v>30</v>
      </c>
      <c r="L1673" s="519">
        <f t="shared" si="224"/>
        <v>2326151.2799999998</v>
      </c>
      <c r="M1673" s="529">
        <v>2272000</v>
      </c>
      <c r="N1673" s="391"/>
      <c r="O1673" s="473">
        <v>19832.34</v>
      </c>
      <c r="P1673" s="391"/>
      <c r="Q1673" s="391">
        <v>34318.94</v>
      </c>
      <c r="R1673" s="528">
        <f>M1673/J1673</f>
        <v>32000</v>
      </c>
      <c r="S1673" s="388">
        <f t="shared" si="223"/>
        <v>-2.0372681319713593E-10</v>
      </c>
      <c r="T1673" s="398"/>
      <c r="U1673" s="391"/>
      <c r="V1673" s="390"/>
      <c r="W1673" s="398"/>
      <c r="X1673" s="398"/>
      <c r="Z1673" s="416">
        <v>1</v>
      </c>
      <c r="AA1673" s="416">
        <f>J1673</f>
        <v>71</v>
      </c>
    </row>
    <row r="1674" spans="1:27" s="416" customFormat="1" ht="56.25" hidden="1" customHeight="1">
      <c r="A1674" s="506">
        <f t="shared" si="221"/>
        <v>181</v>
      </c>
      <c r="B1674" s="403" t="s">
        <v>1521</v>
      </c>
      <c r="C1674" s="455" t="s">
        <v>272</v>
      </c>
      <c r="D1674" s="487">
        <v>69156</v>
      </c>
      <c r="E1674" s="391">
        <v>9891.5</v>
      </c>
      <c r="F1674" s="391" t="s">
        <v>234</v>
      </c>
      <c r="G1674" s="391">
        <v>2356</v>
      </c>
      <c r="H1674" s="528">
        <v>9</v>
      </c>
      <c r="I1674" s="528">
        <v>7</v>
      </c>
      <c r="J1674" s="528">
        <v>252</v>
      </c>
      <c r="K1674" s="458" t="s">
        <v>30</v>
      </c>
      <c r="L1674" s="519">
        <f t="shared" si="224"/>
        <v>9065372.4900000002</v>
      </c>
      <c r="M1674" s="529">
        <v>9000000</v>
      </c>
      <c r="N1674" s="391"/>
      <c r="O1674" s="473">
        <v>25572.49</v>
      </c>
      <c r="P1674" s="391"/>
      <c r="Q1674" s="391">
        <v>39800</v>
      </c>
      <c r="R1674" s="528">
        <f>M1674/J1674</f>
        <v>35714.285714285717</v>
      </c>
      <c r="S1674" s="388">
        <f t="shared" si="223"/>
        <v>2.1827872842550278E-10</v>
      </c>
      <c r="T1674" s="398"/>
      <c r="U1674" s="391"/>
      <c r="V1674" s="390"/>
      <c r="W1674" s="398"/>
      <c r="X1674" s="398"/>
      <c r="Z1674" s="416">
        <v>1</v>
      </c>
      <c r="AA1674" s="416">
        <f>J1674</f>
        <v>252</v>
      </c>
    </row>
    <row r="1675" spans="1:27" s="416" customFormat="1" ht="37.5" hidden="1" customHeight="1">
      <c r="A1675" s="506">
        <f t="shared" si="221"/>
        <v>182</v>
      </c>
      <c r="B1675" s="403" t="s">
        <v>1522</v>
      </c>
      <c r="C1675" s="455" t="s">
        <v>272</v>
      </c>
      <c r="D1675" s="487">
        <v>2633</v>
      </c>
      <c r="E1675" s="391">
        <v>551.5</v>
      </c>
      <c r="F1675" s="391" t="s">
        <v>223</v>
      </c>
      <c r="G1675" s="391">
        <v>570</v>
      </c>
      <c r="H1675" s="528">
        <v>2</v>
      </c>
      <c r="I1675" s="528">
        <v>2</v>
      </c>
      <c r="J1675" s="528">
        <v>15</v>
      </c>
      <c r="K1675" s="458" t="s">
        <v>33</v>
      </c>
      <c r="L1675" s="519">
        <f t="shared" si="224"/>
        <v>1626092.78</v>
      </c>
      <c r="M1675" s="529">
        <v>1596000</v>
      </c>
      <c r="N1675" s="391"/>
      <c r="O1675" s="473">
        <v>17264.240000000002</v>
      </c>
      <c r="P1675" s="391"/>
      <c r="Q1675" s="391">
        <v>12828.54</v>
      </c>
      <c r="R1675" s="528">
        <f>M1675/G1675</f>
        <v>2800</v>
      </c>
      <c r="S1675" s="388">
        <f t="shared" si="223"/>
        <v>2.5465851649641991E-11</v>
      </c>
      <c r="T1675" s="398"/>
      <c r="U1675" s="391"/>
      <c r="V1675" s="390"/>
      <c r="W1675" s="398"/>
      <c r="X1675" s="398"/>
    </row>
    <row r="1676" spans="1:27" s="416" customFormat="1" ht="37.5" hidden="1" customHeight="1">
      <c r="A1676" s="506">
        <f t="shared" si="221"/>
        <v>183</v>
      </c>
      <c r="B1676" s="403" t="s">
        <v>1523</v>
      </c>
      <c r="C1676" s="455" t="s">
        <v>272</v>
      </c>
      <c r="D1676" s="487">
        <v>25600</v>
      </c>
      <c r="E1676" s="391">
        <v>3666.4</v>
      </c>
      <c r="F1676" s="391" t="s">
        <v>234</v>
      </c>
      <c r="G1676" s="391">
        <v>1320.6</v>
      </c>
      <c r="H1676" s="528">
        <v>5</v>
      </c>
      <c r="I1676" s="528">
        <v>6</v>
      </c>
      <c r="J1676" s="528">
        <v>96</v>
      </c>
      <c r="K1676" s="458" t="s">
        <v>33</v>
      </c>
      <c r="L1676" s="519">
        <f t="shared" si="224"/>
        <v>3417657.13</v>
      </c>
      <c r="M1676" s="529">
        <v>3374700</v>
      </c>
      <c r="N1676" s="391"/>
      <c r="O1676" s="473">
        <v>23057.13</v>
      </c>
      <c r="P1676" s="391"/>
      <c r="Q1676" s="391">
        <v>19900</v>
      </c>
      <c r="R1676" s="528">
        <f>M1676/G1676</f>
        <v>2555.4293502953205</v>
      </c>
      <c r="S1676" s="388">
        <f t="shared" si="223"/>
        <v>-1.127773430198431E-10</v>
      </c>
      <c r="T1676" s="398"/>
      <c r="U1676" s="391"/>
      <c r="V1676" s="390"/>
      <c r="W1676" s="398"/>
      <c r="X1676" s="398"/>
    </row>
    <row r="1677" spans="1:27" s="416" customFormat="1" ht="37.5" hidden="1" customHeight="1">
      <c r="A1677" s="506">
        <f t="shared" si="221"/>
        <v>184</v>
      </c>
      <c r="B1677" s="403" t="s">
        <v>1524</v>
      </c>
      <c r="C1677" s="455" t="s">
        <v>218</v>
      </c>
      <c r="D1677" s="487">
        <v>23350</v>
      </c>
      <c r="E1677" s="391">
        <v>3480</v>
      </c>
      <c r="F1677" s="391" t="s">
        <v>234</v>
      </c>
      <c r="G1677" s="391">
        <v>651</v>
      </c>
      <c r="H1677" s="528">
        <v>9</v>
      </c>
      <c r="I1677" s="528">
        <v>3</v>
      </c>
      <c r="J1677" s="528">
        <v>96</v>
      </c>
      <c r="K1677" s="458" t="s">
        <v>225</v>
      </c>
      <c r="L1677" s="519">
        <f t="shared" si="224"/>
        <v>2568080.34</v>
      </c>
      <c r="M1677" s="529">
        <v>2511335</v>
      </c>
      <c r="N1677" s="391">
        <v>36945.339999999997</v>
      </c>
      <c r="O1677" s="530"/>
      <c r="P1677" s="391"/>
      <c r="Q1677" s="391">
        <v>19800</v>
      </c>
      <c r="R1677" s="528">
        <f>M1677/J1677</f>
        <v>26159.739583333332</v>
      </c>
      <c r="S1677" s="388">
        <f t="shared" si="223"/>
        <v>-1.4551915228366852E-10</v>
      </c>
      <c r="T1677" s="398"/>
      <c r="U1677" s="391">
        <f>M1677+N1677+O1677+Q1677</f>
        <v>2568080.34</v>
      </c>
      <c r="V1677" s="390"/>
      <c r="W1677" s="398"/>
      <c r="X1677" s="398"/>
    </row>
    <row r="1678" spans="1:27" s="416" customFormat="1" ht="56.25" hidden="1" customHeight="1">
      <c r="A1678" s="506">
        <f t="shared" si="221"/>
        <v>185</v>
      </c>
      <c r="B1678" s="403" t="s">
        <v>1525</v>
      </c>
      <c r="C1678" s="455" t="s">
        <v>218</v>
      </c>
      <c r="D1678" s="487">
        <v>55350</v>
      </c>
      <c r="E1678" s="391">
        <v>8381.1</v>
      </c>
      <c r="F1678" s="391" t="s">
        <v>234</v>
      </c>
      <c r="G1678" s="391">
        <v>3070</v>
      </c>
      <c r="H1678" s="528">
        <v>9</v>
      </c>
      <c r="I1678" s="528">
        <v>7</v>
      </c>
      <c r="J1678" s="528">
        <v>252</v>
      </c>
      <c r="K1678" s="458" t="s">
        <v>30</v>
      </c>
      <c r="L1678" s="519">
        <f t="shared" si="224"/>
        <v>9064406</v>
      </c>
      <c r="M1678" s="529">
        <v>9000000</v>
      </c>
      <c r="N1678" s="391"/>
      <c r="O1678" s="473">
        <v>24606</v>
      </c>
      <c r="P1678" s="391"/>
      <c r="Q1678" s="391">
        <v>39800</v>
      </c>
      <c r="R1678" s="528">
        <f>M1678/J1678</f>
        <v>35714.285714285717</v>
      </c>
      <c r="S1678" s="388">
        <f t="shared" si="223"/>
        <v>0</v>
      </c>
      <c r="T1678" s="398"/>
      <c r="U1678" s="391"/>
      <c r="V1678" s="390"/>
      <c r="W1678" s="398"/>
      <c r="X1678" s="398"/>
      <c r="Z1678" s="416">
        <v>1</v>
      </c>
      <c r="AA1678" s="416">
        <f>J1678</f>
        <v>252</v>
      </c>
    </row>
    <row r="1679" spans="1:27" s="416" customFormat="1" ht="56.25" hidden="1" customHeight="1">
      <c r="A1679" s="506">
        <f t="shared" si="221"/>
        <v>186</v>
      </c>
      <c r="B1679" s="403" t="s">
        <v>1526</v>
      </c>
      <c r="C1679" s="455" t="s">
        <v>272</v>
      </c>
      <c r="D1679" s="487">
        <v>17884</v>
      </c>
      <c r="E1679" s="391">
        <v>2644</v>
      </c>
      <c r="F1679" s="391" t="s">
        <v>234</v>
      </c>
      <c r="G1679" s="391">
        <v>547</v>
      </c>
      <c r="H1679" s="528">
        <v>12</v>
      </c>
      <c r="I1679" s="528">
        <v>1</v>
      </c>
      <c r="J1679" s="528">
        <v>82</v>
      </c>
      <c r="K1679" s="458" t="s">
        <v>30</v>
      </c>
      <c r="L1679" s="519">
        <f t="shared" si="224"/>
        <v>2684458.19</v>
      </c>
      <c r="M1679" s="529">
        <v>2624000</v>
      </c>
      <c r="N1679" s="391"/>
      <c r="O1679" s="473">
        <v>20658.189999999999</v>
      </c>
      <c r="P1679" s="391"/>
      <c r="Q1679" s="391">
        <v>39800</v>
      </c>
      <c r="R1679" s="528">
        <f>M1679/J1679</f>
        <v>32000</v>
      </c>
      <c r="S1679" s="388">
        <f t="shared" si="223"/>
        <v>-5.8207660913467407E-11</v>
      </c>
      <c r="T1679" s="398"/>
      <c r="U1679" s="391"/>
      <c r="V1679" s="390"/>
      <c r="W1679" s="398"/>
      <c r="X1679" s="398"/>
      <c r="Z1679" s="416">
        <v>1</v>
      </c>
      <c r="AA1679" s="416">
        <f>J1679</f>
        <v>82</v>
      </c>
    </row>
    <row r="1680" spans="1:27" s="416" customFormat="1" ht="37.5" hidden="1" customHeight="1">
      <c r="A1680" s="506">
        <f t="shared" si="221"/>
        <v>187</v>
      </c>
      <c r="B1680" s="403" t="s">
        <v>1527</v>
      </c>
      <c r="C1680" s="455" t="s">
        <v>218</v>
      </c>
      <c r="D1680" s="487">
        <v>54790</v>
      </c>
      <c r="E1680" s="391">
        <v>8558</v>
      </c>
      <c r="F1680" s="391" t="s">
        <v>234</v>
      </c>
      <c r="G1680" s="391">
        <v>2052</v>
      </c>
      <c r="H1680" s="528">
        <v>9</v>
      </c>
      <c r="I1680" s="528">
        <v>6</v>
      </c>
      <c r="J1680" s="528">
        <v>237</v>
      </c>
      <c r="K1680" s="458" t="s">
        <v>225</v>
      </c>
      <c r="L1680" s="519">
        <f t="shared" si="224"/>
        <v>4048605.66</v>
      </c>
      <c r="M1680" s="529">
        <v>3986550</v>
      </c>
      <c r="N1680" s="391">
        <v>42255.66</v>
      </c>
      <c r="O1680" s="530"/>
      <c r="P1680" s="391"/>
      <c r="Q1680" s="391">
        <v>19800</v>
      </c>
      <c r="R1680" s="528">
        <f>M1680/J1680</f>
        <v>16820.886075949365</v>
      </c>
      <c r="S1680" s="388">
        <f t="shared" si="223"/>
        <v>1.4551915228366852E-10</v>
      </c>
      <c r="T1680" s="398"/>
      <c r="U1680" s="391">
        <f>M1680+N1680+O1680+Q1680</f>
        <v>4048605.66</v>
      </c>
      <c r="V1680" s="390"/>
      <c r="W1680" s="398"/>
      <c r="X1680" s="398"/>
    </row>
    <row r="1681" spans="1:27" s="416" customFormat="1" ht="56.25" hidden="1" customHeight="1">
      <c r="A1681" s="506">
        <f t="shared" si="221"/>
        <v>188</v>
      </c>
      <c r="B1681" s="403" t="s">
        <v>1529</v>
      </c>
      <c r="C1681" s="455" t="s">
        <v>218</v>
      </c>
      <c r="D1681" s="487">
        <v>12650</v>
      </c>
      <c r="E1681" s="391">
        <v>1890</v>
      </c>
      <c r="F1681" s="391" t="s">
        <v>234</v>
      </c>
      <c r="G1681" s="391">
        <v>554</v>
      </c>
      <c r="H1681" s="528">
        <v>9</v>
      </c>
      <c r="I1681" s="528">
        <v>1</v>
      </c>
      <c r="J1681" s="528">
        <v>72</v>
      </c>
      <c r="K1681" s="458" t="s">
        <v>30</v>
      </c>
      <c r="L1681" s="519">
        <f t="shared" si="224"/>
        <v>2349654.48</v>
      </c>
      <c r="M1681" s="529">
        <v>2304000</v>
      </c>
      <c r="N1681" s="391"/>
      <c r="O1681" s="473">
        <v>18292.080000000002</v>
      </c>
      <c r="P1681" s="391"/>
      <c r="Q1681" s="391">
        <v>27362.400000000001</v>
      </c>
      <c r="R1681" s="528">
        <f>M1681/J1681</f>
        <v>32000</v>
      </c>
      <c r="S1681" s="388">
        <f t="shared" si="223"/>
        <v>0</v>
      </c>
      <c r="T1681" s="398"/>
      <c r="U1681" s="391"/>
      <c r="V1681" s="390"/>
      <c r="W1681" s="398"/>
      <c r="X1681" s="398"/>
      <c r="Z1681" s="416">
        <v>1</v>
      </c>
      <c r="AA1681" s="416">
        <f>J1681</f>
        <v>72</v>
      </c>
    </row>
    <row r="1682" spans="1:27" s="416" customFormat="1" ht="37.5" hidden="1" customHeight="1">
      <c r="A1682" s="506">
        <f t="shared" si="221"/>
        <v>189</v>
      </c>
      <c r="B1682" s="403" t="s">
        <v>1531</v>
      </c>
      <c r="C1682" s="455" t="s">
        <v>218</v>
      </c>
      <c r="D1682" s="487">
        <v>7512</v>
      </c>
      <c r="E1682" s="391">
        <v>1452</v>
      </c>
      <c r="F1682" s="391" t="s">
        <v>234</v>
      </c>
      <c r="G1682" s="391">
        <v>327</v>
      </c>
      <c r="H1682" s="528">
        <v>9</v>
      </c>
      <c r="I1682" s="528">
        <v>1</v>
      </c>
      <c r="J1682" s="528">
        <v>35</v>
      </c>
      <c r="K1682" s="458" t="s">
        <v>33</v>
      </c>
      <c r="L1682" s="519">
        <f t="shared" si="224"/>
        <v>812373.31</v>
      </c>
      <c r="M1682" s="529">
        <v>774384</v>
      </c>
      <c r="N1682" s="391"/>
      <c r="O1682" s="473">
        <v>24921</v>
      </c>
      <c r="P1682" s="391"/>
      <c r="Q1682" s="391">
        <v>13068.31</v>
      </c>
      <c r="R1682" s="528">
        <f>M1682/G1682</f>
        <v>2368.1467889908258</v>
      </c>
      <c r="S1682" s="388">
        <f t="shared" si="223"/>
        <v>5.6388671509921551E-11</v>
      </c>
      <c r="T1682" s="398"/>
      <c r="U1682" s="391"/>
      <c r="V1682" s="390"/>
      <c r="W1682" s="398"/>
      <c r="X1682" s="398"/>
    </row>
    <row r="1683" spans="1:27" s="416" customFormat="1" ht="37.5" hidden="1" customHeight="1">
      <c r="A1683" s="506">
        <f t="shared" si="221"/>
        <v>190</v>
      </c>
      <c r="B1683" s="403" t="s">
        <v>1530</v>
      </c>
      <c r="C1683" s="455" t="s">
        <v>218</v>
      </c>
      <c r="D1683" s="487">
        <v>15752</v>
      </c>
      <c r="E1683" s="391">
        <v>2470</v>
      </c>
      <c r="F1683" s="391" t="s">
        <v>234</v>
      </c>
      <c r="G1683" s="391">
        <v>687.6</v>
      </c>
      <c r="H1683" s="528">
        <v>9</v>
      </c>
      <c r="I1683" s="528">
        <v>2</v>
      </c>
      <c r="J1683" s="528">
        <v>72</v>
      </c>
      <c r="K1683" s="458" t="s">
        <v>33</v>
      </c>
      <c r="L1683" s="519">
        <f t="shared" si="224"/>
        <v>1480692</v>
      </c>
      <c r="M1683" s="529">
        <v>1435412</v>
      </c>
      <c r="N1683" s="391"/>
      <c r="O1683" s="473">
        <v>25380</v>
      </c>
      <c r="P1683" s="391"/>
      <c r="Q1683" s="391">
        <v>19900</v>
      </c>
      <c r="R1683" s="528">
        <f>M1683/G1683</f>
        <v>2087.5683536940082</v>
      </c>
      <c r="S1683" s="388">
        <f t="shared" si="223"/>
        <v>0</v>
      </c>
      <c r="T1683" s="398"/>
      <c r="U1683" s="391"/>
      <c r="V1683" s="390"/>
      <c r="W1683" s="398"/>
      <c r="X1683" s="398"/>
    </row>
    <row r="1684" spans="1:27" s="416" customFormat="1" ht="56.25" hidden="1" customHeight="1">
      <c r="A1684" s="506">
        <f t="shared" si="221"/>
        <v>191</v>
      </c>
      <c r="B1684" s="403" t="s">
        <v>1532</v>
      </c>
      <c r="C1684" s="455" t="s">
        <v>218</v>
      </c>
      <c r="D1684" s="487">
        <v>7652</v>
      </c>
      <c r="E1684" s="391">
        <v>6388</v>
      </c>
      <c r="F1684" s="391" t="s">
        <v>234</v>
      </c>
      <c r="G1684" s="391">
        <v>1333</v>
      </c>
      <c r="H1684" s="528">
        <v>9</v>
      </c>
      <c r="I1684" s="528">
        <v>4</v>
      </c>
      <c r="J1684" s="528">
        <v>144</v>
      </c>
      <c r="K1684" s="458" t="s">
        <v>30</v>
      </c>
      <c r="L1684" s="519">
        <f t="shared" si="224"/>
        <v>4648307.0500000007</v>
      </c>
      <c r="M1684" s="529">
        <v>4608000</v>
      </c>
      <c r="N1684" s="391"/>
      <c r="O1684" s="473">
        <v>18973.650000000001</v>
      </c>
      <c r="P1684" s="391"/>
      <c r="Q1684" s="391">
        <v>21333.4</v>
      </c>
      <c r="R1684" s="528">
        <f t="shared" ref="R1684:R1695" si="225">M1684/J1684</f>
        <v>32000</v>
      </c>
      <c r="S1684" s="388">
        <f t="shared" si="223"/>
        <v>7.4214767664670944E-10</v>
      </c>
      <c r="T1684" s="398"/>
      <c r="U1684" s="391"/>
      <c r="V1684" s="390"/>
      <c r="W1684" s="398"/>
      <c r="X1684" s="398"/>
      <c r="Z1684" s="416">
        <v>1</v>
      </c>
      <c r="AA1684" s="416">
        <f>J1684</f>
        <v>144</v>
      </c>
    </row>
    <row r="1685" spans="1:27" s="416" customFormat="1" ht="56.25" hidden="1" customHeight="1">
      <c r="A1685" s="506">
        <f t="shared" si="221"/>
        <v>192</v>
      </c>
      <c r="B1685" s="403" t="s">
        <v>1533</v>
      </c>
      <c r="C1685" s="455" t="s">
        <v>218</v>
      </c>
      <c r="D1685" s="487">
        <v>18851</v>
      </c>
      <c r="E1685" s="391">
        <v>2200</v>
      </c>
      <c r="F1685" s="391" t="s">
        <v>234</v>
      </c>
      <c r="G1685" s="391">
        <v>807</v>
      </c>
      <c r="H1685" s="528">
        <v>9</v>
      </c>
      <c r="I1685" s="528">
        <v>1</v>
      </c>
      <c r="J1685" s="528">
        <v>171</v>
      </c>
      <c r="K1685" s="458" t="s">
        <v>30</v>
      </c>
      <c r="L1685" s="519">
        <f t="shared" si="224"/>
        <v>5533453</v>
      </c>
      <c r="M1685" s="529">
        <v>5472000</v>
      </c>
      <c r="N1685" s="391"/>
      <c r="O1685" s="473">
        <v>21653</v>
      </c>
      <c r="P1685" s="391"/>
      <c r="Q1685" s="391">
        <v>39800</v>
      </c>
      <c r="R1685" s="528">
        <f t="shared" si="225"/>
        <v>32000</v>
      </c>
      <c r="S1685" s="388">
        <f t="shared" si="223"/>
        <v>0</v>
      </c>
      <c r="T1685" s="398"/>
      <c r="U1685" s="391"/>
      <c r="V1685" s="390"/>
      <c r="W1685" s="398"/>
      <c r="X1685" s="398"/>
      <c r="Z1685" s="416">
        <v>1</v>
      </c>
      <c r="AA1685" s="416">
        <f>J1685</f>
        <v>171</v>
      </c>
    </row>
    <row r="1686" spans="1:27" s="416" customFormat="1" ht="56.25" hidden="1" customHeight="1">
      <c r="A1686" s="506">
        <f t="shared" si="221"/>
        <v>193</v>
      </c>
      <c r="B1686" s="403" t="s">
        <v>1534</v>
      </c>
      <c r="C1686" s="455" t="s">
        <v>272</v>
      </c>
      <c r="D1686" s="487">
        <v>23857.599999999999</v>
      </c>
      <c r="E1686" s="391">
        <v>3516</v>
      </c>
      <c r="F1686" s="391" t="s">
        <v>234</v>
      </c>
      <c r="G1686" s="391">
        <v>1238</v>
      </c>
      <c r="H1686" s="528">
        <v>9</v>
      </c>
      <c r="I1686" s="528">
        <v>1</v>
      </c>
      <c r="J1686" s="528">
        <v>202</v>
      </c>
      <c r="K1686" s="458" t="s">
        <v>30</v>
      </c>
      <c r="L1686" s="519">
        <f t="shared" si="224"/>
        <v>6160535</v>
      </c>
      <c r="M1686" s="529">
        <v>6100000</v>
      </c>
      <c r="N1686" s="391"/>
      <c r="O1686" s="473">
        <v>20735</v>
      </c>
      <c r="P1686" s="391"/>
      <c r="Q1686" s="391">
        <v>39800</v>
      </c>
      <c r="R1686" s="528">
        <f t="shared" si="225"/>
        <v>30198.019801980197</v>
      </c>
      <c r="S1686" s="388">
        <f t="shared" si="223"/>
        <v>0</v>
      </c>
      <c r="T1686" s="398"/>
      <c r="U1686" s="391"/>
      <c r="V1686" s="390"/>
      <c r="W1686" s="398"/>
      <c r="X1686" s="398"/>
      <c r="Z1686" s="416">
        <v>1</v>
      </c>
      <c r="AA1686" s="416">
        <f>J1686</f>
        <v>202</v>
      </c>
    </row>
    <row r="1687" spans="1:27" s="416" customFormat="1" ht="37.5" hidden="1" customHeight="1">
      <c r="A1687" s="506">
        <f t="shared" si="221"/>
        <v>194</v>
      </c>
      <c r="B1687" s="403" t="s">
        <v>1535</v>
      </c>
      <c r="C1687" s="455" t="s">
        <v>272</v>
      </c>
      <c r="D1687" s="487">
        <v>13094</v>
      </c>
      <c r="E1687" s="391">
        <v>2760</v>
      </c>
      <c r="F1687" s="391" t="s">
        <v>223</v>
      </c>
      <c r="G1687" s="391">
        <v>1216</v>
      </c>
      <c r="H1687" s="528">
        <v>5</v>
      </c>
      <c r="I1687" s="528">
        <v>4</v>
      </c>
      <c r="J1687" s="528">
        <v>70</v>
      </c>
      <c r="K1687" s="458" t="s">
        <v>225</v>
      </c>
      <c r="L1687" s="519">
        <f t="shared" si="224"/>
        <v>1299798.1500000001</v>
      </c>
      <c r="M1687" s="529">
        <v>1252887</v>
      </c>
      <c r="N1687" s="391">
        <v>32466.85</v>
      </c>
      <c r="O1687" s="530"/>
      <c r="P1687" s="391"/>
      <c r="Q1687" s="391">
        <v>14444.3</v>
      </c>
      <c r="R1687" s="528">
        <f t="shared" si="225"/>
        <v>17898.385714285716</v>
      </c>
      <c r="S1687" s="388">
        <f t="shared" si="223"/>
        <v>1.4188117347657681E-10</v>
      </c>
      <c r="T1687" s="398"/>
      <c r="U1687" s="391">
        <f>M1687+N1687+O1687+Q1687</f>
        <v>1299798.1500000001</v>
      </c>
      <c r="V1687" s="390"/>
      <c r="W1687" s="398"/>
      <c r="X1687" s="398"/>
    </row>
    <row r="1688" spans="1:27" s="416" customFormat="1" ht="56.25" hidden="1" customHeight="1">
      <c r="A1688" s="506">
        <f t="shared" si="221"/>
        <v>195</v>
      </c>
      <c r="B1688" s="403" t="s">
        <v>1536</v>
      </c>
      <c r="C1688" s="455" t="s">
        <v>272</v>
      </c>
      <c r="D1688" s="487">
        <v>29007</v>
      </c>
      <c r="E1688" s="391">
        <v>5160</v>
      </c>
      <c r="F1688" s="391" t="s">
        <v>234</v>
      </c>
      <c r="G1688" s="391">
        <v>2214.4</v>
      </c>
      <c r="H1688" s="528">
        <v>5</v>
      </c>
      <c r="I1688" s="528">
        <v>8</v>
      </c>
      <c r="J1688" s="528">
        <v>122</v>
      </c>
      <c r="K1688" s="458" t="s">
        <v>30</v>
      </c>
      <c r="L1688" s="519">
        <f t="shared" si="224"/>
        <v>3350043.38</v>
      </c>
      <c r="M1688" s="529">
        <v>3294000</v>
      </c>
      <c r="N1688" s="391"/>
      <c r="O1688" s="473">
        <v>16243.38</v>
      </c>
      <c r="P1688" s="391"/>
      <c r="Q1688" s="391">
        <v>39800</v>
      </c>
      <c r="R1688" s="528">
        <f t="shared" si="225"/>
        <v>27000</v>
      </c>
      <c r="S1688" s="388">
        <f t="shared" si="223"/>
        <v>-1.0913936421275139E-10</v>
      </c>
      <c r="T1688" s="398"/>
      <c r="U1688" s="391"/>
      <c r="V1688" s="390"/>
      <c r="W1688" s="398"/>
      <c r="X1688" s="398"/>
      <c r="Z1688" s="416">
        <v>1</v>
      </c>
      <c r="AA1688" s="416">
        <f>J1688</f>
        <v>122</v>
      </c>
    </row>
    <row r="1689" spans="1:27" s="416" customFormat="1" ht="37.5" hidden="1" customHeight="1">
      <c r="A1689" s="506">
        <f t="shared" si="221"/>
        <v>196</v>
      </c>
      <c r="B1689" s="403" t="s">
        <v>1537</v>
      </c>
      <c r="C1689" s="455" t="s">
        <v>218</v>
      </c>
      <c r="D1689" s="487">
        <v>15855</v>
      </c>
      <c r="E1689" s="391">
        <v>600</v>
      </c>
      <c r="F1689" s="391" t="s">
        <v>234</v>
      </c>
      <c r="G1689" s="391">
        <v>963.6</v>
      </c>
      <c r="H1689" s="528">
        <v>5</v>
      </c>
      <c r="I1689" s="528">
        <v>4</v>
      </c>
      <c r="J1689" s="528">
        <v>64</v>
      </c>
      <c r="K1689" s="458" t="s">
        <v>225</v>
      </c>
      <c r="L1689" s="519">
        <f t="shared" si="224"/>
        <v>1195402.06</v>
      </c>
      <c r="M1689" s="529">
        <v>1147343</v>
      </c>
      <c r="N1689" s="391">
        <v>32442.97</v>
      </c>
      <c r="O1689" s="530"/>
      <c r="P1689" s="391"/>
      <c r="Q1689" s="391">
        <v>15616.09</v>
      </c>
      <c r="R1689" s="528">
        <f t="shared" si="225"/>
        <v>17927.234375</v>
      </c>
      <c r="S1689" s="388">
        <f t="shared" si="223"/>
        <v>5.4569682106375694E-11</v>
      </c>
      <c r="T1689" s="398"/>
      <c r="U1689" s="391">
        <f t="shared" ref="U1689:U1695" si="226">M1689+N1689+O1689+Q1689</f>
        <v>1195402.06</v>
      </c>
      <c r="V1689" s="390"/>
      <c r="W1689" s="398"/>
      <c r="X1689" s="398"/>
    </row>
    <row r="1690" spans="1:27" s="416" customFormat="1" ht="37.5" hidden="1" customHeight="1">
      <c r="A1690" s="506">
        <f t="shared" si="221"/>
        <v>197</v>
      </c>
      <c r="B1690" s="403" t="s">
        <v>1538</v>
      </c>
      <c r="C1690" s="455" t="s">
        <v>272</v>
      </c>
      <c r="D1690" s="487">
        <v>12153</v>
      </c>
      <c r="E1690" s="391">
        <v>11147</v>
      </c>
      <c r="F1690" s="391" t="s">
        <v>223</v>
      </c>
      <c r="G1690" s="391">
        <v>978</v>
      </c>
      <c r="H1690" s="528">
        <v>5</v>
      </c>
      <c r="I1690" s="528">
        <v>4</v>
      </c>
      <c r="J1690" s="528">
        <v>80</v>
      </c>
      <c r="K1690" s="458" t="s">
        <v>225</v>
      </c>
      <c r="L1690" s="519">
        <f t="shared" si="224"/>
        <v>1312534.8899999999</v>
      </c>
      <c r="M1690" s="529">
        <v>1264470</v>
      </c>
      <c r="N1690" s="391">
        <v>31948.45</v>
      </c>
      <c r="O1690" s="530"/>
      <c r="P1690" s="391"/>
      <c r="Q1690" s="391">
        <v>16116.44</v>
      </c>
      <c r="R1690" s="528">
        <f t="shared" si="225"/>
        <v>15805.875</v>
      </c>
      <c r="S1690" s="388">
        <f t="shared" si="223"/>
        <v>-1.0368239600211382E-10</v>
      </c>
      <c r="T1690" s="398"/>
      <c r="U1690" s="391">
        <f t="shared" si="226"/>
        <v>1312534.8899999999</v>
      </c>
      <c r="V1690" s="390"/>
      <c r="W1690" s="398"/>
      <c r="X1690" s="398"/>
    </row>
    <row r="1691" spans="1:27" s="416" customFormat="1" ht="37.5" hidden="1" customHeight="1">
      <c r="A1691" s="506">
        <f t="shared" si="221"/>
        <v>198</v>
      </c>
      <c r="B1691" s="403" t="s">
        <v>1539</v>
      </c>
      <c r="C1691" s="455" t="s">
        <v>218</v>
      </c>
      <c r="D1691" s="487">
        <v>12177</v>
      </c>
      <c r="E1691" s="391">
        <v>2640</v>
      </c>
      <c r="F1691" s="391" t="s">
        <v>223</v>
      </c>
      <c r="G1691" s="391">
        <v>976</v>
      </c>
      <c r="H1691" s="528">
        <v>5</v>
      </c>
      <c r="I1691" s="528">
        <v>4</v>
      </c>
      <c r="J1691" s="528">
        <v>80</v>
      </c>
      <c r="K1691" s="458" t="s">
        <v>225</v>
      </c>
      <c r="L1691" s="519">
        <f t="shared" si="224"/>
        <v>1313943.0499999998</v>
      </c>
      <c r="M1691" s="529">
        <v>1265934</v>
      </c>
      <c r="N1691" s="391">
        <v>31961.39</v>
      </c>
      <c r="O1691" s="530"/>
      <c r="P1691" s="391"/>
      <c r="Q1691" s="391">
        <v>16047.66</v>
      </c>
      <c r="R1691" s="528">
        <f t="shared" si="225"/>
        <v>15824.174999999999</v>
      </c>
      <c r="S1691" s="388">
        <f t="shared" si="223"/>
        <v>-1.8553691916167736E-10</v>
      </c>
      <c r="T1691" s="398"/>
      <c r="U1691" s="391">
        <f t="shared" si="226"/>
        <v>1313943.0499999998</v>
      </c>
      <c r="V1691" s="390"/>
      <c r="W1691" s="398"/>
      <c r="X1691" s="398"/>
    </row>
    <row r="1692" spans="1:27" ht="37.5" hidden="1" customHeight="1">
      <c r="A1692" s="506">
        <f t="shared" si="221"/>
        <v>199</v>
      </c>
      <c r="B1692" s="427" t="s">
        <v>3669</v>
      </c>
      <c r="C1692" s="455" t="s">
        <v>272</v>
      </c>
      <c r="D1692" s="532">
        <v>7906</v>
      </c>
      <c r="E1692" s="391">
        <v>800</v>
      </c>
      <c r="F1692" s="539" t="s">
        <v>234</v>
      </c>
      <c r="G1692" s="535">
        <v>338.8</v>
      </c>
      <c r="H1692" s="536">
        <v>6</v>
      </c>
      <c r="I1692" s="536">
        <v>1</v>
      </c>
      <c r="J1692" s="536">
        <v>20</v>
      </c>
      <c r="K1692" s="458" t="s">
        <v>225</v>
      </c>
      <c r="L1692" s="529">
        <f t="shared" si="224"/>
        <v>849936.46</v>
      </c>
      <c r="M1692" s="538">
        <v>812927</v>
      </c>
      <c r="N1692" s="539">
        <v>31143.5</v>
      </c>
      <c r="O1692" s="540"/>
      <c r="P1692" s="388"/>
      <c r="Q1692" s="541">
        <v>5865.96</v>
      </c>
      <c r="R1692" s="528">
        <f t="shared" si="225"/>
        <v>40646.35</v>
      </c>
      <c r="S1692" s="388">
        <f t="shared" si="223"/>
        <v>-3.7289282772690058E-11</v>
      </c>
      <c r="T1692" s="389"/>
      <c r="U1692" s="391">
        <f t="shared" si="226"/>
        <v>849936.46</v>
      </c>
      <c r="V1692" s="390"/>
      <c r="W1692" s="398"/>
      <c r="X1692" s="398"/>
    </row>
    <row r="1693" spans="1:27" s="416" customFormat="1" ht="37.5" hidden="1" customHeight="1">
      <c r="A1693" s="506">
        <f t="shared" si="221"/>
        <v>200</v>
      </c>
      <c r="B1693" s="403" t="s">
        <v>1540</v>
      </c>
      <c r="C1693" s="455" t="s">
        <v>272</v>
      </c>
      <c r="D1693" s="487">
        <v>20856</v>
      </c>
      <c r="E1693" s="391">
        <v>2989</v>
      </c>
      <c r="F1693" s="391" t="s">
        <v>234</v>
      </c>
      <c r="G1693" s="391">
        <v>1388</v>
      </c>
      <c r="H1693" s="528">
        <v>5</v>
      </c>
      <c r="I1693" s="528">
        <v>6</v>
      </c>
      <c r="J1693" s="528">
        <v>95</v>
      </c>
      <c r="K1693" s="458" t="s">
        <v>225</v>
      </c>
      <c r="L1693" s="519">
        <f t="shared" si="224"/>
        <v>1245685.1400000001</v>
      </c>
      <c r="M1693" s="529">
        <v>1185152</v>
      </c>
      <c r="N1693" s="391">
        <v>40989.03</v>
      </c>
      <c r="O1693" s="530"/>
      <c r="P1693" s="391"/>
      <c r="Q1693" s="391">
        <v>19544.11</v>
      </c>
      <c r="R1693" s="528">
        <f t="shared" si="225"/>
        <v>12475.284210526315</v>
      </c>
      <c r="S1693" s="388">
        <f t="shared" si="223"/>
        <v>1.3096723705530167E-10</v>
      </c>
      <c r="T1693" s="398"/>
      <c r="U1693" s="391">
        <f t="shared" si="226"/>
        <v>1245685.1400000001</v>
      </c>
      <c r="V1693" s="390"/>
      <c r="W1693" s="398"/>
      <c r="X1693" s="398"/>
    </row>
    <row r="1694" spans="1:27" s="416" customFormat="1" ht="37.5" hidden="1" customHeight="1">
      <c r="A1694" s="506">
        <f t="shared" si="221"/>
        <v>201</v>
      </c>
      <c r="B1694" s="403" t="s">
        <v>1541</v>
      </c>
      <c r="C1694" s="455" t="s">
        <v>218</v>
      </c>
      <c r="D1694" s="487">
        <v>18154</v>
      </c>
      <c r="E1694" s="391">
        <v>2004</v>
      </c>
      <c r="F1694" s="391" t="s">
        <v>234</v>
      </c>
      <c r="G1694" s="391">
        <v>516.79999999999995</v>
      </c>
      <c r="H1694" s="528">
        <v>14</v>
      </c>
      <c r="I1694" s="528">
        <v>1</v>
      </c>
      <c r="J1694" s="528">
        <v>66</v>
      </c>
      <c r="K1694" s="458" t="s">
        <v>225</v>
      </c>
      <c r="L1694" s="519">
        <f t="shared" si="224"/>
        <v>2199661.9500000002</v>
      </c>
      <c r="M1694" s="529">
        <v>2148260</v>
      </c>
      <c r="N1694" s="391">
        <v>31713.64</v>
      </c>
      <c r="O1694" s="530"/>
      <c r="P1694" s="391"/>
      <c r="Q1694" s="391">
        <v>19688.310000000001</v>
      </c>
      <c r="R1694" s="528">
        <f t="shared" si="225"/>
        <v>32549.39393939394</v>
      </c>
      <c r="S1694" s="388">
        <f t="shared" si="223"/>
        <v>1.8553691916167736E-10</v>
      </c>
      <c r="T1694" s="398"/>
      <c r="U1694" s="391">
        <f t="shared" si="226"/>
        <v>2199661.9500000002</v>
      </c>
      <c r="V1694" s="390"/>
      <c r="W1694" s="398"/>
      <c r="X1694" s="398"/>
    </row>
    <row r="1695" spans="1:27" s="416" customFormat="1" ht="37.5" hidden="1" customHeight="1">
      <c r="A1695" s="506">
        <f t="shared" si="221"/>
        <v>202</v>
      </c>
      <c r="B1695" s="403" t="s">
        <v>1542</v>
      </c>
      <c r="C1695" s="455" t="s">
        <v>218</v>
      </c>
      <c r="D1695" s="487">
        <v>21359</v>
      </c>
      <c r="E1695" s="391">
        <v>4900</v>
      </c>
      <c r="F1695" s="391" t="s">
        <v>234</v>
      </c>
      <c r="G1695" s="391">
        <v>914</v>
      </c>
      <c r="H1695" s="528">
        <v>9</v>
      </c>
      <c r="I1695" s="528">
        <v>1</v>
      </c>
      <c r="J1695" s="528">
        <v>171</v>
      </c>
      <c r="K1695" s="458" t="s">
        <v>225</v>
      </c>
      <c r="L1695" s="519">
        <f t="shared" si="224"/>
        <v>2020894.1</v>
      </c>
      <c r="M1695" s="529">
        <v>1964897</v>
      </c>
      <c r="N1695" s="391">
        <v>36197.1</v>
      </c>
      <c r="O1695" s="530"/>
      <c r="P1695" s="391"/>
      <c r="Q1695" s="391">
        <v>19800</v>
      </c>
      <c r="R1695" s="528">
        <f t="shared" si="225"/>
        <v>11490.625730994152</v>
      </c>
      <c r="S1695" s="388">
        <f t="shared" si="223"/>
        <v>9.4587448984384537E-11</v>
      </c>
      <c r="T1695" s="398"/>
      <c r="U1695" s="391">
        <f t="shared" si="226"/>
        <v>2020894.1</v>
      </c>
      <c r="V1695" s="390"/>
      <c r="W1695" s="398"/>
      <c r="X1695" s="398"/>
    </row>
    <row r="1696" spans="1:27" s="416" customFormat="1" ht="37.5" hidden="1" customHeight="1">
      <c r="A1696" s="506">
        <f t="shared" ref="A1696:A1758" si="227">A1695+1</f>
        <v>203</v>
      </c>
      <c r="B1696" s="403" t="s">
        <v>1543</v>
      </c>
      <c r="C1696" s="455" t="s">
        <v>393</v>
      </c>
      <c r="D1696" s="487">
        <v>3828</v>
      </c>
      <c r="E1696" s="391">
        <v>1200</v>
      </c>
      <c r="F1696" s="391" t="s">
        <v>223</v>
      </c>
      <c r="G1696" s="391">
        <v>742</v>
      </c>
      <c r="H1696" s="528">
        <v>2</v>
      </c>
      <c r="I1696" s="528">
        <v>4</v>
      </c>
      <c r="J1696" s="528">
        <v>16</v>
      </c>
      <c r="K1696" s="458" t="s">
        <v>33</v>
      </c>
      <c r="L1696" s="519">
        <f t="shared" si="224"/>
        <v>2464767.17</v>
      </c>
      <c r="M1696" s="529">
        <v>2428269</v>
      </c>
      <c r="N1696" s="391"/>
      <c r="O1696" s="473">
        <v>17847.32</v>
      </c>
      <c r="P1696" s="391"/>
      <c r="Q1696" s="391">
        <v>18650.849999999999</v>
      </c>
      <c r="R1696" s="528">
        <f>M1696/G1696</f>
        <v>3272.5997304582211</v>
      </c>
      <c r="S1696" s="388">
        <f t="shared" si="223"/>
        <v>-7.2759576141834259E-11</v>
      </c>
      <c r="T1696" s="398"/>
      <c r="U1696" s="391"/>
      <c r="V1696" s="390"/>
      <c r="W1696" s="398"/>
      <c r="X1696" s="398"/>
    </row>
    <row r="1697" spans="1:27" s="416" customFormat="1" ht="37.5" hidden="1" customHeight="1">
      <c r="A1697" s="506">
        <f t="shared" si="227"/>
        <v>204</v>
      </c>
      <c r="B1697" s="403" t="s">
        <v>1544</v>
      </c>
      <c r="C1697" s="455" t="s">
        <v>393</v>
      </c>
      <c r="D1697" s="487">
        <v>1261</v>
      </c>
      <c r="E1697" s="391">
        <v>380</v>
      </c>
      <c r="F1697" s="391" t="s">
        <v>223</v>
      </c>
      <c r="G1697" s="391">
        <v>300</v>
      </c>
      <c r="H1697" s="528">
        <v>2</v>
      </c>
      <c r="I1697" s="528">
        <v>1</v>
      </c>
      <c r="J1697" s="528">
        <v>8</v>
      </c>
      <c r="K1697" s="458" t="s">
        <v>33</v>
      </c>
      <c r="L1697" s="519">
        <f t="shared" si="224"/>
        <v>1023275.78</v>
      </c>
      <c r="M1697" s="529">
        <v>1000000</v>
      </c>
      <c r="N1697" s="391"/>
      <c r="O1697" s="473">
        <v>17131.91</v>
      </c>
      <c r="P1697" s="391"/>
      <c r="Q1697" s="391">
        <v>6143.87</v>
      </c>
      <c r="R1697" s="528">
        <f>M1697/G1697</f>
        <v>3333.3333333333335</v>
      </c>
      <c r="S1697" s="388">
        <f t="shared" si="223"/>
        <v>2.8194335754960775E-11</v>
      </c>
      <c r="T1697" s="398"/>
      <c r="U1697" s="391"/>
      <c r="V1697" s="390"/>
      <c r="W1697" s="398"/>
      <c r="X1697" s="398"/>
    </row>
    <row r="1698" spans="1:27" s="416" customFormat="1" ht="37.5" hidden="1" customHeight="1">
      <c r="A1698" s="506">
        <f t="shared" si="227"/>
        <v>205</v>
      </c>
      <c r="B1698" s="403" t="s">
        <v>1546</v>
      </c>
      <c r="C1698" s="455" t="s">
        <v>218</v>
      </c>
      <c r="D1698" s="487">
        <v>8812</v>
      </c>
      <c r="E1698" s="391">
        <v>1830</v>
      </c>
      <c r="F1698" s="391" t="s">
        <v>223</v>
      </c>
      <c r="G1698" s="391">
        <v>837</v>
      </c>
      <c r="H1698" s="528">
        <v>5</v>
      </c>
      <c r="I1698" s="528">
        <v>3</v>
      </c>
      <c r="J1698" s="528">
        <v>60</v>
      </c>
      <c r="K1698" s="458" t="s">
        <v>225</v>
      </c>
      <c r="L1698" s="519">
        <f t="shared" si="224"/>
        <v>852438.6</v>
      </c>
      <c r="M1698" s="529">
        <v>800000</v>
      </c>
      <c r="N1698" s="391">
        <v>41349.22</v>
      </c>
      <c r="O1698" s="530"/>
      <c r="P1698" s="391"/>
      <c r="Q1698" s="391">
        <v>11089.38</v>
      </c>
      <c r="R1698" s="528">
        <f>M1698/J1698</f>
        <v>13333.333333333334</v>
      </c>
      <c r="S1698" s="388">
        <f t="shared" si="223"/>
        <v>-2.3646862246096134E-11</v>
      </c>
      <c r="T1698" s="398"/>
      <c r="U1698" s="391">
        <f>M1698+N1698+O1698+Q1698</f>
        <v>852438.6</v>
      </c>
      <c r="V1698" s="390"/>
      <c r="W1698" s="398"/>
      <c r="X1698" s="398"/>
    </row>
    <row r="1699" spans="1:27" s="416" customFormat="1" ht="37.5" hidden="1" customHeight="1">
      <c r="A1699" s="506">
        <f t="shared" si="227"/>
        <v>206</v>
      </c>
      <c r="B1699" s="403" t="s">
        <v>1548</v>
      </c>
      <c r="C1699" s="455" t="s">
        <v>218</v>
      </c>
      <c r="D1699" s="487">
        <v>12211</v>
      </c>
      <c r="E1699" s="391">
        <v>2780</v>
      </c>
      <c r="F1699" s="391" t="s">
        <v>223</v>
      </c>
      <c r="G1699" s="391">
        <v>1145</v>
      </c>
      <c r="H1699" s="528">
        <v>5</v>
      </c>
      <c r="I1699" s="528">
        <v>5</v>
      </c>
      <c r="J1699" s="528">
        <v>100</v>
      </c>
      <c r="K1699" s="458" t="s">
        <v>33</v>
      </c>
      <c r="L1699" s="519">
        <f t="shared" si="224"/>
        <v>4066467.68</v>
      </c>
      <c r="M1699" s="529">
        <v>4007500</v>
      </c>
      <c r="N1699" s="391"/>
      <c r="O1699" s="473">
        <v>21319.87</v>
      </c>
      <c r="P1699" s="391"/>
      <c r="Q1699" s="391">
        <v>37647.81</v>
      </c>
      <c r="R1699" s="528">
        <f>M1699/G1699</f>
        <v>3500</v>
      </c>
      <c r="S1699" s="388">
        <f t="shared" si="223"/>
        <v>1.7462298274040222E-10</v>
      </c>
      <c r="T1699" s="398"/>
      <c r="U1699" s="391"/>
      <c r="V1699" s="390"/>
      <c r="W1699" s="398"/>
      <c r="X1699" s="398"/>
    </row>
    <row r="1700" spans="1:27" s="416" customFormat="1" ht="37.5" hidden="1" customHeight="1">
      <c r="A1700" s="506">
        <f t="shared" si="227"/>
        <v>207</v>
      </c>
      <c r="B1700" s="403" t="s">
        <v>1552</v>
      </c>
      <c r="C1700" s="455" t="s">
        <v>218</v>
      </c>
      <c r="D1700" s="487">
        <v>16895</v>
      </c>
      <c r="E1700" s="391">
        <v>2100</v>
      </c>
      <c r="F1700" s="391" t="s">
        <v>234</v>
      </c>
      <c r="G1700" s="391">
        <v>678.3</v>
      </c>
      <c r="H1700" s="528">
        <v>9</v>
      </c>
      <c r="I1700" s="528">
        <v>2</v>
      </c>
      <c r="J1700" s="528">
        <v>72</v>
      </c>
      <c r="K1700" s="458" t="s">
        <v>239</v>
      </c>
      <c r="L1700" s="1129">
        <f>M1700+N1700+O1700+P1700+Q1700+M1701+N1701+O1701+P1701+Q1701</f>
        <v>3912262.71</v>
      </c>
      <c r="M1700" s="529">
        <v>2200000</v>
      </c>
      <c r="N1700" s="391">
        <v>29965</v>
      </c>
      <c r="O1700" s="530"/>
      <c r="P1700" s="391"/>
      <c r="Q1700" s="391">
        <v>22724.71</v>
      </c>
      <c r="R1700" s="528">
        <f>M1700/J1700</f>
        <v>30555.555555555555</v>
      </c>
      <c r="S1700" s="388">
        <f t="shared" si="223"/>
        <v>1659573</v>
      </c>
      <c r="T1700" s="398"/>
      <c r="U1700" s="391"/>
      <c r="V1700" s="390"/>
      <c r="W1700" s="398"/>
      <c r="X1700" s="398"/>
    </row>
    <row r="1701" spans="1:27" s="416" customFormat="1" ht="35.25" hidden="1" customHeight="1">
      <c r="A1701" s="543"/>
      <c r="B1701" s="403"/>
      <c r="C1701" s="455"/>
      <c r="D1701" s="487"/>
      <c r="E1701" s="391">
        <v>2100</v>
      </c>
      <c r="F1701" s="391" t="s">
        <v>234</v>
      </c>
      <c r="G1701" s="391">
        <v>678.3</v>
      </c>
      <c r="H1701" s="528">
        <v>9</v>
      </c>
      <c r="I1701" s="528">
        <v>2</v>
      </c>
      <c r="J1701" s="528">
        <v>72</v>
      </c>
      <c r="K1701" s="458" t="s">
        <v>33</v>
      </c>
      <c r="L1701" s="1129"/>
      <c r="M1701" s="529">
        <v>1613974</v>
      </c>
      <c r="N1701" s="391"/>
      <c r="O1701" s="473">
        <v>25699</v>
      </c>
      <c r="P1701" s="391"/>
      <c r="Q1701" s="391">
        <v>19900</v>
      </c>
      <c r="R1701" s="528">
        <f>M1701/G1700</f>
        <v>2379.4397759103645</v>
      </c>
      <c r="S1701" s="388">
        <f t="shared" si="223"/>
        <v>-1659573</v>
      </c>
      <c r="T1701" s="398"/>
      <c r="U1701" s="391"/>
      <c r="V1701" s="390"/>
      <c r="W1701" s="398"/>
      <c r="X1701" s="398"/>
    </row>
    <row r="1702" spans="1:27" s="416" customFormat="1" ht="37.5" hidden="1" customHeight="1">
      <c r="A1702" s="506">
        <f>A1700+1</f>
        <v>208</v>
      </c>
      <c r="B1702" s="403" t="s">
        <v>1554</v>
      </c>
      <c r="C1702" s="455" t="s">
        <v>393</v>
      </c>
      <c r="D1702" s="487">
        <v>3839</v>
      </c>
      <c r="E1702" s="391">
        <v>1300</v>
      </c>
      <c r="F1702" s="391" t="s">
        <v>223</v>
      </c>
      <c r="G1702" s="391">
        <v>715</v>
      </c>
      <c r="H1702" s="528">
        <v>2</v>
      </c>
      <c r="I1702" s="528">
        <v>3</v>
      </c>
      <c r="J1702" s="528">
        <v>20</v>
      </c>
      <c r="K1702" s="458" t="s">
        <v>38</v>
      </c>
      <c r="L1702" s="519">
        <f>M1702+N1702+O1702+P1702+Q1702+M1703+N1703+O1703+Q1703</f>
        <v>4051847.87</v>
      </c>
      <c r="M1702" s="529">
        <v>2000000</v>
      </c>
      <c r="N1702" s="391"/>
      <c r="O1702" s="473">
        <v>12446</v>
      </c>
      <c r="P1702" s="391"/>
      <c r="Q1702" s="391">
        <v>24236.87</v>
      </c>
      <c r="R1702" s="528">
        <f>M1702/E1702</f>
        <v>1538.4615384615386</v>
      </c>
      <c r="S1702" s="388">
        <f t="shared" si="223"/>
        <v>2015165</v>
      </c>
      <c r="T1702" s="398"/>
      <c r="U1702" s="391"/>
      <c r="V1702" s="390"/>
      <c r="W1702" s="398"/>
      <c r="X1702" s="398"/>
    </row>
    <row r="1703" spans="1:27" s="416" customFormat="1" ht="37.5" hidden="1" customHeight="1">
      <c r="A1703" s="506"/>
      <c r="B1703" s="403"/>
      <c r="C1703" s="455"/>
      <c r="D1703" s="487"/>
      <c r="E1703" s="391"/>
      <c r="F1703" s="391"/>
      <c r="G1703" s="391"/>
      <c r="H1703" s="528">
        <v>2</v>
      </c>
      <c r="I1703" s="528">
        <v>3</v>
      </c>
      <c r="J1703" s="528"/>
      <c r="K1703" s="458" t="s">
        <v>33</v>
      </c>
      <c r="L1703" s="519"/>
      <c r="M1703" s="529">
        <v>2002000</v>
      </c>
      <c r="N1703" s="391"/>
      <c r="O1703" s="473">
        <v>13165</v>
      </c>
      <c r="P1703" s="391"/>
      <c r="Q1703" s="391"/>
      <c r="R1703" s="528"/>
      <c r="S1703" s="388">
        <f t="shared" si="223"/>
        <v>-2015165</v>
      </c>
      <c r="T1703" s="398"/>
      <c r="U1703" s="391"/>
      <c r="V1703" s="390"/>
      <c r="W1703" s="398"/>
      <c r="X1703" s="398"/>
    </row>
    <row r="1704" spans="1:27" s="416" customFormat="1" ht="64.5" hidden="1" customHeight="1">
      <c r="A1704" s="506">
        <f>A1702+1</f>
        <v>209</v>
      </c>
      <c r="B1704" s="403" t="s">
        <v>1556</v>
      </c>
      <c r="C1704" s="455" t="s">
        <v>272</v>
      </c>
      <c r="D1704" s="487">
        <v>11202</v>
      </c>
      <c r="E1704" s="391">
        <v>2154.6</v>
      </c>
      <c r="F1704" s="391" t="s">
        <v>234</v>
      </c>
      <c r="G1704" s="391">
        <v>800</v>
      </c>
      <c r="H1704" s="528">
        <v>10</v>
      </c>
      <c r="I1704" s="528">
        <v>1</v>
      </c>
      <c r="J1704" s="528">
        <v>40</v>
      </c>
      <c r="K1704" s="458" t="s">
        <v>33</v>
      </c>
      <c r="L1704" s="519">
        <f t="shared" ref="L1704:L1712" si="228">M1704+N1704+O1704+P1704+Q1704</f>
        <v>2719563.65</v>
      </c>
      <c r="M1704" s="529">
        <v>2675004</v>
      </c>
      <c r="N1704" s="391"/>
      <c r="O1704" s="473">
        <v>25072</v>
      </c>
      <c r="P1704" s="391"/>
      <c r="Q1704" s="391">
        <v>19487.650000000001</v>
      </c>
      <c r="R1704" s="528">
        <f>M1704/G1704</f>
        <v>3343.7550000000001</v>
      </c>
      <c r="S1704" s="388">
        <f t="shared" si="223"/>
        <v>-9.4587448984384537E-11</v>
      </c>
      <c r="T1704" s="398"/>
      <c r="U1704" s="391"/>
      <c r="V1704" s="390"/>
      <c r="W1704" s="398"/>
      <c r="X1704" s="398"/>
    </row>
    <row r="1705" spans="1:27" s="416" customFormat="1" ht="56.25" hidden="1" customHeight="1">
      <c r="A1705" s="506">
        <f t="shared" si="227"/>
        <v>210</v>
      </c>
      <c r="B1705" s="403" t="s">
        <v>1557</v>
      </c>
      <c r="C1705" s="455" t="s">
        <v>272</v>
      </c>
      <c r="D1705" s="487">
        <v>11461</v>
      </c>
      <c r="E1705" s="391">
        <v>1400</v>
      </c>
      <c r="F1705" s="391" t="s">
        <v>234</v>
      </c>
      <c r="G1705" s="391">
        <v>368.1</v>
      </c>
      <c r="H1705" s="528">
        <v>9</v>
      </c>
      <c r="I1705" s="528">
        <v>1</v>
      </c>
      <c r="J1705" s="528">
        <v>53</v>
      </c>
      <c r="K1705" s="458" t="s">
        <v>30</v>
      </c>
      <c r="L1705" s="519">
        <f t="shared" si="228"/>
        <v>1737162.19</v>
      </c>
      <c r="M1705" s="529">
        <v>1690853</v>
      </c>
      <c r="N1705" s="391"/>
      <c r="O1705" s="473">
        <v>18946.79</v>
      </c>
      <c r="P1705" s="391"/>
      <c r="Q1705" s="391">
        <v>27362.400000000001</v>
      </c>
      <c r="R1705" s="528">
        <f>M1705/J1705</f>
        <v>31902.886792452831</v>
      </c>
      <c r="S1705" s="388">
        <f t="shared" si="223"/>
        <v>-5.8207660913467407E-11</v>
      </c>
      <c r="T1705" s="398"/>
      <c r="U1705" s="391"/>
      <c r="V1705" s="390"/>
      <c r="W1705" s="398"/>
      <c r="X1705" s="398"/>
      <c r="Z1705" s="416">
        <v>1</v>
      </c>
      <c r="AA1705" s="416">
        <f>J1705</f>
        <v>53</v>
      </c>
    </row>
    <row r="1706" spans="1:27" s="416" customFormat="1" ht="37.5" hidden="1" customHeight="1">
      <c r="A1706" s="506">
        <f t="shared" si="227"/>
        <v>211</v>
      </c>
      <c r="B1706" s="403" t="s">
        <v>1558</v>
      </c>
      <c r="C1706" s="455" t="s">
        <v>218</v>
      </c>
      <c r="D1706" s="487">
        <v>15890</v>
      </c>
      <c r="E1706" s="391">
        <v>1018</v>
      </c>
      <c r="F1706" s="391" t="s">
        <v>234</v>
      </c>
      <c r="G1706" s="391">
        <v>685</v>
      </c>
      <c r="H1706" s="528">
        <v>9</v>
      </c>
      <c r="I1706" s="528">
        <v>2</v>
      </c>
      <c r="J1706" s="528">
        <v>72</v>
      </c>
      <c r="K1706" s="458" t="s">
        <v>33</v>
      </c>
      <c r="L1706" s="519">
        <f t="shared" si="228"/>
        <v>1648488</v>
      </c>
      <c r="M1706" s="529">
        <v>1602153</v>
      </c>
      <c r="N1706" s="391"/>
      <c r="O1706" s="473">
        <v>26435</v>
      </c>
      <c r="P1706" s="391"/>
      <c r="Q1706" s="391">
        <v>19900</v>
      </c>
      <c r="R1706" s="528">
        <f>M1706/G1706</f>
        <v>2338.9094890510951</v>
      </c>
      <c r="S1706" s="388">
        <f t="shared" si="223"/>
        <v>0</v>
      </c>
      <c r="T1706" s="398"/>
      <c r="U1706" s="391"/>
      <c r="V1706" s="390"/>
      <c r="W1706" s="398"/>
      <c r="X1706" s="398"/>
    </row>
    <row r="1707" spans="1:27" s="416" customFormat="1" ht="37.5" hidden="1" customHeight="1">
      <c r="A1707" s="506">
        <f t="shared" si="227"/>
        <v>212</v>
      </c>
      <c r="B1707" s="403" t="s">
        <v>1559</v>
      </c>
      <c r="C1707" s="455" t="s">
        <v>240</v>
      </c>
      <c r="D1707" s="487">
        <v>2655</v>
      </c>
      <c r="E1707" s="391">
        <v>596</v>
      </c>
      <c r="F1707" s="391" t="s">
        <v>223</v>
      </c>
      <c r="G1707" s="391">
        <v>534</v>
      </c>
      <c r="H1707" s="528">
        <v>2</v>
      </c>
      <c r="I1707" s="528">
        <v>1</v>
      </c>
      <c r="J1707" s="528">
        <v>12</v>
      </c>
      <c r="K1707" s="458" t="s">
        <v>33</v>
      </c>
      <c r="L1707" s="519">
        <f t="shared" si="228"/>
        <v>1525432.82</v>
      </c>
      <c r="M1707" s="529">
        <v>1495200</v>
      </c>
      <c r="N1707" s="391"/>
      <c r="O1707" s="473">
        <v>17297.080000000002</v>
      </c>
      <c r="P1707" s="391"/>
      <c r="Q1707" s="391">
        <v>12935.74</v>
      </c>
      <c r="R1707" s="528">
        <f>M1707/G1707</f>
        <v>2800</v>
      </c>
      <c r="S1707" s="388">
        <f t="shared" si="223"/>
        <v>6.3664629124104977E-11</v>
      </c>
      <c r="T1707" s="398"/>
      <c r="U1707" s="391"/>
      <c r="V1707" s="390"/>
      <c r="W1707" s="398"/>
      <c r="X1707" s="398"/>
    </row>
    <row r="1708" spans="1:27" s="416" customFormat="1" ht="37.5" hidden="1" customHeight="1">
      <c r="A1708" s="506">
        <f t="shared" si="227"/>
        <v>213</v>
      </c>
      <c r="B1708" s="403" t="s">
        <v>1560</v>
      </c>
      <c r="C1708" s="455" t="s">
        <v>240</v>
      </c>
      <c r="D1708" s="487">
        <v>3480</v>
      </c>
      <c r="E1708" s="391">
        <v>480</v>
      </c>
      <c r="F1708" s="391" t="s">
        <v>223</v>
      </c>
      <c r="G1708" s="391">
        <v>502.9</v>
      </c>
      <c r="H1708" s="528">
        <v>2</v>
      </c>
      <c r="I1708" s="528">
        <v>1</v>
      </c>
      <c r="J1708" s="528">
        <v>30</v>
      </c>
      <c r="K1708" s="458" t="s">
        <v>33</v>
      </c>
      <c r="L1708" s="519">
        <f t="shared" si="228"/>
        <v>1614280.23</v>
      </c>
      <c r="M1708" s="529">
        <v>1580193</v>
      </c>
      <c r="N1708" s="391"/>
      <c r="O1708" s="473">
        <v>17131.91</v>
      </c>
      <c r="P1708" s="391"/>
      <c r="Q1708" s="391">
        <v>16955.32</v>
      </c>
      <c r="R1708" s="528">
        <f>M1708/G1708</f>
        <v>3142.1614635116325</v>
      </c>
      <c r="S1708" s="388">
        <f t="shared" si="223"/>
        <v>0</v>
      </c>
      <c r="T1708" s="398"/>
      <c r="U1708" s="391"/>
      <c r="V1708" s="390"/>
      <c r="W1708" s="398"/>
      <c r="X1708" s="398"/>
    </row>
    <row r="1709" spans="1:27" s="416" customFormat="1" ht="37.5" hidden="1" customHeight="1">
      <c r="A1709" s="506">
        <f t="shared" si="227"/>
        <v>214</v>
      </c>
      <c r="B1709" s="403" t="s">
        <v>1561</v>
      </c>
      <c r="C1709" s="455" t="s">
        <v>272</v>
      </c>
      <c r="D1709" s="487">
        <v>9771</v>
      </c>
      <c r="E1709" s="391">
        <v>2016.7</v>
      </c>
      <c r="F1709" s="391" t="s">
        <v>223</v>
      </c>
      <c r="G1709" s="391">
        <v>907</v>
      </c>
      <c r="H1709" s="528">
        <v>5</v>
      </c>
      <c r="I1709" s="528">
        <v>3</v>
      </c>
      <c r="J1709" s="528">
        <v>58</v>
      </c>
      <c r="K1709" s="458" t="s">
        <v>33</v>
      </c>
      <c r="L1709" s="519">
        <f t="shared" si="228"/>
        <v>3226286.19</v>
      </c>
      <c r="M1709" s="529">
        <v>3174500</v>
      </c>
      <c r="N1709" s="391"/>
      <c r="O1709" s="473">
        <v>21661.15</v>
      </c>
      <c r="P1709" s="391"/>
      <c r="Q1709" s="391">
        <v>30125.040000000001</v>
      </c>
      <c r="R1709" s="528">
        <f>M1709/G1709</f>
        <v>3500</v>
      </c>
      <c r="S1709" s="388">
        <f t="shared" si="223"/>
        <v>-5.8207660913467407E-11</v>
      </c>
      <c r="T1709" s="398"/>
      <c r="U1709" s="391"/>
      <c r="V1709" s="390"/>
      <c r="W1709" s="398"/>
      <c r="X1709" s="398"/>
    </row>
    <row r="1710" spans="1:27" s="416" customFormat="1" ht="56.25" hidden="1" customHeight="1">
      <c r="A1710" s="506">
        <f t="shared" si="227"/>
        <v>215</v>
      </c>
      <c r="B1710" s="403" t="s">
        <v>1562</v>
      </c>
      <c r="C1710" s="455" t="s">
        <v>272</v>
      </c>
      <c r="D1710" s="487">
        <v>13120</v>
      </c>
      <c r="E1710" s="391">
        <v>2460.3000000000002</v>
      </c>
      <c r="F1710" s="391" t="s">
        <v>223</v>
      </c>
      <c r="G1710" s="391">
        <v>1296</v>
      </c>
      <c r="H1710" s="528">
        <v>4</v>
      </c>
      <c r="I1710" s="528">
        <v>3</v>
      </c>
      <c r="J1710" s="528">
        <v>47</v>
      </c>
      <c r="K1710" s="458" t="s">
        <v>30</v>
      </c>
      <c r="L1710" s="519">
        <f t="shared" si="228"/>
        <v>1316309.94</v>
      </c>
      <c r="M1710" s="529">
        <v>1269000</v>
      </c>
      <c r="N1710" s="391"/>
      <c r="O1710" s="473">
        <v>12991</v>
      </c>
      <c r="P1710" s="391"/>
      <c r="Q1710" s="391">
        <v>34318.94</v>
      </c>
      <c r="R1710" s="528">
        <f>M1710/J1710</f>
        <v>27000</v>
      </c>
      <c r="S1710" s="388">
        <f t="shared" si="223"/>
        <v>-5.8207660913467407E-11</v>
      </c>
      <c r="T1710" s="398"/>
      <c r="U1710" s="391"/>
      <c r="V1710" s="390"/>
      <c r="W1710" s="398"/>
      <c r="X1710" s="398"/>
      <c r="Z1710" s="416">
        <v>1</v>
      </c>
      <c r="AA1710" s="416">
        <f>J1710</f>
        <v>47</v>
      </c>
    </row>
    <row r="1711" spans="1:27" s="416" customFormat="1" ht="37.5" hidden="1" customHeight="1">
      <c r="A1711" s="506">
        <f t="shared" si="227"/>
        <v>216</v>
      </c>
      <c r="B1711" s="403" t="s">
        <v>1563</v>
      </c>
      <c r="C1711" s="455" t="s">
        <v>272</v>
      </c>
      <c r="D1711" s="487">
        <v>7682</v>
      </c>
      <c r="E1711" s="391">
        <v>1631.4</v>
      </c>
      <c r="F1711" s="391" t="s">
        <v>223</v>
      </c>
      <c r="G1711" s="391">
        <v>1150</v>
      </c>
      <c r="H1711" s="528">
        <v>3</v>
      </c>
      <c r="I1711" s="528">
        <v>2</v>
      </c>
      <c r="J1711" s="528">
        <v>27</v>
      </c>
      <c r="K1711" s="458" t="s">
        <v>33</v>
      </c>
      <c r="L1711" s="519">
        <f t="shared" si="228"/>
        <v>3262640.43</v>
      </c>
      <c r="M1711" s="529">
        <v>3220000</v>
      </c>
      <c r="N1711" s="391"/>
      <c r="O1711" s="473">
        <v>18956</v>
      </c>
      <c r="P1711" s="391"/>
      <c r="Q1711" s="391">
        <v>23684.43</v>
      </c>
      <c r="R1711" s="528">
        <f>M1711/G1711</f>
        <v>2800</v>
      </c>
      <c r="S1711" s="388">
        <f t="shared" si="223"/>
        <v>1.673470251262188E-10</v>
      </c>
      <c r="T1711" s="398"/>
      <c r="U1711" s="391"/>
      <c r="V1711" s="390"/>
      <c r="W1711" s="398"/>
      <c r="X1711" s="398"/>
    </row>
    <row r="1712" spans="1:27" s="416" customFormat="1" ht="37.5" hidden="1" customHeight="1">
      <c r="A1712" s="506">
        <f t="shared" si="227"/>
        <v>217</v>
      </c>
      <c r="B1712" s="403" t="s">
        <v>1564</v>
      </c>
      <c r="C1712" s="455" t="s">
        <v>218</v>
      </c>
      <c r="D1712" s="487">
        <v>16355</v>
      </c>
      <c r="E1712" s="391">
        <v>3205.2</v>
      </c>
      <c r="F1712" s="391" t="s">
        <v>234</v>
      </c>
      <c r="G1712" s="391">
        <v>684.6</v>
      </c>
      <c r="H1712" s="528">
        <v>9</v>
      </c>
      <c r="I1712" s="528">
        <v>2</v>
      </c>
      <c r="J1712" s="528">
        <v>72</v>
      </c>
      <c r="K1712" s="458" t="s">
        <v>376</v>
      </c>
      <c r="L1712" s="519">
        <f t="shared" si="228"/>
        <v>8678181</v>
      </c>
      <c r="M1712" s="529">
        <v>8615600</v>
      </c>
      <c r="N1712" s="391">
        <v>32881</v>
      </c>
      <c r="O1712" s="530"/>
      <c r="P1712" s="391"/>
      <c r="Q1712" s="391">
        <v>29700</v>
      </c>
      <c r="R1712" s="528">
        <f>M1712/E1712</f>
        <v>2688.0069886434544</v>
      </c>
      <c r="S1712" s="388">
        <f t="shared" si="223"/>
        <v>0</v>
      </c>
      <c r="T1712" s="398"/>
      <c r="U1712" s="391"/>
      <c r="V1712" s="390"/>
      <c r="W1712" s="398"/>
      <c r="X1712" s="398"/>
    </row>
    <row r="1713" spans="1:27" s="416" customFormat="1" ht="24.75" hidden="1" customHeight="1">
      <c r="A1713" s="543">
        <f>A1712+1</f>
        <v>218</v>
      </c>
      <c r="B1713" s="403" t="s">
        <v>1565</v>
      </c>
      <c r="C1713" s="455" t="s">
        <v>272</v>
      </c>
      <c r="D1713" s="487">
        <v>15930</v>
      </c>
      <c r="E1713" s="391">
        <v>1472</v>
      </c>
      <c r="F1713" s="391" t="s">
        <v>223</v>
      </c>
      <c r="G1713" s="391">
        <v>1216</v>
      </c>
      <c r="H1713" s="528">
        <v>5</v>
      </c>
      <c r="I1713" s="528">
        <v>4</v>
      </c>
      <c r="J1713" s="528">
        <v>70</v>
      </c>
      <c r="K1713" s="458" t="s">
        <v>33</v>
      </c>
      <c r="L1713" s="1129">
        <f>M1713+N1713+O1713+P1713+Q1713+M1714+N1714+O1714+P1714+Q1714</f>
        <v>6258181.3900000006</v>
      </c>
      <c r="M1713" s="529">
        <v>4256000</v>
      </c>
      <c r="N1713" s="391"/>
      <c r="O1713" s="473">
        <v>21998.45</v>
      </c>
      <c r="P1713" s="391"/>
      <c r="Q1713" s="391">
        <v>39800</v>
      </c>
      <c r="R1713" s="528">
        <f>M1713/G1713</f>
        <v>3500</v>
      </c>
      <c r="S1713" s="388">
        <f t="shared" si="223"/>
        <v>1940382.9400000006</v>
      </c>
      <c r="T1713" s="398"/>
      <c r="U1713" s="391"/>
      <c r="V1713" s="390"/>
      <c r="W1713" s="398"/>
      <c r="X1713" s="398"/>
    </row>
    <row r="1714" spans="1:27" s="416" customFormat="1" ht="56.25" hidden="1" customHeight="1">
      <c r="A1714" s="543"/>
      <c r="B1714" s="403"/>
      <c r="C1714" s="455"/>
      <c r="D1714" s="487"/>
      <c r="E1714" s="391"/>
      <c r="F1714" s="391"/>
      <c r="G1714" s="391"/>
      <c r="H1714" s="528"/>
      <c r="I1714" s="528"/>
      <c r="J1714" s="528"/>
      <c r="K1714" s="458" t="s">
        <v>30</v>
      </c>
      <c r="L1714" s="1129"/>
      <c r="M1714" s="529">
        <v>1890000</v>
      </c>
      <c r="N1714" s="391"/>
      <c r="O1714" s="473">
        <v>16064</v>
      </c>
      <c r="P1714" s="391"/>
      <c r="Q1714" s="391">
        <v>34318.94</v>
      </c>
      <c r="R1714" s="528">
        <f>M1714/J1713</f>
        <v>27000</v>
      </c>
      <c r="S1714" s="388">
        <f t="shared" si="223"/>
        <v>-1940382.94</v>
      </c>
      <c r="T1714" s="398"/>
      <c r="U1714" s="391"/>
      <c r="V1714" s="390"/>
      <c r="W1714" s="398"/>
      <c r="X1714" s="398"/>
      <c r="Z1714" s="416">
        <v>1</v>
      </c>
      <c r="AA1714" s="416">
        <v>70</v>
      </c>
    </row>
    <row r="1715" spans="1:27" s="416" customFormat="1" ht="37.5" hidden="1" customHeight="1">
      <c r="A1715" s="543">
        <v>219</v>
      </c>
      <c r="B1715" s="403" t="s">
        <v>1567</v>
      </c>
      <c r="C1715" s="455" t="s">
        <v>272</v>
      </c>
      <c r="D1715" s="487">
        <v>12997</v>
      </c>
      <c r="E1715" s="391">
        <v>2750</v>
      </c>
      <c r="F1715" s="391" t="s">
        <v>223</v>
      </c>
      <c r="G1715" s="391">
        <v>1173</v>
      </c>
      <c r="H1715" s="528">
        <v>4</v>
      </c>
      <c r="I1715" s="528">
        <v>3</v>
      </c>
      <c r="J1715" s="528">
        <v>34</v>
      </c>
      <c r="K1715" s="458" t="s">
        <v>33</v>
      </c>
      <c r="L1715" s="1129">
        <f>M1715+N1715+O1715+P1715+Q1715+M1717+N1717+O1717+P1717+Q1717+M1716+N1716+O1716+P1716+Q1716</f>
        <v>9506495.1699999999</v>
      </c>
      <c r="M1715" s="529">
        <v>4105500</v>
      </c>
      <c r="N1715" s="391"/>
      <c r="O1715" s="473">
        <v>19662.2</v>
      </c>
      <c r="P1715" s="391"/>
      <c r="Q1715" s="391">
        <v>39800</v>
      </c>
      <c r="R1715" s="528">
        <f>M1715/G1715</f>
        <v>3500</v>
      </c>
      <c r="S1715" s="388">
        <f t="shared" si="223"/>
        <v>5341532.97</v>
      </c>
      <c r="T1715" s="398"/>
      <c r="U1715" s="391"/>
      <c r="V1715" s="390"/>
      <c r="W1715" s="398"/>
      <c r="X1715" s="398"/>
    </row>
    <row r="1716" spans="1:27" s="416" customFormat="1" ht="35.25" hidden="1" customHeight="1">
      <c r="A1716" s="543"/>
      <c r="B1716" s="403"/>
      <c r="C1716" s="455"/>
      <c r="D1716" s="487"/>
      <c r="E1716" s="391"/>
      <c r="F1716" s="391"/>
      <c r="G1716" s="391"/>
      <c r="H1716" s="528"/>
      <c r="I1716" s="528"/>
      <c r="J1716" s="528"/>
      <c r="K1716" s="458" t="s">
        <v>38</v>
      </c>
      <c r="L1716" s="1129"/>
      <c r="M1716" s="529">
        <v>4427280</v>
      </c>
      <c r="N1716" s="391"/>
      <c r="O1716" s="473">
        <v>20213</v>
      </c>
      <c r="P1716" s="391"/>
      <c r="Q1716" s="391"/>
      <c r="R1716" s="528">
        <f>M1716/E1715</f>
        <v>1609.92</v>
      </c>
      <c r="S1716" s="388">
        <f t="shared" si="223"/>
        <v>-4447493</v>
      </c>
      <c r="T1716" s="398"/>
      <c r="U1716" s="391"/>
      <c r="V1716" s="390"/>
      <c r="W1716" s="398"/>
      <c r="X1716" s="398"/>
    </row>
    <row r="1717" spans="1:27" s="416" customFormat="1" ht="37.5" hidden="1" customHeight="1">
      <c r="A1717" s="543"/>
      <c r="B1717" s="403"/>
      <c r="C1717" s="455"/>
      <c r="D1717" s="487"/>
      <c r="E1717" s="391"/>
      <c r="F1717" s="391"/>
      <c r="G1717" s="391"/>
      <c r="H1717" s="528"/>
      <c r="I1717" s="528"/>
      <c r="J1717" s="528"/>
      <c r="K1717" s="458" t="s">
        <v>225</v>
      </c>
      <c r="L1717" s="1129"/>
      <c r="M1717" s="529">
        <v>853349</v>
      </c>
      <c r="N1717" s="391">
        <v>27847.06</v>
      </c>
      <c r="O1717" s="530"/>
      <c r="P1717" s="391"/>
      <c r="Q1717" s="391">
        <v>12843.91</v>
      </c>
      <c r="R1717" s="528">
        <f>M1717/J1715</f>
        <v>25098.5</v>
      </c>
      <c r="S1717" s="388">
        <f t="shared" si="223"/>
        <v>-894039.97000000009</v>
      </c>
      <c r="T1717" s="398"/>
      <c r="U1717" s="391">
        <f>M1717+N1717+O1717+Q1717</f>
        <v>894039.97000000009</v>
      </c>
      <c r="V1717" s="390"/>
      <c r="W1717" s="398"/>
      <c r="X1717" s="398"/>
    </row>
    <row r="1718" spans="1:27" s="416" customFormat="1" ht="46.5" hidden="1" customHeight="1">
      <c r="A1718" s="506">
        <v>220</v>
      </c>
      <c r="B1718" s="543" t="s">
        <v>1566</v>
      </c>
      <c r="C1718" s="455" t="s">
        <v>218</v>
      </c>
      <c r="D1718" s="487">
        <v>15929</v>
      </c>
      <c r="E1718" s="388">
        <v>3050</v>
      </c>
      <c r="F1718" s="388" t="s">
        <v>234</v>
      </c>
      <c r="G1718" s="388">
        <v>623</v>
      </c>
      <c r="H1718" s="446">
        <v>9</v>
      </c>
      <c r="I1718" s="446">
        <v>2</v>
      </c>
      <c r="J1718" s="446">
        <v>72</v>
      </c>
      <c r="K1718" s="458" t="s">
        <v>33</v>
      </c>
      <c r="L1718" s="519">
        <f>SUBTOTAL(9,M1718:Q1718)</f>
        <v>1746720</v>
      </c>
      <c r="M1718" s="519">
        <v>1700374</v>
      </c>
      <c r="N1718" s="388"/>
      <c r="O1718" s="473">
        <v>26446</v>
      </c>
      <c r="P1718" s="388"/>
      <c r="Q1718" s="388">
        <v>19900</v>
      </c>
      <c r="R1718" s="446">
        <f>M1718/G1718</f>
        <v>2729.3322632423756</v>
      </c>
      <c r="S1718" s="388">
        <f t="shared" si="223"/>
        <v>0</v>
      </c>
      <c r="T1718" s="398"/>
      <c r="U1718" s="388"/>
      <c r="V1718" s="390"/>
      <c r="W1718" s="398"/>
      <c r="X1718" s="398"/>
    </row>
    <row r="1719" spans="1:27" s="416" customFormat="1" ht="37.5" hidden="1" customHeight="1">
      <c r="A1719" s="506">
        <f>A1718+1</f>
        <v>221</v>
      </c>
      <c r="B1719" s="403" t="s">
        <v>1572</v>
      </c>
      <c r="C1719" s="455" t="s">
        <v>218</v>
      </c>
      <c r="D1719" s="487">
        <v>14351</v>
      </c>
      <c r="E1719" s="391">
        <v>3078</v>
      </c>
      <c r="F1719" s="391" t="s">
        <v>234</v>
      </c>
      <c r="G1719" s="391">
        <v>626</v>
      </c>
      <c r="H1719" s="528">
        <v>9</v>
      </c>
      <c r="I1719" s="528">
        <v>2</v>
      </c>
      <c r="J1719" s="528">
        <v>72</v>
      </c>
      <c r="K1719" s="458" t="s">
        <v>225</v>
      </c>
      <c r="L1719" s="519">
        <f>M1719+N1719+O1719+P1719+Q1719</f>
        <v>1622655.86</v>
      </c>
      <c r="M1719" s="529">
        <v>1572900</v>
      </c>
      <c r="N1719" s="391">
        <v>33565.33</v>
      </c>
      <c r="O1719" s="530"/>
      <c r="P1719" s="391"/>
      <c r="Q1719" s="391">
        <v>16190.53</v>
      </c>
      <c r="R1719" s="528">
        <f>M1719/J1719</f>
        <v>21845.833333333332</v>
      </c>
      <c r="S1719" s="388">
        <f t="shared" si="223"/>
        <v>1.0004441719502211E-10</v>
      </c>
      <c r="T1719" s="398"/>
      <c r="U1719" s="391">
        <f>M1719+N1719+O1719+Q1719</f>
        <v>1622655.86</v>
      </c>
      <c r="V1719" s="390"/>
      <c r="W1719" s="398"/>
      <c r="X1719" s="398"/>
    </row>
    <row r="1720" spans="1:27" s="416" customFormat="1" ht="37.5" hidden="1" customHeight="1">
      <c r="A1720" s="506">
        <f>A1719+1</f>
        <v>222</v>
      </c>
      <c r="B1720" s="403" t="s">
        <v>1573</v>
      </c>
      <c r="C1720" s="455" t="s">
        <v>218</v>
      </c>
      <c r="D1720" s="487">
        <v>20898</v>
      </c>
      <c r="E1720" s="391">
        <v>3386</v>
      </c>
      <c r="F1720" s="391" t="s">
        <v>223</v>
      </c>
      <c r="G1720" s="391">
        <v>1672</v>
      </c>
      <c r="H1720" s="528">
        <v>5</v>
      </c>
      <c r="I1720" s="528">
        <v>6</v>
      </c>
      <c r="J1720" s="528">
        <v>120</v>
      </c>
      <c r="K1720" s="458" t="s">
        <v>225</v>
      </c>
      <c r="L1720" s="519">
        <f>M1720+N1720+O1720+P1720+Q1720</f>
        <v>2118330.7000000002</v>
      </c>
      <c r="M1720" s="529">
        <v>2052900</v>
      </c>
      <c r="N1720" s="391">
        <v>45630.7</v>
      </c>
      <c r="O1720" s="530"/>
      <c r="P1720" s="391"/>
      <c r="Q1720" s="391">
        <v>19800</v>
      </c>
      <c r="R1720" s="528">
        <f>M1720/J1720</f>
        <v>17107.5</v>
      </c>
      <c r="S1720" s="388">
        <f t="shared" si="223"/>
        <v>1.8917489796876907E-10</v>
      </c>
      <c r="T1720" s="398"/>
      <c r="U1720" s="391">
        <f>M1720+N1720+O1720+Q1720</f>
        <v>2118330.7000000002</v>
      </c>
      <c r="V1720" s="390"/>
      <c r="W1720" s="398"/>
      <c r="X1720" s="398"/>
    </row>
    <row r="1721" spans="1:27" s="416" customFormat="1" ht="37.5" hidden="1" customHeight="1">
      <c r="A1721" s="506">
        <f>A1720+1</f>
        <v>223</v>
      </c>
      <c r="B1721" s="403" t="s">
        <v>1528</v>
      </c>
      <c r="C1721" s="455" t="s">
        <v>272</v>
      </c>
      <c r="D1721" s="487">
        <v>22489</v>
      </c>
      <c r="E1721" s="391">
        <v>2004.9</v>
      </c>
      <c r="F1721" s="391" t="s">
        <v>234</v>
      </c>
      <c r="G1721" s="391">
        <v>791.6</v>
      </c>
      <c r="H1721" s="528">
        <v>9</v>
      </c>
      <c r="I1721" s="528">
        <v>2</v>
      </c>
      <c r="J1721" s="528">
        <v>110</v>
      </c>
      <c r="K1721" s="458" t="s">
        <v>225</v>
      </c>
      <c r="L1721" s="519">
        <f>M1721+N1721+O1721+P1721+Q1721</f>
        <v>2009819.97</v>
      </c>
      <c r="M1721" s="529">
        <v>1956483</v>
      </c>
      <c r="N1721" s="391">
        <v>34180.239999999998</v>
      </c>
      <c r="O1721" s="530"/>
      <c r="P1721" s="391"/>
      <c r="Q1721" s="391">
        <v>19156.73</v>
      </c>
      <c r="R1721" s="528">
        <f>M1721/J1721</f>
        <v>17786.209090909091</v>
      </c>
      <c r="S1721" s="388">
        <f t="shared" si="223"/>
        <v>0</v>
      </c>
      <c r="T1721" s="398"/>
      <c r="U1721" s="391">
        <f>M1721+N1721+O1721+Q1721</f>
        <v>2009819.97</v>
      </c>
      <c r="V1721" s="390"/>
      <c r="W1721" s="398"/>
      <c r="X1721" s="398"/>
    </row>
    <row r="1722" spans="1:27" s="416" customFormat="1" ht="56.25" hidden="1" customHeight="1">
      <c r="A1722" s="506">
        <f>A1721+1</f>
        <v>224</v>
      </c>
      <c r="B1722" s="403" t="s">
        <v>1574</v>
      </c>
      <c r="C1722" s="455" t="s">
        <v>272</v>
      </c>
      <c r="D1722" s="487">
        <v>6786</v>
      </c>
      <c r="E1722" s="391">
        <v>1118</v>
      </c>
      <c r="F1722" s="391" t="s">
        <v>223</v>
      </c>
      <c r="G1722" s="391">
        <v>677</v>
      </c>
      <c r="H1722" s="528">
        <v>2</v>
      </c>
      <c r="I1722" s="528">
        <v>1</v>
      </c>
      <c r="J1722" s="528">
        <v>24</v>
      </c>
      <c r="K1722" s="458" t="s">
        <v>30</v>
      </c>
      <c r="L1722" s="519">
        <f>M1722+N1722+O1722+P1722+Q1722</f>
        <v>782315.21000000008</v>
      </c>
      <c r="M1722" s="529">
        <v>750000</v>
      </c>
      <c r="N1722" s="391"/>
      <c r="O1722" s="473">
        <v>10981.81</v>
      </c>
      <c r="P1722" s="391"/>
      <c r="Q1722" s="391">
        <v>21333.4</v>
      </c>
      <c r="R1722" s="528">
        <f>M1722/J1722</f>
        <v>31250</v>
      </c>
      <c r="S1722" s="388">
        <f t="shared" si="223"/>
        <v>8.0035533756017685E-11</v>
      </c>
      <c r="T1722" s="398"/>
      <c r="U1722" s="391"/>
      <c r="V1722" s="390"/>
      <c r="W1722" s="398"/>
      <c r="X1722" s="398"/>
      <c r="Z1722" s="416">
        <v>1</v>
      </c>
      <c r="AA1722" s="416">
        <f>J1722</f>
        <v>24</v>
      </c>
    </row>
    <row r="1723" spans="1:27" s="416" customFormat="1" ht="37.5" hidden="1" customHeight="1">
      <c r="A1723" s="543">
        <f>A1722+1</f>
        <v>225</v>
      </c>
      <c r="B1723" s="403" t="s">
        <v>1575</v>
      </c>
      <c r="C1723" s="455" t="s">
        <v>272</v>
      </c>
      <c r="D1723" s="487">
        <v>42663</v>
      </c>
      <c r="E1723" s="391">
        <v>264.5</v>
      </c>
      <c r="F1723" s="391" t="s">
        <v>234</v>
      </c>
      <c r="G1723" s="391">
        <v>1639.8</v>
      </c>
      <c r="H1723" s="528">
        <v>9</v>
      </c>
      <c r="I1723" s="528">
        <v>4</v>
      </c>
      <c r="J1723" s="528">
        <v>144</v>
      </c>
      <c r="K1723" s="458" t="s">
        <v>33</v>
      </c>
      <c r="L1723" s="1129">
        <f>M1723+N1723+O1723+P1723+Q1723+M1724+N1724+O1724+P1724+Q1724</f>
        <v>6654090.0899999999</v>
      </c>
      <c r="M1723" s="529">
        <v>3443580</v>
      </c>
      <c r="N1723" s="391"/>
      <c r="O1723" s="530">
        <v>23573.54</v>
      </c>
      <c r="P1723" s="391"/>
      <c r="Q1723" s="391">
        <v>19900</v>
      </c>
      <c r="R1723" s="528">
        <f>M1723/G1723</f>
        <v>2100</v>
      </c>
      <c r="S1723" s="388">
        <f t="shared" ref="S1723:S1786" si="229">L1723-M1723-N1723-O1723-P1723-Q1723</f>
        <v>3167036.55</v>
      </c>
      <c r="T1723" s="398"/>
      <c r="U1723" s="391"/>
      <c r="V1723" s="390"/>
      <c r="W1723" s="398"/>
      <c r="X1723" s="398"/>
    </row>
    <row r="1724" spans="1:27" s="416" customFormat="1" ht="37.5" hidden="1" customHeight="1">
      <c r="A1724" s="543"/>
      <c r="B1724" s="403"/>
      <c r="C1724" s="455"/>
      <c r="D1724" s="487"/>
      <c r="E1724" s="391"/>
      <c r="F1724" s="391"/>
      <c r="G1724" s="391"/>
      <c r="H1724" s="528"/>
      <c r="I1724" s="528"/>
      <c r="J1724" s="528"/>
      <c r="K1724" s="458" t="s">
        <v>225</v>
      </c>
      <c r="L1724" s="1129"/>
      <c r="M1724" s="529">
        <v>3108939</v>
      </c>
      <c r="N1724" s="391">
        <v>38297.550000000003</v>
      </c>
      <c r="O1724" s="530"/>
      <c r="P1724" s="391"/>
      <c r="Q1724" s="391">
        <v>19800</v>
      </c>
      <c r="R1724" s="528">
        <f>M1724/J1723</f>
        <v>21589.854166666668</v>
      </c>
      <c r="S1724" s="388">
        <f t="shared" si="229"/>
        <v>-3167036.55</v>
      </c>
      <c r="T1724" s="398"/>
      <c r="U1724" s="391">
        <f>M1724+N1724+O1724+Q1724</f>
        <v>3167036.55</v>
      </c>
      <c r="V1724" s="390"/>
      <c r="W1724" s="398"/>
      <c r="X1724" s="398"/>
    </row>
    <row r="1725" spans="1:27" s="416" customFormat="1" ht="66" hidden="1" customHeight="1">
      <c r="A1725" s="506">
        <f>A1723+1</f>
        <v>226</v>
      </c>
      <c r="B1725" s="403" t="s">
        <v>1576</v>
      </c>
      <c r="C1725" s="455" t="s">
        <v>218</v>
      </c>
      <c r="D1725" s="487">
        <v>15422</v>
      </c>
      <c r="E1725" s="388">
        <v>3052</v>
      </c>
      <c r="F1725" s="388" t="s">
        <v>234</v>
      </c>
      <c r="G1725" s="388">
        <v>1096.9000000000001</v>
      </c>
      <c r="H1725" s="446">
        <v>5</v>
      </c>
      <c r="I1725" s="446">
        <v>6</v>
      </c>
      <c r="J1725" s="446">
        <v>86</v>
      </c>
      <c r="K1725" s="458" t="s">
        <v>3880</v>
      </c>
      <c r="L1725" s="519">
        <f>SUBTOTAL(9,M1725:Q1725)</f>
        <v>4458635.79</v>
      </c>
      <c r="M1725" s="519">
        <v>4387600</v>
      </c>
      <c r="N1725" s="388">
        <v>30000</v>
      </c>
      <c r="O1725" s="473">
        <v>21135.79</v>
      </c>
      <c r="P1725" s="388"/>
      <c r="Q1725" s="388">
        <v>19900</v>
      </c>
      <c r="R1725" s="446">
        <f>M1725/G1725</f>
        <v>3999.9999999999995</v>
      </c>
      <c r="S1725" s="388">
        <f t="shared" si="229"/>
        <v>3.637978807091713E-11</v>
      </c>
      <c r="T1725" s="398"/>
      <c r="U1725" s="388"/>
      <c r="V1725" s="390"/>
      <c r="W1725" s="398"/>
      <c r="X1725" s="398"/>
    </row>
    <row r="1726" spans="1:27" s="416" customFormat="1" ht="37.5" hidden="1" customHeight="1">
      <c r="A1726" s="506">
        <f t="shared" si="227"/>
        <v>227</v>
      </c>
      <c r="B1726" s="403" t="s">
        <v>1577</v>
      </c>
      <c r="C1726" s="455" t="s">
        <v>218</v>
      </c>
      <c r="D1726" s="487">
        <v>16884</v>
      </c>
      <c r="E1726" s="391">
        <v>3696</v>
      </c>
      <c r="F1726" s="391" t="s">
        <v>234</v>
      </c>
      <c r="G1726" s="391">
        <v>736</v>
      </c>
      <c r="H1726" s="528">
        <v>9</v>
      </c>
      <c r="I1726" s="528">
        <v>2</v>
      </c>
      <c r="J1726" s="528">
        <v>72</v>
      </c>
      <c r="K1726" s="458" t="s">
        <v>225</v>
      </c>
      <c r="L1726" s="519">
        <f>M1726+N1726+O1726+P1726+Q1726</f>
        <v>1855613.9200000002</v>
      </c>
      <c r="M1726" s="529">
        <v>1806178</v>
      </c>
      <c r="N1726" s="391">
        <v>33366.33</v>
      </c>
      <c r="O1726" s="530"/>
      <c r="P1726" s="391"/>
      <c r="Q1726" s="391">
        <v>16069.59</v>
      </c>
      <c r="R1726" s="528">
        <f>M1726/J1726</f>
        <v>25085.805555555555</v>
      </c>
      <c r="S1726" s="388">
        <f t="shared" si="229"/>
        <v>1.5643308870494366E-10</v>
      </c>
      <c r="T1726" s="398"/>
      <c r="U1726" s="391">
        <f>M1726+N1726+O1726+Q1726</f>
        <v>1855613.9200000002</v>
      </c>
      <c r="V1726" s="390"/>
      <c r="W1726" s="398"/>
      <c r="X1726" s="398"/>
    </row>
    <row r="1727" spans="1:27" s="416" customFormat="1" ht="37.5" hidden="1" customHeight="1">
      <c r="A1727" s="506">
        <f t="shared" si="227"/>
        <v>228</v>
      </c>
      <c r="B1727" s="403" t="s">
        <v>1579</v>
      </c>
      <c r="C1727" s="455" t="s">
        <v>272</v>
      </c>
      <c r="D1727" s="487">
        <v>12957</v>
      </c>
      <c r="E1727" s="391">
        <v>2655</v>
      </c>
      <c r="F1727" s="391" t="s">
        <v>223</v>
      </c>
      <c r="G1727" s="391">
        <v>1137</v>
      </c>
      <c r="H1727" s="528">
        <v>5</v>
      </c>
      <c r="I1727" s="528">
        <v>4</v>
      </c>
      <c r="J1727" s="528">
        <v>80</v>
      </c>
      <c r="K1727" s="458" t="s">
        <v>33</v>
      </c>
      <c r="L1727" s="519">
        <f>M1727+N1727+O1727+P1727+Q1727</f>
        <v>3244994.48</v>
      </c>
      <c r="M1727" s="529">
        <v>3183600</v>
      </c>
      <c r="N1727" s="391"/>
      <c r="O1727" s="473">
        <v>21594.48</v>
      </c>
      <c r="P1727" s="391"/>
      <c r="Q1727" s="391">
        <v>39800</v>
      </c>
      <c r="R1727" s="528">
        <f>M1727/G1727</f>
        <v>2800</v>
      </c>
      <c r="S1727" s="388">
        <f t="shared" si="229"/>
        <v>0</v>
      </c>
      <c r="T1727" s="398"/>
      <c r="U1727" s="391"/>
      <c r="V1727" s="390"/>
      <c r="W1727" s="398"/>
      <c r="X1727" s="398"/>
    </row>
    <row r="1728" spans="1:27" s="416" customFormat="1" ht="97.5" hidden="1" customHeight="1">
      <c r="A1728" s="506">
        <f t="shared" si="227"/>
        <v>229</v>
      </c>
      <c r="B1728" s="403" t="s">
        <v>1580</v>
      </c>
      <c r="C1728" s="455" t="s">
        <v>272</v>
      </c>
      <c r="D1728" s="487">
        <v>13478</v>
      </c>
      <c r="E1728" s="391">
        <v>2289.3000000000002</v>
      </c>
      <c r="F1728" s="391" t="s">
        <v>223</v>
      </c>
      <c r="G1728" s="391">
        <v>1550</v>
      </c>
      <c r="H1728" s="528">
        <v>5</v>
      </c>
      <c r="I1728" s="528">
        <v>4</v>
      </c>
      <c r="J1728" s="528">
        <v>80</v>
      </c>
      <c r="K1728" s="458" t="s">
        <v>4188</v>
      </c>
      <c r="L1728" s="519">
        <f>M1728+N1728+O1728+P1728+Q1728</f>
        <v>8821942.8499999996</v>
      </c>
      <c r="M1728" s="391">
        <v>8752262</v>
      </c>
      <c r="N1728" s="391">
        <v>29880.85</v>
      </c>
      <c r="O1728" s="473"/>
      <c r="P1728" s="391"/>
      <c r="Q1728" s="391">
        <v>39800</v>
      </c>
      <c r="R1728" s="528">
        <f>M1728/G1728</f>
        <v>5646.6206451612907</v>
      </c>
      <c r="S1728" s="388">
        <f t="shared" si="229"/>
        <v>-3.7107383832335472E-10</v>
      </c>
      <c r="T1728" s="398"/>
      <c r="U1728" s="391"/>
      <c r="V1728" s="390"/>
      <c r="W1728" s="398"/>
      <c r="X1728" s="398"/>
    </row>
    <row r="1729" spans="1:27" s="416" customFormat="1" ht="56.25" hidden="1" customHeight="1">
      <c r="A1729" s="506">
        <f t="shared" si="227"/>
        <v>230</v>
      </c>
      <c r="B1729" s="403" t="s">
        <v>1581</v>
      </c>
      <c r="C1729" s="455" t="s">
        <v>272</v>
      </c>
      <c r="D1729" s="487">
        <v>6456</v>
      </c>
      <c r="E1729" s="391">
        <v>1455.8999999999999</v>
      </c>
      <c r="F1729" s="391" t="s">
        <v>223</v>
      </c>
      <c r="G1729" s="391">
        <v>586</v>
      </c>
      <c r="H1729" s="528">
        <v>5</v>
      </c>
      <c r="I1729" s="528">
        <v>2</v>
      </c>
      <c r="J1729" s="528">
        <v>34</v>
      </c>
      <c r="K1729" s="458" t="s">
        <v>30</v>
      </c>
      <c r="L1729" s="519">
        <f>M1729+N1729+O1729+P1729+Q1729</f>
        <v>953738.01</v>
      </c>
      <c r="M1729" s="529">
        <v>918000</v>
      </c>
      <c r="N1729" s="391"/>
      <c r="O1729" s="473">
        <v>14404.61</v>
      </c>
      <c r="P1729" s="391"/>
      <c r="Q1729" s="391">
        <v>21333.4</v>
      </c>
      <c r="R1729" s="528">
        <f>M1729/J1729</f>
        <v>27000</v>
      </c>
      <c r="S1729" s="388">
        <f t="shared" si="229"/>
        <v>0</v>
      </c>
      <c r="T1729" s="398"/>
      <c r="U1729" s="391"/>
      <c r="V1729" s="390"/>
      <c r="W1729" s="398"/>
      <c r="X1729" s="398"/>
      <c r="Z1729" s="416">
        <v>1</v>
      </c>
      <c r="AA1729" s="416">
        <f>J1729</f>
        <v>34</v>
      </c>
    </row>
    <row r="1730" spans="1:27" s="416" customFormat="1" ht="37.5" hidden="1" customHeight="1">
      <c r="A1730" s="506">
        <f t="shared" si="227"/>
        <v>231</v>
      </c>
      <c r="B1730" s="403" t="s">
        <v>1582</v>
      </c>
      <c r="C1730" s="455" t="s">
        <v>272</v>
      </c>
      <c r="D1730" s="487">
        <v>6713</v>
      </c>
      <c r="E1730" s="391">
        <v>1373.8</v>
      </c>
      <c r="F1730" s="391" t="s">
        <v>223</v>
      </c>
      <c r="G1730" s="391">
        <v>853</v>
      </c>
      <c r="H1730" s="528">
        <v>3</v>
      </c>
      <c r="I1730" s="528">
        <v>3</v>
      </c>
      <c r="J1730" s="528">
        <v>27</v>
      </c>
      <c r="K1730" s="458" t="s">
        <v>33</v>
      </c>
      <c r="L1730" s="519">
        <f>M1730+N1730+O1730+P1730+Q1730</f>
        <v>2427845.6800000002</v>
      </c>
      <c r="M1730" s="529">
        <v>2388400</v>
      </c>
      <c r="N1730" s="391"/>
      <c r="O1730" s="473">
        <v>18748.79</v>
      </c>
      <c r="P1730" s="391"/>
      <c r="Q1730" s="391">
        <v>20696.89</v>
      </c>
      <c r="R1730" s="528">
        <f>M1730/G1730</f>
        <v>2800</v>
      </c>
      <c r="S1730" s="388">
        <f t="shared" si="229"/>
        <v>1.673470251262188E-10</v>
      </c>
      <c r="T1730" s="398"/>
      <c r="U1730" s="391"/>
      <c r="V1730" s="390"/>
      <c r="W1730" s="398"/>
      <c r="X1730" s="398"/>
    </row>
    <row r="1731" spans="1:27" s="416" customFormat="1" ht="37.5" hidden="1" customHeight="1">
      <c r="A1731" s="506">
        <f t="shared" si="227"/>
        <v>232</v>
      </c>
      <c r="B1731" s="543" t="s">
        <v>1583</v>
      </c>
      <c r="C1731" s="544" t="s">
        <v>272</v>
      </c>
      <c r="D1731" s="545">
        <v>10139</v>
      </c>
      <c r="E1731" s="391">
        <v>2057.4</v>
      </c>
      <c r="F1731" s="391" t="s">
        <v>223</v>
      </c>
      <c r="G1731" s="391">
        <v>1300</v>
      </c>
      <c r="H1731" s="446">
        <v>3</v>
      </c>
      <c r="I1731" s="528">
        <v>4</v>
      </c>
      <c r="J1731" s="528">
        <v>33</v>
      </c>
      <c r="K1731" s="458" t="s">
        <v>33</v>
      </c>
      <c r="L1731" s="529">
        <f>SUM(M1731:Q1731)</f>
        <v>3690993.4699999997</v>
      </c>
      <c r="M1731" s="529">
        <v>3640000</v>
      </c>
      <c r="N1731" s="391"/>
      <c r="O1731" s="530">
        <v>19733.84</v>
      </c>
      <c r="P1731" s="809"/>
      <c r="Q1731" s="391">
        <v>31259.63</v>
      </c>
      <c r="R1731" s="446">
        <f>M1731/G1731</f>
        <v>2800</v>
      </c>
      <c r="S1731" s="388">
        <f t="shared" si="229"/>
        <v>-2.6193447411060333E-10</v>
      </c>
      <c r="T1731" s="398"/>
      <c r="U1731" s="391"/>
      <c r="V1731" s="390"/>
      <c r="W1731" s="398"/>
      <c r="X1731" s="398"/>
    </row>
    <row r="1732" spans="1:27" s="416" customFormat="1" ht="37.5" hidden="1" customHeight="1">
      <c r="A1732" s="543">
        <f>A1731+1</f>
        <v>233</v>
      </c>
      <c r="B1732" s="403" t="s">
        <v>1584</v>
      </c>
      <c r="C1732" s="455" t="s">
        <v>272</v>
      </c>
      <c r="D1732" s="487">
        <v>10085</v>
      </c>
      <c r="E1732" s="391">
        <v>3600</v>
      </c>
      <c r="F1732" s="391" t="s">
        <v>223</v>
      </c>
      <c r="G1732" s="391">
        <v>1350</v>
      </c>
      <c r="H1732" s="528">
        <v>3</v>
      </c>
      <c r="I1732" s="528">
        <v>3</v>
      </c>
      <c r="J1732" s="528">
        <v>26</v>
      </c>
      <c r="K1732" s="458" t="s">
        <v>33</v>
      </c>
      <c r="L1732" s="1129">
        <f>M1732+N1732+O1732+P1732+Q1732+M1733+N1733+O1733+P1733+Q1733</f>
        <v>10694552.199999999</v>
      </c>
      <c r="M1732" s="529">
        <v>4600000</v>
      </c>
      <c r="N1732" s="391"/>
      <c r="O1732" s="473">
        <v>19688.07</v>
      </c>
      <c r="P1732" s="391"/>
      <c r="Q1732" s="391">
        <v>31093.13</v>
      </c>
      <c r="R1732" s="528">
        <f>M1732/G1732</f>
        <v>3407.4074074074074</v>
      </c>
      <c r="S1732" s="388">
        <f t="shared" si="229"/>
        <v>6043770.9999999991</v>
      </c>
      <c r="T1732" s="398"/>
      <c r="U1732" s="391"/>
      <c r="V1732" s="390"/>
      <c r="W1732" s="398"/>
      <c r="X1732" s="398"/>
    </row>
    <row r="1733" spans="1:27" s="416" customFormat="1" ht="35.25" hidden="1" customHeight="1">
      <c r="A1733" s="543"/>
      <c r="B1733" s="403"/>
      <c r="C1733" s="455"/>
      <c r="D1733" s="487"/>
      <c r="E1733" s="391"/>
      <c r="F1733" s="391"/>
      <c r="G1733" s="391"/>
      <c r="H1733" s="528"/>
      <c r="I1733" s="528"/>
      <c r="J1733" s="528"/>
      <c r="K1733" s="458" t="s">
        <v>38</v>
      </c>
      <c r="L1733" s="1129"/>
      <c r="M1733" s="529">
        <v>6000000</v>
      </c>
      <c r="N1733" s="391"/>
      <c r="O1733" s="473">
        <v>14071</v>
      </c>
      <c r="P1733" s="391"/>
      <c r="Q1733" s="391">
        <v>29700</v>
      </c>
      <c r="R1733" s="528">
        <f>M1733/E1732</f>
        <v>1666.6666666666667</v>
      </c>
      <c r="S1733" s="388">
        <f t="shared" si="229"/>
        <v>-6043771</v>
      </c>
      <c r="T1733" s="398"/>
      <c r="U1733" s="391"/>
      <c r="V1733" s="390"/>
      <c r="W1733" s="398"/>
      <c r="X1733" s="398"/>
    </row>
    <row r="1734" spans="1:27" s="416" customFormat="1" ht="37.5" hidden="1" customHeight="1">
      <c r="A1734" s="506">
        <f>A1732+1</f>
        <v>234</v>
      </c>
      <c r="B1734" s="403" t="s">
        <v>1585</v>
      </c>
      <c r="C1734" s="577" t="s">
        <v>272</v>
      </c>
      <c r="D1734" s="446">
        <v>12724</v>
      </c>
      <c r="E1734" s="388">
        <v>2532</v>
      </c>
      <c r="F1734" s="388" t="s">
        <v>223</v>
      </c>
      <c r="G1734" s="388">
        <v>1147</v>
      </c>
      <c r="H1734" s="446">
        <v>5</v>
      </c>
      <c r="I1734" s="446">
        <v>4</v>
      </c>
      <c r="J1734" s="446">
        <v>80</v>
      </c>
      <c r="K1734" s="397" t="s">
        <v>33</v>
      </c>
      <c r="L1734" s="519">
        <f t="shared" ref="L1734:L1740" si="230">M1734+N1734+O1734+P1734+Q1734</f>
        <v>3731138.38</v>
      </c>
      <c r="M1734" s="519">
        <v>3670400</v>
      </c>
      <c r="N1734" s="388"/>
      <c r="O1734" s="473">
        <v>21508.92</v>
      </c>
      <c r="P1734" s="388"/>
      <c r="Q1734" s="388">
        <v>39229.46</v>
      </c>
      <c r="R1734" s="446">
        <f>M1734/G1734</f>
        <v>3200</v>
      </c>
      <c r="S1734" s="388">
        <f t="shared" si="229"/>
        <v>-1.0913936421275139E-10</v>
      </c>
      <c r="T1734" s="398"/>
      <c r="U1734" s="388"/>
      <c r="V1734" s="390"/>
      <c r="W1734" s="398"/>
      <c r="X1734" s="398"/>
    </row>
    <row r="1735" spans="1:27" s="416" customFormat="1" ht="52.5" hidden="1" customHeight="1">
      <c r="A1735" s="506">
        <f t="shared" si="227"/>
        <v>235</v>
      </c>
      <c r="B1735" s="403" t="s">
        <v>1586</v>
      </c>
      <c r="C1735" s="455" t="s">
        <v>218</v>
      </c>
      <c r="D1735" s="487">
        <v>14330</v>
      </c>
      <c r="E1735" s="391">
        <v>2653.2</v>
      </c>
      <c r="F1735" s="391" t="s">
        <v>223</v>
      </c>
      <c r="G1735" s="391">
        <v>1150</v>
      </c>
      <c r="H1735" s="528">
        <v>5</v>
      </c>
      <c r="I1735" s="528">
        <v>4</v>
      </c>
      <c r="J1735" s="528">
        <v>80</v>
      </c>
      <c r="K1735" s="458" t="s">
        <v>33</v>
      </c>
      <c r="L1735" s="519">
        <f t="shared" si="230"/>
        <v>4063237.23</v>
      </c>
      <c r="M1735" s="529">
        <v>4000000</v>
      </c>
      <c r="N1735" s="391"/>
      <c r="O1735" s="473">
        <v>23437.23</v>
      </c>
      <c r="P1735" s="391"/>
      <c r="Q1735" s="391">
        <v>39800</v>
      </c>
      <c r="R1735" s="528">
        <f>M1735/G1735</f>
        <v>3478.2608695652175</v>
      </c>
      <c r="S1735" s="388">
        <f t="shared" si="229"/>
        <v>0</v>
      </c>
      <c r="T1735" s="398"/>
      <c r="U1735" s="391"/>
      <c r="V1735" s="390"/>
      <c r="W1735" s="398"/>
      <c r="X1735" s="398"/>
    </row>
    <row r="1736" spans="1:27" s="416" customFormat="1" ht="37.5" hidden="1" customHeight="1">
      <c r="A1736" s="506">
        <f t="shared" si="227"/>
        <v>236</v>
      </c>
      <c r="B1736" s="403" t="s">
        <v>1587</v>
      </c>
      <c r="C1736" s="455" t="s">
        <v>272</v>
      </c>
      <c r="D1736" s="487">
        <v>12983</v>
      </c>
      <c r="E1736" s="391">
        <v>1320</v>
      </c>
      <c r="F1736" s="391" t="s">
        <v>223</v>
      </c>
      <c r="G1736" s="391">
        <v>1148</v>
      </c>
      <c r="H1736" s="528">
        <v>5</v>
      </c>
      <c r="I1736" s="528">
        <v>4</v>
      </c>
      <c r="J1736" s="528">
        <v>81</v>
      </c>
      <c r="K1736" s="458" t="s">
        <v>33</v>
      </c>
      <c r="L1736" s="519">
        <f t="shared" si="230"/>
        <v>4079403.44</v>
      </c>
      <c r="M1736" s="529">
        <v>4018000</v>
      </c>
      <c r="N1736" s="391"/>
      <c r="O1736" s="473">
        <v>21603.439999999999</v>
      </c>
      <c r="P1736" s="391"/>
      <c r="Q1736" s="391">
        <v>39800</v>
      </c>
      <c r="R1736" s="528">
        <f>M1736/G1736</f>
        <v>3500</v>
      </c>
      <c r="S1736" s="388">
        <f t="shared" si="229"/>
        <v>-5.8207660913467407E-11</v>
      </c>
      <c r="T1736" s="398"/>
      <c r="U1736" s="391"/>
      <c r="V1736" s="390"/>
      <c r="W1736" s="398"/>
      <c r="X1736" s="398"/>
    </row>
    <row r="1737" spans="1:27" s="416" customFormat="1" ht="37.5" hidden="1" customHeight="1">
      <c r="A1737" s="506">
        <f t="shared" si="227"/>
        <v>237</v>
      </c>
      <c r="B1737" s="403" t="s">
        <v>1588</v>
      </c>
      <c r="C1737" s="455" t="s">
        <v>272</v>
      </c>
      <c r="D1737" s="487">
        <v>10543</v>
      </c>
      <c r="E1737" s="391">
        <v>1860</v>
      </c>
      <c r="F1737" s="391" t="s">
        <v>223</v>
      </c>
      <c r="G1737" s="391">
        <v>838</v>
      </c>
      <c r="H1737" s="528">
        <v>5</v>
      </c>
      <c r="I1737" s="528">
        <v>3</v>
      </c>
      <c r="J1737" s="528">
        <v>60</v>
      </c>
      <c r="K1737" s="458" t="s">
        <v>368</v>
      </c>
      <c r="L1737" s="519">
        <f t="shared" si="230"/>
        <v>5637937.0999999996</v>
      </c>
      <c r="M1737" s="529">
        <v>5580000</v>
      </c>
      <c r="N1737" s="391">
        <v>28237.1</v>
      </c>
      <c r="O1737" s="530"/>
      <c r="P1737" s="391"/>
      <c r="Q1737" s="391">
        <v>29700</v>
      </c>
      <c r="R1737" s="528">
        <f>M1737/E1737</f>
        <v>3000</v>
      </c>
      <c r="S1737" s="388">
        <f t="shared" si="229"/>
        <v>-3.7107383832335472E-10</v>
      </c>
      <c r="T1737" s="398"/>
      <c r="U1737" s="391"/>
      <c r="V1737" s="390"/>
      <c r="W1737" s="398"/>
      <c r="X1737" s="398"/>
    </row>
    <row r="1738" spans="1:27" s="416" customFormat="1" ht="37.5" hidden="1" customHeight="1">
      <c r="A1738" s="506">
        <f t="shared" si="227"/>
        <v>238</v>
      </c>
      <c r="B1738" s="403" t="s">
        <v>1589</v>
      </c>
      <c r="C1738" s="455" t="s">
        <v>218</v>
      </c>
      <c r="D1738" s="487">
        <v>48069</v>
      </c>
      <c r="E1738" s="391">
        <v>9522.5</v>
      </c>
      <c r="F1738" s="391" t="s">
        <v>234</v>
      </c>
      <c r="G1738" s="391">
        <v>2020</v>
      </c>
      <c r="H1738" s="528">
        <v>10</v>
      </c>
      <c r="I1738" s="528">
        <v>6</v>
      </c>
      <c r="J1738" s="528">
        <v>221</v>
      </c>
      <c r="K1738" s="458" t="s">
        <v>33</v>
      </c>
      <c r="L1738" s="519">
        <f t="shared" si="230"/>
        <v>4270911</v>
      </c>
      <c r="M1738" s="529">
        <v>4242000</v>
      </c>
      <c r="N1738" s="391"/>
      <c r="O1738" s="473">
        <v>28911</v>
      </c>
      <c r="P1738" s="391"/>
      <c r="Q1738" s="391"/>
      <c r="R1738" s="528">
        <f>M1738/G1738</f>
        <v>2100</v>
      </c>
      <c r="S1738" s="388">
        <f t="shared" si="229"/>
        <v>0</v>
      </c>
      <c r="T1738" s="398"/>
      <c r="U1738" s="391"/>
      <c r="V1738" s="390"/>
      <c r="W1738" s="398"/>
      <c r="X1738" s="398"/>
    </row>
    <row r="1739" spans="1:27" s="416" customFormat="1" ht="37.5" hidden="1" customHeight="1">
      <c r="A1739" s="506">
        <f t="shared" si="227"/>
        <v>239</v>
      </c>
      <c r="B1739" s="403" t="s">
        <v>1590</v>
      </c>
      <c r="C1739" s="544" t="s">
        <v>218</v>
      </c>
      <c r="D1739" s="446">
        <v>1427</v>
      </c>
      <c r="E1739" s="388">
        <v>2180</v>
      </c>
      <c r="F1739" s="388" t="s">
        <v>223</v>
      </c>
      <c r="G1739" s="388">
        <v>1200</v>
      </c>
      <c r="H1739" s="446">
        <v>5</v>
      </c>
      <c r="I1739" s="446">
        <v>4</v>
      </c>
      <c r="J1739" s="446">
        <v>80</v>
      </c>
      <c r="K1739" s="397" t="s">
        <v>33</v>
      </c>
      <c r="L1739" s="519">
        <f t="shared" si="230"/>
        <v>3862187</v>
      </c>
      <c r="M1739" s="519">
        <v>3840000</v>
      </c>
      <c r="N1739" s="388"/>
      <c r="O1739" s="473">
        <v>22187</v>
      </c>
      <c r="P1739" s="388"/>
      <c r="Q1739" s="388"/>
      <c r="R1739" s="446">
        <f>M1739/G1739</f>
        <v>3200</v>
      </c>
      <c r="S1739" s="388">
        <f t="shared" si="229"/>
        <v>0</v>
      </c>
      <c r="T1739" s="398"/>
      <c r="U1739" s="388"/>
      <c r="V1739" s="390"/>
      <c r="W1739" s="398"/>
      <c r="X1739" s="398"/>
    </row>
    <row r="1740" spans="1:27" s="416" customFormat="1" ht="37.5" hidden="1" customHeight="1">
      <c r="A1740" s="506">
        <f t="shared" si="227"/>
        <v>240</v>
      </c>
      <c r="B1740" s="403" t="s">
        <v>1591</v>
      </c>
      <c r="C1740" s="455" t="s">
        <v>272</v>
      </c>
      <c r="D1740" s="487">
        <v>14789</v>
      </c>
      <c r="E1740" s="391">
        <v>2190</v>
      </c>
      <c r="F1740" s="391" t="s">
        <v>234</v>
      </c>
      <c r="G1740" s="391">
        <v>1219</v>
      </c>
      <c r="H1740" s="528">
        <v>5</v>
      </c>
      <c r="I1740" s="528">
        <v>4</v>
      </c>
      <c r="J1740" s="528">
        <v>70</v>
      </c>
      <c r="K1740" s="458" t="s">
        <v>225</v>
      </c>
      <c r="L1740" s="519">
        <f t="shared" si="230"/>
        <v>864398.71000000008</v>
      </c>
      <c r="M1740" s="529">
        <v>808477</v>
      </c>
      <c r="N1740" s="391">
        <v>42724.3</v>
      </c>
      <c r="O1740" s="530"/>
      <c r="P1740" s="391"/>
      <c r="Q1740" s="391">
        <v>13197.41</v>
      </c>
      <c r="R1740" s="528">
        <f>M1740/J1740</f>
        <v>11549.671428571428</v>
      </c>
      <c r="S1740" s="388">
        <f t="shared" si="229"/>
        <v>7.6397554948925972E-11</v>
      </c>
      <c r="T1740" s="398"/>
      <c r="U1740" s="391">
        <f>M1740+N1740+O1740+Q1740</f>
        <v>864398.71000000008</v>
      </c>
      <c r="V1740" s="390"/>
      <c r="W1740" s="398"/>
      <c r="X1740" s="398"/>
    </row>
    <row r="1741" spans="1:27" s="416" customFormat="1" ht="26.25" hidden="1" customHeight="1">
      <c r="A1741" s="506">
        <f t="shared" si="227"/>
        <v>241</v>
      </c>
      <c r="B1741" s="403" t="s">
        <v>1594</v>
      </c>
      <c r="C1741" s="455" t="s">
        <v>272</v>
      </c>
      <c r="D1741" s="487">
        <v>24219</v>
      </c>
      <c r="E1741" s="391">
        <v>1593.3</v>
      </c>
      <c r="F1741" s="391" t="s">
        <v>223</v>
      </c>
      <c r="G1741" s="391">
        <v>1139</v>
      </c>
      <c r="H1741" s="528">
        <v>5</v>
      </c>
      <c r="I1741" s="528">
        <v>4</v>
      </c>
      <c r="J1741" s="528">
        <v>80</v>
      </c>
      <c r="K1741" s="458" t="s">
        <v>3765</v>
      </c>
      <c r="L1741" s="1129">
        <f>M1741+N1741+O1741+P1741+Q1741+M1742+N1742+O1742+Q1742</f>
        <v>4279069</v>
      </c>
      <c r="M1741" s="529">
        <v>2000000</v>
      </c>
      <c r="N1741" s="391">
        <v>33500</v>
      </c>
      <c r="O1741" s="530"/>
      <c r="P1741" s="391">
        <v>0</v>
      </c>
      <c r="Q1741" s="391">
        <v>29700</v>
      </c>
      <c r="R1741" s="528">
        <f>M1741/E1741</f>
        <v>1255.2563861168644</v>
      </c>
      <c r="S1741" s="388">
        <f t="shared" si="229"/>
        <v>2215869</v>
      </c>
      <c r="T1741" s="398"/>
      <c r="U1741" s="391"/>
      <c r="V1741" s="390"/>
      <c r="W1741" s="398"/>
      <c r="X1741" s="398"/>
    </row>
    <row r="1742" spans="1:27" s="416" customFormat="1" ht="56.25" hidden="1" customHeight="1">
      <c r="A1742" s="506"/>
      <c r="B1742" s="403"/>
      <c r="C1742" s="455"/>
      <c r="D1742" s="487"/>
      <c r="E1742" s="391"/>
      <c r="F1742" s="391"/>
      <c r="G1742" s="391"/>
      <c r="H1742" s="528"/>
      <c r="I1742" s="528"/>
      <c r="J1742" s="528"/>
      <c r="K1742" s="458" t="s">
        <v>30</v>
      </c>
      <c r="L1742" s="1129"/>
      <c r="M1742" s="529">
        <v>2160000</v>
      </c>
      <c r="N1742" s="391"/>
      <c r="O1742" s="530">
        <v>15869</v>
      </c>
      <c r="P1742" s="391"/>
      <c r="Q1742" s="391">
        <v>40000</v>
      </c>
      <c r="R1742" s="528">
        <f>M1742/J1741</f>
        <v>27000</v>
      </c>
      <c r="S1742" s="388">
        <f t="shared" si="229"/>
        <v>-2215869</v>
      </c>
      <c r="T1742" s="398"/>
      <c r="U1742" s="391"/>
      <c r="V1742" s="390"/>
      <c r="W1742" s="398"/>
      <c r="X1742" s="398"/>
      <c r="Z1742" s="416">
        <v>1</v>
      </c>
      <c r="AA1742" s="416">
        <v>80</v>
      </c>
    </row>
    <row r="1743" spans="1:27" s="416" customFormat="1" ht="37.5" hidden="1" customHeight="1">
      <c r="A1743" s="506">
        <f>A1741+1</f>
        <v>242</v>
      </c>
      <c r="B1743" s="403" t="s">
        <v>1595</v>
      </c>
      <c r="C1743" s="455" t="s">
        <v>272</v>
      </c>
      <c r="D1743" s="487">
        <v>36411</v>
      </c>
      <c r="E1743" s="391">
        <v>3700</v>
      </c>
      <c r="F1743" s="391" t="s">
        <v>223</v>
      </c>
      <c r="G1743" s="391">
        <v>1139</v>
      </c>
      <c r="H1743" s="528">
        <v>5</v>
      </c>
      <c r="I1743" s="528">
        <v>4</v>
      </c>
      <c r="J1743" s="528">
        <v>80</v>
      </c>
      <c r="K1743" s="458" t="s">
        <v>33</v>
      </c>
      <c r="L1743" s="1129">
        <f>M1743+N1743+O1743+P1743+Q1743+M1744+N1744+O1744+Q1744</f>
        <v>10065295</v>
      </c>
      <c r="M1743" s="529">
        <v>3986500</v>
      </c>
      <c r="N1743" s="391"/>
      <c r="O1743" s="473">
        <v>22187</v>
      </c>
      <c r="P1743" s="391"/>
      <c r="Q1743" s="391">
        <v>39800</v>
      </c>
      <c r="R1743" s="528">
        <f>M1743/G1743</f>
        <v>3500</v>
      </c>
      <c r="S1743" s="388">
        <f t="shared" si="229"/>
        <v>6016808</v>
      </c>
      <c r="T1743" s="398"/>
      <c r="U1743" s="391"/>
      <c r="V1743" s="390"/>
      <c r="W1743" s="398"/>
      <c r="X1743" s="398"/>
    </row>
    <row r="1744" spans="1:27" s="416" customFormat="1" ht="64.5" hidden="1" customHeight="1">
      <c r="A1744" s="506"/>
      <c r="B1744" s="403"/>
      <c r="C1744" s="455"/>
      <c r="D1744" s="487"/>
      <c r="E1744" s="391"/>
      <c r="F1744" s="391"/>
      <c r="G1744" s="391"/>
      <c r="H1744" s="528"/>
      <c r="I1744" s="528"/>
      <c r="J1744" s="528"/>
      <c r="K1744" s="458" t="s">
        <v>38</v>
      </c>
      <c r="L1744" s="1129"/>
      <c r="M1744" s="529">
        <v>6000000</v>
      </c>
      <c r="N1744" s="391"/>
      <c r="O1744" s="473">
        <v>16808</v>
      </c>
      <c r="P1744" s="391"/>
      <c r="Q1744" s="391"/>
      <c r="R1744" s="528"/>
      <c r="S1744" s="388">
        <f t="shared" si="229"/>
        <v>-6016808</v>
      </c>
      <c r="T1744" s="398"/>
      <c r="U1744" s="391"/>
      <c r="V1744" s="390"/>
      <c r="W1744" s="398"/>
      <c r="X1744" s="398"/>
    </row>
    <row r="1745" spans="1:27" s="416" customFormat="1" ht="41.25" hidden="1" customHeight="1">
      <c r="A1745" s="506">
        <f>A1743+1</f>
        <v>243</v>
      </c>
      <c r="B1745" s="403" t="s">
        <v>1596</v>
      </c>
      <c r="C1745" s="455" t="s">
        <v>218</v>
      </c>
      <c r="D1745" s="487">
        <v>16553</v>
      </c>
      <c r="E1745" s="391">
        <v>2580</v>
      </c>
      <c r="F1745" s="391" t="s">
        <v>234</v>
      </c>
      <c r="G1745" s="391">
        <v>533.1</v>
      </c>
      <c r="H1745" s="528">
        <v>9</v>
      </c>
      <c r="I1745" s="528">
        <v>2</v>
      </c>
      <c r="J1745" s="528">
        <v>72</v>
      </c>
      <c r="K1745" s="458" t="s">
        <v>33</v>
      </c>
      <c r="L1745" s="519">
        <f t="shared" ref="L1745:L1758" si="231">M1745+N1745+O1745+P1745+Q1745</f>
        <v>1464805</v>
      </c>
      <c r="M1745" s="529">
        <v>1419301</v>
      </c>
      <c r="N1745" s="391"/>
      <c r="O1745" s="473">
        <v>25604</v>
      </c>
      <c r="P1745" s="391"/>
      <c r="Q1745" s="391">
        <v>19900</v>
      </c>
      <c r="R1745" s="528">
        <f>M1745/G1745</f>
        <v>2662.3541549427873</v>
      </c>
      <c r="S1745" s="388">
        <f t="shared" si="229"/>
        <v>0</v>
      </c>
      <c r="T1745" s="398"/>
      <c r="U1745" s="391"/>
      <c r="V1745" s="390"/>
      <c r="W1745" s="398"/>
      <c r="X1745" s="398"/>
    </row>
    <row r="1746" spans="1:27" s="416" customFormat="1" ht="56.25" hidden="1" customHeight="1">
      <c r="A1746" s="506">
        <f t="shared" si="227"/>
        <v>244</v>
      </c>
      <c r="B1746" s="403" t="s">
        <v>1597</v>
      </c>
      <c r="C1746" s="455" t="s">
        <v>272</v>
      </c>
      <c r="D1746" s="487">
        <v>3612</v>
      </c>
      <c r="E1746" s="391">
        <v>812.98</v>
      </c>
      <c r="F1746" s="391" t="s">
        <v>223</v>
      </c>
      <c r="G1746" s="391">
        <v>690.6</v>
      </c>
      <c r="H1746" s="528">
        <v>2</v>
      </c>
      <c r="I1746" s="528">
        <v>2</v>
      </c>
      <c r="J1746" s="528">
        <v>12</v>
      </c>
      <c r="K1746" s="458" t="s">
        <v>30</v>
      </c>
      <c r="L1746" s="519">
        <f t="shared" si="231"/>
        <v>346152.47</v>
      </c>
      <c r="M1746" s="529">
        <v>324000</v>
      </c>
      <c r="N1746" s="391"/>
      <c r="O1746" s="473">
        <v>11022</v>
      </c>
      <c r="P1746" s="391"/>
      <c r="Q1746" s="391">
        <v>11130.47</v>
      </c>
      <c r="R1746" s="528">
        <f>M1746/J1746</f>
        <v>27000</v>
      </c>
      <c r="S1746" s="388">
        <f t="shared" si="229"/>
        <v>-2.7284841053187847E-11</v>
      </c>
      <c r="T1746" s="398"/>
      <c r="U1746" s="391"/>
      <c r="V1746" s="390"/>
      <c r="W1746" s="398"/>
      <c r="X1746" s="398"/>
      <c r="Z1746" s="416">
        <v>1</v>
      </c>
      <c r="AA1746" s="416">
        <f>J1746</f>
        <v>12</v>
      </c>
    </row>
    <row r="1747" spans="1:27" s="416" customFormat="1" ht="37.5" hidden="1" customHeight="1">
      <c r="A1747" s="506">
        <f t="shared" si="227"/>
        <v>245</v>
      </c>
      <c r="B1747" s="403" t="s">
        <v>1598</v>
      </c>
      <c r="C1747" s="455" t="s">
        <v>393</v>
      </c>
      <c r="D1747" s="487">
        <v>3004</v>
      </c>
      <c r="E1747" s="391">
        <v>620</v>
      </c>
      <c r="F1747" s="391" t="s">
        <v>223</v>
      </c>
      <c r="G1747" s="391">
        <v>449</v>
      </c>
      <c r="H1747" s="528">
        <v>2</v>
      </c>
      <c r="I1747" s="528">
        <v>1</v>
      </c>
      <c r="J1747" s="528">
        <v>10</v>
      </c>
      <c r="K1747" s="458" t="s">
        <v>33</v>
      </c>
      <c r="L1747" s="519">
        <f t="shared" si="231"/>
        <v>1020250.62</v>
      </c>
      <c r="M1747" s="529">
        <v>987800</v>
      </c>
      <c r="N1747" s="391"/>
      <c r="O1747" s="473">
        <v>17814.48</v>
      </c>
      <c r="P1747" s="391"/>
      <c r="Q1747" s="391">
        <v>14636.14</v>
      </c>
      <c r="R1747" s="528">
        <f>M1747/G1747</f>
        <v>2200</v>
      </c>
      <c r="S1747" s="388">
        <f t="shared" si="229"/>
        <v>0</v>
      </c>
      <c r="T1747" s="398"/>
      <c r="U1747" s="391"/>
      <c r="V1747" s="390"/>
      <c r="W1747" s="398"/>
      <c r="X1747" s="398"/>
    </row>
    <row r="1748" spans="1:27" s="416" customFormat="1" ht="37.5" hidden="1" customHeight="1">
      <c r="A1748" s="506">
        <f t="shared" si="227"/>
        <v>246</v>
      </c>
      <c r="B1748" s="543" t="s">
        <v>1599</v>
      </c>
      <c r="C1748" s="544" t="s">
        <v>218</v>
      </c>
      <c r="D1748" s="545">
        <v>9848</v>
      </c>
      <c r="E1748" s="391">
        <v>2362</v>
      </c>
      <c r="F1748" s="391" t="s">
        <v>234</v>
      </c>
      <c r="G1748" s="391">
        <v>760.2</v>
      </c>
      <c r="H1748" s="446">
        <v>5</v>
      </c>
      <c r="I1748" s="528">
        <v>4</v>
      </c>
      <c r="J1748" s="528">
        <v>60</v>
      </c>
      <c r="K1748" s="458" t="s">
        <v>4273</v>
      </c>
      <c r="L1748" s="519">
        <f t="shared" si="231"/>
        <v>3647789</v>
      </c>
      <c r="M1748" s="391">
        <v>3601355</v>
      </c>
      <c r="N1748" s="391">
        <v>26534</v>
      </c>
      <c r="O1748" s="530"/>
      <c r="P1748" s="391"/>
      <c r="Q1748" s="391">
        <v>19900</v>
      </c>
      <c r="R1748" s="446">
        <f>M1748/G1748</f>
        <v>4737.3783214943433</v>
      </c>
      <c r="S1748" s="388">
        <f t="shared" si="229"/>
        <v>0</v>
      </c>
      <c r="T1748" s="398"/>
      <c r="U1748" s="391"/>
      <c r="V1748" s="390"/>
      <c r="W1748" s="398"/>
      <c r="X1748" s="398"/>
    </row>
    <row r="1749" spans="1:27" s="416" customFormat="1" ht="56.25" hidden="1" customHeight="1">
      <c r="A1749" s="506">
        <f t="shared" si="227"/>
        <v>247</v>
      </c>
      <c r="B1749" s="403" t="s">
        <v>1600</v>
      </c>
      <c r="C1749" s="455" t="s">
        <v>272</v>
      </c>
      <c r="D1749" s="487">
        <v>14461</v>
      </c>
      <c r="E1749" s="391">
        <v>2590</v>
      </c>
      <c r="F1749" s="391" t="s">
        <v>234</v>
      </c>
      <c r="G1749" s="391">
        <v>972.1</v>
      </c>
      <c r="H1749" s="528">
        <v>5</v>
      </c>
      <c r="I1749" s="528">
        <v>4</v>
      </c>
      <c r="J1749" s="528">
        <v>60</v>
      </c>
      <c r="K1749" s="458" t="s">
        <v>30</v>
      </c>
      <c r="L1749" s="519">
        <f t="shared" si="231"/>
        <v>1670000.94</v>
      </c>
      <c r="M1749" s="529">
        <v>1620000</v>
      </c>
      <c r="N1749" s="391"/>
      <c r="O1749" s="473">
        <v>15682</v>
      </c>
      <c r="P1749" s="391"/>
      <c r="Q1749" s="391">
        <v>34318.94</v>
      </c>
      <c r="R1749" s="528">
        <f>M1749/J1749</f>
        <v>27000</v>
      </c>
      <c r="S1749" s="388">
        <f t="shared" si="229"/>
        <v>-5.8207660913467407E-11</v>
      </c>
      <c r="T1749" s="398"/>
      <c r="U1749" s="391"/>
      <c r="V1749" s="390"/>
      <c r="W1749" s="398"/>
      <c r="X1749" s="398"/>
      <c r="Z1749" s="416">
        <v>1</v>
      </c>
      <c r="AA1749" s="416">
        <f>J1749</f>
        <v>60</v>
      </c>
    </row>
    <row r="1750" spans="1:27" s="416" customFormat="1" ht="37.5" hidden="1" customHeight="1">
      <c r="A1750" s="506">
        <f t="shared" si="227"/>
        <v>248</v>
      </c>
      <c r="B1750" s="403" t="s">
        <v>1601</v>
      </c>
      <c r="C1750" s="455" t="s">
        <v>272</v>
      </c>
      <c r="D1750" s="487">
        <v>15374</v>
      </c>
      <c r="E1750" s="391">
        <v>3430</v>
      </c>
      <c r="F1750" s="391" t="s">
        <v>234</v>
      </c>
      <c r="G1750" s="391">
        <v>1034</v>
      </c>
      <c r="H1750" s="528">
        <v>5</v>
      </c>
      <c r="I1750" s="528">
        <v>2</v>
      </c>
      <c r="J1750" s="528">
        <v>140</v>
      </c>
      <c r="K1750" s="458" t="s">
        <v>33</v>
      </c>
      <c r="L1750" s="519">
        <f t="shared" si="231"/>
        <v>2754082.02</v>
      </c>
      <c r="M1750" s="529">
        <v>2711700</v>
      </c>
      <c r="N1750" s="391"/>
      <c r="O1750" s="473">
        <v>22482.02</v>
      </c>
      <c r="P1750" s="391"/>
      <c r="Q1750" s="391">
        <v>19900</v>
      </c>
      <c r="R1750" s="528">
        <f>M1750/G1750</f>
        <v>2622.5338491295938</v>
      </c>
      <c r="S1750" s="388">
        <f t="shared" si="229"/>
        <v>0</v>
      </c>
      <c r="T1750" s="398"/>
      <c r="U1750" s="391"/>
      <c r="V1750" s="390"/>
      <c r="W1750" s="398"/>
      <c r="X1750" s="398"/>
    </row>
    <row r="1751" spans="1:27" s="416" customFormat="1" ht="31.5" hidden="1" customHeight="1">
      <c r="A1751" s="506">
        <f t="shared" si="227"/>
        <v>249</v>
      </c>
      <c r="B1751" s="403" t="s">
        <v>1602</v>
      </c>
      <c r="C1751" s="455" t="s">
        <v>240</v>
      </c>
      <c r="D1751" s="487">
        <v>2571</v>
      </c>
      <c r="E1751" s="391">
        <v>807.8</v>
      </c>
      <c r="F1751" s="391" t="s">
        <v>223</v>
      </c>
      <c r="G1751" s="391">
        <v>548</v>
      </c>
      <c r="H1751" s="528">
        <v>2</v>
      </c>
      <c r="I1751" s="528">
        <v>2</v>
      </c>
      <c r="J1751" s="528">
        <v>12</v>
      </c>
      <c r="K1751" s="458" t="s">
        <v>33</v>
      </c>
      <c r="L1751" s="519">
        <f t="shared" si="231"/>
        <v>1629784.47</v>
      </c>
      <c r="M1751" s="529">
        <v>1600000</v>
      </c>
      <c r="N1751" s="391"/>
      <c r="O1751" s="473">
        <v>17258</v>
      </c>
      <c r="P1751" s="391"/>
      <c r="Q1751" s="391">
        <v>12526.47</v>
      </c>
      <c r="R1751" s="528">
        <f>M1751/G1751</f>
        <v>2919.7080291970801</v>
      </c>
      <c r="S1751" s="388">
        <f t="shared" si="229"/>
        <v>-2.7284841053187847E-11</v>
      </c>
      <c r="T1751" s="398"/>
      <c r="U1751" s="391"/>
      <c r="V1751" s="390"/>
      <c r="W1751" s="398"/>
      <c r="X1751" s="398"/>
    </row>
    <row r="1752" spans="1:27" s="416" customFormat="1" ht="37.5" hidden="1" customHeight="1">
      <c r="A1752" s="506">
        <f t="shared" si="227"/>
        <v>250</v>
      </c>
      <c r="B1752" s="403" t="s">
        <v>1603</v>
      </c>
      <c r="C1752" s="455" t="s">
        <v>240</v>
      </c>
      <c r="D1752" s="487">
        <v>2541</v>
      </c>
      <c r="E1752" s="391">
        <v>586</v>
      </c>
      <c r="F1752" s="391" t="s">
        <v>223</v>
      </c>
      <c r="G1752" s="391">
        <v>500</v>
      </c>
      <c r="H1752" s="528">
        <v>2</v>
      </c>
      <c r="I1752" s="528">
        <v>2</v>
      </c>
      <c r="J1752" s="528">
        <v>12</v>
      </c>
      <c r="K1752" s="458" t="s">
        <v>225</v>
      </c>
      <c r="L1752" s="519">
        <f t="shared" si="231"/>
        <v>254387.53</v>
      </c>
      <c r="M1752" s="529">
        <v>230729</v>
      </c>
      <c r="N1752" s="391">
        <v>21677.07</v>
      </c>
      <c r="O1752" s="530"/>
      <c r="P1752" s="391"/>
      <c r="Q1752" s="391">
        <v>1981.46</v>
      </c>
      <c r="R1752" s="528">
        <f>M1752/J1752</f>
        <v>19227.416666666668</v>
      </c>
      <c r="S1752" s="388">
        <f t="shared" si="229"/>
        <v>0</v>
      </c>
      <c r="T1752" s="398"/>
      <c r="U1752" s="391">
        <f>M1752+N1752+O1752+Q1752</f>
        <v>254387.53</v>
      </c>
      <c r="V1752" s="390"/>
      <c r="W1752" s="398"/>
      <c r="X1752" s="398"/>
    </row>
    <row r="1753" spans="1:27" s="416" customFormat="1" ht="37.5" hidden="1" customHeight="1">
      <c r="A1753" s="506">
        <f t="shared" si="227"/>
        <v>251</v>
      </c>
      <c r="B1753" s="403" t="s">
        <v>1604</v>
      </c>
      <c r="C1753" s="455" t="s">
        <v>272</v>
      </c>
      <c r="D1753" s="487">
        <v>11357</v>
      </c>
      <c r="E1753" s="391">
        <v>1599</v>
      </c>
      <c r="F1753" s="391" t="s">
        <v>223</v>
      </c>
      <c r="G1753" s="391">
        <v>1106</v>
      </c>
      <c r="H1753" s="528">
        <v>3</v>
      </c>
      <c r="I1753" s="528">
        <v>3</v>
      </c>
      <c r="J1753" s="528">
        <v>24</v>
      </c>
      <c r="K1753" s="458" t="s">
        <v>33</v>
      </c>
      <c r="L1753" s="519">
        <f t="shared" si="231"/>
        <v>3354311.85</v>
      </c>
      <c r="M1753" s="529">
        <v>3300000</v>
      </c>
      <c r="N1753" s="391"/>
      <c r="O1753" s="473">
        <v>19297</v>
      </c>
      <c r="P1753" s="391"/>
      <c r="Q1753" s="391">
        <v>35014.85</v>
      </c>
      <c r="R1753" s="528">
        <f>M1753/G1753</f>
        <v>2983.7251356238698</v>
      </c>
      <c r="S1753" s="388">
        <f t="shared" si="229"/>
        <v>9.4587448984384537E-11</v>
      </c>
      <c r="T1753" s="398"/>
      <c r="U1753" s="391"/>
      <c r="V1753" s="390"/>
      <c r="W1753" s="398"/>
      <c r="X1753" s="398"/>
    </row>
    <row r="1754" spans="1:27" s="416" customFormat="1" ht="37.5" hidden="1" customHeight="1">
      <c r="A1754" s="506">
        <f t="shared" si="227"/>
        <v>252</v>
      </c>
      <c r="B1754" s="403" t="s">
        <v>1605</v>
      </c>
      <c r="C1754" s="455" t="s">
        <v>272</v>
      </c>
      <c r="D1754" s="487">
        <v>2951</v>
      </c>
      <c r="E1754" s="391">
        <v>705.94</v>
      </c>
      <c r="F1754" s="391" t="s">
        <v>223</v>
      </c>
      <c r="G1754" s="391">
        <v>558</v>
      </c>
      <c r="H1754" s="528">
        <v>2</v>
      </c>
      <c r="I1754" s="528">
        <v>2</v>
      </c>
      <c r="J1754" s="528">
        <v>8</v>
      </c>
      <c r="K1754" s="458" t="s">
        <v>33</v>
      </c>
      <c r="L1754" s="519">
        <f t="shared" si="231"/>
        <v>1594602.91</v>
      </c>
      <c r="M1754" s="529">
        <v>1562400</v>
      </c>
      <c r="N1754" s="391"/>
      <c r="O1754" s="473">
        <v>17825</v>
      </c>
      <c r="P1754" s="391"/>
      <c r="Q1754" s="391">
        <v>14377.91</v>
      </c>
      <c r="R1754" s="528">
        <f>M1754/G1754</f>
        <v>2800</v>
      </c>
      <c r="S1754" s="388">
        <f t="shared" si="229"/>
        <v>-8.3673512563109398E-11</v>
      </c>
      <c r="T1754" s="398"/>
      <c r="U1754" s="391"/>
      <c r="V1754" s="390"/>
      <c r="W1754" s="398"/>
      <c r="X1754" s="398"/>
    </row>
    <row r="1755" spans="1:27" s="416" customFormat="1" ht="37.5" hidden="1" customHeight="1">
      <c r="A1755" s="506">
        <f t="shared" si="227"/>
        <v>253</v>
      </c>
      <c r="B1755" s="403" t="s">
        <v>1606</v>
      </c>
      <c r="C1755" s="455" t="s">
        <v>272</v>
      </c>
      <c r="D1755" s="487">
        <v>2525</v>
      </c>
      <c r="E1755" s="391">
        <v>605</v>
      </c>
      <c r="F1755" s="391" t="s">
        <v>223</v>
      </c>
      <c r="G1755" s="391">
        <v>560</v>
      </c>
      <c r="H1755" s="528">
        <v>2</v>
      </c>
      <c r="I1755" s="528">
        <v>2</v>
      </c>
      <c r="J1755" s="528">
        <v>8</v>
      </c>
      <c r="K1755" s="458" t="s">
        <v>33</v>
      </c>
      <c r="L1755" s="519">
        <f t="shared" si="231"/>
        <v>1597492.35</v>
      </c>
      <c r="M1755" s="529">
        <v>1568000</v>
      </c>
      <c r="N1755" s="391"/>
      <c r="O1755" s="473">
        <v>17190</v>
      </c>
      <c r="P1755" s="391"/>
      <c r="Q1755" s="391">
        <v>12302.35</v>
      </c>
      <c r="R1755" s="528">
        <f>M1755/G1755</f>
        <v>2800</v>
      </c>
      <c r="S1755" s="388">
        <f t="shared" si="229"/>
        <v>9.276845958083868E-11</v>
      </c>
      <c r="T1755" s="398"/>
      <c r="U1755" s="391"/>
      <c r="V1755" s="390"/>
      <c r="W1755" s="398"/>
      <c r="X1755" s="398"/>
    </row>
    <row r="1756" spans="1:27" s="416" customFormat="1" ht="37.5" hidden="1" customHeight="1">
      <c r="A1756" s="506">
        <f t="shared" si="227"/>
        <v>254</v>
      </c>
      <c r="B1756" s="403" t="s">
        <v>1607</v>
      </c>
      <c r="C1756" s="455" t="s">
        <v>272</v>
      </c>
      <c r="D1756" s="487">
        <v>14538</v>
      </c>
      <c r="E1756" s="391">
        <v>3003.4</v>
      </c>
      <c r="F1756" s="391" t="s">
        <v>369</v>
      </c>
      <c r="G1756" s="391">
        <v>1763.4</v>
      </c>
      <c r="H1756" s="528">
        <v>5</v>
      </c>
      <c r="I1756" s="528">
        <v>4</v>
      </c>
      <c r="J1756" s="528">
        <v>79</v>
      </c>
      <c r="K1756" s="458" t="s">
        <v>33</v>
      </c>
      <c r="L1756" s="519">
        <f t="shared" si="231"/>
        <v>4993631.9000000004</v>
      </c>
      <c r="M1756" s="529">
        <v>4937520</v>
      </c>
      <c r="N1756" s="391">
        <v>42604.9</v>
      </c>
      <c r="O1756" s="530">
        <v>13507</v>
      </c>
      <c r="P1756" s="391"/>
      <c r="Q1756" s="391"/>
      <c r="R1756" s="528">
        <f>M1756/J1756</f>
        <v>62500.253164556962</v>
      </c>
      <c r="S1756" s="388">
        <f t="shared" si="229"/>
        <v>3.7107383832335472E-10</v>
      </c>
      <c r="T1756" s="398"/>
      <c r="U1756" s="391">
        <f>M1756+N1756+O1756+Q1756</f>
        <v>4993631.9000000004</v>
      </c>
      <c r="V1756" s="390"/>
      <c r="W1756" s="398"/>
      <c r="X1756" s="398"/>
    </row>
    <row r="1757" spans="1:27" s="416" customFormat="1" ht="56.25" hidden="1" customHeight="1">
      <c r="A1757" s="506">
        <f t="shared" si="227"/>
        <v>255</v>
      </c>
      <c r="B1757" s="403" t="s">
        <v>1608</v>
      </c>
      <c r="C1757" s="455" t="s">
        <v>272</v>
      </c>
      <c r="D1757" s="487">
        <v>7891</v>
      </c>
      <c r="E1757" s="391">
        <v>2250</v>
      </c>
      <c r="F1757" s="391" t="s">
        <v>223</v>
      </c>
      <c r="G1757" s="391">
        <v>1148</v>
      </c>
      <c r="H1757" s="528">
        <v>5</v>
      </c>
      <c r="I1757" s="528">
        <v>4</v>
      </c>
      <c r="J1757" s="528">
        <v>48</v>
      </c>
      <c r="K1757" s="458" t="s">
        <v>30</v>
      </c>
      <c r="L1757" s="519">
        <f t="shared" si="231"/>
        <v>1331757.3999999999</v>
      </c>
      <c r="M1757" s="529">
        <v>1296000</v>
      </c>
      <c r="N1757" s="391"/>
      <c r="O1757" s="473">
        <v>14424</v>
      </c>
      <c r="P1757" s="391"/>
      <c r="Q1757" s="391">
        <v>21333.4</v>
      </c>
      <c r="R1757" s="528">
        <f>M1757/J1757</f>
        <v>27000</v>
      </c>
      <c r="S1757" s="388">
        <f t="shared" si="229"/>
        <v>-9.4587448984384537E-11</v>
      </c>
      <c r="T1757" s="398"/>
      <c r="U1757" s="391"/>
      <c r="V1757" s="390"/>
      <c r="W1757" s="398"/>
      <c r="X1757" s="398"/>
      <c r="Z1757" s="416">
        <v>1</v>
      </c>
      <c r="AA1757" s="416">
        <f>J1757</f>
        <v>48</v>
      </c>
    </row>
    <row r="1758" spans="1:27" s="416" customFormat="1" ht="37.5" hidden="1" customHeight="1">
      <c r="A1758" s="506">
        <f t="shared" si="227"/>
        <v>256</v>
      </c>
      <c r="B1758" s="403" t="s">
        <v>1609</v>
      </c>
      <c r="C1758" s="455" t="s">
        <v>272</v>
      </c>
      <c r="D1758" s="487">
        <v>22168</v>
      </c>
      <c r="E1758" s="391">
        <v>3480</v>
      </c>
      <c r="F1758" s="391" t="s">
        <v>234</v>
      </c>
      <c r="G1758" s="391">
        <v>1639</v>
      </c>
      <c r="H1758" s="528">
        <v>5</v>
      </c>
      <c r="I1758" s="528">
        <v>6</v>
      </c>
      <c r="J1758" s="528">
        <v>100</v>
      </c>
      <c r="K1758" s="458" t="s">
        <v>225</v>
      </c>
      <c r="L1758" s="519">
        <f t="shared" si="231"/>
        <v>1786214.9000000001</v>
      </c>
      <c r="M1758" s="529">
        <v>1732794</v>
      </c>
      <c r="N1758" s="391">
        <v>34059.85</v>
      </c>
      <c r="O1758" s="530"/>
      <c r="P1758" s="391"/>
      <c r="Q1758" s="391">
        <v>19361.05</v>
      </c>
      <c r="R1758" s="528">
        <f>M1758/J1758</f>
        <v>17327.939999999999</v>
      </c>
      <c r="S1758" s="388">
        <f t="shared" si="229"/>
        <v>1.4188117347657681E-10</v>
      </c>
      <c r="T1758" s="398"/>
      <c r="U1758" s="391">
        <f>M1758+N1758+O1758+Q1758</f>
        <v>1786214.9000000001</v>
      </c>
      <c r="V1758" s="390"/>
      <c r="W1758" s="398"/>
      <c r="X1758" s="398"/>
    </row>
    <row r="1759" spans="1:27" ht="72" hidden="1" customHeight="1">
      <c r="A1759" s="543">
        <f>A1758+1</f>
        <v>257</v>
      </c>
      <c r="B1759" s="403" t="s">
        <v>1610</v>
      </c>
      <c r="C1759" s="455" t="s">
        <v>272</v>
      </c>
      <c r="D1759" s="545">
        <v>8534</v>
      </c>
      <c r="E1759" s="391">
        <v>1612</v>
      </c>
      <c r="F1759" s="388" t="s">
        <v>234</v>
      </c>
      <c r="G1759" s="391">
        <v>624.4</v>
      </c>
      <c r="H1759" s="528">
        <v>5</v>
      </c>
      <c r="I1759" s="528">
        <v>3</v>
      </c>
      <c r="J1759" s="528">
        <v>35</v>
      </c>
      <c r="K1759" s="537" t="s">
        <v>30</v>
      </c>
      <c r="L1759" s="519">
        <f>SUBTOTAL(9,M1759:Q1760)</f>
        <v>2423885.9899999998</v>
      </c>
      <c r="M1759" s="519">
        <v>945000</v>
      </c>
      <c r="N1759" s="388"/>
      <c r="O1759" s="473">
        <v>14523.02</v>
      </c>
      <c r="P1759" s="388"/>
      <c r="Q1759" s="388">
        <v>21333.4</v>
      </c>
      <c r="R1759" s="446">
        <f>M1759/J1759</f>
        <v>27000</v>
      </c>
      <c r="S1759" s="388">
        <f t="shared" si="229"/>
        <v>1443029.5699999998</v>
      </c>
      <c r="T1759" s="389"/>
      <c r="U1759" s="388"/>
      <c r="V1759" s="390"/>
      <c r="W1759" s="398"/>
      <c r="X1759" s="398"/>
      <c r="Z1759" s="416">
        <v>1</v>
      </c>
      <c r="AA1759" s="416">
        <f>J1759</f>
        <v>35</v>
      </c>
    </row>
    <row r="1760" spans="1:27" ht="37.5" hidden="1" customHeight="1">
      <c r="A1760" s="543"/>
      <c r="B1760" s="403"/>
      <c r="C1760" s="455" t="s">
        <v>272</v>
      </c>
      <c r="D1760" s="545">
        <v>8534</v>
      </c>
      <c r="E1760" s="391">
        <v>1612</v>
      </c>
      <c r="F1760" s="388" t="s">
        <v>234</v>
      </c>
      <c r="G1760" s="391">
        <v>624.4</v>
      </c>
      <c r="H1760" s="528">
        <v>5</v>
      </c>
      <c r="I1760" s="528">
        <v>3</v>
      </c>
      <c r="J1760" s="528">
        <v>35</v>
      </c>
      <c r="K1760" s="458" t="s">
        <v>33</v>
      </c>
      <c r="L1760" s="519"/>
      <c r="M1760" s="519">
        <v>1401950</v>
      </c>
      <c r="N1760" s="388"/>
      <c r="O1760" s="473">
        <v>21179.57</v>
      </c>
      <c r="P1760" s="388"/>
      <c r="Q1760" s="391">
        <v>19900</v>
      </c>
      <c r="R1760" s="446">
        <f>M1760/G1760</f>
        <v>2245.2754644458682</v>
      </c>
      <c r="S1760" s="388">
        <f t="shared" si="229"/>
        <v>-1443029.57</v>
      </c>
      <c r="T1760" s="389"/>
      <c r="U1760" s="388"/>
      <c r="V1760" s="390"/>
      <c r="W1760" s="398"/>
      <c r="X1760" s="398"/>
    </row>
    <row r="1761" spans="1:27" s="416" customFormat="1" ht="37.5" hidden="1" customHeight="1">
      <c r="A1761" s="506">
        <f>A1759+1</f>
        <v>258</v>
      </c>
      <c r="B1761" s="403" t="s">
        <v>1611</v>
      </c>
      <c r="C1761" s="455" t="s">
        <v>272</v>
      </c>
      <c r="D1761" s="487">
        <v>3856</v>
      </c>
      <c r="E1761" s="391">
        <v>1296</v>
      </c>
      <c r="F1761" s="391" t="s">
        <v>231</v>
      </c>
      <c r="G1761" s="391">
        <v>470</v>
      </c>
      <c r="H1761" s="528">
        <v>3</v>
      </c>
      <c r="I1761" s="528">
        <v>2</v>
      </c>
      <c r="J1761" s="528">
        <v>16</v>
      </c>
      <c r="K1761" s="458" t="s">
        <v>225</v>
      </c>
      <c r="L1761" s="519">
        <f t="shared" ref="L1761:L1773" si="232">M1761+N1761+O1761+P1761+Q1761</f>
        <v>489611.52000000002</v>
      </c>
      <c r="M1761" s="529">
        <v>465000</v>
      </c>
      <c r="N1761" s="391">
        <v>21842</v>
      </c>
      <c r="O1761" s="530"/>
      <c r="P1761" s="391"/>
      <c r="Q1761" s="391">
        <v>2769.52</v>
      </c>
      <c r="R1761" s="528">
        <f>M1761/J1761</f>
        <v>29062.5</v>
      </c>
      <c r="S1761" s="388">
        <f t="shared" si="229"/>
        <v>1.8644641386345029E-11</v>
      </c>
      <c r="T1761" s="398"/>
      <c r="U1761" s="391">
        <f>M1761+N1761+O1761+Q1761</f>
        <v>489611.52000000002</v>
      </c>
      <c r="V1761" s="390"/>
      <c r="W1761" s="398"/>
      <c r="X1761" s="398"/>
    </row>
    <row r="1762" spans="1:27" s="416" customFormat="1" ht="61.5" hidden="1" customHeight="1">
      <c r="A1762" s="506">
        <f t="shared" ref="A1762:A1783" si="233">A1761+1</f>
        <v>259</v>
      </c>
      <c r="B1762" s="403" t="s">
        <v>1612</v>
      </c>
      <c r="C1762" s="455" t="s">
        <v>272</v>
      </c>
      <c r="D1762" s="545">
        <v>16403</v>
      </c>
      <c r="E1762" s="391">
        <v>2018</v>
      </c>
      <c r="F1762" s="388" t="s">
        <v>234</v>
      </c>
      <c r="G1762" s="391">
        <v>1031</v>
      </c>
      <c r="H1762" s="528">
        <v>5</v>
      </c>
      <c r="I1762" s="528">
        <v>4</v>
      </c>
      <c r="J1762" s="528">
        <v>70</v>
      </c>
      <c r="K1762" s="458" t="s">
        <v>3880</v>
      </c>
      <c r="L1762" s="519">
        <f t="shared" si="232"/>
        <v>5111068.8899999997</v>
      </c>
      <c r="M1762" s="388">
        <v>5062889</v>
      </c>
      <c r="N1762" s="388">
        <v>28279.89</v>
      </c>
      <c r="O1762" s="473"/>
      <c r="P1762" s="388"/>
      <c r="Q1762" s="391">
        <v>19900</v>
      </c>
      <c r="R1762" s="446">
        <f>M1762/G1762</f>
        <v>4910.6585838991268</v>
      </c>
      <c r="S1762" s="388">
        <f t="shared" si="229"/>
        <v>-3.3469405025243759E-10</v>
      </c>
      <c r="T1762" s="398"/>
      <c r="U1762" s="388"/>
      <c r="V1762" s="390"/>
      <c r="W1762" s="398"/>
      <c r="X1762" s="398"/>
    </row>
    <row r="1763" spans="1:27" s="416" customFormat="1" ht="37.5" hidden="1" customHeight="1">
      <c r="A1763" s="506">
        <f t="shared" si="233"/>
        <v>260</v>
      </c>
      <c r="B1763" s="403" t="s">
        <v>1613</v>
      </c>
      <c r="C1763" s="455" t="s">
        <v>272</v>
      </c>
      <c r="D1763" s="487">
        <v>13594</v>
      </c>
      <c r="E1763" s="391">
        <v>2333</v>
      </c>
      <c r="F1763" s="391" t="s">
        <v>369</v>
      </c>
      <c r="G1763" s="391">
        <v>1031</v>
      </c>
      <c r="H1763" s="528">
        <v>5</v>
      </c>
      <c r="I1763" s="528">
        <v>4</v>
      </c>
      <c r="J1763" s="528">
        <v>66</v>
      </c>
      <c r="K1763" s="458" t="s">
        <v>225</v>
      </c>
      <c r="L1763" s="519">
        <f t="shared" si="232"/>
        <v>1226241.3699999999</v>
      </c>
      <c r="M1763" s="529">
        <v>1178531</v>
      </c>
      <c r="N1763" s="391">
        <v>32742.47</v>
      </c>
      <c r="O1763" s="530"/>
      <c r="P1763" s="391"/>
      <c r="Q1763" s="391">
        <v>14967.9</v>
      </c>
      <c r="R1763" s="528">
        <f>M1763/J1763</f>
        <v>17856.530303030304</v>
      </c>
      <c r="S1763" s="388">
        <f t="shared" si="229"/>
        <v>-1.2187229003757238E-10</v>
      </c>
      <c r="T1763" s="398"/>
      <c r="U1763" s="391">
        <f>M1763+N1763+O1763+Q1763</f>
        <v>1226241.3699999999</v>
      </c>
      <c r="V1763" s="390"/>
      <c r="W1763" s="398"/>
      <c r="X1763" s="398"/>
    </row>
    <row r="1764" spans="1:27" s="416" customFormat="1" ht="43.5" hidden="1" customHeight="1">
      <c r="A1764" s="506">
        <f t="shared" si="233"/>
        <v>261</v>
      </c>
      <c r="B1764" s="403" t="s">
        <v>1615</v>
      </c>
      <c r="C1764" s="455" t="s">
        <v>218</v>
      </c>
      <c r="D1764" s="487">
        <v>35746</v>
      </c>
      <c r="E1764" s="391">
        <v>6210</v>
      </c>
      <c r="F1764" s="391" t="s">
        <v>234</v>
      </c>
      <c r="G1764" s="391">
        <v>1004.4</v>
      </c>
      <c r="H1764" s="528">
        <v>9</v>
      </c>
      <c r="I1764" s="528">
        <v>4</v>
      </c>
      <c r="J1764" s="528">
        <v>144</v>
      </c>
      <c r="K1764" s="458" t="s">
        <v>33</v>
      </c>
      <c r="L1764" s="519">
        <f t="shared" si="232"/>
        <v>3267155</v>
      </c>
      <c r="M1764" s="529">
        <v>3220000</v>
      </c>
      <c r="N1764" s="391"/>
      <c r="O1764" s="473">
        <v>27255</v>
      </c>
      <c r="P1764" s="391"/>
      <c r="Q1764" s="391">
        <v>19900</v>
      </c>
      <c r="R1764" s="528">
        <f>M1764/G1764</f>
        <v>3205.8940661091201</v>
      </c>
      <c r="S1764" s="388">
        <f t="shared" si="229"/>
        <v>0</v>
      </c>
      <c r="T1764" s="398"/>
      <c r="U1764" s="391"/>
      <c r="V1764" s="390"/>
      <c r="W1764" s="398"/>
      <c r="X1764" s="398"/>
    </row>
    <row r="1765" spans="1:27" s="416" customFormat="1" ht="39.75" hidden="1" customHeight="1">
      <c r="A1765" s="506">
        <f t="shared" si="233"/>
        <v>262</v>
      </c>
      <c r="B1765" s="403" t="s">
        <v>1616</v>
      </c>
      <c r="C1765" s="455" t="s">
        <v>218</v>
      </c>
      <c r="D1765" s="487">
        <v>18229</v>
      </c>
      <c r="E1765" s="391">
        <v>3510</v>
      </c>
      <c r="F1765" s="391" t="s">
        <v>234</v>
      </c>
      <c r="G1765" s="391">
        <v>633</v>
      </c>
      <c r="H1765" s="528">
        <v>9</v>
      </c>
      <c r="I1765" s="528">
        <v>2</v>
      </c>
      <c r="J1765" s="528">
        <v>72</v>
      </c>
      <c r="K1765" s="458" t="s">
        <v>33</v>
      </c>
      <c r="L1765" s="519">
        <f t="shared" si="232"/>
        <v>1632815</v>
      </c>
      <c r="M1765" s="529">
        <v>1586843</v>
      </c>
      <c r="N1765" s="391"/>
      <c r="O1765" s="473">
        <v>26072</v>
      </c>
      <c r="P1765" s="391"/>
      <c r="Q1765" s="391">
        <v>19900</v>
      </c>
      <c r="R1765" s="528">
        <f>M1765/G1765</f>
        <v>2506.8609794628751</v>
      </c>
      <c r="S1765" s="388">
        <f t="shared" si="229"/>
        <v>0</v>
      </c>
      <c r="T1765" s="398"/>
      <c r="U1765" s="391"/>
      <c r="V1765" s="390"/>
      <c r="W1765" s="398"/>
      <c r="X1765" s="398"/>
    </row>
    <row r="1766" spans="1:27" s="416" customFormat="1" ht="39.75" hidden="1" customHeight="1">
      <c r="A1766" s="506">
        <f t="shared" si="233"/>
        <v>263</v>
      </c>
      <c r="B1766" s="403" t="s">
        <v>1617</v>
      </c>
      <c r="C1766" s="455" t="s">
        <v>272</v>
      </c>
      <c r="D1766" s="487">
        <v>1079</v>
      </c>
      <c r="E1766" s="391">
        <v>236</v>
      </c>
      <c r="F1766" s="391" t="s">
        <v>231</v>
      </c>
      <c r="G1766" s="391">
        <v>249.7</v>
      </c>
      <c r="H1766" s="528">
        <v>2</v>
      </c>
      <c r="I1766" s="528">
        <v>1</v>
      </c>
      <c r="J1766" s="528">
        <v>8</v>
      </c>
      <c r="K1766" s="458" t="s">
        <v>33</v>
      </c>
      <c r="L1766" s="519">
        <f t="shared" si="232"/>
        <v>721329.12</v>
      </c>
      <c r="M1766" s="529">
        <v>699160</v>
      </c>
      <c r="N1766" s="391"/>
      <c r="O1766" s="473">
        <v>16912</v>
      </c>
      <c r="P1766" s="391"/>
      <c r="Q1766" s="391">
        <v>5257.12</v>
      </c>
      <c r="R1766" s="528">
        <f>M1766/G1766</f>
        <v>2800</v>
      </c>
      <c r="S1766" s="388">
        <f t="shared" si="229"/>
        <v>0</v>
      </c>
      <c r="T1766" s="398"/>
      <c r="U1766" s="391"/>
      <c r="V1766" s="390"/>
      <c r="W1766" s="398"/>
      <c r="X1766" s="398"/>
    </row>
    <row r="1767" spans="1:27" s="416" customFormat="1" ht="37.5" hidden="1" customHeight="1">
      <c r="A1767" s="506">
        <f t="shared" si="233"/>
        <v>264</v>
      </c>
      <c r="B1767" s="403" t="s">
        <v>1618</v>
      </c>
      <c r="C1767" s="455" t="s">
        <v>272</v>
      </c>
      <c r="D1767" s="487">
        <v>6636</v>
      </c>
      <c r="E1767" s="391">
        <v>1025.0999999999999</v>
      </c>
      <c r="F1767" s="391" t="s">
        <v>223</v>
      </c>
      <c r="G1767" s="391">
        <v>1062</v>
      </c>
      <c r="H1767" s="528">
        <v>2</v>
      </c>
      <c r="I1767" s="528">
        <v>4</v>
      </c>
      <c r="J1767" s="528">
        <v>24</v>
      </c>
      <c r="K1767" s="458" t="s">
        <v>33</v>
      </c>
      <c r="L1767" s="519">
        <f t="shared" si="232"/>
        <v>3023915.6599999997</v>
      </c>
      <c r="M1767" s="529">
        <v>2973600</v>
      </c>
      <c r="N1767" s="391"/>
      <c r="O1767" s="473">
        <v>17983.63</v>
      </c>
      <c r="P1767" s="391"/>
      <c r="Q1767" s="391">
        <v>32332.03</v>
      </c>
      <c r="R1767" s="528">
        <f>M1767/G1767</f>
        <v>2800</v>
      </c>
      <c r="S1767" s="388">
        <f t="shared" si="229"/>
        <v>-3.1650415621697903E-10</v>
      </c>
      <c r="T1767" s="398"/>
      <c r="U1767" s="391"/>
      <c r="V1767" s="390"/>
      <c r="W1767" s="398"/>
      <c r="X1767" s="398"/>
    </row>
    <row r="1768" spans="1:27" s="416" customFormat="1" ht="37.5" hidden="1" customHeight="1">
      <c r="A1768" s="506">
        <f t="shared" si="233"/>
        <v>265</v>
      </c>
      <c r="B1768" s="403" t="s">
        <v>1619</v>
      </c>
      <c r="C1768" s="455" t="s">
        <v>272</v>
      </c>
      <c r="D1768" s="487">
        <v>26759</v>
      </c>
      <c r="E1768" s="391">
        <v>4252.5</v>
      </c>
      <c r="F1768" s="391" t="s">
        <v>234</v>
      </c>
      <c r="G1768" s="391">
        <v>1234</v>
      </c>
      <c r="H1768" s="528">
        <v>9</v>
      </c>
      <c r="I1768" s="528">
        <v>3</v>
      </c>
      <c r="J1768" s="528">
        <v>110</v>
      </c>
      <c r="K1768" s="458" t="s">
        <v>377</v>
      </c>
      <c r="L1768" s="519">
        <f t="shared" si="232"/>
        <v>14065557</v>
      </c>
      <c r="M1768" s="529">
        <v>14000000</v>
      </c>
      <c r="N1768" s="391">
        <v>35857</v>
      </c>
      <c r="O1768" s="530"/>
      <c r="P1768" s="391"/>
      <c r="Q1768" s="391">
        <v>29700</v>
      </c>
      <c r="R1768" s="528">
        <f>M1768/E1768</f>
        <v>3292.1810699588477</v>
      </c>
      <c r="S1768" s="388">
        <f t="shared" si="229"/>
        <v>0</v>
      </c>
      <c r="T1768" s="398"/>
      <c r="U1768" s="391"/>
      <c r="V1768" s="390"/>
      <c r="W1768" s="398"/>
      <c r="X1768" s="398"/>
    </row>
    <row r="1769" spans="1:27" s="416" customFormat="1" ht="37.5" hidden="1" customHeight="1">
      <c r="A1769" s="506">
        <f t="shared" si="233"/>
        <v>266</v>
      </c>
      <c r="B1769" s="403" t="s">
        <v>1620</v>
      </c>
      <c r="C1769" s="455" t="s">
        <v>272</v>
      </c>
      <c r="D1769" s="487">
        <v>9998</v>
      </c>
      <c r="E1769" s="391">
        <v>2349</v>
      </c>
      <c r="F1769" s="391" t="s">
        <v>234</v>
      </c>
      <c r="G1769" s="391">
        <v>434</v>
      </c>
      <c r="H1769" s="528">
        <v>9</v>
      </c>
      <c r="I1769" s="528">
        <v>1</v>
      </c>
      <c r="J1769" s="528">
        <v>52</v>
      </c>
      <c r="K1769" s="458" t="s">
        <v>33</v>
      </c>
      <c r="L1769" s="519">
        <f t="shared" si="232"/>
        <v>1116255.75</v>
      </c>
      <c r="M1769" s="529">
        <v>1077103</v>
      </c>
      <c r="N1769" s="391"/>
      <c r="O1769" s="473">
        <v>21759.65</v>
      </c>
      <c r="P1769" s="391"/>
      <c r="Q1769" s="391">
        <v>17393.099999999999</v>
      </c>
      <c r="R1769" s="528">
        <f>M1769/G1769</f>
        <v>2481.8041474654378</v>
      </c>
      <c r="S1769" s="388">
        <f t="shared" si="229"/>
        <v>0</v>
      </c>
      <c r="T1769" s="398"/>
      <c r="U1769" s="391"/>
      <c r="V1769" s="390"/>
      <c r="W1769" s="398"/>
      <c r="X1769" s="398"/>
    </row>
    <row r="1770" spans="1:27" s="416" customFormat="1" ht="56.25" hidden="1" customHeight="1">
      <c r="A1770" s="506">
        <f t="shared" si="233"/>
        <v>267</v>
      </c>
      <c r="B1770" s="403" t="s">
        <v>1621</v>
      </c>
      <c r="C1770" s="455" t="s">
        <v>218</v>
      </c>
      <c r="D1770" s="487">
        <v>16374</v>
      </c>
      <c r="E1770" s="391">
        <v>2970</v>
      </c>
      <c r="F1770" s="391" t="s">
        <v>234</v>
      </c>
      <c r="G1770" s="391">
        <v>647</v>
      </c>
      <c r="H1770" s="528">
        <v>9</v>
      </c>
      <c r="I1770" s="528">
        <v>2</v>
      </c>
      <c r="J1770" s="528">
        <v>72</v>
      </c>
      <c r="K1770" s="458" t="s">
        <v>30</v>
      </c>
      <c r="L1770" s="519">
        <f t="shared" si="232"/>
        <v>2357483.94</v>
      </c>
      <c r="M1770" s="529">
        <v>2304000</v>
      </c>
      <c r="N1770" s="391"/>
      <c r="O1770" s="473">
        <v>19165</v>
      </c>
      <c r="P1770" s="391"/>
      <c r="Q1770" s="391">
        <v>34318.94</v>
      </c>
      <c r="R1770" s="528">
        <f>M1770/J1770</f>
        <v>32000</v>
      </c>
      <c r="S1770" s="388">
        <f t="shared" si="229"/>
        <v>-5.8207660913467407E-11</v>
      </c>
      <c r="T1770" s="398"/>
      <c r="U1770" s="391"/>
      <c r="V1770" s="390"/>
      <c r="W1770" s="398"/>
      <c r="X1770" s="398"/>
      <c r="Z1770" s="416">
        <v>1</v>
      </c>
      <c r="AA1770" s="416">
        <f>J1770</f>
        <v>72</v>
      </c>
    </row>
    <row r="1771" spans="1:27" s="416" customFormat="1" ht="56.25" hidden="1" customHeight="1">
      <c r="A1771" s="506">
        <f t="shared" si="233"/>
        <v>268</v>
      </c>
      <c r="B1771" s="403" t="s">
        <v>1622</v>
      </c>
      <c r="C1771" s="455" t="s">
        <v>218</v>
      </c>
      <c r="D1771" s="487">
        <v>32592</v>
      </c>
      <c r="E1771" s="391">
        <v>4050</v>
      </c>
      <c r="F1771" s="391" t="s">
        <v>234</v>
      </c>
      <c r="G1771" s="391">
        <v>977.7</v>
      </c>
      <c r="H1771" s="528">
        <v>9</v>
      </c>
      <c r="I1771" s="528">
        <v>3</v>
      </c>
      <c r="J1771" s="528">
        <v>117</v>
      </c>
      <c r="K1771" s="458" t="s">
        <v>30</v>
      </c>
      <c r="L1771" s="519">
        <f t="shared" si="232"/>
        <v>3805239</v>
      </c>
      <c r="M1771" s="529">
        <v>3744000</v>
      </c>
      <c r="N1771" s="391"/>
      <c r="O1771" s="473">
        <v>21439</v>
      </c>
      <c r="P1771" s="391"/>
      <c r="Q1771" s="391">
        <v>39800</v>
      </c>
      <c r="R1771" s="528">
        <f>M1771/J1771</f>
        <v>32000</v>
      </c>
      <c r="S1771" s="388">
        <f t="shared" si="229"/>
        <v>0</v>
      </c>
      <c r="T1771" s="398"/>
      <c r="U1771" s="391"/>
      <c r="V1771" s="390"/>
      <c r="W1771" s="398"/>
      <c r="X1771" s="398"/>
      <c r="Z1771" s="416">
        <v>1</v>
      </c>
      <c r="AA1771" s="416">
        <f>J1771</f>
        <v>117</v>
      </c>
    </row>
    <row r="1772" spans="1:27" s="416" customFormat="1" ht="56.25" hidden="1" customHeight="1">
      <c r="A1772" s="506">
        <f t="shared" si="233"/>
        <v>269</v>
      </c>
      <c r="B1772" s="403" t="s">
        <v>1624</v>
      </c>
      <c r="C1772" s="455" t="s">
        <v>218</v>
      </c>
      <c r="D1772" s="487">
        <v>59840</v>
      </c>
      <c r="E1772" s="391">
        <v>10173</v>
      </c>
      <c r="F1772" s="391" t="s">
        <v>234</v>
      </c>
      <c r="G1772" s="391">
        <v>2473.6999999999998</v>
      </c>
      <c r="H1772" s="528">
        <v>9</v>
      </c>
      <c r="I1772" s="528">
        <v>7</v>
      </c>
      <c r="J1772" s="528">
        <v>266</v>
      </c>
      <c r="K1772" s="458" t="s">
        <v>30</v>
      </c>
      <c r="L1772" s="519">
        <f t="shared" si="232"/>
        <v>9363840</v>
      </c>
      <c r="M1772" s="529">
        <v>9300000</v>
      </c>
      <c r="N1772" s="391"/>
      <c r="O1772" s="473">
        <v>24040</v>
      </c>
      <c r="P1772" s="391"/>
      <c r="Q1772" s="391">
        <v>39800</v>
      </c>
      <c r="R1772" s="528">
        <f>M1772/J1772</f>
        <v>34962.406015037595</v>
      </c>
      <c r="S1772" s="388">
        <f t="shared" si="229"/>
        <v>0</v>
      </c>
      <c r="T1772" s="398"/>
      <c r="U1772" s="391"/>
      <c r="V1772" s="390"/>
      <c r="W1772" s="398"/>
      <c r="X1772" s="398"/>
      <c r="Z1772" s="416">
        <v>1</v>
      </c>
      <c r="AA1772" s="416">
        <f>J1772</f>
        <v>266</v>
      </c>
    </row>
    <row r="1773" spans="1:27" s="416" customFormat="1" ht="37.5" hidden="1" customHeight="1">
      <c r="A1773" s="506">
        <f t="shared" si="233"/>
        <v>270</v>
      </c>
      <c r="B1773" s="403" t="s">
        <v>1625</v>
      </c>
      <c r="C1773" s="455" t="s">
        <v>218</v>
      </c>
      <c r="D1773" s="487">
        <v>62028</v>
      </c>
      <c r="E1773" s="391">
        <v>10343</v>
      </c>
      <c r="F1773" s="391" t="s">
        <v>234</v>
      </c>
      <c r="G1773" s="391">
        <v>1712</v>
      </c>
      <c r="H1773" s="528">
        <v>9</v>
      </c>
      <c r="I1773" s="528">
        <v>7</v>
      </c>
      <c r="J1773" s="528">
        <v>266</v>
      </c>
      <c r="K1773" s="458" t="s">
        <v>225</v>
      </c>
      <c r="L1773" s="519">
        <f t="shared" si="232"/>
        <v>4854651.82</v>
      </c>
      <c r="M1773" s="529">
        <v>4790240</v>
      </c>
      <c r="N1773" s="391">
        <v>44611.82</v>
      </c>
      <c r="O1773" s="530"/>
      <c r="P1773" s="391"/>
      <c r="Q1773" s="391">
        <v>19800</v>
      </c>
      <c r="R1773" s="528">
        <f>M1773/J1773</f>
        <v>18008.42105263158</v>
      </c>
      <c r="S1773" s="388">
        <f t="shared" si="229"/>
        <v>2.9831426218152046E-10</v>
      </c>
      <c r="T1773" s="398"/>
      <c r="U1773" s="391">
        <f>M1773+N1773+O1773+Q1773</f>
        <v>4854651.82</v>
      </c>
      <c r="V1773" s="390"/>
      <c r="W1773" s="398"/>
      <c r="X1773" s="398"/>
    </row>
    <row r="1774" spans="1:27" s="416" customFormat="1" ht="37.5" hidden="1" customHeight="1">
      <c r="A1774" s="506">
        <f t="shared" si="233"/>
        <v>271</v>
      </c>
      <c r="B1774" s="403" t="s">
        <v>1626</v>
      </c>
      <c r="C1774" s="544" t="s">
        <v>272</v>
      </c>
      <c r="D1774" s="446">
        <v>4527</v>
      </c>
      <c r="E1774" s="388">
        <v>855</v>
      </c>
      <c r="F1774" s="391" t="s">
        <v>223</v>
      </c>
      <c r="G1774" s="388">
        <v>530</v>
      </c>
      <c r="H1774" s="446">
        <v>3</v>
      </c>
      <c r="I1774" s="446">
        <v>2</v>
      </c>
      <c r="J1774" s="446">
        <v>24</v>
      </c>
      <c r="K1774" s="397" t="s">
        <v>33</v>
      </c>
      <c r="L1774" s="519">
        <f>SUBTOTAL(9,M1774:Q1774)</f>
        <v>1515346.82</v>
      </c>
      <c r="M1774" s="519">
        <v>1484000</v>
      </c>
      <c r="N1774" s="388"/>
      <c r="O1774" s="530">
        <v>17389.599999999999</v>
      </c>
      <c r="P1774" s="388"/>
      <c r="Q1774" s="388">
        <v>13957.22</v>
      </c>
      <c r="R1774" s="446">
        <f>M1774/G1774</f>
        <v>2800</v>
      </c>
      <c r="S1774" s="388">
        <f t="shared" si="229"/>
        <v>6.730260793119669E-11</v>
      </c>
      <c r="T1774" s="398"/>
      <c r="U1774" s="388"/>
      <c r="V1774" s="390"/>
      <c r="W1774" s="398"/>
      <c r="X1774" s="398"/>
    </row>
    <row r="1775" spans="1:27" s="416" customFormat="1" ht="47.25" hidden="1" customHeight="1">
      <c r="A1775" s="506">
        <f t="shared" si="233"/>
        <v>272</v>
      </c>
      <c r="B1775" s="403" t="s">
        <v>1628</v>
      </c>
      <c r="C1775" s="455" t="s">
        <v>218</v>
      </c>
      <c r="D1775" s="487">
        <v>16255</v>
      </c>
      <c r="E1775" s="391">
        <v>3043</v>
      </c>
      <c r="F1775" s="391" t="s">
        <v>234</v>
      </c>
      <c r="G1775" s="391">
        <v>623</v>
      </c>
      <c r="H1775" s="528">
        <v>9</v>
      </c>
      <c r="I1775" s="528">
        <v>2</v>
      </c>
      <c r="J1775" s="528">
        <v>71</v>
      </c>
      <c r="K1775" s="458" t="s">
        <v>33</v>
      </c>
      <c r="L1775" s="519">
        <f t="shared" ref="L1775:L1781" si="234">M1775+N1775+O1775+P1775+Q1775</f>
        <v>1474038.6</v>
      </c>
      <c r="M1775" s="529">
        <v>1430777</v>
      </c>
      <c r="N1775" s="391"/>
      <c r="O1775" s="473">
        <v>23361.599999999999</v>
      </c>
      <c r="P1775" s="391"/>
      <c r="Q1775" s="391">
        <v>19900</v>
      </c>
      <c r="R1775" s="528">
        <f>M1775/G1775</f>
        <v>2296.5922953451045</v>
      </c>
      <c r="S1775" s="388">
        <f t="shared" si="229"/>
        <v>9.4587448984384537E-11</v>
      </c>
      <c r="T1775" s="398"/>
      <c r="U1775" s="391"/>
      <c r="V1775" s="390"/>
      <c r="W1775" s="398"/>
      <c r="X1775" s="398"/>
    </row>
    <row r="1776" spans="1:27" s="416" customFormat="1" ht="56.25" hidden="1" customHeight="1">
      <c r="A1776" s="506">
        <f t="shared" si="233"/>
        <v>273</v>
      </c>
      <c r="B1776" s="403" t="s">
        <v>1629</v>
      </c>
      <c r="C1776" s="455" t="s">
        <v>218</v>
      </c>
      <c r="D1776" s="487">
        <v>15994</v>
      </c>
      <c r="E1776" s="391">
        <v>1172</v>
      </c>
      <c r="F1776" s="391" t="s">
        <v>234</v>
      </c>
      <c r="G1776" s="391">
        <v>623</v>
      </c>
      <c r="H1776" s="528">
        <v>9</v>
      </c>
      <c r="I1776" s="528">
        <v>2</v>
      </c>
      <c r="J1776" s="528">
        <v>71</v>
      </c>
      <c r="K1776" s="458" t="s">
        <v>30</v>
      </c>
      <c r="L1776" s="519">
        <f t="shared" si="234"/>
        <v>2326358.94</v>
      </c>
      <c r="M1776" s="529">
        <v>2272000</v>
      </c>
      <c r="N1776" s="391"/>
      <c r="O1776" s="473">
        <v>20040</v>
      </c>
      <c r="P1776" s="391"/>
      <c r="Q1776" s="391">
        <v>34318.94</v>
      </c>
      <c r="R1776" s="528">
        <f>M1776/J1776</f>
        <v>32000</v>
      </c>
      <c r="S1776" s="388">
        <f t="shared" si="229"/>
        <v>-5.8207660913467407E-11</v>
      </c>
      <c r="T1776" s="398"/>
      <c r="U1776" s="391"/>
      <c r="V1776" s="390"/>
      <c r="W1776" s="398"/>
      <c r="X1776" s="398"/>
      <c r="Z1776" s="416">
        <v>1</v>
      </c>
      <c r="AA1776" s="416">
        <f>J1776</f>
        <v>71</v>
      </c>
    </row>
    <row r="1777" spans="1:27" s="416" customFormat="1" ht="37.5" hidden="1" customHeight="1">
      <c r="A1777" s="506">
        <f t="shared" si="233"/>
        <v>274</v>
      </c>
      <c r="B1777" s="403" t="s">
        <v>1630</v>
      </c>
      <c r="C1777" s="455" t="s">
        <v>218</v>
      </c>
      <c r="D1777" s="487">
        <v>44832</v>
      </c>
      <c r="E1777" s="391">
        <v>7010</v>
      </c>
      <c r="F1777" s="391" t="s">
        <v>234</v>
      </c>
      <c r="G1777" s="391">
        <v>1890</v>
      </c>
      <c r="H1777" s="528">
        <v>9</v>
      </c>
      <c r="I1777" s="528">
        <v>4</v>
      </c>
      <c r="J1777" s="528">
        <v>215</v>
      </c>
      <c r="K1777" s="458" t="s">
        <v>225</v>
      </c>
      <c r="L1777" s="519">
        <f t="shared" si="234"/>
        <v>2564013.7999999998</v>
      </c>
      <c r="M1777" s="529">
        <v>2499199</v>
      </c>
      <c r="N1777" s="391">
        <v>45014.8</v>
      </c>
      <c r="O1777" s="530"/>
      <c r="P1777" s="391"/>
      <c r="Q1777" s="391">
        <v>19800</v>
      </c>
      <c r="R1777" s="528">
        <f>M1777/J1777</f>
        <v>11624.181395348836</v>
      </c>
      <c r="S1777" s="388">
        <f t="shared" si="229"/>
        <v>-1.8917489796876907E-10</v>
      </c>
      <c r="T1777" s="398"/>
      <c r="U1777" s="391">
        <f>M1777+N1777+O1777+Q1777</f>
        <v>2564013.7999999998</v>
      </c>
      <c r="V1777" s="390"/>
      <c r="W1777" s="398"/>
      <c r="X1777" s="398"/>
    </row>
    <row r="1778" spans="1:27" s="416" customFormat="1" ht="37.5" hidden="1" customHeight="1">
      <c r="A1778" s="506">
        <f t="shared" si="233"/>
        <v>275</v>
      </c>
      <c r="B1778" s="403" t="s">
        <v>1623</v>
      </c>
      <c r="C1778" s="455" t="s">
        <v>218</v>
      </c>
      <c r="D1778" s="487">
        <v>46725</v>
      </c>
      <c r="E1778" s="391">
        <v>6980</v>
      </c>
      <c r="F1778" s="391" t="s">
        <v>234</v>
      </c>
      <c r="G1778" s="391">
        <v>1715</v>
      </c>
      <c r="H1778" s="528">
        <v>9</v>
      </c>
      <c r="I1778" s="528">
        <v>4</v>
      </c>
      <c r="J1778" s="528">
        <v>216</v>
      </c>
      <c r="K1778" s="458" t="s">
        <v>225</v>
      </c>
      <c r="L1778" s="519">
        <f t="shared" si="234"/>
        <v>3065526.22</v>
      </c>
      <c r="M1778" s="529">
        <v>3000000</v>
      </c>
      <c r="N1778" s="391">
        <v>45726.22</v>
      </c>
      <c r="O1778" s="530"/>
      <c r="P1778" s="391"/>
      <c r="Q1778" s="391">
        <v>19800</v>
      </c>
      <c r="R1778" s="528">
        <f>M1778/J1778</f>
        <v>13888.888888888889</v>
      </c>
      <c r="S1778" s="388">
        <f t="shared" si="229"/>
        <v>2.0372681319713593E-10</v>
      </c>
      <c r="T1778" s="398"/>
      <c r="U1778" s="391">
        <f>M1778+N1778+O1778+Q1778</f>
        <v>3065526.22</v>
      </c>
      <c r="V1778" s="390"/>
      <c r="W1778" s="398"/>
      <c r="X1778" s="398"/>
    </row>
    <row r="1779" spans="1:27" s="416" customFormat="1" ht="37.5" hidden="1" customHeight="1">
      <c r="A1779" s="506">
        <f t="shared" si="233"/>
        <v>276</v>
      </c>
      <c r="B1779" s="403" t="s">
        <v>1631</v>
      </c>
      <c r="C1779" s="455" t="s">
        <v>218</v>
      </c>
      <c r="D1779" s="487">
        <v>42771</v>
      </c>
      <c r="E1779" s="391">
        <v>6870</v>
      </c>
      <c r="F1779" s="391" t="s">
        <v>234</v>
      </c>
      <c r="G1779" s="391">
        <v>1718</v>
      </c>
      <c r="H1779" s="528">
        <v>9</v>
      </c>
      <c r="I1779" s="528">
        <v>4</v>
      </c>
      <c r="J1779" s="528">
        <v>215</v>
      </c>
      <c r="K1779" s="458" t="s">
        <v>225</v>
      </c>
      <c r="L1779" s="519">
        <f t="shared" si="234"/>
        <v>2756296.68</v>
      </c>
      <c r="M1779" s="529">
        <v>2692256</v>
      </c>
      <c r="N1779" s="391">
        <v>44240.68</v>
      </c>
      <c r="O1779" s="530"/>
      <c r="P1779" s="391"/>
      <c r="Q1779" s="391">
        <v>19800</v>
      </c>
      <c r="R1779" s="528">
        <f>M1779/J1779</f>
        <v>12522.120930232559</v>
      </c>
      <c r="S1779" s="388">
        <f t="shared" si="229"/>
        <v>1.673470251262188E-10</v>
      </c>
      <c r="T1779" s="398"/>
      <c r="U1779" s="391">
        <f>M1779+N1779+O1779+Q1779</f>
        <v>2756296.68</v>
      </c>
      <c r="V1779" s="390"/>
      <c r="W1779" s="398"/>
      <c r="X1779" s="398"/>
    </row>
    <row r="1780" spans="1:27" s="416" customFormat="1" ht="56.25" hidden="1" customHeight="1">
      <c r="A1780" s="506">
        <f t="shared" si="233"/>
        <v>277</v>
      </c>
      <c r="B1780" s="403" t="s">
        <v>1632</v>
      </c>
      <c r="C1780" s="455" t="s">
        <v>218</v>
      </c>
      <c r="D1780" s="487">
        <v>43845</v>
      </c>
      <c r="E1780" s="391">
        <v>7200</v>
      </c>
      <c r="F1780" s="391" t="s">
        <v>234</v>
      </c>
      <c r="G1780" s="391">
        <v>1719</v>
      </c>
      <c r="H1780" s="528">
        <v>9</v>
      </c>
      <c r="I1780" s="528">
        <v>4</v>
      </c>
      <c r="J1780" s="528">
        <v>216</v>
      </c>
      <c r="K1780" s="458" t="s">
        <v>30</v>
      </c>
      <c r="L1780" s="519">
        <f t="shared" si="234"/>
        <v>6974234</v>
      </c>
      <c r="M1780" s="529">
        <v>6912000</v>
      </c>
      <c r="N1780" s="391"/>
      <c r="O1780" s="473">
        <v>22434</v>
      </c>
      <c r="P1780" s="391"/>
      <c r="Q1780" s="391">
        <v>39800</v>
      </c>
      <c r="R1780" s="528">
        <f>M1780/J1780</f>
        <v>32000</v>
      </c>
      <c r="S1780" s="388">
        <f t="shared" si="229"/>
        <v>0</v>
      </c>
      <c r="T1780" s="398"/>
      <c r="U1780" s="391"/>
      <c r="V1780" s="390"/>
      <c r="W1780" s="398"/>
      <c r="X1780" s="398"/>
      <c r="Z1780" s="416">
        <v>1</v>
      </c>
      <c r="AA1780" s="416">
        <f>J1780</f>
        <v>216</v>
      </c>
    </row>
    <row r="1781" spans="1:27" s="416" customFormat="1" ht="37.5" hidden="1" customHeight="1">
      <c r="A1781" s="506">
        <f t="shared" si="233"/>
        <v>278</v>
      </c>
      <c r="B1781" s="403" t="s">
        <v>1633</v>
      </c>
      <c r="C1781" s="455" t="s">
        <v>272</v>
      </c>
      <c r="D1781" s="487">
        <v>10012</v>
      </c>
      <c r="E1781" s="391">
        <v>260</v>
      </c>
      <c r="F1781" s="391" t="s">
        <v>223</v>
      </c>
      <c r="G1781" s="391">
        <v>1165</v>
      </c>
      <c r="H1781" s="528">
        <v>3</v>
      </c>
      <c r="I1781" s="528">
        <v>6</v>
      </c>
      <c r="J1781" s="528">
        <v>57</v>
      </c>
      <c r="K1781" s="458" t="s">
        <v>33</v>
      </c>
      <c r="L1781" s="519">
        <f t="shared" si="234"/>
        <v>3312594.06</v>
      </c>
      <c r="M1781" s="529">
        <v>3262000</v>
      </c>
      <c r="N1781" s="391"/>
      <c r="O1781" s="473">
        <v>19726</v>
      </c>
      <c r="P1781" s="391"/>
      <c r="Q1781" s="391">
        <v>30868.06</v>
      </c>
      <c r="R1781" s="528">
        <f>M1781/G1781</f>
        <v>2800</v>
      </c>
      <c r="S1781" s="388">
        <f t="shared" si="229"/>
        <v>5.4569682106375694E-11</v>
      </c>
      <c r="T1781" s="398"/>
      <c r="U1781" s="391"/>
      <c r="V1781" s="390"/>
      <c r="W1781" s="398"/>
      <c r="X1781" s="398"/>
    </row>
    <row r="1782" spans="1:27" s="416" customFormat="1" ht="37.5" hidden="1" customHeight="1">
      <c r="A1782" s="506">
        <f t="shared" si="233"/>
        <v>279</v>
      </c>
      <c r="B1782" s="403" t="s">
        <v>1634</v>
      </c>
      <c r="C1782" s="455" t="s">
        <v>272</v>
      </c>
      <c r="D1782" s="446">
        <v>62510</v>
      </c>
      <c r="E1782" s="388">
        <v>8432</v>
      </c>
      <c r="F1782" s="388" t="s">
        <v>234</v>
      </c>
      <c r="G1782" s="388">
        <v>2366</v>
      </c>
      <c r="H1782" s="446">
        <v>9</v>
      </c>
      <c r="I1782" s="446">
        <v>6</v>
      </c>
      <c r="J1782" s="446">
        <v>198</v>
      </c>
      <c r="K1782" s="537" t="s">
        <v>225</v>
      </c>
      <c r="L1782" s="519">
        <f>SUBTOTAL(9,M1782:Q1782)</f>
        <v>3010939.03</v>
      </c>
      <c r="M1782" s="519">
        <v>2946370</v>
      </c>
      <c r="N1782" s="388">
        <v>44769.03</v>
      </c>
      <c r="O1782" s="473"/>
      <c r="P1782" s="388"/>
      <c r="Q1782" s="388">
        <v>19800</v>
      </c>
      <c r="R1782" s="446">
        <f>M1782/J1782</f>
        <v>14880.656565656565</v>
      </c>
      <c r="S1782" s="388">
        <f t="shared" si="229"/>
        <v>-2.0372681319713593E-10</v>
      </c>
      <c r="T1782" s="398"/>
      <c r="U1782" s="391">
        <f>M1782+N1782+O1782+Q1782</f>
        <v>3010939.03</v>
      </c>
      <c r="V1782" s="390"/>
      <c r="W1782" s="398"/>
      <c r="X1782" s="398"/>
    </row>
    <row r="1783" spans="1:27" s="416" customFormat="1" ht="37.5" hidden="1" customHeight="1">
      <c r="A1783" s="506">
        <f t="shared" si="233"/>
        <v>280</v>
      </c>
      <c r="B1783" s="403" t="s">
        <v>1635</v>
      </c>
      <c r="C1783" s="455" t="s">
        <v>272</v>
      </c>
      <c r="D1783" s="487">
        <v>16186</v>
      </c>
      <c r="E1783" s="391">
        <v>5693</v>
      </c>
      <c r="F1783" s="391" t="s">
        <v>234</v>
      </c>
      <c r="G1783" s="391">
        <v>1047.2</v>
      </c>
      <c r="H1783" s="528">
        <v>9</v>
      </c>
      <c r="I1783" s="528">
        <v>2</v>
      </c>
      <c r="J1783" s="528">
        <v>99</v>
      </c>
      <c r="K1783" s="458" t="s">
        <v>225</v>
      </c>
      <c r="L1783" s="519">
        <f>M1783+N1783+O1783+P1783+Q1783</f>
        <v>1864053.87</v>
      </c>
      <c r="M1783" s="529">
        <v>1810000</v>
      </c>
      <c r="N1783" s="391">
        <v>34253.870000000003</v>
      </c>
      <c r="O1783" s="530"/>
      <c r="P1783" s="391"/>
      <c r="Q1783" s="391">
        <v>19800</v>
      </c>
      <c r="R1783" s="528">
        <f>M1783/J1783</f>
        <v>18282.828282828283</v>
      </c>
      <c r="S1783" s="388">
        <f t="shared" si="229"/>
        <v>1.0913936421275139E-10</v>
      </c>
      <c r="T1783" s="398"/>
      <c r="U1783" s="391">
        <f>M1783+N1783+O1783+Q1783</f>
        <v>1864053.87</v>
      </c>
      <c r="V1783" s="390"/>
      <c r="W1783" s="398"/>
      <c r="X1783" s="398"/>
    </row>
    <row r="1784" spans="1:27" s="416" customFormat="1" ht="37.5" hidden="1" customHeight="1">
      <c r="A1784" s="506">
        <f t="shared" ref="A1784:A1799" si="235">A1783+1</f>
        <v>281</v>
      </c>
      <c r="B1784" s="403" t="s">
        <v>1636</v>
      </c>
      <c r="C1784" s="455" t="s">
        <v>218</v>
      </c>
      <c r="D1784" s="487">
        <v>18609</v>
      </c>
      <c r="E1784" s="391">
        <v>3410</v>
      </c>
      <c r="F1784" s="391" t="s">
        <v>252</v>
      </c>
      <c r="G1784" s="391">
        <v>1659</v>
      </c>
      <c r="H1784" s="528">
        <v>5</v>
      </c>
      <c r="I1784" s="528">
        <v>6</v>
      </c>
      <c r="J1784" s="528">
        <v>120</v>
      </c>
      <c r="K1784" s="458" t="s">
        <v>225</v>
      </c>
      <c r="L1784" s="519">
        <f>M1784+N1784+O1784+P1784+Q1784</f>
        <v>1430618.17</v>
      </c>
      <c r="M1784" s="529">
        <v>1366276</v>
      </c>
      <c r="N1784" s="391">
        <v>44542.17</v>
      </c>
      <c r="O1784" s="530"/>
      <c r="P1784" s="391"/>
      <c r="Q1784" s="391">
        <v>19800</v>
      </c>
      <c r="R1784" s="528">
        <f>M1784/J1784</f>
        <v>11385.633333333333</v>
      </c>
      <c r="S1784" s="388">
        <f t="shared" si="229"/>
        <v>-7.2759576141834259E-11</v>
      </c>
      <c r="T1784" s="398"/>
      <c r="U1784" s="391">
        <f>M1784+N1784+O1784+Q1784</f>
        <v>1430618.17</v>
      </c>
      <c r="V1784" s="390"/>
      <c r="W1784" s="398"/>
      <c r="X1784" s="398"/>
    </row>
    <row r="1785" spans="1:27" s="416" customFormat="1" ht="56.25" hidden="1" customHeight="1">
      <c r="A1785" s="506">
        <f t="shared" si="235"/>
        <v>282</v>
      </c>
      <c r="B1785" s="403" t="s">
        <v>1637</v>
      </c>
      <c r="C1785" s="455" t="s">
        <v>272</v>
      </c>
      <c r="D1785" s="487">
        <v>4454</v>
      </c>
      <c r="E1785" s="391">
        <v>455.7</v>
      </c>
      <c r="F1785" s="391" t="s">
        <v>223</v>
      </c>
      <c r="G1785" s="391">
        <v>1041.5999999999999</v>
      </c>
      <c r="H1785" s="528">
        <v>2</v>
      </c>
      <c r="I1785" s="528">
        <v>2</v>
      </c>
      <c r="J1785" s="528">
        <v>57</v>
      </c>
      <c r="K1785" s="458" t="s">
        <v>30</v>
      </c>
      <c r="L1785" s="519">
        <f>M1785+N1785+O1785+P1785+Q1785</f>
        <v>1846104.47</v>
      </c>
      <c r="M1785" s="529">
        <v>1824000</v>
      </c>
      <c r="N1785" s="391"/>
      <c r="O1785" s="473">
        <v>10974</v>
      </c>
      <c r="P1785" s="391"/>
      <c r="Q1785" s="391">
        <v>11130.47</v>
      </c>
      <c r="R1785" s="528">
        <f>M1785/J1785</f>
        <v>32000</v>
      </c>
      <c r="S1785" s="388">
        <f t="shared" si="229"/>
        <v>-2.7284841053187847E-11</v>
      </c>
      <c r="T1785" s="398"/>
      <c r="U1785" s="391"/>
      <c r="V1785" s="390"/>
      <c r="W1785" s="398"/>
      <c r="X1785" s="398"/>
      <c r="Z1785" s="416">
        <v>1</v>
      </c>
      <c r="AA1785" s="416">
        <f>J1785</f>
        <v>57</v>
      </c>
    </row>
    <row r="1786" spans="1:27" s="416" customFormat="1" ht="52.5" hidden="1" customHeight="1">
      <c r="A1786" s="506">
        <f t="shared" si="235"/>
        <v>283</v>
      </c>
      <c r="B1786" s="403" t="s">
        <v>1638</v>
      </c>
      <c r="C1786" s="455" t="s">
        <v>272</v>
      </c>
      <c r="D1786" s="487">
        <v>16931</v>
      </c>
      <c r="E1786" s="391">
        <v>2991.1</v>
      </c>
      <c r="F1786" s="391" t="s">
        <v>223</v>
      </c>
      <c r="G1786" s="391">
        <v>1600</v>
      </c>
      <c r="H1786" s="528">
        <v>4</v>
      </c>
      <c r="I1786" s="528">
        <v>2</v>
      </c>
      <c r="J1786" s="528">
        <v>58</v>
      </c>
      <c r="K1786" s="458" t="s">
        <v>285</v>
      </c>
      <c r="L1786" s="519">
        <f>M1786+N1786+O1786+P1786+Q1786+M1787+N1787+O1787+Q1787</f>
        <v>14648881.66</v>
      </c>
      <c r="M1786" s="529">
        <v>8973300</v>
      </c>
      <c r="N1786" s="391">
        <v>29098</v>
      </c>
      <c r="O1786" s="530"/>
      <c r="P1786" s="391"/>
      <c r="Q1786" s="391">
        <v>29700</v>
      </c>
      <c r="R1786" s="528">
        <f>M1786/E1786</f>
        <v>3000</v>
      </c>
      <c r="S1786" s="388">
        <f t="shared" si="229"/>
        <v>5616783.6600000001</v>
      </c>
      <c r="T1786" s="398"/>
      <c r="U1786" s="391"/>
      <c r="V1786" s="390"/>
      <c r="W1786" s="398"/>
      <c r="X1786" s="398"/>
    </row>
    <row r="1787" spans="1:27" s="416" customFormat="1" ht="37.5" hidden="1" customHeight="1">
      <c r="A1787" s="506"/>
      <c r="B1787" s="403"/>
      <c r="C1787" s="455"/>
      <c r="D1787" s="487"/>
      <c r="E1787" s="391"/>
      <c r="F1787" s="391"/>
      <c r="G1787" s="391"/>
      <c r="H1787" s="528">
        <v>58</v>
      </c>
      <c r="I1787" s="528"/>
      <c r="J1787" s="528"/>
      <c r="K1787" s="458" t="s">
        <v>33</v>
      </c>
      <c r="L1787" s="519"/>
      <c r="M1787" s="529">
        <v>5600000</v>
      </c>
      <c r="N1787" s="391"/>
      <c r="O1787" s="530">
        <v>16783.66</v>
      </c>
      <c r="P1787" s="391"/>
      <c r="Q1787" s="391"/>
      <c r="R1787" s="528"/>
      <c r="S1787" s="388">
        <f t="shared" ref="S1787:S1850" si="236">L1787-M1787-N1787-O1787-P1787-Q1787</f>
        <v>-5616783.6600000001</v>
      </c>
      <c r="T1787" s="398"/>
      <c r="U1787" s="391"/>
      <c r="V1787" s="390"/>
      <c r="W1787" s="398"/>
      <c r="X1787" s="398"/>
    </row>
    <row r="1788" spans="1:27" s="416" customFormat="1" ht="56.25" hidden="1" customHeight="1">
      <c r="A1788" s="506">
        <f>A1786+1</f>
        <v>284</v>
      </c>
      <c r="B1788" s="403" t="s">
        <v>1641</v>
      </c>
      <c r="C1788" s="455" t="s">
        <v>272</v>
      </c>
      <c r="D1788" s="487">
        <v>46744</v>
      </c>
      <c r="E1788" s="391">
        <v>6180</v>
      </c>
      <c r="F1788" s="391" t="s">
        <v>231</v>
      </c>
      <c r="G1788" s="391">
        <v>1467</v>
      </c>
      <c r="H1788" s="528">
        <v>10</v>
      </c>
      <c r="I1788" s="528">
        <v>3</v>
      </c>
      <c r="J1788" s="528">
        <v>168</v>
      </c>
      <c r="K1788" s="458" t="s">
        <v>30</v>
      </c>
      <c r="L1788" s="519">
        <f t="shared" ref="L1788:L1799" si="237">M1788+N1788+O1788+P1788+Q1788</f>
        <v>5438667.0899999999</v>
      </c>
      <c r="M1788" s="529">
        <v>5376000</v>
      </c>
      <c r="N1788" s="391"/>
      <c r="O1788" s="473">
        <v>22867.09</v>
      </c>
      <c r="P1788" s="391"/>
      <c r="Q1788" s="391">
        <v>39800</v>
      </c>
      <c r="R1788" s="528">
        <f>M1788/J1788</f>
        <v>32000</v>
      </c>
      <c r="S1788" s="388">
        <f t="shared" si="236"/>
        <v>-1.4551915228366852E-10</v>
      </c>
      <c r="T1788" s="398"/>
      <c r="U1788" s="391"/>
      <c r="V1788" s="390"/>
      <c r="W1788" s="398"/>
      <c r="X1788" s="398"/>
      <c r="Z1788" s="416">
        <v>1</v>
      </c>
      <c r="AA1788" s="416">
        <f>J1788</f>
        <v>168</v>
      </c>
    </row>
    <row r="1789" spans="1:27" s="416" customFormat="1" ht="37.5" hidden="1" customHeight="1">
      <c r="A1789" s="506">
        <f t="shared" si="235"/>
        <v>285</v>
      </c>
      <c r="B1789" s="403" t="s">
        <v>1642</v>
      </c>
      <c r="C1789" s="455" t="s">
        <v>272</v>
      </c>
      <c r="D1789" s="487">
        <v>62897</v>
      </c>
      <c r="E1789" s="391">
        <v>12750</v>
      </c>
      <c r="F1789" s="391" t="s">
        <v>234</v>
      </c>
      <c r="G1789" s="391">
        <v>3320</v>
      </c>
      <c r="H1789" s="528">
        <v>10</v>
      </c>
      <c r="I1789" s="528">
        <v>8</v>
      </c>
      <c r="J1789" s="528">
        <v>276</v>
      </c>
      <c r="K1789" s="458" t="s">
        <v>225</v>
      </c>
      <c r="L1789" s="519">
        <f t="shared" si="237"/>
        <v>6076173.4000000004</v>
      </c>
      <c r="M1789" s="529">
        <v>6011479</v>
      </c>
      <c r="N1789" s="391">
        <v>44894.400000000001</v>
      </c>
      <c r="O1789" s="530"/>
      <c r="P1789" s="391"/>
      <c r="Q1789" s="391">
        <v>19800</v>
      </c>
      <c r="R1789" s="528">
        <f>M1789/J1789</f>
        <v>21780.721014492752</v>
      </c>
      <c r="S1789" s="388">
        <f t="shared" si="236"/>
        <v>3.7107383832335472E-10</v>
      </c>
      <c r="T1789" s="398"/>
      <c r="U1789" s="391">
        <f>M1789+N1789+O1789+Q1789</f>
        <v>6076173.4000000004</v>
      </c>
      <c r="V1789" s="390"/>
      <c r="W1789" s="398"/>
      <c r="X1789" s="398"/>
    </row>
    <row r="1790" spans="1:27" s="416" customFormat="1" ht="56.25" hidden="1" customHeight="1">
      <c r="A1790" s="506">
        <f t="shared" si="235"/>
        <v>286</v>
      </c>
      <c r="B1790" s="403" t="s">
        <v>1643</v>
      </c>
      <c r="C1790" s="455" t="s">
        <v>218</v>
      </c>
      <c r="D1790" s="487">
        <v>13256</v>
      </c>
      <c r="E1790" s="391">
        <v>2250</v>
      </c>
      <c r="F1790" s="391" t="s">
        <v>234</v>
      </c>
      <c r="G1790" s="391">
        <v>523</v>
      </c>
      <c r="H1790" s="528">
        <v>9</v>
      </c>
      <c r="I1790" s="528">
        <v>1</v>
      </c>
      <c r="J1790" s="528">
        <v>72</v>
      </c>
      <c r="K1790" s="458" t="s">
        <v>30</v>
      </c>
      <c r="L1790" s="519">
        <f t="shared" si="237"/>
        <v>2357658.75</v>
      </c>
      <c r="M1790" s="529">
        <v>2304000</v>
      </c>
      <c r="N1790" s="391"/>
      <c r="O1790" s="473">
        <v>19339.810000000001</v>
      </c>
      <c r="P1790" s="391"/>
      <c r="Q1790" s="391">
        <v>34318.94</v>
      </c>
      <c r="R1790" s="528">
        <f>M1790/J1790</f>
        <v>32000</v>
      </c>
      <c r="S1790" s="388">
        <f t="shared" si="236"/>
        <v>0</v>
      </c>
      <c r="T1790" s="398"/>
      <c r="U1790" s="391"/>
      <c r="V1790" s="390"/>
      <c r="W1790" s="398"/>
      <c r="X1790" s="398"/>
      <c r="Z1790" s="416">
        <v>1</v>
      </c>
      <c r="AA1790" s="416">
        <f>J1790</f>
        <v>72</v>
      </c>
    </row>
    <row r="1791" spans="1:27" s="416" customFormat="1" ht="37.5" hidden="1" customHeight="1">
      <c r="A1791" s="506">
        <f t="shared" si="235"/>
        <v>287</v>
      </c>
      <c r="B1791" s="403" t="s">
        <v>1644</v>
      </c>
      <c r="C1791" s="455" t="s">
        <v>218</v>
      </c>
      <c r="D1791" s="487">
        <v>15245</v>
      </c>
      <c r="E1791" s="391">
        <v>2994</v>
      </c>
      <c r="F1791" s="391" t="s">
        <v>234</v>
      </c>
      <c r="G1791" s="391">
        <v>15245</v>
      </c>
      <c r="H1791" s="528">
        <v>9</v>
      </c>
      <c r="I1791" s="528">
        <v>2</v>
      </c>
      <c r="J1791" s="528">
        <v>72</v>
      </c>
      <c r="K1791" s="458" t="s">
        <v>225</v>
      </c>
      <c r="L1791" s="519">
        <f t="shared" si="237"/>
        <v>1855978.36</v>
      </c>
      <c r="M1791" s="529">
        <v>1806178</v>
      </c>
      <c r="N1791" s="391">
        <v>31641</v>
      </c>
      <c r="O1791" s="530"/>
      <c r="P1791" s="391"/>
      <c r="Q1791" s="391">
        <v>18159.36</v>
      </c>
      <c r="R1791" s="528">
        <f>M1791/J1791</f>
        <v>25085.805555555555</v>
      </c>
      <c r="S1791" s="388">
        <f t="shared" si="236"/>
        <v>1.0186340659856796E-10</v>
      </c>
      <c r="T1791" s="398"/>
      <c r="U1791" s="391">
        <f>M1791+N1791+O1791+Q1791</f>
        <v>1855978.36</v>
      </c>
      <c r="V1791" s="390"/>
      <c r="W1791" s="398"/>
      <c r="X1791" s="398"/>
    </row>
    <row r="1792" spans="1:27" s="416" customFormat="1" ht="37.5" hidden="1" customHeight="1">
      <c r="A1792" s="506">
        <f t="shared" si="235"/>
        <v>288</v>
      </c>
      <c r="B1792" s="403" t="s">
        <v>1645</v>
      </c>
      <c r="C1792" s="455" t="s">
        <v>218</v>
      </c>
      <c r="D1792" s="487">
        <v>15792</v>
      </c>
      <c r="E1792" s="391">
        <v>3018</v>
      </c>
      <c r="F1792" s="391" t="s">
        <v>234</v>
      </c>
      <c r="G1792" s="391">
        <v>705</v>
      </c>
      <c r="H1792" s="528">
        <v>9</v>
      </c>
      <c r="I1792" s="528">
        <v>2</v>
      </c>
      <c r="J1792" s="528">
        <v>72</v>
      </c>
      <c r="K1792" s="458" t="s">
        <v>225</v>
      </c>
      <c r="L1792" s="519">
        <f t="shared" si="237"/>
        <v>1857074.12</v>
      </c>
      <c r="M1792" s="529">
        <v>1806178</v>
      </c>
      <c r="N1792" s="391">
        <v>32969.33</v>
      </c>
      <c r="O1792" s="530"/>
      <c r="P1792" s="391"/>
      <c r="Q1792" s="391">
        <v>17926.79</v>
      </c>
      <c r="R1792" s="528">
        <f>M1792/J1792</f>
        <v>25085.805555555555</v>
      </c>
      <c r="S1792" s="388">
        <f t="shared" si="236"/>
        <v>1.0913936421275139E-10</v>
      </c>
      <c r="T1792" s="398"/>
      <c r="U1792" s="391">
        <f>M1792+N1792+O1792+Q1792</f>
        <v>1857074.12</v>
      </c>
      <c r="V1792" s="390"/>
      <c r="W1792" s="398"/>
      <c r="X1792" s="398"/>
    </row>
    <row r="1793" spans="1:27" s="416" customFormat="1" ht="35.25" hidden="1" customHeight="1">
      <c r="A1793" s="506">
        <f t="shared" si="235"/>
        <v>289</v>
      </c>
      <c r="B1793" s="403" t="s">
        <v>1646</v>
      </c>
      <c r="C1793" s="455"/>
      <c r="D1793" s="487">
        <v>4774</v>
      </c>
      <c r="E1793" s="391">
        <v>811</v>
      </c>
      <c r="F1793" s="391" t="s">
        <v>223</v>
      </c>
      <c r="G1793" s="391">
        <v>1130</v>
      </c>
      <c r="H1793" s="528">
        <v>2</v>
      </c>
      <c r="I1793" s="528">
        <v>1</v>
      </c>
      <c r="J1793" s="528">
        <v>8</v>
      </c>
      <c r="K1793" s="458" t="s">
        <v>33</v>
      </c>
      <c r="L1793" s="519">
        <f t="shared" si="237"/>
        <v>3204722.96</v>
      </c>
      <c r="M1793" s="529">
        <v>3164000</v>
      </c>
      <c r="N1793" s="391"/>
      <c r="O1793" s="473">
        <v>17463</v>
      </c>
      <c r="P1793" s="391"/>
      <c r="Q1793" s="391">
        <v>23259.96</v>
      </c>
      <c r="R1793" s="528">
        <f>M1793/G1793</f>
        <v>2800</v>
      </c>
      <c r="S1793" s="388">
        <f t="shared" si="236"/>
        <v>-3.637978807091713E-11</v>
      </c>
      <c r="T1793" s="398"/>
      <c r="U1793" s="391"/>
      <c r="V1793" s="390"/>
      <c r="W1793" s="398"/>
      <c r="X1793" s="398"/>
    </row>
    <row r="1794" spans="1:27" s="416" customFormat="1" ht="35.25" hidden="1" customHeight="1">
      <c r="A1794" s="506">
        <f t="shared" si="235"/>
        <v>290</v>
      </c>
      <c r="B1794" s="403" t="s">
        <v>1647</v>
      </c>
      <c r="C1794" s="455" t="s">
        <v>240</v>
      </c>
      <c r="D1794" s="487">
        <v>2905</v>
      </c>
      <c r="E1794" s="391">
        <v>351</v>
      </c>
      <c r="F1794" s="391" t="s">
        <v>223</v>
      </c>
      <c r="G1794" s="391">
        <v>657</v>
      </c>
      <c r="H1794" s="528">
        <v>2</v>
      </c>
      <c r="I1794" s="528">
        <v>2</v>
      </c>
      <c r="J1794" s="528">
        <v>12</v>
      </c>
      <c r="K1794" s="458" t="s">
        <v>33</v>
      </c>
      <c r="L1794" s="519">
        <f t="shared" si="237"/>
        <v>1871066.79</v>
      </c>
      <c r="M1794" s="529">
        <v>1839600</v>
      </c>
      <c r="N1794" s="391"/>
      <c r="O1794" s="473">
        <v>17313</v>
      </c>
      <c r="P1794" s="391"/>
      <c r="Q1794" s="391">
        <v>14153.79</v>
      </c>
      <c r="R1794" s="528">
        <f>M1794/G1794</f>
        <v>2800</v>
      </c>
      <c r="S1794" s="388">
        <f t="shared" si="236"/>
        <v>3.637978807091713E-11</v>
      </c>
      <c r="T1794" s="398"/>
      <c r="U1794" s="391"/>
      <c r="V1794" s="390"/>
      <c r="W1794" s="398"/>
      <c r="X1794" s="398"/>
    </row>
    <row r="1795" spans="1:27" s="416" customFormat="1" ht="35.25" hidden="1" customHeight="1">
      <c r="A1795" s="506">
        <f t="shared" si="235"/>
        <v>291</v>
      </c>
      <c r="B1795" s="403" t="s">
        <v>1648</v>
      </c>
      <c r="C1795" s="455" t="s">
        <v>240</v>
      </c>
      <c r="D1795" s="487">
        <v>1658</v>
      </c>
      <c r="E1795" s="391">
        <v>402</v>
      </c>
      <c r="F1795" s="391" t="s">
        <v>223</v>
      </c>
      <c r="G1795" s="391">
        <v>387</v>
      </c>
      <c r="H1795" s="528">
        <v>2</v>
      </c>
      <c r="I1795" s="528">
        <v>1</v>
      </c>
      <c r="J1795" s="528">
        <v>8</v>
      </c>
      <c r="K1795" s="458" t="s">
        <v>33</v>
      </c>
      <c r="L1795" s="519">
        <f t="shared" si="237"/>
        <v>1109562.1399999999</v>
      </c>
      <c r="M1795" s="529">
        <v>1083600</v>
      </c>
      <c r="N1795" s="391"/>
      <c r="O1795" s="473">
        <v>17884</v>
      </c>
      <c r="P1795" s="391"/>
      <c r="Q1795" s="391">
        <v>8078.14</v>
      </c>
      <c r="R1795" s="528">
        <f>M1795/G1795</f>
        <v>2800</v>
      </c>
      <c r="S1795" s="388">
        <f t="shared" si="236"/>
        <v>-1.0277290130034089E-10</v>
      </c>
      <c r="T1795" s="398"/>
      <c r="U1795" s="391"/>
      <c r="V1795" s="390"/>
      <c r="W1795" s="398"/>
      <c r="X1795" s="398"/>
    </row>
    <row r="1796" spans="1:27" s="416" customFormat="1" ht="56.25" hidden="1" customHeight="1">
      <c r="A1796" s="506">
        <f t="shared" si="235"/>
        <v>292</v>
      </c>
      <c r="B1796" s="403" t="s">
        <v>1649</v>
      </c>
      <c r="C1796" s="455" t="s">
        <v>272</v>
      </c>
      <c r="D1796" s="487">
        <v>13708</v>
      </c>
      <c r="E1796" s="391">
        <v>1966</v>
      </c>
      <c r="F1796" s="391" t="s">
        <v>234</v>
      </c>
      <c r="G1796" s="391">
        <v>405</v>
      </c>
      <c r="H1796" s="528">
        <v>9</v>
      </c>
      <c r="I1796" s="528">
        <v>1</v>
      </c>
      <c r="J1796" s="528">
        <v>48</v>
      </c>
      <c r="K1796" s="458" t="s">
        <v>30</v>
      </c>
      <c r="L1796" s="519">
        <f t="shared" si="237"/>
        <v>1589757.26</v>
      </c>
      <c r="M1796" s="529">
        <v>1536000</v>
      </c>
      <c r="N1796" s="391"/>
      <c r="O1796" s="473">
        <v>19438.32</v>
      </c>
      <c r="P1796" s="391"/>
      <c r="Q1796" s="391">
        <v>34318.94</v>
      </c>
      <c r="R1796" s="528">
        <f>M1796/J1796</f>
        <v>32000</v>
      </c>
      <c r="S1796" s="388">
        <f t="shared" si="236"/>
        <v>0</v>
      </c>
      <c r="T1796" s="398"/>
      <c r="U1796" s="391"/>
      <c r="V1796" s="390"/>
      <c r="W1796" s="398"/>
      <c r="X1796" s="398"/>
      <c r="Z1796" s="416">
        <v>1</v>
      </c>
      <c r="AA1796" s="416">
        <f>J1796</f>
        <v>48</v>
      </c>
    </row>
    <row r="1797" spans="1:27" s="416" customFormat="1" ht="56.25" hidden="1" customHeight="1">
      <c r="A1797" s="506">
        <f t="shared" si="235"/>
        <v>293</v>
      </c>
      <c r="B1797" s="403" t="s">
        <v>1651</v>
      </c>
      <c r="C1797" s="455" t="s">
        <v>272</v>
      </c>
      <c r="D1797" s="487">
        <v>9698</v>
      </c>
      <c r="E1797" s="391">
        <v>1361.08</v>
      </c>
      <c r="F1797" s="391" t="s">
        <v>234</v>
      </c>
      <c r="G1797" s="391">
        <v>615</v>
      </c>
      <c r="H1797" s="528">
        <v>6</v>
      </c>
      <c r="I1797" s="528">
        <v>2</v>
      </c>
      <c r="J1797" s="528">
        <v>42</v>
      </c>
      <c r="K1797" s="458" t="s">
        <v>30</v>
      </c>
      <c r="L1797" s="519">
        <f t="shared" si="237"/>
        <v>1262416.3999999999</v>
      </c>
      <c r="M1797" s="529">
        <v>1218000</v>
      </c>
      <c r="N1797" s="391"/>
      <c r="O1797" s="473">
        <v>17054</v>
      </c>
      <c r="P1797" s="391"/>
      <c r="Q1797" s="391">
        <v>27362.400000000001</v>
      </c>
      <c r="R1797" s="528">
        <f>M1797/J1797</f>
        <v>29000</v>
      </c>
      <c r="S1797" s="388">
        <f t="shared" si="236"/>
        <v>-9.4587448984384537E-11</v>
      </c>
      <c r="T1797" s="398"/>
      <c r="U1797" s="391"/>
      <c r="V1797" s="390"/>
      <c r="W1797" s="398"/>
      <c r="X1797" s="398"/>
      <c r="Z1797" s="416">
        <v>1</v>
      </c>
      <c r="AA1797" s="416">
        <f>J1797</f>
        <v>42</v>
      </c>
    </row>
    <row r="1798" spans="1:27" s="416" customFormat="1" ht="56.25" hidden="1" customHeight="1">
      <c r="A1798" s="506">
        <f>A1797+1</f>
        <v>294</v>
      </c>
      <c r="B1798" s="403" t="s">
        <v>1652</v>
      </c>
      <c r="C1798" s="455" t="s">
        <v>272</v>
      </c>
      <c r="D1798" s="487">
        <v>13326</v>
      </c>
      <c r="E1798" s="391">
        <v>2189</v>
      </c>
      <c r="F1798" s="391" t="s">
        <v>369</v>
      </c>
      <c r="G1798" s="391">
        <v>1024</v>
      </c>
      <c r="H1798" s="528">
        <v>6</v>
      </c>
      <c r="I1798" s="528">
        <v>2</v>
      </c>
      <c r="J1798" s="528">
        <v>35</v>
      </c>
      <c r="K1798" s="458" t="s">
        <v>30</v>
      </c>
      <c r="L1798" s="519">
        <f t="shared" si="237"/>
        <v>1252103.94</v>
      </c>
      <c r="M1798" s="529">
        <v>1200000</v>
      </c>
      <c r="N1798" s="391"/>
      <c r="O1798" s="473">
        <v>17785</v>
      </c>
      <c r="P1798" s="391"/>
      <c r="Q1798" s="391">
        <v>34318.94</v>
      </c>
      <c r="R1798" s="528">
        <f>M1798/J1798</f>
        <v>34285.714285714283</v>
      </c>
      <c r="S1798" s="388">
        <f t="shared" si="236"/>
        <v>-5.8207660913467407E-11</v>
      </c>
      <c r="T1798" s="398"/>
      <c r="U1798" s="391"/>
      <c r="V1798" s="390"/>
      <c r="W1798" s="398"/>
      <c r="X1798" s="398"/>
      <c r="Z1798" s="416">
        <v>1</v>
      </c>
      <c r="AA1798" s="416">
        <f>J1798</f>
        <v>35</v>
      </c>
    </row>
    <row r="1799" spans="1:27" s="416" customFormat="1" ht="37.5" hidden="1" customHeight="1">
      <c r="A1799" s="506">
        <f t="shared" si="235"/>
        <v>295</v>
      </c>
      <c r="B1799" s="403" t="s">
        <v>1653</v>
      </c>
      <c r="C1799" s="455" t="s">
        <v>272</v>
      </c>
      <c r="D1799" s="487">
        <v>12734</v>
      </c>
      <c r="E1799" s="391">
        <v>2600</v>
      </c>
      <c r="F1799" s="391" t="s">
        <v>231</v>
      </c>
      <c r="G1799" s="391">
        <v>1149</v>
      </c>
      <c r="H1799" s="528">
        <v>5</v>
      </c>
      <c r="I1799" s="528">
        <v>4</v>
      </c>
      <c r="J1799" s="528">
        <v>64</v>
      </c>
      <c r="K1799" s="458" t="s">
        <v>225</v>
      </c>
      <c r="L1799" s="519">
        <f t="shared" si="237"/>
        <v>1215919.1000000001</v>
      </c>
      <c r="M1799" s="529">
        <v>1169899</v>
      </c>
      <c r="N1799" s="391">
        <v>32267.85</v>
      </c>
      <c r="O1799" s="530"/>
      <c r="P1799" s="391"/>
      <c r="Q1799" s="391">
        <v>13752.25</v>
      </c>
      <c r="R1799" s="528">
        <f>M1799/J1799</f>
        <v>18279.671875</v>
      </c>
      <c r="S1799" s="388">
        <f t="shared" si="236"/>
        <v>9.4587448984384537E-11</v>
      </c>
      <c r="T1799" s="398"/>
      <c r="U1799" s="391">
        <f>M1799+N1799+O1799+Q1799</f>
        <v>1215919.1000000001</v>
      </c>
      <c r="V1799" s="390"/>
      <c r="W1799" s="398"/>
      <c r="X1799" s="398"/>
    </row>
    <row r="1800" spans="1:27" s="416" customFormat="1" ht="37.5" hidden="1" customHeight="1">
      <c r="A1800" s="543">
        <f>A1799+1</f>
        <v>296</v>
      </c>
      <c r="B1800" s="403" t="s">
        <v>1654</v>
      </c>
      <c r="C1800" s="455" t="s">
        <v>272</v>
      </c>
      <c r="D1800" s="487">
        <v>14632</v>
      </c>
      <c r="E1800" s="391">
        <v>2600</v>
      </c>
      <c r="F1800" s="391" t="s">
        <v>223</v>
      </c>
      <c r="G1800" s="391">
        <v>1141</v>
      </c>
      <c r="H1800" s="528">
        <v>5</v>
      </c>
      <c r="I1800" s="528">
        <v>4</v>
      </c>
      <c r="J1800" s="528">
        <v>84</v>
      </c>
      <c r="K1800" s="458" t="s">
        <v>225</v>
      </c>
      <c r="L1800" s="1129">
        <f>M1800+N1800+O1800+P1800+Q1800+M1801+N1801+O1801+P1801+Q1801</f>
        <v>4918599.6300000008</v>
      </c>
      <c r="M1800" s="529">
        <v>1310143</v>
      </c>
      <c r="N1800" s="391">
        <v>33313.599999999999</v>
      </c>
      <c r="O1800" s="530"/>
      <c r="P1800" s="391"/>
      <c r="Q1800" s="391">
        <v>13133.63</v>
      </c>
      <c r="R1800" s="528">
        <f>M1800/J1800</f>
        <v>15596.940476190477</v>
      </c>
      <c r="S1800" s="388">
        <f t="shared" si="236"/>
        <v>3562009.4000000008</v>
      </c>
      <c r="T1800" s="398"/>
      <c r="U1800" s="391">
        <f>M1800+N1800+O1800+Q1800</f>
        <v>1356590.23</v>
      </c>
      <c r="V1800" s="390"/>
      <c r="W1800" s="398"/>
      <c r="X1800" s="398"/>
    </row>
    <row r="1801" spans="1:27" s="416" customFormat="1" ht="33.75" hidden="1" customHeight="1">
      <c r="A1801" s="543"/>
      <c r="B1801" s="403"/>
      <c r="C1801" s="455"/>
      <c r="D1801" s="487"/>
      <c r="E1801" s="391"/>
      <c r="F1801" s="391"/>
      <c r="G1801" s="391"/>
      <c r="H1801" s="528"/>
      <c r="I1801" s="528"/>
      <c r="J1801" s="528"/>
      <c r="K1801" s="458" t="s">
        <v>33</v>
      </c>
      <c r="L1801" s="1129"/>
      <c r="M1801" s="529">
        <v>3500000</v>
      </c>
      <c r="N1801" s="391"/>
      <c r="O1801" s="473">
        <v>22209.4</v>
      </c>
      <c r="P1801" s="391"/>
      <c r="Q1801" s="391">
        <v>39800</v>
      </c>
      <c r="R1801" s="528">
        <f>M1801/G1800</f>
        <v>3067.4846625766872</v>
      </c>
      <c r="S1801" s="388">
        <f t="shared" si="236"/>
        <v>-3562009.4</v>
      </c>
      <c r="T1801" s="398"/>
      <c r="U1801" s="391"/>
      <c r="V1801" s="390"/>
      <c r="W1801" s="398"/>
      <c r="X1801" s="398"/>
    </row>
    <row r="1802" spans="1:27" s="416" customFormat="1" ht="37.5" hidden="1" customHeight="1">
      <c r="A1802" s="506">
        <f>A1800+1</f>
        <v>297</v>
      </c>
      <c r="B1802" s="403" t="s">
        <v>1655</v>
      </c>
      <c r="C1802" s="455" t="s">
        <v>272</v>
      </c>
      <c r="D1802" s="487">
        <v>5040</v>
      </c>
      <c r="E1802" s="391">
        <v>259</v>
      </c>
      <c r="F1802" s="391" t="s">
        <v>223</v>
      </c>
      <c r="G1802" s="391">
        <v>804</v>
      </c>
      <c r="H1802" s="528">
        <v>2</v>
      </c>
      <c r="I1802" s="528">
        <v>3</v>
      </c>
      <c r="J1802" s="528">
        <v>24</v>
      </c>
      <c r="K1802" s="458" t="s">
        <v>225</v>
      </c>
      <c r="L1802" s="519">
        <f t="shared" ref="L1802:L1808" si="238">M1802+N1802+O1802+P1802+Q1802</f>
        <v>674146.29</v>
      </c>
      <c r="M1802" s="529">
        <v>646470</v>
      </c>
      <c r="N1802" s="391">
        <v>24736</v>
      </c>
      <c r="O1802" s="530"/>
      <c r="P1802" s="391"/>
      <c r="Q1802" s="391">
        <v>2940.29</v>
      </c>
      <c r="R1802" s="528">
        <f>M1802/J1802</f>
        <v>26936.25</v>
      </c>
      <c r="S1802" s="388">
        <f t="shared" si="236"/>
        <v>3.7289282772690058E-11</v>
      </c>
      <c r="T1802" s="398"/>
      <c r="U1802" s="391">
        <f>M1802+N1802+O1802+Q1802</f>
        <v>674146.29</v>
      </c>
      <c r="V1802" s="390"/>
      <c r="W1802" s="398"/>
      <c r="X1802" s="398"/>
    </row>
    <row r="1803" spans="1:27" s="416" customFormat="1" ht="56.25" hidden="1" customHeight="1">
      <c r="A1803" s="506">
        <f t="shared" ref="A1803:A1865" si="239">A1802+1</f>
        <v>298</v>
      </c>
      <c r="B1803" s="403" t="s">
        <v>1656</v>
      </c>
      <c r="C1803" s="455" t="s">
        <v>218</v>
      </c>
      <c r="D1803" s="487">
        <v>10707</v>
      </c>
      <c r="E1803" s="391">
        <v>1700</v>
      </c>
      <c r="F1803" s="391" t="s">
        <v>223</v>
      </c>
      <c r="G1803" s="391">
        <v>1139</v>
      </c>
      <c r="H1803" s="528">
        <v>5</v>
      </c>
      <c r="I1803" s="528">
        <v>4</v>
      </c>
      <c r="J1803" s="528">
        <v>79</v>
      </c>
      <c r="K1803" s="458" t="s">
        <v>33</v>
      </c>
      <c r="L1803" s="519">
        <f t="shared" si="238"/>
        <v>4040907.31</v>
      </c>
      <c r="M1803" s="529">
        <v>3986500</v>
      </c>
      <c r="N1803" s="391"/>
      <c r="O1803" s="473">
        <v>21396.48</v>
      </c>
      <c r="P1803" s="391"/>
      <c r="Q1803" s="391">
        <v>33010.83</v>
      </c>
      <c r="R1803" s="528">
        <f>M1803/G1803</f>
        <v>3500</v>
      </c>
      <c r="S1803" s="388">
        <f t="shared" si="236"/>
        <v>5.8207660913467407E-11</v>
      </c>
      <c r="T1803" s="398"/>
      <c r="U1803" s="391"/>
      <c r="V1803" s="390"/>
      <c r="W1803" s="398"/>
      <c r="X1803" s="398"/>
    </row>
    <row r="1804" spans="1:27" s="416" customFormat="1" ht="56.25" hidden="1" customHeight="1">
      <c r="A1804" s="506">
        <f t="shared" si="239"/>
        <v>299</v>
      </c>
      <c r="B1804" s="403" t="s">
        <v>1657</v>
      </c>
      <c r="C1804" s="455" t="s">
        <v>218</v>
      </c>
      <c r="D1804" s="487">
        <v>14925</v>
      </c>
      <c r="E1804" s="391">
        <v>1715</v>
      </c>
      <c r="F1804" s="391" t="s">
        <v>223</v>
      </c>
      <c r="G1804" s="391">
        <v>1102</v>
      </c>
      <c r="H1804" s="528">
        <v>5</v>
      </c>
      <c r="I1804" s="528">
        <v>4</v>
      </c>
      <c r="J1804" s="528">
        <v>72</v>
      </c>
      <c r="K1804" s="458" t="s">
        <v>33</v>
      </c>
      <c r="L1804" s="519">
        <f t="shared" si="238"/>
        <v>3918440.26</v>
      </c>
      <c r="M1804" s="529">
        <v>3857000</v>
      </c>
      <c r="N1804" s="391"/>
      <c r="O1804" s="473">
        <v>21640.26</v>
      </c>
      <c r="P1804" s="391"/>
      <c r="Q1804" s="391">
        <v>39800</v>
      </c>
      <c r="R1804" s="528">
        <f>M1804/G1804</f>
        <v>3500</v>
      </c>
      <c r="S1804" s="388">
        <f t="shared" si="236"/>
        <v>-2.1827872842550278E-10</v>
      </c>
      <c r="T1804" s="398"/>
      <c r="U1804" s="391"/>
      <c r="V1804" s="390"/>
      <c r="W1804" s="398"/>
      <c r="X1804" s="398"/>
    </row>
    <row r="1805" spans="1:27" s="416" customFormat="1" ht="56.25" hidden="1" customHeight="1">
      <c r="A1805" s="506">
        <f t="shared" si="239"/>
        <v>300</v>
      </c>
      <c r="B1805" s="403" t="s">
        <v>1658</v>
      </c>
      <c r="C1805" s="455" t="s">
        <v>218</v>
      </c>
      <c r="D1805" s="487">
        <v>14224</v>
      </c>
      <c r="E1805" s="391">
        <v>1680</v>
      </c>
      <c r="F1805" s="391" t="s">
        <v>223</v>
      </c>
      <c r="G1805" s="391">
        <v>1141</v>
      </c>
      <c r="H1805" s="528">
        <v>5</v>
      </c>
      <c r="I1805" s="528">
        <v>4</v>
      </c>
      <c r="J1805" s="528">
        <v>80</v>
      </c>
      <c r="K1805" s="458" t="s">
        <v>33</v>
      </c>
      <c r="L1805" s="1129">
        <f>M1805+N1805+O1805+P1805+Q1805+M1806+N1806+O1806+Q1806</f>
        <v>6464767.5099999998</v>
      </c>
      <c r="M1805" s="529">
        <v>3993500</v>
      </c>
      <c r="N1805" s="391"/>
      <c r="O1805" s="473">
        <v>21390.51</v>
      </c>
      <c r="P1805" s="391"/>
      <c r="Q1805" s="391">
        <v>39800</v>
      </c>
      <c r="R1805" s="528">
        <f>M1805/G1805</f>
        <v>3500</v>
      </c>
      <c r="S1805" s="388">
        <f t="shared" si="236"/>
        <v>2410077</v>
      </c>
      <c r="T1805" s="398"/>
      <c r="U1805" s="391"/>
      <c r="V1805" s="390"/>
      <c r="W1805" s="398"/>
      <c r="X1805" s="398"/>
    </row>
    <row r="1806" spans="1:27" s="416" customFormat="1" ht="84.75" hidden="1" customHeight="1">
      <c r="A1806" s="506"/>
      <c r="B1806" s="403"/>
      <c r="C1806" s="455"/>
      <c r="D1806" s="487"/>
      <c r="E1806" s="391"/>
      <c r="F1806" s="391"/>
      <c r="G1806" s="391"/>
      <c r="H1806" s="528"/>
      <c r="I1806" s="528"/>
      <c r="J1806" s="528"/>
      <c r="K1806" s="458" t="s">
        <v>30</v>
      </c>
      <c r="L1806" s="1129"/>
      <c r="M1806" s="529">
        <v>2400000</v>
      </c>
      <c r="N1806" s="391"/>
      <c r="O1806" s="473">
        <v>10077</v>
      </c>
      <c r="P1806" s="391"/>
      <c r="Q1806" s="391"/>
      <c r="R1806" s="528"/>
      <c r="S1806" s="388">
        <f t="shared" si="236"/>
        <v>-2410077</v>
      </c>
      <c r="T1806" s="398"/>
      <c r="U1806" s="391"/>
      <c r="V1806" s="390"/>
      <c r="W1806" s="398"/>
      <c r="X1806" s="398"/>
    </row>
    <row r="1807" spans="1:27" s="416" customFormat="1" ht="56.25" hidden="1" customHeight="1">
      <c r="A1807" s="506">
        <f>A1805+1</f>
        <v>301</v>
      </c>
      <c r="B1807" s="403" t="s">
        <v>1661</v>
      </c>
      <c r="C1807" s="455" t="s">
        <v>218</v>
      </c>
      <c r="D1807" s="487">
        <v>10272</v>
      </c>
      <c r="E1807" s="391">
        <v>1963</v>
      </c>
      <c r="F1807" s="391" t="s">
        <v>223</v>
      </c>
      <c r="G1807" s="391">
        <v>840</v>
      </c>
      <c r="H1807" s="528">
        <v>5</v>
      </c>
      <c r="I1807" s="528">
        <v>3</v>
      </c>
      <c r="J1807" s="528">
        <v>59</v>
      </c>
      <c r="K1807" s="458" t="s">
        <v>30</v>
      </c>
      <c r="L1807" s="519">
        <f t="shared" si="238"/>
        <v>1641910.94</v>
      </c>
      <c r="M1807" s="529">
        <v>1593000</v>
      </c>
      <c r="N1807" s="391"/>
      <c r="O1807" s="473">
        <v>14592</v>
      </c>
      <c r="P1807" s="391"/>
      <c r="Q1807" s="391">
        <v>34318.94</v>
      </c>
      <c r="R1807" s="528">
        <f>M1807/J1807</f>
        <v>27000</v>
      </c>
      <c r="S1807" s="388">
        <f t="shared" si="236"/>
        <v>-5.8207660913467407E-11</v>
      </c>
      <c r="T1807" s="398"/>
      <c r="U1807" s="391"/>
      <c r="V1807" s="390"/>
      <c r="W1807" s="398"/>
      <c r="X1807" s="398"/>
      <c r="Z1807" s="416">
        <v>1</v>
      </c>
      <c r="AA1807" s="416">
        <f>J1807</f>
        <v>59</v>
      </c>
    </row>
    <row r="1808" spans="1:27" s="416" customFormat="1" ht="56.25" hidden="1" customHeight="1">
      <c r="A1808" s="506">
        <f t="shared" si="239"/>
        <v>302</v>
      </c>
      <c r="B1808" s="403" t="s">
        <v>1662</v>
      </c>
      <c r="C1808" s="455" t="s">
        <v>272</v>
      </c>
      <c r="D1808" s="487">
        <v>13272</v>
      </c>
      <c r="E1808" s="391">
        <v>2206</v>
      </c>
      <c r="F1808" s="391" t="s">
        <v>234</v>
      </c>
      <c r="G1808" s="391">
        <v>899.4</v>
      </c>
      <c r="H1808" s="528">
        <v>5</v>
      </c>
      <c r="I1808" s="528">
        <v>4</v>
      </c>
      <c r="J1808" s="528">
        <v>64</v>
      </c>
      <c r="K1808" s="458" t="s">
        <v>30</v>
      </c>
      <c r="L1808" s="519">
        <f t="shared" si="238"/>
        <v>1777120.56</v>
      </c>
      <c r="M1808" s="529">
        <v>1728000</v>
      </c>
      <c r="N1808" s="391"/>
      <c r="O1808" s="473">
        <v>14801.62</v>
      </c>
      <c r="P1808" s="391"/>
      <c r="Q1808" s="391">
        <v>34318.94</v>
      </c>
      <c r="R1808" s="528">
        <f>M1808/J1808</f>
        <v>27000</v>
      </c>
      <c r="S1808" s="388">
        <f t="shared" si="236"/>
        <v>0</v>
      </c>
      <c r="T1808" s="398"/>
      <c r="U1808" s="391"/>
      <c r="V1808" s="390"/>
      <c r="W1808" s="398"/>
      <c r="X1808" s="398"/>
      <c r="Z1808" s="416">
        <v>1</v>
      </c>
      <c r="AA1808" s="416">
        <f>J1808</f>
        <v>64</v>
      </c>
    </row>
    <row r="1809" spans="1:27" s="416" customFormat="1" ht="56.25" hidden="1" customHeight="1">
      <c r="A1809" s="543">
        <f>A1808+1</f>
        <v>303</v>
      </c>
      <c r="B1809" s="403" t="s">
        <v>1663</v>
      </c>
      <c r="C1809" s="455" t="s">
        <v>272</v>
      </c>
      <c r="D1809" s="487">
        <v>18315</v>
      </c>
      <c r="E1809" s="391">
        <v>3115</v>
      </c>
      <c r="F1809" s="391" t="s">
        <v>223</v>
      </c>
      <c r="G1809" s="391">
        <v>1451</v>
      </c>
      <c r="H1809" s="528">
        <v>5</v>
      </c>
      <c r="I1809" s="528">
        <v>3</v>
      </c>
      <c r="J1809" s="528">
        <v>52</v>
      </c>
      <c r="K1809" s="458" t="s">
        <v>30</v>
      </c>
      <c r="L1809" s="1129">
        <f>M1809+N1809+O1809+P1809+Q1809+M1810+N1810+O1810+P1810+Q1810</f>
        <v>4400255.6899999995</v>
      </c>
      <c r="M1809" s="529">
        <v>1404000</v>
      </c>
      <c r="N1809" s="391"/>
      <c r="O1809" s="473">
        <v>16065.27</v>
      </c>
      <c r="P1809" s="391"/>
      <c r="Q1809" s="391">
        <v>39800</v>
      </c>
      <c r="R1809" s="528">
        <f>M1809/J1809</f>
        <v>27000</v>
      </c>
      <c r="S1809" s="388">
        <f t="shared" si="236"/>
        <v>2940390.4199999995</v>
      </c>
      <c r="T1809" s="398"/>
      <c r="U1809" s="391"/>
      <c r="V1809" s="390"/>
      <c r="W1809" s="398"/>
      <c r="X1809" s="398"/>
      <c r="Z1809" s="416">
        <v>1</v>
      </c>
      <c r="AA1809" s="416">
        <f>J1809</f>
        <v>52</v>
      </c>
    </row>
    <row r="1810" spans="1:27" s="416" customFormat="1" ht="35.25" hidden="1" customHeight="1">
      <c r="A1810" s="543"/>
      <c r="B1810" s="403"/>
      <c r="C1810" s="455"/>
      <c r="D1810" s="487"/>
      <c r="E1810" s="391"/>
      <c r="F1810" s="391"/>
      <c r="G1810" s="391"/>
      <c r="H1810" s="528"/>
      <c r="I1810" s="528"/>
      <c r="J1810" s="528"/>
      <c r="K1810" s="458" t="s">
        <v>33</v>
      </c>
      <c r="L1810" s="1129"/>
      <c r="M1810" s="529">
        <v>2875600</v>
      </c>
      <c r="N1810" s="391"/>
      <c r="O1810" s="473">
        <v>24990.42</v>
      </c>
      <c r="P1810" s="391"/>
      <c r="Q1810" s="391">
        <v>39800</v>
      </c>
      <c r="R1810" s="528">
        <f>M1810/G1809</f>
        <v>1981.8056512749827</v>
      </c>
      <c r="S1810" s="388">
        <f t="shared" si="236"/>
        <v>-2940390.42</v>
      </c>
      <c r="T1810" s="398"/>
      <c r="U1810" s="391"/>
      <c r="V1810" s="390"/>
      <c r="W1810" s="398"/>
      <c r="X1810" s="398"/>
    </row>
    <row r="1811" spans="1:27" s="416" customFormat="1" ht="37.5" hidden="1" customHeight="1">
      <c r="A1811" s="506">
        <f>A1809+1</f>
        <v>304</v>
      </c>
      <c r="B1811" s="403" t="s">
        <v>1664</v>
      </c>
      <c r="C1811" s="455" t="s">
        <v>272</v>
      </c>
      <c r="D1811" s="487">
        <v>8425</v>
      </c>
      <c r="E1811" s="391">
        <v>1600</v>
      </c>
      <c r="F1811" s="391" t="s">
        <v>223</v>
      </c>
      <c r="G1811" s="391">
        <v>1307</v>
      </c>
      <c r="H1811" s="528">
        <v>2</v>
      </c>
      <c r="I1811" s="528">
        <v>4</v>
      </c>
      <c r="J1811" s="528">
        <v>22</v>
      </c>
      <c r="K1811" s="458" t="s">
        <v>33</v>
      </c>
      <c r="L1811" s="1129">
        <f>M1811+N1811+O1811+P1811+Q1811+M1812+N1812+O1812+P1812+Q1812</f>
        <v>6300801.54</v>
      </c>
      <c r="M1811" s="529">
        <v>3659600</v>
      </c>
      <c r="N1811" s="391"/>
      <c r="O1811" s="473">
        <v>19394.54</v>
      </c>
      <c r="P1811" s="391"/>
      <c r="Q1811" s="391">
        <v>39800</v>
      </c>
      <c r="R1811" s="528">
        <f>M1811/G1811</f>
        <v>2800</v>
      </c>
      <c r="S1811" s="388">
        <f t="shared" si="236"/>
        <v>2582007</v>
      </c>
      <c r="T1811" s="398"/>
      <c r="U1811" s="391"/>
      <c r="V1811" s="390"/>
      <c r="W1811" s="398"/>
      <c r="X1811" s="398"/>
    </row>
    <row r="1812" spans="1:27" s="416" customFormat="1" ht="32.25" hidden="1" customHeight="1">
      <c r="A1812" s="506"/>
      <c r="B1812" s="403"/>
      <c r="C1812" s="455"/>
      <c r="D1812" s="487"/>
      <c r="E1812" s="391"/>
      <c r="F1812" s="391"/>
      <c r="G1812" s="391"/>
      <c r="H1812" s="528"/>
      <c r="I1812" s="528"/>
      <c r="J1812" s="528"/>
      <c r="K1812" s="458" t="s">
        <v>38</v>
      </c>
      <c r="L1812" s="1129"/>
      <c r="M1812" s="529">
        <v>2538000</v>
      </c>
      <c r="N1812" s="391"/>
      <c r="O1812" s="473">
        <v>14307</v>
      </c>
      <c r="P1812" s="391"/>
      <c r="Q1812" s="391">
        <v>29700</v>
      </c>
      <c r="R1812" s="528">
        <f>M1812/E1811</f>
        <v>1586.25</v>
      </c>
      <c r="S1812" s="388">
        <f t="shared" si="236"/>
        <v>-2582007</v>
      </c>
      <c r="T1812" s="398"/>
      <c r="U1812" s="391"/>
      <c r="V1812" s="390"/>
      <c r="W1812" s="398"/>
      <c r="X1812" s="398"/>
    </row>
    <row r="1813" spans="1:27" s="416" customFormat="1" ht="37.5" hidden="1" customHeight="1">
      <c r="A1813" s="506">
        <f>A1811+1</f>
        <v>305</v>
      </c>
      <c r="B1813" s="403" t="s">
        <v>1665</v>
      </c>
      <c r="C1813" s="455" t="s">
        <v>272</v>
      </c>
      <c r="D1813" s="487">
        <v>26744</v>
      </c>
      <c r="E1813" s="391">
        <v>3971</v>
      </c>
      <c r="F1813" s="391" t="s">
        <v>223</v>
      </c>
      <c r="G1813" s="391">
        <v>1250.5</v>
      </c>
      <c r="H1813" s="528">
        <v>5</v>
      </c>
      <c r="I1813" s="528">
        <v>4</v>
      </c>
      <c r="J1813" s="528">
        <v>63</v>
      </c>
      <c r="K1813" s="458" t="s">
        <v>33</v>
      </c>
      <c r="L1813" s="519">
        <f>M1813+N1813+O1813+P1813+Q1813</f>
        <v>4439976.28</v>
      </c>
      <c r="M1813" s="529">
        <v>4376750</v>
      </c>
      <c r="N1813" s="391"/>
      <c r="O1813" s="473">
        <v>23426.28</v>
      </c>
      <c r="P1813" s="391"/>
      <c r="Q1813" s="391">
        <v>39800</v>
      </c>
      <c r="R1813" s="528">
        <f>M1813/G1813</f>
        <v>3500</v>
      </c>
      <c r="S1813" s="388">
        <f t="shared" si="236"/>
        <v>2.6193447411060333E-10</v>
      </c>
      <c r="T1813" s="398"/>
      <c r="U1813" s="391"/>
      <c r="V1813" s="390"/>
      <c r="W1813" s="398"/>
      <c r="X1813" s="398"/>
    </row>
    <row r="1814" spans="1:27" s="416" customFormat="1" ht="37.5" hidden="1" customHeight="1">
      <c r="A1814" s="506">
        <f t="shared" si="239"/>
        <v>306</v>
      </c>
      <c r="B1814" s="403" t="s">
        <v>1666</v>
      </c>
      <c r="C1814" s="455" t="s">
        <v>272</v>
      </c>
      <c r="D1814" s="487">
        <v>18189</v>
      </c>
      <c r="E1814" s="391">
        <v>3127</v>
      </c>
      <c r="F1814" s="391" t="s">
        <v>223</v>
      </c>
      <c r="G1814" s="391">
        <v>1461</v>
      </c>
      <c r="H1814" s="528">
        <v>5</v>
      </c>
      <c r="I1814" s="528">
        <v>3</v>
      </c>
      <c r="J1814" s="528">
        <v>52</v>
      </c>
      <c r="K1814" s="458" t="s">
        <v>225</v>
      </c>
      <c r="L1814" s="519">
        <f>M1814+N1814+O1814+P1814+Q1814</f>
        <v>1028323.12</v>
      </c>
      <c r="M1814" s="529">
        <v>964990</v>
      </c>
      <c r="N1814" s="391">
        <v>44342.18</v>
      </c>
      <c r="O1814" s="530"/>
      <c r="P1814" s="391"/>
      <c r="Q1814" s="391">
        <v>18990.939999999999</v>
      </c>
      <c r="R1814" s="528">
        <f>M1814/J1814</f>
        <v>18557.5</v>
      </c>
      <c r="S1814" s="388">
        <f t="shared" si="236"/>
        <v>0</v>
      </c>
      <c r="T1814" s="398"/>
      <c r="U1814" s="391">
        <f>M1814+N1814+O1814+Q1814</f>
        <v>1028323.12</v>
      </c>
      <c r="V1814" s="390"/>
      <c r="W1814" s="398"/>
      <c r="X1814" s="398"/>
    </row>
    <row r="1815" spans="1:27" s="416" customFormat="1" ht="37.5" hidden="1" customHeight="1">
      <c r="A1815" s="506">
        <f t="shared" si="239"/>
        <v>307</v>
      </c>
      <c r="B1815" s="403" t="s">
        <v>1667</v>
      </c>
      <c r="C1815" s="455" t="s">
        <v>272</v>
      </c>
      <c r="D1815" s="487">
        <v>15773</v>
      </c>
      <c r="E1815" s="391">
        <v>2606</v>
      </c>
      <c r="F1815" s="391" t="s">
        <v>223</v>
      </c>
      <c r="G1815" s="391">
        <v>1152</v>
      </c>
      <c r="H1815" s="528">
        <v>5</v>
      </c>
      <c r="I1815" s="528">
        <v>4</v>
      </c>
      <c r="J1815" s="528">
        <v>79</v>
      </c>
      <c r="K1815" s="458" t="s">
        <v>225</v>
      </c>
      <c r="L1815" s="519">
        <f>M1815+N1815+O1815+P1815+Q1815</f>
        <v>883613.89999999991</v>
      </c>
      <c r="M1815" s="529">
        <v>823953</v>
      </c>
      <c r="N1815" s="391">
        <v>43191.95</v>
      </c>
      <c r="O1815" s="530"/>
      <c r="P1815" s="391"/>
      <c r="Q1815" s="391">
        <v>16468.95</v>
      </c>
      <c r="R1815" s="528">
        <f>M1815/J1815</f>
        <v>10429.784810126583</v>
      </c>
      <c r="S1815" s="388">
        <f t="shared" si="236"/>
        <v>-9.0949470177292824E-11</v>
      </c>
      <c r="T1815" s="398"/>
      <c r="U1815" s="391">
        <f>M1815+N1815+O1815+Q1815</f>
        <v>883613.89999999991</v>
      </c>
      <c r="V1815" s="390"/>
      <c r="W1815" s="398"/>
      <c r="X1815" s="398"/>
    </row>
    <row r="1816" spans="1:27" s="416" customFormat="1" ht="37.5" hidden="1" customHeight="1">
      <c r="A1816" s="506">
        <f t="shared" si="239"/>
        <v>308</v>
      </c>
      <c r="B1816" s="403" t="s">
        <v>1668</v>
      </c>
      <c r="C1816" s="455" t="s">
        <v>272</v>
      </c>
      <c r="D1816" s="487">
        <v>13105</v>
      </c>
      <c r="E1816" s="391">
        <v>2600</v>
      </c>
      <c r="F1816" s="391" t="s">
        <v>223</v>
      </c>
      <c r="G1816" s="391">
        <v>1155</v>
      </c>
      <c r="H1816" s="528">
        <v>5</v>
      </c>
      <c r="I1816" s="528">
        <v>4</v>
      </c>
      <c r="J1816" s="528">
        <v>78</v>
      </c>
      <c r="K1816" s="458" t="s">
        <v>225</v>
      </c>
      <c r="L1816" s="519">
        <f>M1816+N1816+O1816+P1816+Q1816</f>
        <v>880201.78999999992</v>
      </c>
      <c r="M1816" s="529">
        <v>822975</v>
      </c>
      <c r="N1816" s="391">
        <v>41922.33</v>
      </c>
      <c r="O1816" s="530"/>
      <c r="P1816" s="391"/>
      <c r="Q1816" s="391">
        <v>15304.46</v>
      </c>
      <c r="R1816" s="528">
        <f>M1816/J1816</f>
        <v>10550.961538461539</v>
      </c>
      <c r="S1816" s="388">
        <f t="shared" si="236"/>
        <v>-8.0035533756017685E-11</v>
      </c>
      <c r="T1816" s="398"/>
      <c r="U1816" s="391">
        <f>M1816+N1816+O1816+Q1816</f>
        <v>880201.78999999992</v>
      </c>
      <c r="V1816" s="390"/>
      <c r="W1816" s="398"/>
      <c r="X1816" s="398"/>
    </row>
    <row r="1817" spans="1:27" s="416" customFormat="1" ht="37.5" hidden="1" customHeight="1">
      <c r="A1817" s="506">
        <f t="shared" si="239"/>
        <v>309</v>
      </c>
      <c r="B1817" s="403" t="s">
        <v>1669</v>
      </c>
      <c r="C1817" s="455" t="s">
        <v>272</v>
      </c>
      <c r="D1817" s="487">
        <v>12283</v>
      </c>
      <c r="E1817" s="391">
        <v>4000</v>
      </c>
      <c r="F1817" s="391" t="s">
        <v>223</v>
      </c>
      <c r="G1817" s="391">
        <v>1149</v>
      </c>
      <c r="H1817" s="528">
        <v>5</v>
      </c>
      <c r="I1817" s="528">
        <v>4</v>
      </c>
      <c r="J1817" s="528">
        <v>68</v>
      </c>
      <c r="K1817" s="458" t="s">
        <v>33</v>
      </c>
      <c r="L1817" s="519">
        <f>M1817+N1817+O1817+P1817+Q1817+M1818+N1818+O1818+Q1818</f>
        <v>10606969.529999999</v>
      </c>
      <c r="M1817" s="529">
        <v>4021500</v>
      </c>
      <c r="N1817" s="391"/>
      <c r="O1817" s="473">
        <v>21346.73</v>
      </c>
      <c r="P1817" s="391"/>
      <c r="Q1817" s="391">
        <v>37869.800000000003</v>
      </c>
      <c r="R1817" s="528">
        <f>M1817/G1817</f>
        <v>3500</v>
      </c>
      <c r="S1817" s="388">
        <f t="shared" si="236"/>
        <v>6526252.9999999991</v>
      </c>
      <c r="T1817" s="398"/>
      <c r="U1817" s="391"/>
      <c r="V1817" s="390"/>
      <c r="W1817" s="398"/>
      <c r="X1817" s="398"/>
    </row>
    <row r="1818" spans="1:27" s="416" customFormat="1" ht="37.5" hidden="1" customHeight="1">
      <c r="A1818" s="506"/>
      <c r="B1818" s="403"/>
      <c r="C1818" s="455"/>
      <c r="D1818" s="487"/>
      <c r="E1818" s="391"/>
      <c r="F1818" s="391"/>
      <c r="G1818" s="391"/>
      <c r="H1818" s="528"/>
      <c r="I1818" s="528"/>
      <c r="J1818" s="528"/>
      <c r="K1818" s="458" t="s">
        <v>38</v>
      </c>
      <c r="L1818" s="519"/>
      <c r="M1818" s="529">
        <v>6500000</v>
      </c>
      <c r="N1818" s="391">
        <v>26253</v>
      </c>
      <c r="O1818" s="473"/>
      <c r="P1818" s="391"/>
      <c r="Q1818" s="391"/>
      <c r="R1818" s="528"/>
      <c r="S1818" s="388">
        <f t="shared" si="236"/>
        <v>-6526253</v>
      </c>
      <c r="T1818" s="398"/>
      <c r="U1818" s="391"/>
      <c r="V1818" s="390"/>
      <c r="W1818" s="398"/>
      <c r="X1818" s="398"/>
    </row>
    <row r="1819" spans="1:27" s="416" customFormat="1" ht="37.5" hidden="1" customHeight="1">
      <c r="A1819" s="506">
        <f>A1817+1</f>
        <v>310</v>
      </c>
      <c r="B1819" s="403" t="s">
        <v>1670</v>
      </c>
      <c r="C1819" s="455" t="s">
        <v>272</v>
      </c>
      <c r="D1819" s="487">
        <v>12852</v>
      </c>
      <c r="E1819" s="391">
        <v>2230</v>
      </c>
      <c r="F1819" s="391" t="s">
        <v>223</v>
      </c>
      <c r="G1819" s="391">
        <v>1136</v>
      </c>
      <c r="H1819" s="528">
        <v>5</v>
      </c>
      <c r="I1819" s="528">
        <v>4</v>
      </c>
      <c r="J1819" s="528">
        <v>79</v>
      </c>
      <c r="K1819" s="458" t="s">
        <v>225</v>
      </c>
      <c r="L1819" s="519">
        <f>M1819+N1819+O1819+P1819+Q1819</f>
        <v>1453778.81</v>
      </c>
      <c r="M1819" s="529">
        <v>1396900</v>
      </c>
      <c r="N1819" s="391">
        <v>41801.94</v>
      </c>
      <c r="O1819" s="530"/>
      <c r="P1819" s="391"/>
      <c r="Q1819" s="391">
        <v>15076.87</v>
      </c>
      <c r="R1819" s="528">
        <f>M1819/J1819</f>
        <v>17682.278481012658</v>
      </c>
      <c r="S1819" s="388">
        <f t="shared" si="236"/>
        <v>5.2750692702829838E-11</v>
      </c>
      <c r="T1819" s="398"/>
      <c r="U1819" s="391">
        <f>M1819+N1819+O1819+Q1819</f>
        <v>1453778.81</v>
      </c>
      <c r="V1819" s="390"/>
      <c r="W1819" s="398"/>
      <c r="X1819" s="398"/>
    </row>
    <row r="1820" spans="1:27" s="416" customFormat="1" ht="37.5" hidden="1" customHeight="1">
      <c r="A1820" s="506">
        <f t="shared" si="239"/>
        <v>311</v>
      </c>
      <c r="B1820" s="403" t="s">
        <v>1671</v>
      </c>
      <c r="C1820" s="455" t="s">
        <v>272</v>
      </c>
      <c r="D1820" s="487">
        <v>18378</v>
      </c>
      <c r="E1820" s="391">
        <v>3120</v>
      </c>
      <c r="F1820" s="391" t="s">
        <v>223</v>
      </c>
      <c r="G1820" s="391">
        <v>1679</v>
      </c>
      <c r="H1820" s="528">
        <v>5</v>
      </c>
      <c r="I1820" s="528">
        <v>6</v>
      </c>
      <c r="J1820" s="528">
        <v>120</v>
      </c>
      <c r="K1820" s="458" t="s">
        <v>225</v>
      </c>
      <c r="L1820" s="519">
        <f>M1820+N1820+O1820+P1820+Q1820</f>
        <v>1430507.73</v>
      </c>
      <c r="M1820" s="529">
        <v>1366276</v>
      </c>
      <c r="N1820" s="391">
        <v>44431.73</v>
      </c>
      <c r="O1820" s="530"/>
      <c r="P1820" s="391"/>
      <c r="Q1820" s="391">
        <v>19800</v>
      </c>
      <c r="R1820" s="528">
        <f>M1820/J1820</f>
        <v>11385.633333333333</v>
      </c>
      <c r="S1820" s="388">
        <f t="shared" si="236"/>
        <v>0</v>
      </c>
      <c r="T1820" s="398"/>
      <c r="U1820" s="391">
        <f>M1820+N1820+O1820+Q1820</f>
        <v>1430507.73</v>
      </c>
      <c r="V1820" s="390"/>
      <c r="W1820" s="398"/>
      <c r="X1820" s="398"/>
    </row>
    <row r="1821" spans="1:27" s="416" customFormat="1" ht="46.5" hidden="1" customHeight="1">
      <c r="A1821" s="506">
        <f t="shared" si="239"/>
        <v>312</v>
      </c>
      <c r="B1821" s="403" t="s">
        <v>1672</v>
      </c>
      <c r="C1821" s="455" t="s">
        <v>272</v>
      </c>
      <c r="D1821" s="487">
        <v>12583</v>
      </c>
      <c r="E1821" s="391">
        <v>3600</v>
      </c>
      <c r="F1821" s="391" t="s">
        <v>223</v>
      </c>
      <c r="G1821" s="391">
        <v>1152</v>
      </c>
      <c r="H1821" s="528">
        <v>5</v>
      </c>
      <c r="I1821" s="528">
        <v>4</v>
      </c>
      <c r="J1821" s="528">
        <v>76</v>
      </c>
      <c r="K1821" s="458" t="s">
        <v>38</v>
      </c>
      <c r="L1821" s="519">
        <f>M1821+N1821+O1821+P1821+Q1821+M1822+N1822+O1822+Q1822</f>
        <v>9287320</v>
      </c>
      <c r="M1821" s="529">
        <v>6000000</v>
      </c>
      <c r="N1821" s="391"/>
      <c r="O1821" s="473">
        <v>16337</v>
      </c>
      <c r="P1821" s="391"/>
      <c r="Q1821" s="391">
        <v>29700</v>
      </c>
      <c r="R1821" s="528">
        <f>M1821/E1821</f>
        <v>1666.6666666666667</v>
      </c>
      <c r="S1821" s="388">
        <f t="shared" si="236"/>
        <v>3241283</v>
      </c>
      <c r="T1821" s="398"/>
      <c r="U1821" s="391"/>
      <c r="V1821" s="390"/>
      <c r="W1821" s="398"/>
      <c r="X1821" s="398"/>
    </row>
    <row r="1822" spans="1:27" s="416" customFormat="1" ht="37.5" hidden="1" customHeight="1">
      <c r="A1822" s="506"/>
      <c r="B1822" s="403"/>
      <c r="C1822" s="455"/>
      <c r="D1822" s="487"/>
      <c r="E1822" s="391"/>
      <c r="F1822" s="391"/>
      <c r="G1822" s="391"/>
      <c r="H1822" s="528">
        <v>76</v>
      </c>
      <c r="I1822" s="528"/>
      <c r="J1822" s="528"/>
      <c r="K1822" s="458" t="s">
        <v>33</v>
      </c>
      <c r="L1822" s="519"/>
      <c r="M1822" s="529">
        <v>3225600</v>
      </c>
      <c r="N1822" s="391"/>
      <c r="O1822" s="473">
        <v>15683</v>
      </c>
      <c r="P1822" s="391"/>
      <c r="Q1822" s="391"/>
      <c r="R1822" s="528"/>
      <c r="S1822" s="388">
        <f t="shared" si="236"/>
        <v>-3241283</v>
      </c>
      <c r="T1822" s="398"/>
      <c r="U1822" s="391"/>
      <c r="V1822" s="390"/>
      <c r="W1822" s="398"/>
      <c r="X1822" s="398"/>
    </row>
    <row r="1823" spans="1:27" s="416" customFormat="1" ht="56.25" hidden="1" customHeight="1">
      <c r="A1823" s="506">
        <f>A1821+1</f>
        <v>313</v>
      </c>
      <c r="B1823" s="403" t="s">
        <v>1673</v>
      </c>
      <c r="C1823" s="455" t="s">
        <v>272</v>
      </c>
      <c r="D1823" s="487">
        <v>13478</v>
      </c>
      <c r="E1823" s="391">
        <v>2670</v>
      </c>
      <c r="F1823" s="391" t="s">
        <v>223</v>
      </c>
      <c r="G1823" s="391">
        <v>1137</v>
      </c>
      <c r="H1823" s="528">
        <v>5</v>
      </c>
      <c r="I1823" s="528">
        <v>4</v>
      </c>
      <c r="J1823" s="528">
        <v>80</v>
      </c>
      <c r="K1823" s="458" t="s">
        <v>30</v>
      </c>
      <c r="L1823" s="519">
        <f t="shared" ref="L1823:L1843" si="240">M1823+N1823+O1823+P1823+Q1823</f>
        <v>2209172.2999999998</v>
      </c>
      <c r="M1823" s="529">
        <v>2160000</v>
      </c>
      <c r="N1823" s="391"/>
      <c r="O1823" s="473">
        <v>14853.36</v>
      </c>
      <c r="P1823" s="391"/>
      <c r="Q1823" s="391">
        <v>34318.94</v>
      </c>
      <c r="R1823" s="528">
        <f>M1823/J1823</f>
        <v>27000</v>
      </c>
      <c r="S1823" s="388">
        <f t="shared" si="236"/>
        <v>-1.8917489796876907E-10</v>
      </c>
      <c r="T1823" s="398"/>
      <c r="U1823" s="391"/>
      <c r="V1823" s="390"/>
      <c r="W1823" s="398"/>
      <c r="X1823" s="398"/>
      <c r="Z1823" s="416">
        <v>1</v>
      </c>
      <c r="AA1823" s="416">
        <f>J1823</f>
        <v>80</v>
      </c>
    </row>
    <row r="1824" spans="1:27" s="416" customFormat="1" ht="28.5" hidden="1" customHeight="1">
      <c r="A1824" s="506">
        <f t="shared" si="239"/>
        <v>314</v>
      </c>
      <c r="B1824" s="403" t="s">
        <v>1674</v>
      </c>
      <c r="C1824" s="455" t="s">
        <v>218</v>
      </c>
      <c r="D1824" s="487">
        <v>12240</v>
      </c>
      <c r="E1824" s="391">
        <v>552</v>
      </c>
      <c r="F1824" s="391" t="s">
        <v>223</v>
      </c>
      <c r="G1824" s="391">
        <v>1128</v>
      </c>
      <c r="H1824" s="528">
        <v>5</v>
      </c>
      <c r="I1824" s="528">
        <v>4</v>
      </c>
      <c r="J1824" s="528">
        <v>80</v>
      </c>
      <c r="K1824" s="458" t="s">
        <v>33</v>
      </c>
      <c r="L1824" s="519">
        <f t="shared" si="240"/>
        <v>4008360.56</v>
      </c>
      <c r="M1824" s="529">
        <v>3948000</v>
      </c>
      <c r="N1824" s="391"/>
      <c r="O1824" s="473">
        <v>22623.32</v>
      </c>
      <c r="P1824" s="391"/>
      <c r="Q1824" s="391">
        <v>37737.24</v>
      </c>
      <c r="R1824" s="528">
        <f>M1824/G1824</f>
        <v>3500</v>
      </c>
      <c r="S1824" s="388">
        <f t="shared" si="236"/>
        <v>5.8207660913467407E-11</v>
      </c>
      <c r="T1824" s="398"/>
      <c r="U1824" s="391"/>
      <c r="V1824" s="390"/>
      <c r="W1824" s="398"/>
      <c r="X1824" s="398"/>
    </row>
    <row r="1825" spans="1:27" s="416" customFormat="1" ht="37.5" hidden="1" customHeight="1">
      <c r="A1825" s="506">
        <f t="shared" si="239"/>
        <v>315</v>
      </c>
      <c r="B1825" s="403" t="s">
        <v>1675</v>
      </c>
      <c r="C1825" s="455" t="s">
        <v>272</v>
      </c>
      <c r="D1825" s="487">
        <v>12329</v>
      </c>
      <c r="E1825" s="391">
        <v>937</v>
      </c>
      <c r="F1825" s="391" t="s">
        <v>223</v>
      </c>
      <c r="G1825" s="391">
        <v>1148.9000000000001</v>
      </c>
      <c r="H1825" s="528">
        <v>5</v>
      </c>
      <c r="I1825" s="528">
        <v>4</v>
      </c>
      <c r="J1825" s="528">
        <v>78</v>
      </c>
      <c r="K1825" s="458" t="s">
        <v>33</v>
      </c>
      <c r="L1825" s="519">
        <f t="shared" si="240"/>
        <v>4081784.9300000006</v>
      </c>
      <c r="M1825" s="529">
        <v>4021150.0000000005</v>
      </c>
      <c r="N1825" s="391"/>
      <c r="O1825" s="473">
        <v>22623.31</v>
      </c>
      <c r="P1825" s="391"/>
      <c r="Q1825" s="391">
        <v>38011.620000000003</v>
      </c>
      <c r="R1825" s="528">
        <f>M1825/G1825</f>
        <v>3500</v>
      </c>
      <c r="S1825" s="388">
        <f t="shared" si="236"/>
        <v>1.673470251262188E-10</v>
      </c>
      <c r="T1825" s="398"/>
      <c r="U1825" s="391"/>
      <c r="V1825" s="390"/>
      <c r="W1825" s="398"/>
      <c r="X1825" s="398"/>
    </row>
    <row r="1826" spans="1:27" s="416" customFormat="1" ht="37.5" hidden="1" customHeight="1">
      <c r="A1826" s="506">
        <f t="shared" si="239"/>
        <v>316</v>
      </c>
      <c r="B1826" s="403" t="s">
        <v>1676</v>
      </c>
      <c r="C1826" s="455" t="s">
        <v>218</v>
      </c>
      <c r="D1826" s="487">
        <v>9048</v>
      </c>
      <c r="E1826" s="391">
        <v>2604</v>
      </c>
      <c r="F1826" s="391" t="s">
        <v>223</v>
      </c>
      <c r="G1826" s="391">
        <v>922</v>
      </c>
      <c r="H1826" s="528">
        <v>5</v>
      </c>
      <c r="I1826" s="528">
        <v>3</v>
      </c>
      <c r="J1826" s="528">
        <v>59</v>
      </c>
      <c r="K1826" s="458" t="s">
        <v>33</v>
      </c>
      <c r="L1826" s="519">
        <f t="shared" si="240"/>
        <v>3274443.73</v>
      </c>
      <c r="M1826" s="529">
        <v>3227000</v>
      </c>
      <c r="N1826" s="391"/>
      <c r="O1826" s="473">
        <v>19547.77</v>
      </c>
      <c r="P1826" s="391"/>
      <c r="Q1826" s="391">
        <v>27895.96</v>
      </c>
      <c r="R1826" s="528">
        <f>M1826/G1826</f>
        <v>3500</v>
      </c>
      <c r="S1826" s="388">
        <f t="shared" si="236"/>
        <v>0</v>
      </c>
      <c r="T1826" s="398"/>
      <c r="U1826" s="391"/>
      <c r="V1826" s="390"/>
      <c r="W1826" s="398"/>
      <c r="X1826" s="398"/>
    </row>
    <row r="1827" spans="1:27" s="416" customFormat="1" ht="56.25" hidden="1" customHeight="1">
      <c r="A1827" s="506">
        <f t="shared" si="239"/>
        <v>317</v>
      </c>
      <c r="B1827" s="403" t="s">
        <v>1677</v>
      </c>
      <c r="C1827" s="455" t="s">
        <v>272</v>
      </c>
      <c r="D1827" s="487">
        <v>13100</v>
      </c>
      <c r="E1827" s="391">
        <v>644</v>
      </c>
      <c r="F1827" s="391" t="s">
        <v>223</v>
      </c>
      <c r="G1827" s="391">
        <v>1145</v>
      </c>
      <c r="H1827" s="528">
        <v>5</v>
      </c>
      <c r="I1827" s="528">
        <v>4</v>
      </c>
      <c r="J1827" s="528">
        <v>80</v>
      </c>
      <c r="K1827" s="458" t="s">
        <v>33</v>
      </c>
      <c r="L1827" s="519">
        <f t="shared" si="240"/>
        <v>3496755</v>
      </c>
      <c r="M1827" s="529">
        <v>3435000</v>
      </c>
      <c r="N1827" s="391"/>
      <c r="O1827" s="473">
        <v>21755</v>
      </c>
      <c r="P1827" s="391"/>
      <c r="Q1827" s="391">
        <v>40000</v>
      </c>
      <c r="R1827" s="528">
        <f>M1827/J1827</f>
        <v>42937.5</v>
      </c>
      <c r="S1827" s="388">
        <f t="shared" si="236"/>
        <v>0</v>
      </c>
      <c r="T1827" s="398"/>
      <c r="U1827" s="391"/>
      <c r="V1827" s="390"/>
      <c r="W1827" s="398"/>
      <c r="X1827" s="398"/>
    </row>
    <row r="1828" spans="1:27" s="416" customFormat="1" ht="37.5" hidden="1" customHeight="1">
      <c r="A1828" s="506">
        <f t="shared" si="239"/>
        <v>318</v>
      </c>
      <c r="B1828" s="403" t="s">
        <v>1678</v>
      </c>
      <c r="C1828" s="455" t="s">
        <v>272</v>
      </c>
      <c r="D1828" s="487">
        <v>3675</v>
      </c>
      <c r="E1828" s="391">
        <v>560</v>
      </c>
      <c r="F1828" s="391" t="s">
        <v>223</v>
      </c>
      <c r="G1828" s="391">
        <v>450</v>
      </c>
      <c r="H1828" s="528">
        <v>3</v>
      </c>
      <c r="I1828" s="528">
        <v>1</v>
      </c>
      <c r="J1828" s="528">
        <v>46</v>
      </c>
      <c r="K1828" s="458" t="s">
        <v>33</v>
      </c>
      <c r="L1828" s="519">
        <f t="shared" si="240"/>
        <v>1529582.42</v>
      </c>
      <c r="M1828" s="529">
        <v>1500000</v>
      </c>
      <c r="N1828" s="391"/>
      <c r="O1828" s="473">
        <v>18252</v>
      </c>
      <c r="P1828" s="391"/>
      <c r="Q1828" s="391">
        <v>11330.42</v>
      </c>
      <c r="R1828" s="528">
        <f>M1828/G1828</f>
        <v>3333.3333333333335</v>
      </c>
      <c r="S1828" s="388">
        <f t="shared" si="236"/>
        <v>-7.4578565545380116E-11</v>
      </c>
      <c r="T1828" s="398"/>
      <c r="U1828" s="391"/>
      <c r="V1828" s="390"/>
      <c r="W1828" s="398"/>
      <c r="X1828" s="398"/>
    </row>
    <row r="1829" spans="1:27" s="416" customFormat="1" ht="37.5" hidden="1" customHeight="1">
      <c r="A1829" s="506">
        <f t="shared" si="239"/>
        <v>319</v>
      </c>
      <c r="B1829" s="403" t="s">
        <v>1679</v>
      </c>
      <c r="C1829" s="455" t="s">
        <v>272</v>
      </c>
      <c r="D1829" s="487">
        <v>4087</v>
      </c>
      <c r="E1829" s="391">
        <v>818.4</v>
      </c>
      <c r="F1829" s="391" t="s">
        <v>223</v>
      </c>
      <c r="G1829" s="391">
        <v>555.1</v>
      </c>
      <c r="H1829" s="528">
        <v>2</v>
      </c>
      <c r="I1829" s="528">
        <v>2</v>
      </c>
      <c r="J1829" s="528">
        <v>16</v>
      </c>
      <c r="K1829" s="458" t="s">
        <v>33</v>
      </c>
      <c r="L1829" s="519">
        <f t="shared" si="240"/>
        <v>1591430.13</v>
      </c>
      <c r="M1829" s="529">
        <v>1554280</v>
      </c>
      <c r="N1829" s="391"/>
      <c r="O1829" s="473">
        <v>17237.38</v>
      </c>
      <c r="P1829" s="391"/>
      <c r="Q1829" s="391">
        <v>19912.75</v>
      </c>
      <c r="R1829" s="528">
        <f>M1829/G1829</f>
        <v>2800</v>
      </c>
      <c r="S1829" s="388">
        <f t="shared" si="236"/>
        <v>-1.127773430198431E-10</v>
      </c>
      <c r="T1829" s="398"/>
      <c r="U1829" s="391"/>
      <c r="V1829" s="390"/>
      <c r="W1829" s="398"/>
      <c r="X1829" s="398"/>
    </row>
    <row r="1830" spans="1:27" s="416" customFormat="1" ht="37.5" hidden="1" customHeight="1">
      <c r="A1830" s="506">
        <f t="shared" si="239"/>
        <v>320</v>
      </c>
      <c r="B1830" s="403" t="s">
        <v>1680</v>
      </c>
      <c r="C1830" s="455" t="s">
        <v>272</v>
      </c>
      <c r="D1830" s="487">
        <v>12205</v>
      </c>
      <c r="E1830" s="391">
        <v>2716.8</v>
      </c>
      <c r="F1830" s="391" t="s">
        <v>223</v>
      </c>
      <c r="G1830" s="391">
        <v>1152</v>
      </c>
      <c r="H1830" s="528">
        <v>5</v>
      </c>
      <c r="I1830" s="528">
        <v>4</v>
      </c>
      <c r="J1830" s="528">
        <v>61</v>
      </c>
      <c r="K1830" s="458" t="s">
        <v>225</v>
      </c>
      <c r="L1830" s="519">
        <f t="shared" si="240"/>
        <v>1216511.47</v>
      </c>
      <c r="M1830" s="529">
        <v>1169643</v>
      </c>
      <c r="N1830" s="391">
        <v>31976.32</v>
      </c>
      <c r="O1830" s="530"/>
      <c r="P1830" s="391"/>
      <c r="Q1830" s="391">
        <v>14892.15</v>
      </c>
      <c r="R1830" s="528">
        <f>M1830/J1830</f>
        <v>19174.475409836065</v>
      </c>
      <c r="S1830" s="388">
        <f t="shared" si="236"/>
        <v>-2.7284841053187847E-11</v>
      </c>
      <c r="T1830" s="398"/>
      <c r="U1830" s="391">
        <f>M1830+N1830+O1830+Q1830</f>
        <v>1216511.47</v>
      </c>
      <c r="V1830" s="390"/>
      <c r="W1830" s="398"/>
      <c r="X1830" s="398"/>
    </row>
    <row r="1831" spans="1:27" s="416" customFormat="1" ht="56.25" hidden="1" customHeight="1">
      <c r="A1831" s="506">
        <f t="shared" si="239"/>
        <v>321</v>
      </c>
      <c r="B1831" s="403" t="s">
        <v>1681</v>
      </c>
      <c r="C1831" s="455" t="s">
        <v>272</v>
      </c>
      <c r="D1831" s="487">
        <v>14949</v>
      </c>
      <c r="E1831" s="391">
        <v>3289.2</v>
      </c>
      <c r="F1831" s="391" t="s">
        <v>223</v>
      </c>
      <c r="G1831" s="391">
        <v>1100</v>
      </c>
      <c r="H1831" s="528">
        <v>5</v>
      </c>
      <c r="I1831" s="528">
        <v>4</v>
      </c>
      <c r="J1831" s="528">
        <v>49</v>
      </c>
      <c r="K1831" s="458" t="s">
        <v>30</v>
      </c>
      <c r="L1831" s="519">
        <f t="shared" si="240"/>
        <v>1599541.45</v>
      </c>
      <c r="M1831" s="529">
        <v>1550000</v>
      </c>
      <c r="N1831" s="391"/>
      <c r="O1831" s="473">
        <v>15222.5</v>
      </c>
      <c r="P1831" s="391"/>
      <c r="Q1831" s="391">
        <v>34318.949999999997</v>
      </c>
      <c r="R1831" s="528">
        <f>M1831/J1831</f>
        <v>31632.65306122449</v>
      </c>
      <c r="S1831" s="388">
        <f t="shared" si="236"/>
        <v>0</v>
      </c>
      <c r="T1831" s="398"/>
      <c r="U1831" s="391"/>
      <c r="V1831" s="390"/>
      <c r="W1831" s="398"/>
      <c r="X1831" s="398"/>
      <c r="Z1831" s="416">
        <v>1</v>
      </c>
      <c r="AA1831" s="416">
        <f>J1831</f>
        <v>49</v>
      </c>
    </row>
    <row r="1832" spans="1:27" s="416" customFormat="1" ht="37.5" hidden="1" customHeight="1">
      <c r="A1832" s="506">
        <f t="shared" si="239"/>
        <v>322</v>
      </c>
      <c r="B1832" s="403" t="s">
        <v>1682</v>
      </c>
      <c r="C1832" s="455" t="s">
        <v>272</v>
      </c>
      <c r="D1832" s="487">
        <v>16221</v>
      </c>
      <c r="E1832" s="391">
        <v>2269.6999999999998</v>
      </c>
      <c r="F1832" s="391" t="s">
        <v>223</v>
      </c>
      <c r="G1832" s="391">
        <v>1435</v>
      </c>
      <c r="H1832" s="528">
        <v>4</v>
      </c>
      <c r="I1832" s="528">
        <v>5</v>
      </c>
      <c r="J1832" s="528">
        <v>43</v>
      </c>
      <c r="K1832" s="458" t="s">
        <v>225</v>
      </c>
      <c r="L1832" s="519">
        <f t="shared" si="240"/>
        <v>1353647.8199999998</v>
      </c>
      <c r="M1832" s="529">
        <v>1305708</v>
      </c>
      <c r="N1832" s="391">
        <v>34748.39</v>
      </c>
      <c r="O1832" s="530"/>
      <c r="P1832" s="391">
        <v>0</v>
      </c>
      <c r="Q1832" s="391">
        <v>13191.43</v>
      </c>
      <c r="R1832" s="528">
        <f>M1832/J1832</f>
        <v>30365.302325581397</v>
      </c>
      <c r="S1832" s="388">
        <f t="shared" si="236"/>
        <v>-1.673470251262188E-10</v>
      </c>
      <c r="T1832" s="398"/>
      <c r="U1832" s="391">
        <f>M1832+N1832+O1832+Q1832</f>
        <v>1353647.8199999998</v>
      </c>
      <c r="V1832" s="390"/>
      <c r="W1832" s="398"/>
      <c r="X1832" s="398"/>
    </row>
    <row r="1833" spans="1:27" s="416" customFormat="1" ht="37.5" hidden="1" customHeight="1">
      <c r="A1833" s="506">
        <f t="shared" si="239"/>
        <v>323</v>
      </c>
      <c r="B1833" s="403" t="s">
        <v>1683</v>
      </c>
      <c r="C1833" s="455" t="s">
        <v>218</v>
      </c>
      <c r="D1833" s="487">
        <v>10664</v>
      </c>
      <c r="E1833" s="391">
        <v>1811</v>
      </c>
      <c r="F1833" s="391" t="s">
        <v>223</v>
      </c>
      <c r="G1833" s="391">
        <v>1138</v>
      </c>
      <c r="H1833" s="528">
        <v>5</v>
      </c>
      <c r="I1833" s="528">
        <v>3</v>
      </c>
      <c r="J1833" s="528">
        <v>59</v>
      </c>
      <c r="K1833" s="458" t="s">
        <v>225</v>
      </c>
      <c r="L1833" s="519">
        <f t="shared" si="240"/>
        <v>1129134.28</v>
      </c>
      <c r="M1833" s="529">
        <v>1076900</v>
      </c>
      <c r="N1833" s="391">
        <v>40761.17</v>
      </c>
      <c r="O1833" s="530"/>
      <c r="P1833" s="391"/>
      <c r="Q1833" s="391">
        <v>11473.11</v>
      </c>
      <c r="R1833" s="528">
        <f>M1833/J1833</f>
        <v>18252.542372881355</v>
      </c>
      <c r="S1833" s="388">
        <f t="shared" si="236"/>
        <v>2.9103830456733704E-11</v>
      </c>
      <c r="T1833" s="398"/>
      <c r="U1833" s="391">
        <f>M1833+N1833+O1833+Q1833</f>
        <v>1129134.28</v>
      </c>
      <c r="V1833" s="390"/>
      <c r="W1833" s="398"/>
      <c r="X1833" s="398"/>
    </row>
    <row r="1834" spans="1:27" s="416" customFormat="1" ht="37.5" hidden="1" customHeight="1">
      <c r="A1834" s="506">
        <f t="shared" si="239"/>
        <v>324</v>
      </c>
      <c r="B1834" s="403" t="s">
        <v>1684</v>
      </c>
      <c r="C1834" s="455" t="s">
        <v>218</v>
      </c>
      <c r="D1834" s="487">
        <v>16144</v>
      </c>
      <c r="E1834" s="391">
        <v>3510</v>
      </c>
      <c r="F1834" s="391" t="s">
        <v>234</v>
      </c>
      <c r="G1834" s="391">
        <v>537.79999999999995</v>
      </c>
      <c r="H1834" s="528">
        <v>9</v>
      </c>
      <c r="I1834" s="528">
        <v>2</v>
      </c>
      <c r="J1834" s="528">
        <v>72</v>
      </c>
      <c r="K1834" s="458" t="s">
        <v>225</v>
      </c>
      <c r="L1834" s="519">
        <f t="shared" si="240"/>
        <v>1353241.64</v>
      </c>
      <c r="M1834" s="529">
        <v>1305203</v>
      </c>
      <c r="N1834" s="391">
        <v>31956.42</v>
      </c>
      <c r="O1834" s="530"/>
      <c r="P1834" s="391"/>
      <c r="Q1834" s="391">
        <v>16082.22</v>
      </c>
      <c r="R1834" s="528">
        <f>M1834/J1834</f>
        <v>18127.819444444445</v>
      </c>
      <c r="S1834" s="388">
        <f t="shared" si="236"/>
        <v>-1.0004441719502211E-10</v>
      </c>
      <c r="T1834" s="398"/>
      <c r="U1834" s="391">
        <f>M1834+N1834+O1834+Q1834</f>
        <v>1353241.64</v>
      </c>
      <c r="V1834" s="390"/>
      <c r="W1834" s="398"/>
      <c r="X1834" s="398"/>
    </row>
    <row r="1835" spans="1:27" s="416" customFormat="1" ht="37.5" hidden="1" customHeight="1">
      <c r="A1835" s="506">
        <f t="shared" si="239"/>
        <v>325</v>
      </c>
      <c r="B1835" s="403" t="s">
        <v>1685</v>
      </c>
      <c r="C1835" s="455" t="s">
        <v>230</v>
      </c>
      <c r="D1835" s="487">
        <v>2292</v>
      </c>
      <c r="E1835" s="391">
        <v>780</v>
      </c>
      <c r="F1835" s="391" t="s">
        <v>223</v>
      </c>
      <c r="G1835" s="391">
        <v>498.3</v>
      </c>
      <c r="H1835" s="528">
        <v>2</v>
      </c>
      <c r="I1835" s="528">
        <v>2</v>
      </c>
      <c r="J1835" s="528">
        <v>9</v>
      </c>
      <c r="K1835" s="458" t="s">
        <v>395</v>
      </c>
      <c r="L1835" s="519">
        <f t="shared" si="240"/>
        <v>1328972.6100000001</v>
      </c>
      <c r="M1835" s="529">
        <v>1300000</v>
      </c>
      <c r="N1835" s="391"/>
      <c r="O1835" s="473">
        <v>17805.5</v>
      </c>
      <c r="P1835" s="391"/>
      <c r="Q1835" s="391">
        <v>11167.11</v>
      </c>
      <c r="R1835" s="528">
        <f>M1835/G1835</f>
        <v>2608.8701585390327</v>
      </c>
      <c r="S1835" s="388">
        <f t="shared" si="236"/>
        <v>1.0186340659856796E-10</v>
      </c>
      <c r="T1835" s="398"/>
      <c r="U1835" s="391"/>
      <c r="V1835" s="390"/>
      <c r="W1835" s="398"/>
      <c r="X1835" s="398"/>
    </row>
    <row r="1836" spans="1:27" s="416" customFormat="1" ht="56.25" hidden="1" customHeight="1">
      <c r="A1836" s="506">
        <f t="shared" si="239"/>
        <v>326</v>
      </c>
      <c r="B1836" s="403" t="s">
        <v>1686</v>
      </c>
      <c r="C1836" s="455" t="s">
        <v>272</v>
      </c>
      <c r="D1836" s="487">
        <v>7974</v>
      </c>
      <c r="E1836" s="391">
        <v>1351.64</v>
      </c>
      <c r="F1836" s="391" t="s">
        <v>234</v>
      </c>
      <c r="G1836" s="391">
        <v>505</v>
      </c>
      <c r="H1836" s="528">
        <v>5</v>
      </c>
      <c r="I1836" s="528">
        <v>1</v>
      </c>
      <c r="J1836" s="528">
        <v>20</v>
      </c>
      <c r="K1836" s="458" t="s">
        <v>30</v>
      </c>
      <c r="L1836" s="519">
        <f t="shared" si="240"/>
        <v>1146162.3999999999</v>
      </c>
      <c r="M1836" s="529">
        <v>1100000</v>
      </c>
      <c r="N1836" s="391"/>
      <c r="O1836" s="473">
        <v>24829</v>
      </c>
      <c r="P1836" s="391"/>
      <c r="Q1836" s="391">
        <v>21333.4</v>
      </c>
      <c r="R1836" s="528">
        <f>M1836/J1836</f>
        <v>55000</v>
      </c>
      <c r="S1836" s="388">
        <f t="shared" si="236"/>
        <v>-9.4587448984384537E-11</v>
      </c>
      <c r="T1836" s="398"/>
      <c r="U1836" s="391"/>
      <c r="V1836" s="390"/>
      <c r="W1836" s="398"/>
      <c r="X1836" s="398"/>
      <c r="Z1836" s="416">
        <v>1</v>
      </c>
      <c r="AA1836" s="416">
        <f>J1836</f>
        <v>20</v>
      </c>
    </row>
    <row r="1837" spans="1:27" s="416" customFormat="1" ht="37.5" hidden="1" customHeight="1">
      <c r="A1837" s="506">
        <f t="shared" si="239"/>
        <v>327</v>
      </c>
      <c r="B1837" s="403" t="s">
        <v>1687</v>
      </c>
      <c r="C1837" s="455" t="s">
        <v>218</v>
      </c>
      <c r="D1837" s="487">
        <v>17093</v>
      </c>
      <c r="E1837" s="391">
        <v>2727</v>
      </c>
      <c r="F1837" s="391" t="s">
        <v>234</v>
      </c>
      <c r="G1837" s="391">
        <v>675</v>
      </c>
      <c r="H1837" s="528">
        <v>9</v>
      </c>
      <c r="I1837" s="528">
        <v>2</v>
      </c>
      <c r="J1837" s="528">
        <v>72</v>
      </c>
      <c r="K1837" s="458" t="s">
        <v>225</v>
      </c>
      <c r="L1837" s="519">
        <f t="shared" si="240"/>
        <v>1854430.3</v>
      </c>
      <c r="M1837" s="529">
        <v>1803535</v>
      </c>
      <c r="N1837" s="391">
        <v>32288.75</v>
      </c>
      <c r="O1837" s="530"/>
      <c r="P1837" s="391"/>
      <c r="Q1837" s="391">
        <v>18606.55</v>
      </c>
      <c r="R1837" s="528">
        <f>M1837/J1837</f>
        <v>25049.097222222223</v>
      </c>
      <c r="S1837" s="388">
        <f t="shared" si="236"/>
        <v>4.7293724492192268E-11</v>
      </c>
      <c r="T1837" s="398"/>
      <c r="U1837" s="391">
        <f>M1837+N1837+O1837+Q1837</f>
        <v>1854430.3</v>
      </c>
      <c r="V1837" s="390"/>
      <c r="W1837" s="398"/>
      <c r="X1837" s="398"/>
    </row>
    <row r="1838" spans="1:27" s="416" customFormat="1" ht="51" hidden="1" customHeight="1">
      <c r="A1838" s="506">
        <f t="shared" si="239"/>
        <v>328</v>
      </c>
      <c r="B1838" s="403" t="s">
        <v>1688</v>
      </c>
      <c r="C1838" s="455" t="s">
        <v>218</v>
      </c>
      <c r="D1838" s="487">
        <v>30879</v>
      </c>
      <c r="E1838" s="391">
        <v>5103</v>
      </c>
      <c r="F1838" s="391" t="s">
        <v>234</v>
      </c>
      <c r="G1838" s="391">
        <v>1322</v>
      </c>
      <c r="H1838" s="528">
        <v>9</v>
      </c>
      <c r="I1838" s="528">
        <v>4</v>
      </c>
      <c r="J1838" s="528">
        <v>144</v>
      </c>
      <c r="K1838" s="458" t="s">
        <v>375</v>
      </c>
      <c r="L1838" s="519">
        <f t="shared" si="240"/>
        <v>2909120.8</v>
      </c>
      <c r="M1838" s="529">
        <v>2862116</v>
      </c>
      <c r="N1838" s="391"/>
      <c r="O1838" s="473">
        <v>27104.799999999999</v>
      </c>
      <c r="P1838" s="391"/>
      <c r="Q1838" s="391">
        <v>19900</v>
      </c>
      <c r="R1838" s="528">
        <f>M1838/G1838</f>
        <v>2164.9894099848716</v>
      </c>
      <c r="S1838" s="388">
        <f t="shared" si="236"/>
        <v>-1.8553691916167736E-10</v>
      </c>
      <c r="T1838" s="398"/>
      <c r="U1838" s="391"/>
      <c r="V1838" s="390"/>
      <c r="W1838" s="398"/>
      <c r="X1838" s="398"/>
    </row>
    <row r="1839" spans="1:27" s="416" customFormat="1" ht="37.5" hidden="1" customHeight="1">
      <c r="A1839" s="506">
        <f t="shared" si="239"/>
        <v>329</v>
      </c>
      <c r="B1839" s="403" t="s">
        <v>1689</v>
      </c>
      <c r="C1839" s="455" t="s">
        <v>218</v>
      </c>
      <c r="D1839" s="487">
        <v>15880</v>
      </c>
      <c r="E1839" s="391">
        <v>2552</v>
      </c>
      <c r="F1839" s="391" t="s">
        <v>234</v>
      </c>
      <c r="G1839" s="391">
        <v>692</v>
      </c>
      <c r="H1839" s="528">
        <v>9</v>
      </c>
      <c r="I1839" s="528">
        <v>2</v>
      </c>
      <c r="J1839" s="528">
        <v>72</v>
      </c>
      <c r="K1839" s="458" t="s">
        <v>225</v>
      </c>
      <c r="L1839" s="519">
        <f t="shared" si="240"/>
        <v>1854909.2999999998</v>
      </c>
      <c r="M1839" s="529">
        <v>1806178</v>
      </c>
      <c r="N1839" s="391">
        <v>31863.88</v>
      </c>
      <c r="O1839" s="530"/>
      <c r="P1839" s="391"/>
      <c r="Q1839" s="391">
        <v>16867.419999999998</v>
      </c>
      <c r="R1839" s="528">
        <f>M1839/G1839</f>
        <v>2610.0838150289019</v>
      </c>
      <c r="S1839" s="388">
        <f t="shared" si="236"/>
        <v>-1.8553691916167736E-10</v>
      </c>
      <c r="T1839" s="398"/>
      <c r="U1839" s="391">
        <f>M1839+N1839+O1839+Q1839</f>
        <v>1854909.2999999998</v>
      </c>
      <c r="V1839" s="390"/>
      <c r="W1839" s="398"/>
      <c r="X1839" s="398"/>
    </row>
    <row r="1840" spans="1:27" s="416" customFormat="1" ht="75" hidden="1" customHeight="1">
      <c r="A1840" s="506">
        <f t="shared" si="239"/>
        <v>330</v>
      </c>
      <c r="B1840" s="403" t="s">
        <v>1693</v>
      </c>
      <c r="C1840" s="455" t="s">
        <v>272</v>
      </c>
      <c r="D1840" s="487">
        <v>16361</v>
      </c>
      <c r="E1840" s="391">
        <v>3379</v>
      </c>
      <c r="F1840" s="391" t="s">
        <v>223</v>
      </c>
      <c r="G1840" s="391">
        <v>1487.3</v>
      </c>
      <c r="H1840" s="528">
        <v>5</v>
      </c>
      <c r="I1840" s="528">
        <v>5</v>
      </c>
      <c r="J1840" s="528">
        <v>100</v>
      </c>
      <c r="K1840" s="458" t="s">
        <v>3768</v>
      </c>
      <c r="L1840" s="519">
        <f t="shared" si="240"/>
        <v>8059293.29</v>
      </c>
      <c r="M1840" s="529">
        <v>8000000</v>
      </c>
      <c r="N1840" s="391">
        <v>29593.29</v>
      </c>
      <c r="O1840" s="530"/>
      <c r="P1840" s="391"/>
      <c r="Q1840" s="391">
        <v>29700</v>
      </c>
      <c r="R1840" s="528">
        <f>M1840/E1840</f>
        <v>2367.5643681562592</v>
      </c>
      <c r="S1840" s="388">
        <f t="shared" si="236"/>
        <v>3.637978807091713E-11</v>
      </c>
      <c r="T1840" s="398"/>
      <c r="U1840" s="391"/>
      <c r="V1840" s="390"/>
      <c r="W1840" s="398"/>
      <c r="X1840" s="398"/>
    </row>
    <row r="1841" spans="1:27" s="416" customFormat="1" ht="37.5" hidden="1" customHeight="1">
      <c r="A1841" s="506">
        <f t="shared" si="239"/>
        <v>331</v>
      </c>
      <c r="B1841" s="403" t="s">
        <v>1694</v>
      </c>
      <c r="C1841" s="455" t="s">
        <v>272</v>
      </c>
      <c r="D1841" s="487">
        <v>18762</v>
      </c>
      <c r="E1841" s="391">
        <v>3460</v>
      </c>
      <c r="F1841" s="391" t="s">
        <v>234</v>
      </c>
      <c r="G1841" s="391">
        <v>613</v>
      </c>
      <c r="H1841" s="528">
        <v>12</v>
      </c>
      <c r="I1841" s="528">
        <v>1</v>
      </c>
      <c r="J1841" s="528">
        <v>83</v>
      </c>
      <c r="K1841" s="458" t="s">
        <v>33</v>
      </c>
      <c r="L1841" s="519">
        <f t="shared" si="240"/>
        <v>1680567.9</v>
      </c>
      <c r="M1841" s="529">
        <v>1634578</v>
      </c>
      <c r="N1841" s="391"/>
      <c r="O1841" s="473">
        <v>26089.9</v>
      </c>
      <c r="P1841" s="391"/>
      <c r="Q1841" s="391">
        <v>19900</v>
      </c>
      <c r="R1841" s="528">
        <f>M1841/G1841</f>
        <v>2666.5220228384992</v>
      </c>
      <c r="S1841" s="388">
        <f t="shared" si="236"/>
        <v>-9.4587448984384537E-11</v>
      </c>
      <c r="T1841" s="398"/>
      <c r="U1841" s="391"/>
      <c r="V1841" s="390"/>
      <c r="W1841" s="398"/>
      <c r="X1841" s="398"/>
    </row>
    <row r="1842" spans="1:27" s="416" customFormat="1" ht="37.5" hidden="1" customHeight="1">
      <c r="A1842" s="506">
        <f t="shared" si="239"/>
        <v>332</v>
      </c>
      <c r="B1842" s="403" t="s">
        <v>1695</v>
      </c>
      <c r="C1842" s="455" t="s">
        <v>218</v>
      </c>
      <c r="D1842" s="487">
        <v>15865</v>
      </c>
      <c r="E1842" s="391">
        <v>3400</v>
      </c>
      <c r="F1842" s="391" t="s">
        <v>234</v>
      </c>
      <c r="G1842" s="391">
        <v>685</v>
      </c>
      <c r="H1842" s="528">
        <v>9</v>
      </c>
      <c r="I1842" s="528">
        <v>2</v>
      </c>
      <c r="J1842" s="528">
        <v>72</v>
      </c>
      <c r="K1842" s="458" t="s">
        <v>33</v>
      </c>
      <c r="L1842" s="519">
        <f t="shared" si="240"/>
        <v>1379257.94</v>
      </c>
      <c r="M1842" s="529">
        <v>1334074</v>
      </c>
      <c r="N1842" s="391"/>
      <c r="O1842" s="473">
        <v>25283.94</v>
      </c>
      <c r="P1842" s="391"/>
      <c r="Q1842" s="391">
        <v>19900</v>
      </c>
      <c r="R1842" s="528">
        <f>M1842/G1842</f>
        <v>1947.5532846715328</v>
      </c>
      <c r="S1842" s="388">
        <f t="shared" si="236"/>
        <v>-5.4569682106375694E-11</v>
      </c>
      <c r="T1842" s="398"/>
      <c r="U1842" s="391"/>
      <c r="V1842" s="390"/>
      <c r="W1842" s="398"/>
      <c r="X1842" s="398"/>
    </row>
    <row r="1843" spans="1:27" s="416" customFormat="1" ht="37.5" hidden="1" customHeight="1">
      <c r="A1843" s="506">
        <f t="shared" si="239"/>
        <v>333</v>
      </c>
      <c r="B1843" s="403" t="s">
        <v>1696</v>
      </c>
      <c r="C1843" s="455" t="s">
        <v>272</v>
      </c>
      <c r="D1843" s="487">
        <v>11439</v>
      </c>
      <c r="E1843" s="391">
        <v>1300</v>
      </c>
      <c r="F1843" s="391" t="s">
        <v>234</v>
      </c>
      <c r="G1843" s="391">
        <v>416</v>
      </c>
      <c r="H1843" s="528">
        <v>9</v>
      </c>
      <c r="I1843" s="528">
        <v>1</v>
      </c>
      <c r="J1843" s="528">
        <v>51</v>
      </c>
      <c r="K1843" s="458" t="s">
        <v>225</v>
      </c>
      <c r="L1843" s="519">
        <f t="shared" si="240"/>
        <v>1197223.3500000001</v>
      </c>
      <c r="M1843" s="529">
        <v>1152900</v>
      </c>
      <c r="N1843" s="391">
        <v>32470.83</v>
      </c>
      <c r="O1843" s="530"/>
      <c r="P1843" s="391"/>
      <c r="Q1843" s="391">
        <v>11852.52</v>
      </c>
      <c r="R1843" s="528">
        <f>M1843/J1843</f>
        <v>22605.882352941175</v>
      </c>
      <c r="S1843" s="388">
        <f t="shared" si="236"/>
        <v>9.0949470177292824E-11</v>
      </c>
      <c r="T1843" s="398"/>
      <c r="U1843" s="391">
        <f>M1843+N1843+O1843+Q1843</f>
        <v>1197223.3500000001</v>
      </c>
      <c r="V1843" s="390"/>
      <c r="W1843" s="398"/>
      <c r="X1843" s="398"/>
    </row>
    <row r="1844" spans="1:27" s="416" customFormat="1" ht="37.5" hidden="1" customHeight="1">
      <c r="A1844" s="506">
        <f t="shared" si="239"/>
        <v>334</v>
      </c>
      <c r="B1844" s="403" t="s">
        <v>1697</v>
      </c>
      <c r="C1844" s="455" t="s">
        <v>272</v>
      </c>
      <c r="D1844" s="487">
        <v>9741</v>
      </c>
      <c r="E1844" s="391">
        <v>3600</v>
      </c>
      <c r="F1844" s="391" t="s">
        <v>234</v>
      </c>
      <c r="G1844" s="391">
        <v>319</v>
      </c>
      <c r="H1844" s="528">
        <v>9</v>
      </c>
      <c r="I1844" s="528">
        <v>1</v>
      </c>
      <c r="J1844" s="528">
        <v>54</v>
      </c>
      <c r="K1844" s="458" t="s">
        <v>38</v>
      </c>
      <c r="L1844" s="519">
        <f>M1844+N1844+O1844+P1844+Q1844+M1845+N1845+O1845+Q1845</f>
        <v>7278788.5600000005</v>
      </c>
      <c r="M1844" s="529">
        <v>6000000</v>
      </c>
      <c r="N1844" s="391">
        <v>29710.7</v>
      </c>
      <c r="O1844" s="530"/>
      <c r="P1844" s="391"/>
      <c r="Q1844" s="391">
        <v>21270.86</v>
      </c>
      <c r="R1844" s="528">
        <f>M1844/E1844</f>
        <v>1666.6666666666667</v>
      </c>
      <c r="S1844" s="388">
        <f t="shared" si="236"/>
        <v>1227807.0000000005</v>
      </c>
      <c r="T1844" s="398"/>
      <c r="U1844" s="391"/>
      <c r="V1844" s="390"/>
      <c r="W1844" s="398"/>
      <c r="X1844" s="398"/>
    </row>
    <row r="1845" spans="1:27" s="416" customFormat="1" ht="37.5" hidden="1" customHeight="1">
      <c r="A1845" s="506"/>
      <c r="B1845" s="403"/>
      <c r="C1845" s="455"/>
      <c r="D1845" s="487"/>
      <c r="E1845" s="391"/>
      <c r="F1845" s="391"/>
      <c r="G1845" s="391"/>
      <c r="H1845" s="528"/>
      <c r="I1845" s="528"/>
      <c r="J1845" s="528"/>
      <c r="K1845" s="458" t="s">
        <v>225</v>
      </c>
      <c r="L1845" s="519"/>
      <c r="M1845" s="529">
        <v>1188000</v>
      </c>
      <c r="N1845" s="391">
        <v>39807</v>
      </c>
      <c r="O1845" s="530"/>
      <c r="P1845" s="391"/>
      <c r="Q1845" s="391"/>
      <c r="R1845" s="528"/>
      <c r="S1845" s="388">
        <f t="shared" si="236"/>
        <v>-1227807</v>
      </c>
      <c r="T1845" s="398"/>
      <c r="U1845" s="391">
        <f>M1845+N1845+O1845+Q1845</f>
        <v>1227807</v>
      </c>
      <c r="V1845" s="390"/>
      <c r="W1845" s="398"/>
      <c r="X1845" s="398"/>
    </row>
    <row r="1846" spans="1:27" s="416" customFormat="1" ht="56.25" hidden="1" customHeight="1">
      <c r="A1846" s="506">
        <f>A1844+1</f>
        <v>335</v>
      </c>
      <c r="B1846" s="403" t="s">
        <v>1698</v>
      </c>
      <c r="C1846" s="455" t="s">
        <v>272</v>
      </c>
      <c r="D1846" s="487">
        <v>19418</v>
      </c>
      <c r="E1846" s="391">
        <v>2550</v>
      </c>
      <c r="F1846" s="391" t="s">
        <v>223</v>
      </c>
      <c r="G1846" s="391">
        <v>1803</v>
      </c>
      <c r="H1846" s="528">
        <v>5</v>
      </c>
      <c r="I1846" s="528">
        <v>6</v>
      </c>
      <c r="J1846" s="528">
        <v>106</v>
      </c>
      <c r="K1846" s="458" t="s">
        <v>30</v>
      </c>
      <c r="L1846" s="519">
        <f>M1846+N1846+O1846+P1846+Q1846</f>
        <v>2918223</v>
      </c>
      <c r="M1846" s="529">
        <v>2862000</v>
      </c>
      <c r="N1846" s="391"/>
      <c r="O1846" s="473">
        <v>16423</v>
      </c>
      <c r="P1846" s="391"/>
      <c r="Q1846" s="391">
        <v>39800</v>
      </c>
      <c r="R1846" s="528">
        <f>M1846/J1846</f>
        <v>27000</v>
      </c>
      <c r="S1846" s="388">
        <f t="shared" si="236"/>
        <v>0</v>
      </c>
      <c r="T1846" s="398"/>
      <c r="U1846" s="391"/>
      <c r="V1846" s="390"/>
      <c r="W1846" s="398"/>
      <c r="X1846" s="398"/>
      <c r="Z1846" s="416">
        <v>1</v>
      </c>
      <c r="AA1846" s="416">
        <f>J1846</f>
        <v>106</v>
      </c>
    </row>
    <row r="1847" spans="1:27" s="416" customFormat="1" ht="37.5" hidden="1" customHeight="1">
      <c r="A1847" s="506">
        <f t="shared" si="239"/>
        <v>336</v>
      </c>
      <c r="B1847" s="403" t="s">
        <v>1699</v>
      </c>
      <c r="C1847" s="455" t="s">
        <v>218</v>
      </c>
      <c r="D1847" s="487">
        <v>21439</v>
      </c>
      <c r="E1847" s="391">
        <v>4155</v>
      </c>
      <c r="F1847" s="391" t="s">
        <v>223</v>
      </c>
      <c r="G1847" s="391">
        <v>1977</v>
      </c>
      <c r="H1847" s="528">
        <v>5</v>
      </c>
      <c r="I1847" s="528">
        <v>7</v>
      </c>
      <c r="J1847" s="528">
        <v>139</v>
      </c>
      <c r="K1847" s="458" t="s">
        <v>225</v>
      </c>
      <c r="L1847" s="519">
        <f>M1847+N1847+O1847+P1847+Q1847</f>
        <v>2422588.41</v>
      </c>
      <c r="M1847" s="529">
        <v>2356900</v>
      </c>
      <c r="N1847" s="391">
        <v>45888.41</v>
      </c>
      <c r="O1847" s="530"/>
      <c r="P1847" s="391"/>
      <c r="Q1847" s="391">
        <v>19800</v>
      </c>
      <c r="R1847" s="528">
        <f>M1847/J1847</f>
        <v>16956.115107913669</v>
      </c>
      <c r="S1847" s="388">
        <f t="shared" si="236"/>
        <v>1.4551915228366852E-10</v>
      </c>
      <c r="T1847" s="398"/>
      <c r="U1847" s="391">
        <f>M1847+N1847+O1847+Q1847</f>
        <v>2422588.41</v>
      </c>
      <c r="V1847" s="390"/>
      <c r="W1847" s="398"/>
      <c r="X1847" s="398"/>
    </row>
    <row r="1848" spans="1:27" s="416" customFormat="1" ht="56.25" hidden="1" customHeight="1">
      <c r="A1848" s="506">
        <f t="shared" si="239"/>
        <v>337</v>
      </c>
      <c r="B1848" s="403" t="s">
        <v>1700</v>
      </c>
      <c r="C1848" s="455" t="s">
        <v>272</v>
      </c>
      <c r="D1848" s="487">
        <v>57000</v>
      </c>
      <c r="E1848" s="391">
        <v>18097.5</v>
      </c>
      <c r="F1848" s="391" t="s">
        <v>234</v>
      </c>
      <c r="G1848" s="391">
        <v>2552</v>
      </c>
      <c r="H1848" s="528">
        <v>13</v>
      </c>
      <c r="I1848" s="528">
        <v>4</v>
      </c>
      <c r="J1848" s="528">
        <v>208</v>
      </c>
      <c r="K1848" s="458" t="s">
        <v>30</v>
      </c>
      <c r="L1848" s="519">
        <f>M1848+N1848+O1848+P1848+Q1848</f>
        <v>6722379.4400000004</v>
      </c>
      <c r="M1848" s="529">
        <v>6656000</v>
      </c>
      <c r="N1848" s="391"/>
      <c r="O1848" s="473">
        <v>26579.439999999999</v>
      </c>
      <c r="P1848" s="391"/>
      <c r="Q1848" s="391">
        <v>39800</v>
      </c>
      <c r="R1848" s="528">
        <f>M1848/J1848</f>
        <v>32000</v>
      </c>
      <c r="S1848" s="388">
        <f t="shared" si="236"/>
        <v>4.0745362639427185E-10</v>
      </c>
      <c r="T1848" s="398"/>
      <c r="U1848" s="391"/>
      <c r="V1848" s="390"/>
      <c r="W1848" s="398"/>
      <c r="X1848" s="398"/>
      <c r="Z1848" s="416">
        <v>1</v>
      </c>
      <c r="AA1848" s="416">
        <f>J1848</f>
        <v>208</v>
      </c>
    </row>
    <row r="1849" spans="1:27" s="416" customFormat="1" ht="37.5" hidden="1" customHeight="1">
      <c r="A1849" s="506">
        <f t="shared" si="239"/>
        <v>338</v>
      </c>
      <c r="B1849" s="403" t="s">
        <v>1701</v>
      </c>
      <c r="C1849" s="455" t="s">
        <v>272</v>
      </c>
      <c r="D1849" s="487">
        <v>46280</v>
      </c>
      <c r="E1849" s="391">
        <v>4214</v>
      </c>
      <c r="F1849" s="391" t="s">
        <v>234</v>
      </c>
      <c r="G1849" s="391">
        <v>1549</v>
      </c>
      <c r="H1849" s="528">
        <v>10</v>
      </c>
      <c r="I1849" s="528">
        <v>2</v>
      </c>
      <c r="J1849" s="528">
        <v>172</v>
      </c>
      <c r="K1849" s="458" t="s">
        <v>33</v>
      </c>
      <c r="L1849" s="519">
        <f>M1849+N1849+O1849+P1849+Q1849+M1850+N1850+O1850+Q1850</f>
        <v>6218587</v>
      </c>
      <c r="M1849" s="529">
        <v>3600000</v>
      </c>
      <c r="N1849" s="391">
        <v>48162</v>
      </c>
      <c r="O1849" s="473"/>
      <c r="P1849" s="391"/>
      <c r="Q1849" s="391">
        <v>19900</v>
      </c>
      <c r="R1849" s="528">
        <f>M1849/G1849</f>
        <v>2324.0800516462232</v>
      </c>
      <c r="S1849" s="388">
        <f t="shared" si="236"/>
        <v>2550525</v>
      </c>
      <c r="T1849" s="398"/>
      <c r="U1849" s="391"/>
      <c r="V1849" s="390"/>
      <c r="W1849" s="398"/>
      <c r="X1849" s="398"/>
    </row>
    <row r="1850" spans="1:27" s="416" customFormat="1" ht="37.5" hidden="1" customHeight="1">
      <c r="A1850" s="506"/>
      <c r="B1850" s="403"/>
      <c r="C1850" s="455"/>
      <c r="D1850" s="487"/>
      <c r="E1850" s="391"/>
      <c r="F1850" s="391"/>
      <c r="G1850" s="391"/>
      <c r="H1850" s="528"/>
      <c r="I1850" s="528"/>
      <c r="J1850" s="528"/>
      <c r="K1850" s="458" t="s">
        <v>4234</v>
      </c>
      <c r="L1850" s="519"/>
      <c r="M1850" s="391">
        <f>840*3000</f>
        <v>2520000</v>
      </c>
      <c r="N1850" s="391">
        <v>30525</v>
      </c>
      <c r="O1850" s="388"/>
      <c r="P1850" s="391"/>
      <c r="Q1850" s="391"/>
      <c r="R1850" s="528"/>
      <c r="S1850" s="388">
        <f t="shared" si="236"/>
        <v>-2550525</v>
      </c>
      <c r="T1850" s="398"/>
      <c r="U1850" s="391"/>
      <c r="V1850" s="390"/>
      <c r="W1850" s="398"/>
      <c r="X1850" s="398"/>
    </row>
    <row r="1851" spans="1:27" s="416" customFormat="1" ht="37.5" hidden="1" customHeight="1">
      <c r="A1851" s="506">
        <f>A1849+1</f>
        <v>339</v>
      </c>
      <c r="B1851" s="403" t="s">
        <v>1702</v>
      </c>
      <c r="C1851" s="455" t="s">
        <v>272</v>
      </c>
      <c r="D1851" s="487">
        <v>23969</v>
      </c>
      <c r="E1851" s="391">
        <v>3720</v>
      </c>
      <c r="F1851" s="391" t="s">
        <v>234</v>
      </c>
      <c r="G1851" s="391">
        <v>900</v>
      </c>
      <c r="H1851" s="528">
        <v>10</v>
      </c>
      <c r="I1851" s="528">
        <v>2</v>
      </c>
      <c r="J1851" s="528">
        <v>83</v>
      </c>
      <c r="K1851" s="458" t="s">
        <v>33</v>
      </c>
      <c r="L1851" s="519">
        <f>M1851+N1851+O1851+P1851+Q1851</f>
        <v>3133471</v>
      </c>
      <c r="M1851" s="529">
        <v>3087000</v>
      </c>
      <c r="N1851" s="391"/>
      <c r="O1851" s="473">
        <v>26571</v>
      </c>
      <c r="P1851" s="391"/>
      <c r="Q1851" s="391">
        <v>19900</v>
      </c>
      <c r="R1851" s="528">
        <f>M1851/G1851</f>
        <v>3430</v>
      </c>
      <c r="S1851" s="388">
        <f t="shared" ref="S1851:S1915" si="241">L1851-M1851-N1851-O1851-P1851-Q1851</f>
        <v>0</v>
      </c>
      <c r="T1851" s="398"/>
      <c r="U1851" s="391"/>
      <c r="V1851" s="390"/>
      <c r="W1851" s="398"/>
      <c r="X1851" s="398"/>
    </row>
    <row r="1852" spans="1:27" s="416" customFormat="1" ht="33.75" hidden="1" customHeight="1">
      <c r="A1852" s="506">
        <f t="shared" si="239"/>
        <v>340</v>
      </c>
      <c r="B1852" s="403" t="s">
        <v>1703</v>
      </c>
      <c r="C1852" s="455" t="s">
        <v>218</v>
      </c>
      <c r="D1852" s="487">
        <v>15762</v>
      </c>
      <c r="E1852" s="391">
        <v>2650</v>
      </c>
      <c r="F1852" s="391" t="s">
        <v>234</v>
      </c>
      <c r="G1852" s="391">
        <v>685</v>
      </c>
      <c r="H1852" s="528">
        <v>9</v>
      </c>
      <c r="I1852" s="528">
        <v>2</v>
      </c>
      <c r="J1852" s="528">
        <v>70</v>
      </c>
      <c r="K1852" s="458" t="s">
        <v>33</v>
      </c>
      <c r="L1852" s="519">
        <f>M1852+N1852+O1852+P1852+Q1852</f>
        <v>1483783</v>
      </c>
      <c r="M1852" s="529">
        <v>1438500</v>
      </c>
      <c r="N1852" s="391"/>
      <c r="O1852" s="473">
        <v>25383</v>
      </c>
      <c r="P1852" s="391"/>
      <c r="Q1852" s="391">
        <v>19900</v>
      </c>
      <c r="R1852" s="528">
        <f>M1852/G1852</f>
        <v>2100</v>
      </c>
      <c r="S1852" s="388">
        <f t="shared" si="241"/>
        <v>0</v>
      </c>
      <c r="T1852" s="398"/>
      <c r="U1852" s="391"/>
      <c r="V1852" s="390"/>
      <c r="W1852" s="398"/>
      <c r="X1852" s="398"/>
    </row>
    <row r="1853" spans="1:27" s="416" customFormat="1" ht="37.5" hidden="1" customHeight="1">
      <c r="A1853" s="506">
        <f t="shared" si="239"/>
        <v>341</v>
      </c>
      <c r="B1853" s="403" t="s">
        <v>1704</v>
      </c>
      <c r="C1853" s="455" t="s">
        <v>272</v>
      </c>
      <c r="D1853" s="487">
        <v>70562</v>
      </c>
      <c r="E1853" s="391">
        <v>3463</v>
      </c>
      <c r="F1853" s="391" t="s">
        <v>234</v>
      </c>
      <c r="G1853" s="391">
        <v>1470</v>
      </c>
      <c r="H1853" s="528">
        <v>16</v>
      </c>
      <c r="I1853" s="528">
        <v>2</v>
      </c>
      <c r="J1853" s="528">
        <v>174</v>
      </c>
      <c r="K1853" s="458" t="s">
        <v>239</v>
      </c>
      <c r="L1853" s="519">
        <f>M1853+N1853+O1853+P1853+Q1853</f>
        <v>4774510</v>
      </c>
      <c r="M1853" s="529">
        <v>4698000</v>
      </c>
      <c r="N1853" s="391">
        <v>36710</v>
      </c>
      <c r="O1853" s="530"/>
      <c r="P1853" s="391"/>
      <c r="Q1853" s="391">
        <v>39800</v>
      </c>
      <c r="R1853" s="528">
        <f>M1853/J1853</f>
        <v>27000</v>
      </c>
      <c r="S1853" s="388">
        <f t="shared" si="241"/>
        <v>0</v>
      </c>
      <c r="T1853" s="398"/>
      <c r="U1853" s="391"/>
      <c r="V1853" s="390"/>
      <c r="W1853" s="398"/>
      <c r="X1853" s="398"/>
    </row>
    <row r="1854" spans="1:27" s="416" customFormat="1" ht="37.5" hidden="1" customHeight="1">
      <c r="A1854" s="506">
        <f t="shared" si="239"/>
        <v>342</v>
      </c>
      <c r="B1854" s="403" t="s">
        <v>1705</v>
      </c>
      <c r="C1854" s="455" t="s">
        <v>272</v>
      </c>
      <c r="D1854" s="487">
        <v>21101</v>
      </c>
      <c r="E1854" s="391">
        <v>3171.6</v>
      </c>
      <c r="F1854" s="391" t="s">
        <v>234</v>
      </c>
      <c r="G1854" s="391">
        <v>814</v>
      </c>
      <c r="H1854" s="528">
        <v>9</v>
      </c>
      <c r="I1854" s="528">
        <v>1</v>
      </c>
      <c r="J1854" s="528">
        <v>40</v>
      </c>
      <c r="K1854" s="458" t="s">
        <v>225</v>
      </c>
      <c r="L1854" s="519">
        <f>M1854+N1854+O1854+P1854+Q1854</f>
        <v>4689092.6900000004</v>
      </c>
      <c r="M1854" s="529">
        <v>4635599</v>
      </c>
      <c r="N1854" s="391">
        <v>33693.69</v>
      </c>
      <c r="O1854" s="530"/>
      <c r="P1854" s="391"/>
      <c r="Q1854" s="391">
        <v>19800</v>
      </c>
      <c r="R1854" s="528">
        <f>M1854/J1854</f>
        <v>115889.97500000001</v>
      </c>
      <c r="S1854" s="388">
        <f t="shared" si="241"/>
        <v>4.0745362639427185E-10</v>
      </c>
      <c r="T1854" s="398"/>
      <c r="U1854" s="391">
        <f>M1854+N1854+O1854+Q1854</f>
        <v>4689092.6900000004</v>
      </c>
      <c r="V1854" s="390"/>
      <c r="W1854" s="398"/>
      <c r="X1854" s="398"/>
    </row>
    <row r="1855" spans="1:27" s="416" customFormat="1" ht="37.5" hidden="1" customHeight="1">
      <c r="A1855" s="543">
        <f>A1854+1</f>
        <v>343</v>
      </c>
      <c r="B1855" s="403" t="s">
        <v>1706</v>
      </c>
      <c r="C1855" s="455" t="s">
        <v>272</v>
      </c>
      <c r="D1855" s="487">
        <v>25083</v>
      </c>
      <c r="E1855" s="391">
        <v>4056</v>
      </c>
      <c r="F1855" s="391" t="s">
        <v>234</v>
      </c>
      <c r="G1855" s="391">
        <v>1991</v>
      </c>
      <c r="H1855" s="528">
        <v>12</v>
      </c>
      <c r="I1855" s="528">
        <v>1</v>
      </c>
      <c r="J1855" s="528">
        <v>77</v>
      </c>
      <c r="K1855" s="458" t="s">
        <v>33</v>
      </c>
      <c r="L1855" s="1129">
        <f>M1855+N1855+O1855+P1855+Q1855+M1856+N1856+O1856+P1856+Q1856</f>
        <v>5797237.9299999997</v>
      </c>
      <c r="M1855" s="529">
        <v>4181100</v>
      </c>
      <c r="N1855" s="391"/>
      <c r="O1855" s="473">
        <v>27849.05</v>
      </c>
      <c r="P1855" s="391"/>
      <c r="Q1855" s="391">
        <v>19900</v>
      </c>
      <c r="R1855" s="528">
        <f>M1855/G1855</f>
        <v>2100</v>
      </c>
      <c r="S1855" s="388">
        <f t="shared" si="241"/>
        <v>1568388.8799999997</v>
      </c>
      <c r="T1855" s="398"/>
      <c r="U1855" s="391"/>
      <c r="V1855" s="390"/>
      <c r="W1855" s="398"/>
      <c r="X1855" s="398"/>
    </row>
    <row r="1856" spans="1:27" s="416" customFormat="1" ht="37.5" hidden="1" customHeight="1">
      <c r="A1856" s="543"/>
      <c r="B1856" s="403"/>
      <c r="C1856" s="455"/>
      <c r="D1856" s="487"/>
      <c r="E1856" s="391"/>
      <c r="F1856" s="391"/>
      <c r="G1856" s="391"/>
      <c r="H1856" s="528"/>
      <c r="I1856" s="528"/>
      <c r="J1856" s="528"/>
      <c r="K1856" s="458" t="s">
        <v>225</v>
      </c>
      <c r="L1856" s="1129"/>
      <c r="M1856" s="529">
        <v>1513341</v>
      </c>
      <c r="N1856" s="391">
        <v>35247.879999999997</v>
      </c>
      <c r="O1856" s="530"/>
      <c r="P1856" s="391"/>
      <c r="Q1856" s="391">
        <v>19800</v>
      </c>
      <c r="R1856" s="528">
        <f>M1856/J1855</f>
        <v>19653.779220779219</v>
      </c>
      <c r="S1856" s="388">
        <f t="shared" si="241"/>
        <v>-1568388.88</v>
      </c>
      <c r="T1856" s="398"/>
      <c r="U1856" s="391">
        <f>M1856+N1856+O1856+Q1856</f>
        <v>1568388.88</v>
      </c>
      <c r="V1856" s="390"/>
      <c r="W1856" s="398"/>
      <c r="X1856" s="398"/>
    </row>
    <row r="1857" spans="1:27" s="416" customFormat="1" ht="37.5" hidden="1" customHeight="1">
      <c r="A1857" s="506">
        <f>A1855+1</f>
        <v>344</v>
      </c>
      <c r="B1857" s="403" t="s">
        <v>1707</v>
      </c>
      <c r="C1857" s="455" t="s">
        <v>272</v>
      </c>
      <c r="D1857" s="487">
        <v>14123</v>
      </c>
      <c r="E1857" s="391">
        <v>2390</v>
      </c>
      <c r="F1857" s="391" t="s">
        <v>223</v>
      </c>
      <c r="G1857" s="391">
        <v>1148</v>
      </c>
      <c r="H1857" s="528">
        <v>5</v>
      </c>
      <c r="I1857" s="528">
        <v>4</v>
      </c>
      <c r="J1857" s="528">
        <v>80</v>
      </c>
      <c r="K1857" s="458" t="s">
        <v>33</v>
      </c>
      <c r="L1857" s="519">
        <f>M1857+N1857+O1857+P1857+Q1857</f>
        <v>4079154.69</v>
      </c>
      <c r="M1857" s="529">
        <v>4018000</v>
      </c>
      <c r="N1857" s="391"/>
      <c r="O1857" s="473">
        <v>21354.69</v>
      </c>
      <c r="P1857" s="391"/>
      <c r="Q1857" s="391">
        <v>39800</v>
      </c>
      <c r="R1857" s="528">
        <f>M1857/G1857</f>
        <v>3500</v>
      </c>
      <c r="S1857" s="388">
        <f t="shared" si="241"/>
        <v>-5.8207660913467407E-11</v>
      </c>
      <c r="T1857" s="398"/>
      <c r="U1857" s="391"/>
      <c r="V1857" s="390"/>
      <c r="W1857" s="398"/>
      <c r="X1857" s="398"/>
    </row>
    <row r="1858" spans="1:27" s="416" customFormat="1" ht="37.5" hidden="1" customHeight="1">
      <c r="A1858" s="506">
        <f t="shared" si="239"/>
        <v>345</v>
      </c>
      <c r="B1858" s="403" t="s">
        <v>1708</v>
      </c>
      <c r="C1858" s="455" t="s">
        <v>272</v>
      </c>
      <c r="D1858" s="487">
        <v>6438</v>
      </c>
      <c r="E1858" s="391">
        <v>1859.2</v>
      </c>
      <c r="F1858" s="391" t="s">
        <v>223</v>
      </c>
      <c r="G1858" s="391">
        <v>876</v>
      </c>
      <c r="H1858" s="528">
        <v>5</v>
      </c>
      <c r="I1858" s="528">
        <v>2</v>
      </c>
      <c r="J1858" s="528">
        <v>37</v>
      </c>
      <c r="K1858" s="458" t="s">
        <v>33</v>
      </c>
      <c r="L1858" s="519">
        <f>M1858+N1858+O1858+P1858+Q1858</f>
        <v>3111796.05</v>
      </c>
      <c r="M1858" s="529">
        <v>3066000</v>
      </c>
      <c r="N1858" s="391"/>
      <c r="O1858" s="473">
        <v>25947</v>
      </c>
      <c r="P1858" s="391"/>
      <c r="Q1858" s="391">
        <v>19849.05</v>
      </c>
      <c r="R1858" s="528">
        <f>M1858/G1858</f>
        <v>3500</v>
      </c>
      <c r="S1858" s="388">
        <f t="shared" si="241"/>
        <v>-1.8553691916167736E-10</v>
      </c>
      <c r="T1858" s="398"/>
      <c r="U1858" s="391"/>
      <c r="V1858" s="390"/>
      <c r="W1858" s="398"/>
      <c r="X1858" s="398"/>
    </row>
    <row r="1859" spans="1:27" s="416" customFormat="1" ht="37.5" hidden="1" customHeight="1">
      <c r="A1859" s="506">
        <f t="shared" si="239"/>
        <v>346</v>
      </c>
      <c r="B1859" s="403" t="s">
        <v>1709</v>
      </c>
      <c r="C1859" s="455" t="s">
        <v>272</v>
      </c>
      <c r="D1859" s="487">
        <v>14556</v>
      </c>
      <c r="E1859" s="391">
        <v>2450</v>
      </c>
      <c r="F1859" s="391" t="s">
        <v>223</v>
      </c>
      <c r="G1859" s="391">
        <v>1162</v>
      </c>
      <c r="H1859" s="528">
        <v>5</v>
      </c>
      <c r="I1859" s="528">
        <v>4</v>
      </c>
      <c r="J1859" s="528">
        <v>64</v>
      </c>
      <c r="K1859" s="458" t="s">
        <v>225</v>
      </c>
      <c r="L1859" s="519">
        <f>M1859+N1859+O1859+P1859+Q1859</f>
        <v>768404.38</v>
      </c>
      <c r="M1859" s="529">
        <v>708286</v>
      </c>
      <c r="N1859" s="391">
        <v>42612.86</v>
      </c>
      <c r="O1859" s="530"/>
      <c r="P1859" s="391"/>
      <c r="Q1859" s="391">
        <v>17505.52</v>
      </c>
      <c r="R1859" s="528">
        <f>M1859/J1859</f>
        <v>11066.96875</v>
      </c>
      <c r="S1859" s="388">
        <f t="shared" si="241"/>
        <v>0</v>
      </c>
      <c r="T1859" s="398"/>
      <c r="U1859" s="391">
        <f>M1859+N1859+O1859+Q1859</f>
        <v>768404.38</v>
      </c>
      <c r="V1859" s="390"/>
      <c r="W1859" s="398"/>
      <c r="X1859" s="398"/>
    </row>
    <row r="1860" spans="1:27" s="416" customFormat="1" ht="58.5" hidden="1" customHeight="1">
      <c r="A1860" s="543">
        <f>A1859+1</f>
        <v>347</v>
      </c>
      <c r="B1860" s="403" t="s">
        <v>1710</v>
      </c>
      <c r="C1860" s="455" t="s">
        <v>272</v>
      </c>
      <c r="D1860" s="487">
        <v>28373</v>
      </c>
      <c r="E1860" s="391">
        <v>4470</v>
      </c>
      <c r="F1860" s="391" t="s">
        <v>234</v>
      </c>
      <c r="G1860" s="391">
        <v>2205.6999999999998</v>
      </c>
      <c r="H1860" s="528">
        <v>9</v>
      </c>
      <c r="I1860" s="528">
        <v>8</v>
      </c>
      <c r="J1860" s="528">
        <v>76</v>
      </c>
      <c r="K1860" s="458" t="s">
        <v>33</v>
      </c>
      <c r="L1860" s="1129">
        <f>M1860+N1860+O1860+P1860+Q1860+M1861+N1861+O1861+P1861+Q1861</f>
        <v>11107870.6</v>
      </c>
      <c r="M1860" s="529">
        <v>6000000</v>
      </c>
      <c r="N1860" s="391"/>
      <c r="O1860" s="473">
        <v>26597</v>
      </c>
      <c r="P1860" s="391"/>
      <c r="Q1860" s="391">
        <v>19900</v>
      </c>
      <c r="R1860" s="528">
        <f>M1860/G1860</f>
        <v>2720.2248719227459</v>
      </c>
      <c r="S1860" s="388">
        <f t="shared" si="241"/>
        <v>5061373.5999999996</v>
      </c>
      <c r="T1860" s="398"/>
      <c r="U1860" s="391"/>
      <c r="V1860" s="390"/>
      <c r="W1860" s="398"/>
      <c r="X1860" s="398"/>
    </row>
    <row r="1861" spans="1:27" s="416" customFormat="1" ht="56.25" hidden="1" customHeight="1">
      <c r="A1861" s="543"/>
      <c r="B1861" s="403"/>
      <c r="C1861" s="455"/>
      <c r="D1861" s="487"/>
      <c r="E1861" s="391"/>
      <c r="F1861" s="391"/>
      <c r="G1861" s="391"/>
      <c r="H1861" s="528"/>
      <c r="I1861" s="528"/>
      <c r="J1861" s="528"/>
      <c r="K1861" s="458" t="s">
        <v>30</v>
      </c>
      <c r="L1861" s="1129"/>
      <c r="M1861" s="529">
        <v>5000000</v>
      </c>
      <c r="N1861" s="391"/>
      <c r="O1861" s="473">
        <v>21573.599999999999</v>
      </c>
      <c r="P1861" s="391"/>
      <c r="Q1861" s="391">
        <v>39800</v>
      </c>
      <c r="R1861" s="528">
        <f>M1861/J1860</f>
        <v>65789.473684210519</v>
      </c>
      <c r="S1861" s="388">
        <f t="shared" si="241"/>
        <v>-5061373.5999999996</v>
      </c>
      <c r="T1861" s="398"/>
      <c r="U1861" s="391"/>
      <c r="V1861" s="390"/>
      <c r="W1861" s="398"/>
      <c r="X1861" s="398"/>
      <c r="Z1861" s="416">
        <v>1</v>
      </c>
      <c r="AA1861" s="416">
        <v>76</v>
      </c>
    </row>
    <row r="1862" spans="1:27" s="416" customFormat="1" ht="37.5" hidden="1" customHeight="1">
      <c r="A1862" s="506">
        <f>A1860+1</f>
        <v>348</v>
      </c>
      <c r="B1862" s="403" t="s">
        <v>1711</v>
      </c>
      <c r="C1862" s="455" t="s">
        <v>230</v>
      </c>
      <c r="D1862" s="487">
        <v>2421</v>
      </c>
      <c r="E1862" s="391">
        <v>780</v>
      </c>
      <c r="F1862" s="391" t="s">
        <v>223</v>
      </c>
      <c r="G1862" s="391">
        <v>487</v>
      </c>
      <c r="H1862" s="528">
        <v>2</v>
      </c>
      <c r="I1862" s="528">
        <v>2</v>
      </c>
      <c r="J1862" s="528">
        <v>12</v>
      </c>
      <c r="K1862" s="458" t="s">
        <v>395</v>
      </c>
      <c r="L1862" s="519">
        <f t="shared" ref="L1862:L1870" si="242">M1862+N1862+O1862+P1862+Q1862</f>
        <v>1336984.1299999999</v>
      </c>
      <c r="M1862" s="529">
        <v>1307180</v>
      </c>
      <c r="N1862" s="391"/>
      <c r="O1862" s="473">
        <v>18008.5</v>
      </c>
      <c r="P1862" s="391"/>
      <c r="Q1862" s="391">
        <v>11795.63</v>
      </c>
      <c r="R1862" s="528">
        <f>M1862/G1862</f>
        <v>2684.147843942505</v>
      </c>
      <c r="S1862" s="388">
        <f t="shared" si="241"/>
        <v>-1.1095835361629725E-10</v>
      </c>
      <c r="T1862" s="398"/>
      <c r="U1862" s="391"/>
      <c r="V1862" s="390"/>
      <c r="W1862" s="398"/>
      <c r="X1862" s="398"/>
    </row>
    <row r="1863" spans="1:27" s="416" customFormat="1" ht="37.5" hidden="1" customHeight="1">
      <c r="A1863" s="506">
        <f t="shared" si="239"/>
        <v>349</v>
      </c>
      <c r="B1863" s="403" t="s">
        <v>1712</v>
      </c>
      <c r="C1863" s="455" t="s">
        <v>272</v>
      </c>
      <c r="D1863" s="487">
        <v>3179</v>
      </c>
      <c r="E1863" s="391">
        <v>821</v>
      </c>
      <c r="F1863" s="391" t="s">
        <v>234</v>
      </c>
      <c r="G1863" s="391">
        <v>242</v>
      </c>
      <c r="H1863" s="528">
        <v>5</v>
      </c>
      <c r="I1863" s="528">
        <v>1</v>
      </c>
      <c r="J1863" s="528">
        <v>14</v>
      </c>
      <c r="K1863" s="458" t="s">
        <v>33</v>
      </c>
      <c r="L1863" s="519">
        <f t="shared" si="242"/>
        <v>616662.19999999995</v>
      </c>
      <c r="M1863" s="529">
        <v>582531</v>
      </c>
      <c r="N1863" s="391"/>
      <c r="O1863" s="473">
        <v>24330</v>
      </c>
      <c r="P1863" s="391"/>
      <c r="Q1863" s="391">
        <v>9801.2000000000007</v>
      </c>
      <c r="R1863" s="528">
        <f>M1863/G1863</f>
        <v>2407.1528925619837</v>
      </c>
      <c r="S1863" s="388">
        <f t="shared" si="241"/>
        <v>-4.7293724492192268E-11</v>
      </c>
      <c r="T1863" s="398"/>
      <c r="U1863" s="391"/>
      <c r="V1863" s="390"/>
      <c r="W1863" s="398"/>
      <c r="X1863" s="398"/>
    </row>
    <row r="1864" spans="1:27" s="416" customFormat="1" ht="37.5" hidden="1" customHeight="1">
      <c r="A1864" s="506">
        <f t="shared" si="239"/>
        <v>350</v>
      </c>
      <c r="B1864" s="403" t="s">
        <v>1713</v>
      </c>
      <c r="C1864" s="455" t="s">
        <v>272</v>
      </c>
      <c r="D1864" s="487">
        <v>3221</v>
      </c>
      <c r="E1864" s="391">
        <v>829</v>
      </c>
      <c r="F1864" s="391" t="s">
        <v>234</v>
      </c>
      <c r="G1864" s="391">
        <v>249</v>
      </c>
      <c r="H1864" s="528">
        <v>5</v>
      </c>
      <c r="I1864" s="528">
        <v>1</v>
      </c>
      <c r="J1864" s="528">
        <v>14</v>
      </c>
      <c r="K1864" s="458" t="s">
        <v>33</v>
      </c>
      <c r="L1864" s="519">
        <f t="shared" si="242"/>
        <v>622814.69999999995</v>
      </c>
      <c r="M1864" s="529">
        <v>588534</v>
      </c>
      <c r="N1864" s="391"/>
      <c r="O1864" s="473">
        <v>24350</v>
      </c>
      <c r="P1864" s="391"/>
      <c r="Q1864" s="391">
        <v>9930.7000000000007</v>
      </c>
      <c r="R1864" s="528">
        <f>M1864/G1864</f>
        <v>2363.5903614457829</v>
      </c>
      <c r="S1864" s="388">
        <f t="shared" si="241"/>
        <v>-4.7293724492192268E-11</v>
      </c>
      <c r="T1864" s="398"/>
      <c r="U1864" s="391"/>
      <c r="V1864" s="390"/>
      <c r="W1864" s="398"/>
      <c r="X1864" s="398"/>
    </row>
    <row r="1865" spans="1:27" s="416" customFormat="1" ht="32.25" hidden="1" customHeight="1">
      <c r="A1865" s="506">
        <f t="shared" si="239"/>
        <v>351</v>
      </c>
      <c r="B1865" s="403" t="s">
        <v>1714</v>
      </c>
      <c r="C1865" s="455" t="s">
        <v>218</v>
      </c>
      <c r="D1865" s="487">
        <v>9800</v>
      </c>
      <c r="E1865" s="391">
        <v>2688</v>
      </c>
      <c r="F1865" s="391" t="s">
        <v>234</v>
      </c>
      <c r="G1865" s="391">
        <v>450</v>
      </c>
      <c r="H1865" s="528">
        <v>9</v>
      </c>
      <c r="I1865" s="528">
        <v>1</v>
      </c>
      <c r="J1865" s="528">
        <v>32</v>
      </c>
      <c r="K1865" s="458" t="s">
        <v>33</v>
      </c>
      <c r="L1865" s="519">
        <f t="shared" si="242"/>
        <v>907186.65</v>
      </c>
      <c r="M1865" s="529">
        <v>865474</v>
      </c>
      <c r="N1865" s="391"/>
      <c r="O1865" s="473">
        <v>24664</v>
      </c>
      <c r="P1865" s="391"/>
      <c r="Q1865" s="391">
        <v>17048.650000000001</v>
      </c>
      <c r="R1865" s="528">
        <f>M1865/G1865</f>
        <v>1923.2755555555555</v>
      </c>
      <c r="S1865" s="388">
        <f t="shared" si="241"/>
        <v>0</v>
      </c>
      <c r="T1865" s="398"/>
      <c r="U1865" s="391"/>
      <c r="V1865" s="390"/>
      <c r="W1865" s="398"/>
      <c r="X1865" s="398"/>
    </row>
    <row r="1866" spans="1:27" s="416" customFormat="1" ht="37.5" hidden="1" customHeight="1">
      <c r="A1866" s="506">
        <f t="shared" ref="A1866:A1924" si="243">A1865+1</f>
        <v>352</v>
      </c>
      <c r="B1866" s="403" t="s">
        <v>1715</v>
      </c>
      <c r="C1866" s="455" t="s">
        <v>218</v>
      </c>
      <c r="D1866" s="487">
        <v>15759</v>
      </c>
      <c r="E1866" s="391">
        <v>3008</v>
      </c>
      <c r="F1866" s="391" t="s">
        <v>234</v>
      </c>
      <c r="G1866" s="391">
        <v>623</v>
      </c>
      <c r="H1866" s="528">
        <v>9</v>
      </c>
      <c r="I1866" s="528">
        <v>2</v>
      </c>
      <c r="J1866" s="528">
        <v>71</v>
      </c>
      <c r="K1866" s="458" t="s">
        <v>225</v>
      </c>
      <c r="L1866" s="519">
        <f t="shared" si="242"/>
        <v>1602487.51</v>
      </c>
      <c r="M1866" s="529">
        <v>1552900</v>
      </c>
      <c r="N1866" s="391">
        <v>34093.68</v>
      </c>
      <c r="O1866" s="530"/>
      <c r="P1866" s="391"/>
      <c r="Q1866" s="391">
        <v>15493.83</v>
      </c>
      <c r="R1866" s="528">
        <f>M1866/J1866</f>
        <v>21871.830985915494</v>
      </c>
      <c r="S1866" s="388">
        <f t="shared" si="241"/>
        <v>0</v>
      </c>
      <c r="T1866" s="398"/>
      <c r="U1866" s="391">
        <f>M1866+N1866+O1866+Q1866</f>
        <v>1602487.51</v>
      </c>
      <c r="V1866" s="390"/>
      <c r="W1866" s="398"/>
      <c r="X1866" s="398"/>
    </row>
    <row r="1867" spans="1:27" s="416" customFormat="1" ht="37.5" hidden="1" customHeight="1">
      <c r="A1867" s="506">
        <f t="shared" si="243"/>
        <v>353</v>
      </c>
      <c r="B1867" s="403" t="s">
        <v>1716</v>
      </c>
      <c r="C1867" s="455" t="s">
        <v>218</v>
      </c>
      <c r="D1867" s="487">
        <v>41590</v>
      </c>
      <c r="E1867" s="391">
        <v>7006</v>
      </c>
      <c r="F1867" s="391" t="s">
        <v>234</v>
      </c>
      <c r="G1867" s="391">
        <v>1618</v>
      </c>
      <c r="H1867" s="528">
        <v>9</v>
      </c>
      <c r="I1867" s="528">
        <v>4</v>
      </c>
      <c r="J1867" s="528">
        <v>216</v>
      </c>
      <c r="K1867" s="458" t="s">
        <v>225</v>
      </c>
      <c r="L1867" s="519">
        <f t="shared" si="242"/>
        <v>2263054.91</v>
      </c>
      <c r="M1867" s="529">
        <v>2199457</v>
      </c>
      <c r="N1867" s="391">
        <v>43797.91</v>
      </c>
      <c r="O1867" s="530"/>
      <c r="P1867" s="391"/>
      <c r="Q1867" s="391">
        <v>19800</v>
      </c>
      <c r="R1867" s="528">
        <f>M1867/J1867</f>
        <v>10182.671296296296</v>
      </c>
      <c r="S1867" s="388">
        <f t="shared" si="241"/>
        <v>1.4551915228366852E-10</v>
      </c>
      <c r="T1867" s="398"/>
      <c r="U1867" s="391">
        <f>M1867+N1867+O1867+Q1867</f>
        <v>2263054.91</v>
      </c>
      <c r="V1867" s="390"/>
      <c r="W1867" s="398"/>
      <c r="X1867" s="398"/>
    </row>
    <row r="1868" spans="1:27" s="416" customFormat="1" ht="56.25" hidden="1" customHeight="1">
      <c r="A1868" s="506">
        <f t="shared" si="243"/>
        <v>354</v>
      </c>
      <c r="B1868" s="403" t="s">
        <v>1717</v>
      </c>
      <c r="C1868" s="455" t="s">
        <v>272</v>
      </c>
      <c r="D1868" s="487">
        <v>12351</v>
      </c>
      <c r="E1868" s="391">
        <v>2397</v>
      </c>
      <c r="F1868" s="391" t="s">
        <v>231</v>
      </c>
      <c r="G1868" s="391">
        <v>968</v>
      </c>
      <c r="H1868" s="528">
        <v>5</v>
      </c>
      <c r="I1868" s="528">
        <v>4</v>
      </c>
      <c r="J1868" s="528">
        <v>80</v>
      </c>
      <c r="K1868" s="458" t="s">
        <v>30</v>
      </c>
      <c r="L1868" s="519">
        <f t="shared" si="242"/>
        <v>2201934.1799999997</v>
      </c>
      <c r="M1868" s="529">
        <v>2160000</v>
      </c>
      <c r="N1868" s="391"/>
      <c r="O1868" s="473">
        <v>14571.78</v>
      </c>
      <c r="P1868" s="391"/>
      <c r="Q1868" s="391">
        <v>27362.400000000001</v>
      </c>
      <c r="R1868" s="528">
        <f>M1868/J1868</f>
        <v>27000</v>
      </c>
      <c r="S1868" s="388">
        <f t="shared" si="241"/>
        <v>-2.9831426218152046E-10</v>
      </c>
      <c r="T1868" s="398"/>
      <c r="U1868" s="391"/>
      <c r="V1868" s="390"/>
      <c r="W1868" s="398"/>
      <c r="X1868" s="398"/>
      <c r="Z1868" s="416">
        <v>1</v>
      </c>
      <c r="AA1868" s="416">
        <f>J1868</f>
        <v>80</v>
      </c>
    </row>
    <row r="1869" spans="1:27" s="416" customFormat="1" ht="56.25" hidden="1" customHeight="1">
      <c r="A1869" s="506">
        <f t="shared" si="243"/>
        <v>355</v>
      </c>
      <c r="B1869" s="403" t="s">
        <v>1718</v>
      </c>
      <c r="C1869" s="455" t="s">
        <v>272</v>
      </c>
      <c r="D1869" s="487">
        <v>7373</v>
      </c>
      <c r="E1869" s="391">
        <v>1250</v>
      </c>
      <c r="F1869" s="391" t="s">
        <v>223</v>
      </c>
      <c r="G1869" s="391">
        <v>585</v>
      </c>
      <c r="H1869" s="528">
        <v>5</v>
      </c>
      <c r="I1869" s="528">
        <v>2</v>
      </c>
      <c r="J1869" s="528">
        <v>40</v>
      </c>
      <c r="K1869" s="458" t="s">
        <v>30</v>
      </c>
      <c r="L1869" s="519">
        <f t="shared" si="242"/>
        <v>1115990.75</v>
      </c>
      <c r="M1869" s="529">
        <v>1080000</v>
      </c>
      <c r="N1869" s="391"/>
      <c r="O1869" s="473">
        <v>14657.35</v>
      </c>
      <c r="P1869" s="391"/>
      <c r="Q1869" s="391">
        <v>21333.4</v>
      </c>
      <c r="R1869" s="528">
        <f>M1869/J1869</f>
        <v>27000</v>
      </c>
      <c r="S1869" s="388">
        <f t="shared" si="241"/>
        <v>0</v>
      </c>
      <c r="T1869" s="398"/>
      <c r="U1869" s="391"/>
      <c r="V1869" s="390"/>
      <c r="W1869" s="398"/>
      <c r="X1869" s="398"/>
      <c r="Z1869" s="416">
        <v>1</v>
      </c>
      <c r="AA1869" s="416">
        <f>J1869</f>
        <v>40</v>
      </c>
    </row>
    <row r="1870" spans="1:27" s="416" customFormat="1" ht="37.5" hidden="1" customHeight="1">
      <c r="A1870" s="506">
        <f t="shared" si="243"/>
        <v>356</v>
      </c>
      <c r="B1870" s="403" t="s">
        <v>1719</v>
      </c>
      <c r="C1870" s="455" t="s">
        <v>272</v>
      </c>
      <c r="D1870" s="487">
        <v>12375</v>
      </c>
      <c r="E1870" s="391">
        <v>2350</v>
      </c>
      <c r="F1870" s="391" t="s">
        <v>223</v>
      </c>
      <c r="G1870" s="391">
        <v>1134</v>
      </c>
      <c r="H1870" s="528">
        <v>5</v>
      </c>
      <c r="I1870" s="528">
        <v>4</v>
      </c>
      <c r="J1870" s="528">
        <v>80</v>
      </c>
      <c r="K1870" s="458" t="s">
        <v>33</v>
      </c>
      <c r="L1870" s="519">
        <f t="shared" si="242"/>
        <v>4028534.0100000002</v>
      </c>
      <c r="M1870" s="529">
        <v>3969000</v>
      </c>
      <c r="N1870" s="391"/>
      <c r="O1870" s="473">
        <v>21380.560000000001</v>
      </c>
      <c r="P1870" s="391"/>
      <c r="Q1870" s="391">
        <v>38153.449999999997</v>
      </c>
      <c r="R1870" s="528">
        <f>M1870/G1870</f>
        <v>3500</v>
      </c>
      <c r="S1870" s="388">
        <f t="shared" si="241"/>
        <v>2.4738255888223648E-10</v>
      </c>
      <c r="T1870" s="398"/>
      <c r="U1870" s="391"/>
      <c r="V1870" s="390"/>
      <c r="W1870" s="398"/>
      <c r="X1870" s="398"/>
    </row>
    <row r="1871" spans="1:27" s="416" customFormat="1" ht="37.5" hidden="1" customHeight="1">
      <c r="A1871" s="506">
        <f t="shared" si="243"/>
        <v>357</v>
      </c>
      <c r="B1871" s="403" t="s">
        <v>1720</v>
      </c>
      <c r="C1871" s="455" t="s">
        <v>218</v>
      </c>
      <c r="D1871" s="487">
        <v>26460</v>
      </c>
      <c r="E1871" s="388">
        <v>3750</v>
      </c>
      <c r="F1871" s="388" t="s">
        <v>234</v>
      </c>
      <c r="G1871" s="388">
        <v>2064</v>
      </c>
      <c r="H1871" s="446">
        <v>5</v>
      </c>
      <c r="I1871" s="446">
        <v>8</v>
      </c>
      <c r="J1871" s="446">
        <v>140</v>
      </c>
      <c r="K1871" s="458" t="s">
        <v>225</v>
      </c>
      <c r="L1871" s="519">
        <f>SUBTOTAL(9,M1871:Q1871)</f>
        <v>1933567.4</v>
      </c>
      <c r="M1871" s="519">
        <v>1865490</v>
      </c>
      <c r="N1871" s="383">
        <v>48277.4</v>
      </c>
      <c r="O1871" s="473"/>
      <c r="P1871" s="388"/>
      <c r="Q1871" s="388">
        <v>19800</v>
      </c>
      <c r="R1871" s="446">
        <f>M1871/J1871</f>
        <v>13324.928571428571</v>
      </c>
      <c r="S1871" s="388">
        <f t="shared" si="241"/>
        <v>-9.4587448984384537E-11</v>
      </c>
      <c r="T1871" s="398"/>
      <c r="U1871" s="391">
        <f>M1871+N1871+O1871+Q1871</f>
        <v>1933567.4</v>
      </c>
      <c r="V1871" s="390"/>
      <c r="W1871" s="398"/>
      <c r="X1871" s="398"/>
    </row>
    <row r="1872" spans="1:27" s="416" customFormat="1" ht="37.5" hidden="1" customHeight="1">
      <c r="A1872" s="506">
        <f t="shared" si="243"/>
        <v>358</v>
      </c>
      <c r="B1872" s="403" t="s">
        <v>1721</v>
      </c>
      <c r="C1872" s="455" t="s">
        <v>272</v>
      </c>
      <c r="D1872" s="487">
        <v>9839</v>
      </c>
      <c r="E1872" s="391">
        <v>1856</v>
      </c>
      <c r="F1872" s="391" t="s">
        <v>223</v>
      </c>
      <c r="G1872" s="391">
        <v>890</v>
      </c>
      <c r="H1872" s="528">
        <v>5</v>
      </c>
      <c r="I1872" s="528">
        <v>3</v>
      </c>
      <c r="J1872" s="528">
        <v>60</v>
      </c>
      <c r="K1872" s="458" t="s">
        <v>225</v>
      </c>
      <c r="L1872" s="519">
        <f t="shared" ref="L1872:L1906" si="244">M1872+N1872+O1872+P1872+Q1872</f>
        <v>1025646.87</v>
      </c>
      <c r="M1872" s="529">
        <v>975174</v>
      </c>
      <c r="N1872" s="391">
        <v>30672.87</v>
      </c>
      <c r="O1872" s="530"/>
      <c r="P1872" s="391"/>
      <c r="Q1872" s="391">
        <v>19800</v>
      </c>
      <c r="R1872" s="528">
        <f>M1872/J1872</f>
        <v>16252.9</v>
      </c>
      <c r="S1872" s="388">
        <f t="shared" si="241"/>
        <v>0</v>
      </c>
      <c r="T1872" s="398"/>
      <c r="U1872" s="391">
        <f>M1872+N1872+O1872+Q1872</f>
        <v>1025646.87</v>
      </c>
      <c r="V1872" s="390"/>
      <c r="W1872" s="398"/>
      <c r="X1872" s="398"/>
    </row>
    <row r="1873" spans="1:27" s="416" customFormat="1" ht="37.5" hidden="1" customHeight="1">
      <c r="A1873" s="506">
        <f t="shared" si="243"/>
        <v>359</v>
      </c>
      <c r="B1873" s="403" t="s">
        <v>1722</v>
      </c>
      <c r="C1873" s="455" t="s">
        <v>272</v>
      </c>
      <c r="D1873" s="487">
        <v>8802</v>
      </c>
      <c r="E1873" s="391">
        <v>1320</v>
      </c>
      <c r="F1873" s="391" t="s">
        <v>231</v>
      </c>
      <c r="G1873" s="391">
        <v>982.7</v>
      </c>
      <c r="H1873" s="528">
        <v>3</v>
      </c>
      <c r="I1873" s="528">
        <v>4</v>
      </c>
      <c r="J1873" s="528">
        <v>24</v>
      </c>
      <c r="K1873" s="458" t="s">
        <v>33</v>
      </c>
      <c r="L1873" s="519">
        <f t="shared" si="244"/>
        <v>2797728.87</v>
      </c>
      <c r="M1873" s="529">
        <v>2751560</v>
      </c>
      <c r="N1873" s="391"/>
      <c r="O1873" s="473">
        <v>19031.37</v>
      </c>
      <c r="P1873" s="391"/>
      <c r="Q1873" s="391">
        <v>27137.5</v>
      </c>
      <c r="R1873" s="528">
        <f>M1873/G1873</f>
        <v>2800</v>
      </c>
      <c r="S1873" s="388">
        <f t="shared" si="241"/>
        <v>1.127773430198431E-10</v>
      </c>
      <c r="T1873" s="398"/>
      <c r="U1873" s="391"/>
      <c r="V1873" s="390"/>
      <c r="W1873" s="398"/>
      <c r="X1873" s="398"/>
    </row>
    <row r="1874" spans="1:27" s="416" customFormat="1" ht="37.5" hidden="1" customHeight="1">
      <c r="A1874" s="506">
        <f t="shared" si="243"/>
        <v>360</v>
      </c>
      <c r="B1874" s="403" t="s">
        <v>1723</v>
      </c>
      <c r="C1874" s="455" t="s">
        <v>272</v>
      </c>
      <c r="D1874" s="487">
        <v>8826</v>
      </c>
      <c r="E1874" s="391">
        <v>1320</v>
      </c>
      <c r="F1874" s="391" t="s">
        <v>223</v>
      </c>
      <c r="G1874" s="391">
        <v>1100</v>
      </c>
      <c r="H1874" s="528">
        <v>3</v>
      </c>
      <c r="I1874" s="528">
        <v>4</v>
      </c>
      <c r="J1874" s="528">
        <v>24</v>
      </c>
      <c r="K1874" s="458" t="s">
        <v>33</v>
      </c>
      <c r="L1874" s="519">
        <f t="shared" si="244"/>
        <v>3846262.76</v>
      </c>
      <c r="M1874" s="529">
        <v>3800000</v>
      </c>
      <c r="N1874" s="391"/>
      <c r="O1874" s="473">
        <v>19051.259999999998</v>
      </c>
      <c r="P1874" s="391"/>
      <c r="Q1874" s="391">
        <v>27211.5</v>
      </c>
      <c r="R1874" s="528">
        <f>M1874/G1874</f>
        <v>3454.5454545454545</v>
      </c>
      <c r="S1874" s="388">
        <f t="shared" si="241"/>
        <v>-2.2191670723259449E-10</v>
      </c>
      <c r="T1874" s="398"/>
      <c r="U1874" s="391"/>
      <c r="V1874" s="390"/>
      <c r="W1874" s="398"/>
      <c r="X1874" s="398"/>
    </row>
    <row r="1875" spans="1:27" s="416" customFormat="1" ht="56.25" hidden="1" customHeight="1">
      <c r="A1875" s="506">
        <f t="shared" si="243"/>
        <v>361</v>
      </c>
      <c r="B1875" s="403" t="s">
        <v>1725</v>
      </c>
      <c r="C1875" s="455" t="s">
        <v>218</v>
      </c>
      <c r="D1875" s="487">
        <v>16937</v>
      </c>
      <c r="E1875" s="391">
        <v>3067</v>
      </c>
      <c r="F1875" s="391" t="s">
        <v>234</v>
      </c>
      <c r="G1875" s="391">
        <v>683</v>
      </c>
      <c r="H1875" s="528">
        <v>12</v>
      </c>
      <c r="I1875" s="528">
        <v>2</v>
      </c>
      <c r="J1875" s="528">
        <v>72</v>
      </c>
      <c r="K1875" s="458" t="s">
        <v>30</v>
      </c>
      <c r="L1875" s="519">
        <f t="shared" si="244"/>
        <v>2358758.2400000002</v>
      </c>
      <c r="M1875" s="529">
        <v>2304000</v>
      </c>
      <c r="N1875" s="391"/>
      <c r="O1875" s="473">
        <v>20439.29</v>
      </c>
      <c r="P1875" s="391"/>
      <c r="Q1875" s="391">
        <v>34318.949999999997</v>
      </c>
      <c r="R1875" s="528">
        <f>M1875/J1875</f>
        <v>32000</v>
      </c>
      <c r="S1875" s="388">
        <f t="shared" si="241"/>
        <v>2.255546860396862E-10</v>
      </c>
      <c r="T1875" s="398"/>
      <c r="U1875" s="391"/>
      <c r="V1875" s="390"/>
      <c r="W1875" s="398"/>
      <c r="X1875" s="398"/>
      <c r="Z1875" s="416">
        <v>1</v>
      </c>
      <c r="AA1875" s="416">
        <f>J1875</f>
        <v>72</v>
      </c>
    </row>
    <row r="1876" spans="1:27" s="416" customFormat="1" ht="56.25" hidden="1" customHeight="1">
      <c r="A1876" s="506">
        <f t="shared" si="243"/>
        <v>362</v>
      </c>
      <c r="B1876" s="403" t="s">
        <v>1726</v>
      </c>
      <c r="C1876" s="455" t="s">
        <v>218</v>
      </c>
      <c r="D1876" s="487">
        <v>13405</v>
      </c>
      <c r="E1876" s="391">
        <v>2554</v>
      </c>
      <c r="F1876" s="391" t="s">
        <v>234</v>
      </c>
      <c r="G1876" s="391">
        <v>350</v>
      </c>
      <c r="H1876" s="528">
        <v>12</v>
      </c>
      <c r="I1876" s="528">
        <v>1</v>
      </c>
      <c r="J1876" s="528">
        <v>60</v>
      </c>
      <c r="K1876" s="458" t="s">
        <v>30</v>
      </c>
      <c r="L1876" s="519">
        <f t="shared" si="244"/>
        <v>1974974.15</v>
      </c>
      <c r="M1876" s="529">
        <v>1920000</v>
      </c>
      <c r="N1876" s="391"/>
      <c r="O1876" s="473">
        <v>20655.2</v>
      </c>
      <c r="P1876" s="391"/>
      <c r="Q1876" s="391">
        <v>34318.949999999997</v>
      </c>
      <c r="R1876" s="528">
        <f>M1876/J1876</f>
        <v>32000</v>
      </c>
      <c r="S1876" s="388">
        <f t="shared" si="241"/>
        <v>-8.7311491370201111E-11</v>
      </c>
      <c r="T1876" s="398"/>
      <c r="U1876" s="391"/>
      <c r="V1876" s="390"/>
      <c r="W1876" s="398"/>
      <c r="X1876" s="398"/>
      <c r="Z1876" s="416">
        <v>1</v>
      </c>
      <c r="AA1876" s="416">
        <f>J1876</f>
        <v>60</v>
      </c>
    </row>
    <row r="1877" spans="1:27" s="416" customFormat="1" ht="37.5" hidden="1" customHeight="1">
      <c r="A1877" s="506">
        <f t="shared" si="243"/>
        <v>363</v>
      </c>
      <c r="B1877" s="403" t="s">
        <v>1727</v>
      </c>
      <c r="C1877" s="455" t="s">
        <v>218</v>
      </c>
      <c r="D1877" s="487">
        <v>46332</v>
      </c>
      <c r="E1877" s="391">
        <v>7495</v>
      </c>
      <c r="F1877" s="391" t="s">
        <v>234</v>
      </c>
      <c r="G1877" s="391">
        <v>1778</v>
      </c>
      <c r="H1877" s="528">
        <v>9</v>
      </c>
      <c r="I1877" s="528">
        <v>6</v>
      </c>
      <c r="J1877" s="528">
        <v>216</v>
      </c>
      <c r="K1877" s="458" t="s">
        <v>225</v>
      </c>
      <c r="L1877" s="519">
        <f t="shared" si="244"/>
        <v>4045851.5</v>
      </c>
      <c r="M1877" s="529">
        <v>3986550</v>
      </c>
      <c r="N1877" s="391">
        <v>39501.5</v>
      </c>
      <c r="O1877" s="530"/>
      <c r="P1877" s="391"/>
      <c r="Q1877" s="391">
        <v>19800</v>
      </c>
      <c r="R1877" s="528">
        <f>M1877/J1877</f>
        <v>18456.25</v>
      </c>
      <c r="S1877" s="388">
        <f t="shared" si="241"/>
        <v>0</v>
      </c>
      <c r="T1877" s="398"/>
      <c r="U1877" s="391">
        <f>M1877+N1877+O1877+Q1877</f>
        <v>4045851.5</v>
      </c>
      <c r="V1877" s="390"/>
      <c r="W1877" s="398"/>
      <c r="X1877" s="398"/>
    </row>
    <row r="1878" spans="1:27" s="416" customFormat="1" ht="56.25" hidden="1" customHeight="1">
      <c r="A1878" s="506">
        <f t="shared" si="243"/>
        <v>364</v>
      </c>
      <c r="B1878" s="403" t="s">
        <v>1728</v>
      </c>
      <c r="C1878" s="455" t="s">
        <v>218</v>
      </c>
      <c r="D1878" s="487">
        <v>25131</v>
      </c>
      <c r="E1878" s="391">
        <v>4577</v>
      </c>
      <c r="F1878" s="391" t="s">
        <v>234</v>
      </c>
      <c r="G1878" s="391">
        <v>1030</v>
      </c>
      <c r="H1878" s="528">
        <v>10</v>
      </c>
      <c r="I1878" s="528">
        <v>3</v>
      </c>
      <c r="J1878" s="528">
        <v>120</v>
      </c>
      <c r="K1878" s="458" t="s">
        <v>30</v>
      </c>
      <c r="L1878" s="519">
        <f t="shared" si="244"/>
        <v>3900696.99</v>
      </c>
      <c r="M1878" s="529">
        <v>3840000</v>
      </c>
      <c r="N1878" s="391"/>
      <c r="O1878" s="473">
        <v>20896.990000000002</v>
      </c>
      <c r="P1878" s="391"/>
      <c r="Q1878" s="391">
        <v>39800</v>
      </c>
      <c r="R1878" s="528">
        <f>M1878/J1878</f>
        <v>32000</v>
      </c>
      <c r="S1878" s="388">
        <f t="shared" si="241"/>
        <v>2.1827872842550278E-10</v>
      </c>
      <c r="T1878" s="398"/>
      <c r="U1878" s="391"/>
      <c r="V1878" s="390"/>
      <c r="W1878" s="398"/>
      <c r="X1878" s="398"/>
      <c r="Z1878" s="416">
        <v>1</v>
      </c>
      <c r="AA1878" s="416">
        <f>J1878</f>
        <v>120</v>
      </c>
    </row>
    <row r="1879" spans="1:27" s="416" customFormat="1" ht="35.25" hidden="1" customHeight="1">
      <c r="A1879" s="506">
        <f t="shared" si="243"/>
        <v>365</v>
      </c>
      <c r="B1879" s="403" t="s">
        <v>1731</v>
      </c>
      <c r="C1879" s="455" t="s">
        <v>218</v>
      </c>
      <c r="D1879" s="487">
        <v>27010</v>
      </c>
      <c r="E1879" s="391">
        <v>5400</v>
      </c>
      <c r="F1879" s="391" t="s">
        <v>234</v>
      </c>
      <c r="G1879" s="391">
        <v>1112.5</v>
      </c>
      <c r="H1879" s="528">
        <v>10</v>
      </c>
      <c r="I1879" s="528">
        <v>3</v>
      </c>
      <c r="J1879" s="528">
        <v>120</v>
      </c>
      <c r="K1879" s="458" t="s">
        <v>33</v>
      </c>
      <c r="L1879" s="519">
        <f t="shared" si="244"/>
        <v>2445212</v>
      </c>
      <c r="M1879" s="529">
        <v>2397925</v>
      </c>
      <c r="N1879" s="391"/>
      <c r="O1879" s="473">
        <v>27387</v>
      </c>
      <c r="P1879" s="391"/>
      <c r="Q1879" s="391">
        <v>19900</v>
      </c>
      <c r="R1879" s="528">
        <f>M1879/G1879</f>
        <v>2155.4382022471909</v>
      </c>
      <c r="S1879" s="388">
        <f t="shared" si="241"/>
        <v>0</v>
      </c>
      <c r="T1879" s="398"/>
      <c r="U1879" s="391"/>
      <c r="V1879" s="390"/>
      <c r="W1879" s="398"/>
      <c r="X1879" s="398"/>
    </row>
    <row r="1880" spans="1:27" s="416" customFormat="1" ht="56.25" hidden="1" customHeight="1">
      <c r="A1880" s="506">
        <f t="shared" si="243"/>
        <v>366</v>
      </c>
      <c r="B1880" s="403" t="s">
        <v>1732</v>
      </c>
      <c r="C1880" s="455" t="s">
        <v>218</v>
      </c>
      <c r="D1880" s="487">
        <v>12035</v>
      </c>
      <c r="E1880" s="391">
        <v>2353.6799999999998</v>
      </c>
      <c r="F1880" s="391" t="s">
        <v>234</v>
      </c>
      <c r="G1880" s="391">
        <v>527</v>
      </c>
      <c r="H1880" s="528">
        <v>9</v>
      </c>
      <c r="I1880" s="528">
        <v>1</v>
      </c>
      <c r="J1880" s="528">
        <v>72</v>
      </c>
      <c r="K1880" s="458" t="s">
        <v>30</v>
      </c>
      <c r="L1880" s="519">
        <f t="shared" si="244"/>
        <v>2349526.13</v>
      </c>
      <c r="M1880" s="529">
        <v>2304000</v>
      </c>
      <c r="N1880" s="391"/>
      <c r="O1880" s="473">
        <v>18163.73</v>
      </c>
      <c r="P1880" s="391"/>
      <c r="Q1880" s="391">
        <v>27362.400000000001</v>
      </c>
      <c r="R1880" s="528">
        <f>M1880/J1880</f>
        <v>32000</v>
      </c>
      <c r="S1880" s="388">
        <f t="shared" si="241"/>
        <v>-1.127773430198431E-10</v>
      </c>
      <c r="T1880" s="398"/>
      <c r="U1880" s="391"/>
      <c r="V1880" s="390"/>
      <c r="W1880" s="398"/>
      <c r="X1880" s="398"/>
      <c r="Z1880" s="416">
        <v>1</v>
      </c>
      <c r="AA1880" s="416">
        <f>J1880</f>
        <v>72</v>
      </c>
    </row>
    <row r="1881" spans="1:27" s="416" customFormat="1" ht="56.25" hidden="1" customHeight="1">
      <c r="A1881" s="506">
        <f t="shared" si="243"/>
        <v>367</v>
      </c>
      <c r="B1881" s="403" t="s">
        <v>1733</v>
      </c>
      <c r="C1881" s="455" t="s">
        <v>218</v>
      </c>
      <c r="D1881" s="487">
        <v>7582</v>
      </c>
      <c r="E1881" s="391">
        <v>1893.23</v>
      </c>
      <c r="F1881" s="391" t="s">
        <v>234</v>
      </c>
      <c r="G1881" s="391">
        <v>297.3</v>
      </c>
      <c r="H1881" s="528">
        <v>9</v>
      </c>
      <c r="I1881" s="528">
        <v>1</v>
      </c>
      <c r="J1881" s="528">
        <v>36</v>
      </c>
      <c r="K1881" s="458" t="s">
        <v>30</v>
      </c>
      <c r="L1881" s="519">
        <f t="shared" si="244"/>
        <v>1192386.3999999999</v>
      </c>
      <c r="M1881" s="529">
        <v>1152000</v>
      </c>
      <c r="N1881" s="391"/>
      <c r="O1881" s="473">
        <v>19053</v>
      </c>
      <c r="P1881" s="391"/>
      <c r="Q1881" s="391">
        <v>21333.4</v>
      </c>
      <c r="R1881" s="528">
        <f>M1881/J1881</f>
        <v>32000</v>
      </c>
      <c r="S1881" s="388">
        <f t="shared" si="241"/>
        <v>-9.4587448984384537E-11</v>
      </c>
      <c r="T1881" s="398"/>
      <c r="U1881" s="391"/>
      <c r="V1881" s="390"/>
      <c r="W1881" s="398"/>
      <c r="X1881" s="398"/>
      <c r="Z1881" s="416">
        <v>1</v>
      </c>
      <c r="AA1881" s="416">
        <f>J1881</f>
        <v>36</v>
      </c>
    </row>
    <row r="1882" spans="1:27" s="416" customFormat="1" ht="56.25" hidden="1" customHeight="1">
      <c r="A1882" s="506">
        <f t="shared" si="243"/>
        <v>368</v>
      </c>
      <c r="B1882" s="403" t="s">
        <v>1734</v>
      </c>
      <c r="C1882" s="455" t="s">
        <v>218</v>
      </c>
      <c r="D1882" s="487">
        <v>23686</v>
      </c>
      <c r="E1882" s="391">
        <v>4032</v>
      </c>
      <c r="F1882" s="391" t="s">
        <v>234</v>
      </c>
      <c r="G1882" s="391">
        <v>1051.8</v>
      </c>
      <c r="H1882" s="528">
        <v>9</v>
      </c>
      <c r="I1882" s="528">
        <v>3</v>
      </c>
      <c r="J1882" s="528">
        <v>108</v>
      </c>
      <c r="K1882" s="458" t="s">
        <v>30</v>
      </c>
      <c r="L1882" s="519">
        <f t="shared" si="244"/>
        <v>3516395.5</v>
      </c>
      <c r="M1882" s="529">
        <v>3456000</v>
      </c>
      <c r="N1882" s="391"/>
      <c r="O1882" s="473">
        <v>20595.5</v>
      </c>
      <c r="P1882" s="391"/>
      <c r="Q1882" s="391">
        <v>39800</v>
      </c>
      <c r="R1882" s="528">
        <f>M1882/J1882</f>
        <v>32000</v>
      </c>
      <c r="S1882" s="388">
        <f t="shared" si="241"/>
        <v>0</v>
      </c>
      <c r="T1882" s="398"/>
      <c r="U1882" s="391"/>
      <c r="V1882" s="390"/>
      <c r="W1882" s="398"/>
      <c r="X1882" s="398"/>
      <c r="Z1882" s="416">
        <v>1</v>
      </c>
      <c r="AA1882" s="416">
        <f>J1882</f>
        <v>108</v>
      </c>
    </row>
    <row r="1883" spans="1:27" s="416" customFormat="1" ht="56.25" hidden="1" customHeight="1">
      <c r="A1883" s="506">
        <f t="shared" si="243"/>
        <v>369</v>
      </c>
      <c r="B1883" s="403" t="s">
        <v>1735</v>
      </c>
      <c r="C1883" s="455" t="s">
        <v>218</v>
      </c>
      <c r="D1883" s="487">
        <v>15967</v>
      </c>
      <c r="E1883" s="391">
        <v>2746.3</v>
      </c>
      <c r="F1883" s="391" t="s">
        <v>234</v>
      </c>
      <c r="G1883" s="391">
        <v>694.2</v>
      </c>
      <c r="H1883" s="528">
        <v>9</v>
      </c>
      <c r="I1883" s="528">
        <v>2</v>
      </c>
      <c r="J1883" s="528">
        <v>71</v>
      </c>
      <c r="K1883" s="458" t="s">
        <v>30</v>
      </c>
      <c r="L1883" s="519">
        <f t="shared" si="244"/>
        <v>2325303.54</v>
      </c>
      <c r="M1883" s="529">
        <v>2272000</v>
      </c>
      <c r="N1883" s="391"/>
      <c r="O1883" s="473">
        <v>18984.599999999999</v>
      </c>
      <c r="P1883" s="391"/>
      <c r="Q1883" s="391">
        <v>34318.94</v>
      </c>
      <c r="R1883" s="528">
        <f>M1883/J1883</f>
        <v>32000</v>
      </c>
      <c r="S1883" s="388">
        <f t="shared" si="241"/>
        <v>0</v>
      </c>
      <c r="T1883" s="398"/>
      <c r="U1883" s="391"/>
      <c r="V1883" s="390"/>
      <c r="W1883" s="398"/>
      <c r="X1883" s="398"/>
      <c r="Z1883" s="416">
        <v>1</v>
      </c>
      <c r="AA1883" s="416">
        <f>J1883</f>
        <v>71</v>
      </c>
    </row>
    <row r="1884" spans="1:27" s="416" customFormat="1" ht="37.5" hidden="1" customHeight="1">
      <c r="A1884" s="506">
        <f t="shared" si="243"/>
        <v>370</v>
      </c>
      <c r="B1884" s="403" t="s">
        <v>1736</v>
      </c>
      <c r="C1884" s="455" t="s">
        <v>218</v>
      </c>
      <c r="D1884" s="487">
        <v>43845</v>
      </c>
      <c r="E1884" s="391">
        <v>7040</v>
      </c>
      <c r="F1884" s="391" t="s">
        <v>234</v>
      </c>
      <c r="G1884" s="391">
        <v>1719</v>
      </c>
      <c r="H1884" s="528">
        <v>9</v>
      </c>
      <c r="I1884" s="528">
        <v>4</v>
      </c>
      <c r="J1884" s="528">
        <v>215</v>
      </c>
      <c r="K1884" s="458" t="s">
        <v>225</v>
      </c>
      <c r="L1884" s="519">
        <f t="shared" si="244"/>
        <v>4497344.6500000004</v>
      </c>
      <c r="M1884" s="529">
        <v>4432900</v>
      </c>
      <c r="N1884" s="391">
        <v>44644.65</v>
      </c>
      <c r="O1884" s="530"/>
      <c r="P1884" s="391"/>
      <c r="Q1884" s="391">
        <v>19800</v>
      </c>
      <c r="R1884" s="528">
        <f>M1884/J1884</f>
        <v>20618.139534883721</v>
      </c>
      <c r="S1884" s="388">
        <f t="shared" si="241"/>
        <v>3.7107383832335472E-10</v>
      </c>
      <c r="T1884" s="398"/>
      <c r="U1884" s="391">
        <f>M1884+N1884+O1884+Q1884</f>
        <v>4497344.6500000004</v>
      </c>
      <c r="V1884" s="390"/>
      <c r="W1884" s="398"/>
      <c r="X1884" s="398"/>
    </row>
    <row r="1885" spans="1:27" s="416" customFormat="1" ht="37.5" hidden="1" customHeight="1">
      <c r="A1885" s="506">
        <f t="shared" si="243"/>
        <v>371</v>
      </c>
      <c r="B1885" s="403" t="s">
        <v>1737</v>
      </c>
      <c r="C1885" s="455" t="s">
        <v>218</v>
      </c>
      <c r="D1885" s="487">
        <v>16080</v>
      </c>
      <c r="E1885" s="391">
        <v>1608</v>
      </c>
      <c r="F1885" s="391" t="s">
        <v>234</v>
      </c>
      <c r="G1885" s="391">
        <v>683</v>
      </c>
      <c r="H1885" s="528">
        <v>9</v>
      </c>
      <c r="I1885" s="528">
        <v>2</v>
      </c>
      <c r="J1885" s="528">
        <v>72</v>
      </c>
      <c r="K1885" s="458" t="s">
        <v>33</v>
      </c>
      <c r="L1885" s="519">
        <f t="shared" si="244"/>
        <v>1509367.8</v>
      </c>
      <c r="M1885" s="529">
        <v>1462363</v>
      </c>
      <c r="N1885" s="391"/>
      <c r="O1885" s="473">
        <v>27104.799999999999</v>
      </c>
      <c r="P1885" s="391"/>
      <c r="Q1885" s="391">
        <v>19900</v>
      </c>
      <c r="R1885" s="528">
        <f>M1885/G1885</f>
        <v>2141.0878477306005</v>
      </c>
      <c r="S1885" s="388">
        <f t="shared" si="241"/>
        <v>4.7293724492192268E-11</v>
      </c>
      <c r="T1885" s="398"/>
      <c r="U1885" s="391"/>
      <c r="V1885" s="390"/>
      <c r="W1885" s="398"/>
      <c r="X1885" s="398"/>
    </row>
    <row r="1886" spans="1:27" s="416" customFormat="1" ht="37.5" hidden="1" customHeight="1">
      <c r="A1886" s="506">
        <f t="shared" si="243"/>
        <v>372</v>
      </c>
      <c r="B1886" s="403" t="s">
        <v>1739</v>
      </c>
      <c r="C1886" s="455" t="s">
        <v>218</v>
      </c>
      <c r="D1886" s="487">
        <v>12495</v>
      </c>
      <c r="E1886" s="391">
        <v>2250</v>
      </c>
      <c r="F1886" s="391" t="s">
        <v>234</v>
      </c>
      <c r="G1886" s="391">
        <v>532</v>
      </c>
      <c r="H1886" s="528">
        <v>9</v>
      </c>
      <c r="I1886" s="528">
        <v>1</v>
      </c>
      <c r="J1886" s="528">
        <v>72</v>
      </c>
      <c r="K1886" s="458" t="s">
        <v>225</v>
      </c>
      <c r="L1886" s="519">
        <f t="shared" si="244"/>
        <v>1435974.6</v>
      </c>
      <c r="M1886" s="529">
        <v>1389105</v>
      </c>
      <c r="N1886" s="391">
        <v>32867.839999999997</v>
      </c>
      <c r="O1886" s="530"/>
      <c r="P1886" s="391"/>
      <c r="Q1886" s="391">
        <v>14001.76</v>
      </c>
      <c r="R1886" s="528">
        <f>M1886/J1886</f>
        <v>19293.125</v>
      </c>
      <c r="S1886" s="388">
        <f t="shared" si="241"/>
        <v>9.6406438387930393E-11</v>
      </c>
      <c r="T1886" s="398"/>
      <c r="U1886" s="391">
        <f>M1886+N1886+O1886+Q1886</f>
        <v>1435974.6</v>
      </c>
      <c r="V1886" s="390"/>
      <c r="W1886" s="398"/>
      <c r="X1886" s="398"/>
    </row>
    <row r="1887" spans="1:27" s="416" customFormat="1" ht="37.5" hidden="1" customHeight="1">
      <c r="A1887" s="506">
        <f t="shared" si="243"/>
        <v>373</v>
      </c>
      <c r="B1887" s="403" t="s">
        <v>1740</v>
      </c>
      <c r="C1887" s="455" t="s">
        <v>218</v>
      </c>
      <c r="D1887" s="487">
        <v>7393</v>
      </c>
      <c r="E1887" s="391">
        <v>982</v>
      </c>
      <c r="F1887" s="391" t="s">
        <v>234</v>
      </c>
      <c r="G1887" s="391">
        <v>340</v>
      </c>
      <c r="H1887" s="528">
        <v>9</v>
      </c>
      <c r="I1887" s="528">
        <v>1</v>
      </c>
      <c r="J1887" s="528">
        <v>36</v>
      </c>
      <c r="K1887" s="458" t="s">
        <v>33</v>
      </c>
      <c r="L1887" s="519">
        <f t="shared" si="244"/>
        <v>810562.12</v>
      </c>
      <c r="M1887" s="529">
        <v>774384</v>
      </c>
      <c r="N1887" s="391"/>
      <c r="O1887" s="473">
        <v>23316.83</v>
      </c>
      <c r="P1887" s="391"/>
      <c r="Q1887" s="391">
        <v>12861.29</v>
      </c>
      <c r="R1887" s="528">
        <f>M1887/G1887</f>
        <v>2277.6</v>
      </c>
      <c r="S1887" s="388">
        <f t="shared" si="241"/>
        <v>0</v>
      </c>
      <c r="T1887" s="398"/>
      <c r="U1887" s="391"/>
      <c r="V1887" s="390"/>
      <c r="W1887" s="398"/>
      <c r="X1887" s="398"/>
    </row>
    <row r="1888" spans="1:27" s="416" customFormat="1" ht="37.5" hidden="1" customHeight="1">
      <c r="A1888" s="506">
        <f t="shared" si="243"/>
        <v>374</v>
      </c>
      <c r="B1888" s="403" t="s">
        <v>1741</v>
      </c>
      <c r="C1888" s="455" t="s">
        <v>218</v>
      </c>
      <c r="D1888" s="487">
        <v>16399</v>
      </c>
      <c r="E1888" s="391">
        <v>1633</v>
      </c>
      <c r="F1888" s="391" t="s">
        <v>234</v>
      </c>
      <c r="G1888" s="391">
        <v>689</v>
      </c>
      <c r="H1888" s="528">
        <v>9</v>
      </c>
      <c r="I1888" s="528">
        <v>2</v>
      </c>
      <c r="J1888" s="528">
        <v>72</v>
      </c>
      <c r="K1888" s="458" t="s">
        <v>33</v>
      </c>
      <c r="L1888" s="519">
        <f t="shared" si="244"/>
        <v>1479186.42</v>
      </c>
      <c r="M1888" s="529">
        <v>1435888</v>
      </c>
      <c r="N1888" s="391"/>
      <c r="O1888" s="473">
        <v>23398.42</v>
      </c>
      <c r="P1888" s="391"/>
      <c r="Q1888" s="391">
        <v>19900</v>
      </c>
      <c r="R1888" s="528">
        <f>M1888/G1888</f>
        <v>2084.0174165457183</v>
      </c>
      <c r="S1888" s="388">
        <f t="shared" si="241"/>
        <v>-7.2759576141834259E-11</v>
      </c>
      <c r="T1888" s="398"/>
      <c r="U1888" s="391"/>
      <c r="V1888" s="390"/>
      <c r="W1888" s="398"/>
      <c r="X1888" s="398"/>
    </row>
    <row r="1889" spans="1:27" s="416" customFormat="1" ht="37.5" hidden="1" customHeight="1">
      <c r="A1889" s="506">
        <f t="shared" si="243"/>
        <v>375</v>
      </c>
      <c r="B1889" s="403" t="s">
        <v>1738</v>
      </c>
      <c r="C1889" s="455" t="s">
        <v>218</v>
      </c>
      <c r="D1889" s="487">
        <v>7743</v>
      </c>
      <c r="E1889" s="391">
        <v>1210</v>
      </c>
      <c r="F1889" s="391" t="s">
        <v>234</v>
      </c>
      <c r="G1889" s="391">
        <v>331.4</v>
      </c>
      <c r="H1889" s="528">
        <v>9</v>
      </c>
      <c r="I1889" s="528">
        <v>1</v>
      </c>
      <c r="J1889" s="528">
        <v>36</v>
      </c>
      <c r="K1889" s="458" t="s">
        <v>33</v>
      </c>
      <c r="L1889" s="519">
        <f t="shared" si="244"/>
        <v>737230.7300000001</v>
      </c>
      <c r="M1889" s="529">
        <v>702578</v>
      </c>
      <c r="N1889" s="391"/>
      <c r="O1889" s="473">
        <v>21182.560000000001</v>
      </c>
      <c r="P1889" s="391"/>
      <c r="Q1889" s="391">
        <v>13470.17</v>
      </c>
      <c r="R1889" s="528">
        <f>M1889/G1889</f>
        <v>2120.0301750150875</v>
      </c>
      <c r="S1889" s="388">
        <f t="shared" si="241"/>
        <v>9.6406438387930393E-11</v>
      </c>
      <c r="T1889" s="398"/>
      <c r="U1889" s="391"/>
      <c r="V1889" s="390"/>
      <c r="W1889" s="398"/>
      <c r="X1889" s="398"/>
    </row>
    <row r="1890" spans="1:27" s="416" customFormat="1" ht="56.25" hidden="1" customHeight="1">
      <c r="A1890" s="506">
        <f t="shared" si="243"/>
        <v>376</v>
      </c>
      <c r="B1890" s="403" t="s">
        <v>1742</v>
      </c>
      <c r="C1890" s="455" t="s">
        <v>272</v>
      </c>
      <c r="D1890" s="487">
        <v>20763</v>
      </c>
      <c r="E1890" s="391">
        <v>1188</v>
      </c>
      <c r="F1890" s="391" t="s">
        <v>234</v>
      </c>
      <c r="G1890" s="391">
        <v>694</v>
      </c>
      <c r="H1890" s="528">
        <v>12</v>
      </c>
      <c r="I1890" s="528">
        <v>1</v>
      </c>
      <c r="J1890" s="528">
        <v>106</v>
      </c>
      <c r="K1890" s="458" t="s">
        <v>30</v>
      </c>
      <c r="L1890" s="519">
        <f t="shared" si="244"/>
        <v>3453232</v>
      </c>
      <c r="M1890" s="529">
        <v>3392000</v>
      </c>
      <c r="N1890" s="391"/>
      <c r="O1890" s="473">
        <v>21432</v>
      </c>
      <c r="P1890" s="391"/>
      <c r="Q1890" s="391">
        <v>39800</v>
      </c>
      <c r="R1890" s="528">
        <f>M1890/J1890</f>
        <v>32000</v>
      </c>
      <c r="S1890" s="388">
        <f t="shared" si="241"/>
        <v>0</v>
      </c>
      <c r="T1890" s="398"/>
      <c r="U1890" s="391"/>
      <c r="V1890" s="390"/>
      <c r="W1890" s="398"/>
      <c r="X1890" s="398"/>
      <c r="Z1890" s="416">
        <v>1</v>
      </c>
      <c r="AA1890" s="416">
        <f>J1890</f>
        <v>106</v>
      </c>
    </row>
    <row r="1891" spans="1:27" s="416" customFormat="1" ht="37.5" hidden="1" customHeight="1">
      <c r="A1891" s="506">
        <f t="shared" si="243"/>
        <v>377</v>
      </c>
      <c r="B1891" s="403" t="s">
        <v>1743</v>
      </c>
      <c r="C1891" s="455" t="s">
        <v>218</v>
      </c>
      <c r="D1891" s="487">
        <v>15840</v>
      </c>
      <c r="E1891" s="391">
        <v>1312</v>
      </c>
      <c r="F1891" s="391" t="s">
        <v>234</v>
      </c>
      <c r="G1891" s="391">
        <v>677</v>
      </c>
      <c r="H1891" s="528">
        <v>9</v>
      </c>
      <c r="I1891" s="528">
        <v>2</v>
      </c>
      <c r="J1891" s="528">
        <v>72</v>
      </c>
      <c r="K1891" s="458" t="s">
        <v>33</v>
      </c>
      <c r="L1891" s="519">
        <f t="shared" si="244"/>
        <v>1477901.14</v>
      </c>
      <c r="M1891" s="529">
        <v>1434746</v>
      </c>
      <c r="N1891" s="391"/>
      <c r="O1891" s="473">
        <v>23255.14</v>
      </c>
      <c r="P1891" s="391"/>
      <c r="Q1891" s="391">
        <v>19900</v>
      </c>
      <c r="R1891" s="528">
        <f t="shared" ref="R1891:R1902" si="245">M1891/G1891</f>
        <v>2119.2703101920238</v>
      </c>
      <c r="S1891" s="388">
        <f t="shared" si="241"/>
        <v>-1.0186340659856796E-10</v>
      </c>
      <c r="T1891" s="398"/>
      <c r="U1891" s="391"/>
      <c r="V1891" s="390"/>
      <c r="W1891" s="398"/>
      <c r="X1891" s="398"/>
    </row>
    <row r="1892" spans="1:27" s="416" customFormat="1" ht="37.5" hidden="1" customHeight="1">
      <c r="A1892" s="506">
        <f t="shared" si="243"/>
        <v>378</v>
      </c>
      <c r="B1892" s="403" t="s">
        <v>1744</v>
      </c>
      <c r="C1892" s="455" t="s">
        <v>218</v>
      </c>
      <c r="D1892" s="487">
        <v>12543</v>
      </c>
      <c r="E1892" s="391">
        <v>2455.5</v>
      </c>
      <c r="F1892" s="391" t="s">
        <v>223</v>
      </c>
      <c r="G1892" s="391">
        <v>1294</v>
      </c>
      <c r="H1892" s="528">
        <v>5</v>
      </c>
      <c r="I1892" s="528">
        <v>5</v>
      </c>
      <c r="J1892" s="528">
        <v>100</v>
      </c>
      <c r="K1892" s="458" t="s">
        <v>33</v>
      </c>
      <c r="L1892" s="519">
        <f t="shared" si="244"/>
        <v>4589113.66</v>
      </c>
      <c r="M1892" s="529">
        <v>4529000</v>
      </c>
      <c r="N1892" s="391"/>
      <c r="O1892" s="473">
        <v>21442.25</v>
      </c>
      <c r="P1892" s="391"/>
      <c r="Q1892" s="391">
        <v>38671.410000000003</v>
      </c>
      <c r="R1892" s="528">
        <f t="shared" si="245"/>
        <v>3500</v>
      </c>
      <c r="S1892" s="388">
        <f t="shared" si="241"/>
        <v>1.4551915228366852E-10</v>
      </c>
      <c r="T1892" s="398"/>
      <c r="U1892" s="391"/>
      <c r="V1892" s="390"/>
      <c r="W1892" s="398"/>
      <c r="X1892" s="398"/>
    </row>
    <row r="1893" spans="1:27" s="416" customFormat="1" ht="37.5" hidden="1" customHeight="1">
      <c r="A1893" s="506">
        <f t="shared" si="243"/>
        <v>379</v>
      </c>
      <c r="B1893" s="403" t="s">
        <v>1745</v>
      </c>
      <c r="C1893" s="455" t="s">
        <v>218</v>
      </c>
      <c r="D1893" s="487">
        <v>12482</v>
      </c>
      <c r="E1893" s="391">
        <v>2414</v>
      </c>
      <c r="F1893" s="391" t="s">
        <v>223</v>
      </c>
      <c r="G1893" s="391">
        <v>2280.5</v>
      </c>
      <c r="H1893" s="528">
        <v>5</v>
      </c>
      <c r="I1893" s="528">
        <v>4</v>
      </c>
      <c r="J1893" s="528">
        <v>80</v>
      </c>
      <c r="K1893" s="458" t="s">
        <v>33</v>
      </c>
      <c r="L1893" s="519">
        <f t="shared" si="244"/>
        <v>4063902.71</v>
      </c>
      <c r="M1893" s="529">
        <v>4004000</v>
      </c>
      <c r="N1893" s="391"/>
      <c r="O1893" s="473">
        <v>21419.360000000001</v>
      </c>
      <c r="P1893" s="391"/>
      <c r="Q1893" s="391">
        <v>38483.35</v>
      </c>
      <c r="R1893" s="528">
        <f t="shared" si="245"/>
        <v>1755.7553168164877</v>
      </c>
      <c r="S1893" s="388">
        <f t="shared" si="241"/>
        <v>0</v>
      </c>
      <c r="T1893" s="398"/>
      <c r="U1893" s="391"/>
      <c r="V1893" s="390"/>
      <c r="W1893" s="398"/>
      <c r="X1893" s="398"/>
    </row>
    <row r="1894" spans="1:27" s="416" customFormat="1" ht="37.5" hidden="1" customHeight="1">
      <c r="A1894" s="506">
        <f t="shared" si="243"/>
        <v>380</v>
      </c>
      <c r="B1894" s="403" t="s">
        <v>1746</v>
      </c>
      <c r="C1894" s="455" t="s">
        <v>218</v>
      </c>
      <c r="D1894" s="487">
        <v>9993</v>
      </c>
      <c r="E1894" s="391">
        <v>2000.2</v>
      </c>
      <c r="F1894" s="391" t="s">
        <v>223</v>
      </c>
      <c r="G1894" s="391">
        <v>1100</v>
      </c>
      <c r="H1894" s="528">
        <v>5</v>
      </c>
      <c r="I1894" s="528">
        <v>4</v>
      </c>
      <c r="J1894" s="528">
        <v>60</v>
      </c>
      <c r="K1894" s="458" t="s">
        <v>33</v>
      </c>
      <c r="L1894" s="519">
        <f t="shared" si="244"/>
        <v>3851936.3200000003</v>
      </c>
      <c r="M1894" s="529">
        <v>3800000</v>
      </c>
      <c r="N1894" s="391"/>
      <c r="O1894" s="473">
        <v>21126.83</v>
      </c>
      <c r="P1894" s="391"/>
      <c r="Q1894" s="391">
        <v>30809.49</v>
      </c>
      <c r="R1894" s="528">
        <f t="shared" si="245"/>
        <v>3454.5454545454545</v>
      </c>
      <c r="S1894" s="388">
        <f t="shared" si="241"/>
        <v>2.9467628337442875E-10</v>
      </c>
      <c r="T1894" s="398"/>
      <c r="U1894" s="391"/>
      <c r="V1894" s="390"/>
      <c r="W1894" s="398"/>
      <c r="X1894" s="398"/>
    </row>
    <row r="1895" spans="1:27" s="416" customFormat="1" ht="46.5" hidden="1" customHeight="1">
      <c r="A1895" s="506">
        <f t="shared" si="243"/>
        <v>381</v>
      </c>
      <c r="B1895" s="403" t="s">
        <v>1747</v>
      </c>
      <c r="C1895" s="455" t="s">
        <v>293</v>
      </c>
      <c r="D1895" s="487">
        <v>1666</v>
      </c>
      <c r="E1895" s="391">
        <v>337</v>
      </c>
      <c r="F1895" s="391" t="s">
        <v>223</v>
      </c>
      <c r="G1895" s="391">
        <v>350</v>
      </c>
      <c r="H1895" s="528">
        <v>2</v>
      </c>
      <c r="I1895" s="528">
        <v>1</v>
      </c>
      <c r="J1895" s="528">
        <v>8</v>
      </c>
      <c r="K1895" s="458" t="s">
        <v>33</v>
      </c>
      <c r="L1895" s="519">
        <f t="shared" si="244"/>
        <v>793946.57</v>
      </c>
      <c r="M1895" s="529">
        <v>770000</v>
      </c>
      <c r="N1895" s="391"/>
      <c r="O1895" s="473">
        <v>15829.45</v>
      </c>
      <c r="P1895" s="391"/>
      <c r="Q1895" s="391">
        <v>8117.12</v>
      </c>
      <c r="R1895" s="528">
        <f t="shared" si="245"/>
        <v>2200</v>
      </c>
      <c r="S1895" s="388">
        <f t="shared" si="241"/>
        <v>-5.184119800105691E-11</v>
      </c>
      <c r="T1895" s="398"/>
      <c r="U1895" s="391"/>
      <c r="V1895" s="390"/>
      <c r="W1895" s="398"/>
      <c r="X1895" s="398"/>
    </row>
    <row r="1896" spans="1:27" s="416" customFormat="1" ht="37.5" hidden="1" customHeight="1">
      <c r="A1896" s="506">
        <f t="shared" si="243"/>
        <v>382</v>
      </c>
      <c r="B1896" s="403" t="s">
        <v>1748</v>
      </c>
      <c r="C1896" s="455" t="s">
        <v>230</v>
      </c>
      <c r="D1896" s="487">
        <v>1564</v>
      </c>
      <c r="E1896" s="391">
        <v>480</v>
      </c>
      <c r="F1896" s="391" t="s">
        <v>369</v>
      </c>
      <c r="G1896" s="391">
        <v>324</v>
      </c>
      <c r="H1896" s="528">
        <v>2</v>
      </c>
      <c r="I1896" s="528">
        <v>1</v>
      </c>
      <c r="J1896" s="528">
        <v>8</v>
      </c>
      <c r="K1896" s="458" t="s">
        <v>395</v>
      </c>
      <c r="L1896" s="519">
        <f t="shared" si="244"/>
        <v>738146.14</v>
      </c>
      <c r="M1896" s="529">
        <v>712800</v>
      </c>
      <c r="N1896" s="391"/>
      <c r="O1896" s="473">
        <v>17726</v>
      </c>
      <c r="P1896" s="391"/>
      <c r="Q1896" s="391">
        <v>7620.14</v>
      </c>
      <c r="R1896" s="528">
        <f t="shared" si="245"/>
        <v>2200</v>
      </c>
      <c r="S1896" s="388">
        <f t="shared" si="241"/>
        <v>1.3642420526593924E-11</v>
      </c>
      <c r="T1896" s="398"/>
      <c r="U1896" s="391"/>
      <c r="V1896" s="390"/>
      <c r="W1896" s="398"/>
      <c r="X1896" s="398"/>
    </row>
    <row r="1897" spans="1:27" s="416" customFormat="1" ht="37.5" hidden="1" customHeight="1">
      <c r="A1897" s="506">
        <f t="shared" si="243"/>
        <v>383</v>
      </c>
      <c r="B1897" s="403" t="s">
        <v>1749</v>
      </c>
      <c r="C1897" s="455" t="s">
        <v>230</v>
      </c>
      <c r="D1897" s="487">
        <v>1564</v>
      </c>
      <c r="E1897" s="391">
        <v>480</v>
      </c>
      <c r="F1897" s="391" t="s">
        <v>369</v>
      </c>
      <c r="G1897" s="391">
        <v>324</v>
      </c>
      <c r="H1897" s="528">
        <v>2</v>
      </c>
      <c r="I1897" s="528">
        <v>1</v>
      </c>
      <c r="J1897" s="528">
        <v>8</v>
      </c>
      <c r="K1897" s="458" t="s">
        <v>395</v>
      </c>
      <c r="L1897" s="519">
        <f t="shared" si="244"/>
        <v>737949.14</v>
      </c>
      <c r="M1897" s="529">
        <v>712800</v>
      </c>
      <c r="N1897" s="391"/>
      <c r="O1897" s="473">
        <v>17529</v>
      </c>
      <c r="P1897" s="391"/>
      <c r="Q1897" s="391">
        <v>7620.14</v>
      </c>
      <c r="R1897" s="528">
        <f t="shared" si="245"/>
        <v>2200</v>
      </c>
      <c r="S1897" s="388">
        <f t="shared" si="241"/>
        <v>1.3642420526593924E-11</v>
      </c>
      <c r="T1897" s="398"/>
      <c r="U1897" s="391"/>
      <c r="V1897" s="390"/>
      <c r="W1897" s="398"/>
      <c r="X1897" s="398"/>
    </row>
    <row r="1898" spans="1:27" s="416" customFormat="1" ht="37.5" hidden="1" customHeight="1">
      <c r="A1898" s="506">
        <f t="shared" si="243"/>
        <v>384</v>
      </c>
      <c r="B1898" s="403" t="s">
        <v>1750</v>
      </c>
      <c r="C1898" s="455" t="s">
        <v>230</v>
      </c>
      <c r="D1898" s="487">
        <v>1550</v>
      </c>
      <c r="E1898" s="391">
        <v>480</v>
      </c>
      <c r="F1898" s="391" t="s">
        <v>369</v>
      </c>
      <c r="G1898" s="391">
        <v>324</v>
      </c>
      <c r="H1898" s="528">
        <v>2</v>
      </c>
      <c r="I1898" s="528">
        <v>1</v>
      </c>
      <c r="J1898" s="528">
        <v>8</v>
      </c>
      <c r="K1898" s="458" t="s">
        <v>395</v>
      </c>
      <c r="L1898" s="519">
        <f t="shared" si="244"/>
        <v>1025450.94</v>
      </c>
      <c r="M1898" s="529">
        <v>1000000</v>
      </c>
      <c r="N1898" s="391"/>
      <c r="O1898" s="473">
        <v>17899</v>
      </c>
      <c r="P1898" s="391"/>
      <c r="Q1898" s="391">
        <v>7551.94</v>
      </c>
      <c r="R1898" s="528">
        <f t="shared" si="245"/>
        <v>3086.4197530864199</v>
      </c>
      <c r="S1898" s="388">
        <f t="shared" si="241"/>
        <v>-5.5479176808148623E-11</v>
      </c>
      <c r="T1898" s="398"/>
      <c r="U1898" s="391"/>
      <c r="V1898" s="390"/>
      <c r="W1898" s="398"/>
      <c r="X1898" s="398"/>
    </row>
    <row r="1899" spans="1:27" s="416" customFormat="1" ht="37.5" hidden="1" customHeight="1">
      <c r="A1899" s="506">
        <f t="shared" si="243"/>
        <v>385</v>
      </c>
      <c r="B1899" s="403" t="s">
        <v>1751</v>
      </c>
      <c r="C1899" s="455" t="s">
        <v>230</v>
      </c>
      <c r="D1899" s="487">
        <v>3097</v>
      </c>
      <c r="E1899" s="391">
        <v>780</v>
      </c>
      <c r="F1899" s="391" t="s">
        <v>369</v>
      </c>
      <c r="G1899" s="391">
        <v>450</v>
      </c>
      <c r="H1899" s="528">
        <v>2</v>
      </c>
      <c r="I1899" s="528">
        <v>2</v>
      </c>
      <c r="J1899" s="528">
        <v>12</v>
      </c>
      <c r="K1899" s="458" t="s">
        <v>395</v>
      </c>
      <c r="L1899" s="519">
        <f t="shared" si="244"/>
        <v>1595863.25</v>
      </c>
      <c r="M1899" s="529">
        <v>1562731</v>
      </c>
      <c r="N1899" s="391"/>
      <c r="O1899" s="473">
        <v>18043</v>
      </c>
      <c r="P1899" s="391"/>
      <c r="Q1899" s="391">
        <v>15089.25</v>
      </c>
      <c r="R1899" s="528">
        <f t="shared" si="245"/>
        <v>3472.7355555555555</v>
      </c>
      <c r="S1899" s="388">
        <f t="shared" si="241"/>
        <v>0</v>
      </c>
      <c r="T1899" s="398"/>
      <c r="U1899" s="391"/>
      <c r="V1899" s="390"/>
      <c r="W1899" s="398"/>
      <c r="X1899" s="398"/>
    </row>
    <row r="1900" spans="1:27" s="416" customFormat="1" ht="37.5" hidden="1" customHeight="1">
      <c r="A1900" s="506">
        <f t="shared" si="243"/>
        <v>386</v>
      </c>
      <c r="B1900" s="403" t="s">
        <v>1752</v>
      </c>
      <c r="C1900" s="455" t="s">
        <v>272</v>
      </c>
      <c r="D1900" s="487">
        <v>6505</v>
      </c>
      <c r="E1900" s="391">
        <v>1396</v>
      </c>
      <c r="F1900" s="391" t="s">
        <v>223</v>
      </c>
      <c r="G1900" s="391">
        <v>1148</v>
      </c>
      <c r="H1900" s="528">
        <v>5</v>
      </c>
      <c r="I1900" s="528">
        <v>2</v>
      </c>
      <c r="J1900" s="528">
        <v>38</v>
      </c>
      <c r="K1900" s="458" t="s">
        <v>33</v>
      </c>
      <c r="L1900" s="519">
        <f t="shared" si="244"/>
        <v>2344996.62</v>
      </c>
      <c r="M1900" s="529">
        <v>2300000</v>
      </c>
      <c r="N1900" s="391"/>
      <c r="O1900" s="473">
        <v>24941</v>
      </c>
      <c r="P1900" s="391"/>
      <c r="Q1900" s="391">
        <v>20055.62</v>
      </c>
      <c r="R1900" s="528">
        <f t="shared" si="245"/>
        <v>2003.4843205574914</v>
      </c>
      <c r="S1900" s="388">
        <f t="shared" si="241"/>
        <v>1.127773430198431E-10</v>
      </c>
      <c r="T1900" s="398"/>
      <c r="U1900" s="391"/>
      <c r="V1900" s="390"/>
      <c r="W1900" s="398"/>
      <c r="X1900" s="398"/>
    </row>
    <row r="1901" spans="1:27" s="416" customFormat="1" ht="90" hidden="1" customHeight="1">
      <c r="A1901" s="506">
        <f t="shared" si="243"/>
        <v>387</v>
      </c>
      <c r="B1901" s="403" t="s">
        <v>1753</v>
      </c>
      <c r="C1901" s="455" t="s">
        <v>218</v>
      </c>
      <c r="D1901" s="487">
        <v>15960</v>
      </c>
      <c r="E1901" s="391">
        <v>3339</v>
      </c>
      <c r="F1901" s="391" t="s">
        <v>234</v>
      </c>
      <c r="G1901" s="391">
        <v>662.8</v>
      </c>
      <c r="H1901" s="528">
        <v>9</v>
      </c>
      <c r="I1901" s="528">
        <v>2</v>
      </c>
      <c r="J1901" s="528">
        <v>72</v>
      </c>
      <c r="K1901" s="458" t="s">
        <v>30</v>
      </c>
      <c r="L1901" s="519">
        <f t="shared" si="244"/>
        <v>2324032</v>
      </c>
      <c r="M1901" s="529">
        <v>2304000</v>
      </c>
      <c r="N1901" s="391"/>
      <c r="O1901" s="388">
        <v>20032</v>
      </c>
      <c r="P1901" s="391"/>
      <c r="Q1901" s="391"/>
      <c r="R1901" s="528">
        <f t="shared" si="245"/>
        <v>3476.1617380808693</v>
      </c>
      <c r="S1901" s="388">
        <f t="shared" si="241"/>
        <v>0</v>
      </c>
      <c r="T1901" s="398"/>
      <c r="U1901" s="391"/>
      <c r="V1901" s="390"/>
      <c r="W1901" s="398"/>
      <c r="X1901" s="398"/>
      <c r="Z1901" s="416">
        <v>1</v>
      </c>
      <c r="AA1901" s="416">
        <f>J1901</f>
        <v>72</v>
      </c>
    </row>
    <row r="1902" spans="1:27" s="416" customFormat="1" ht="37.5" hidden="1" customHeight="1">
      <c r="A1902" s="506">
        <f t="shared" si="243"/>
        <v>388</v>
      </c>
      <c r="B1902" s="403" t="s">
        <v>1755</v>
      </c>
      <c r="C1902" s="455" t="s">
        <v>218</v>
      </c>
      <c r="D1902" s="487">
        <v>12683</v>
      </c>
      <c r="E1902" s="391">
        <v>2592</v>
      </c>
      <c r="F1902" s="391" t="s">
        <v>234</v>
      </c>
      <c r="G1902" s="391">
        <v>411</v>
      </c>
      <c r="H1902" s="528">
        <v>12</v>
      </c>
      <c r="I1902" s="528">
        <v>1</v>
      </c>
      <c r="J1902" s="528">
        <v>48</v>
      </c>
      <c r="K1902" s="458" t="s">
        <v>33</v>
      </c>
      <c r="L1902" s="519">
        <f t="shared" si="244"/>
        <v>1199282.3999999999</v>
      </c>
      <c r="M1902" s="529">
        <v>1154984</v>
      </c>
      <c r="N1902" s="391"/>
      <c r="O1902" s="473">
        <v>24398.400000000001</v>
      </c>
      <c r="P1902" s="391"/>
      <c r="Q1902" s="391">
        <v>19900</v>
      </c>
      <c r="R1902" s="528">
        <f t="shared" si="245"/>
        <v>2810.1800486618004</v>
      </c>
      <c r="S1902" s="388">
        <f t="shared" si="241"/>
        <v>-9.4587448984384537E-11</v>
      </c>
      <c r="T1902" s="398"/>
      <c r="U1902" s="391"/>
      <c r="V1902" s="390"/>
      <c r="W1902" s="398"/>
      <c r="X1902" s="398"/>
    </row>
    <row r="1903" spans="1:27" s="416" customFormat="1" ht="56.25" hidden="1" customHeight="1">
      <c r="A1903" s="506">
        <f t="shared" si="243"/>
        <v>389</v>
      </c>
      <c r="B1903" s="403" t="s">
        <v>1756</v>
      </c>
      <c r="C1903" s="455" t="s">
        <v>218</v>
      </c>
      <c r="D1903" s="487">
        <v>12707</v>
      </c>
      <c r="E1903" s="391">
        <v>2592</v>
      </c>
      <c r="F1903" s="391" t="s">
        <v>234</v>
      </c>
      <c r="G1903" s="391">
        <v>414</v>
      </c>
      <c r="H1903" s="528">
        <v>12</v>
      </c>
      <c r="I1903" s="528">
        <v>1</v>
      </c>
      <c r="J1903" s="528">
        <v>47</v>
      </c>
      <c r="K1903" s="458" t="s">
        <v>30</v>
      </c>
      <c r="L1903" s="519">
        <f t="shared" si="244"/>
        <v>1551950.4</v>
      </c>
      <c r="M1903" s="529">
        <v>1504000</v>
      </c>
      <c r="N1903" s="391"/>
      <c r="O1903" s="473">
        <v>20588</v>
      </c>
      <c r="P1903" s="391"/>
      <c r="Q1903" s="391">
        <v>27362.400000000001</v>
      </c>
      <c r="R1903" s="528">
        <f>M1903/J1903</f>
        <v>32000</v>
      </c>
      <c r="S1903" s="388">
        <f t="shared" si="241"/>
        <v>-9.4587448984384537E-11</v>
      </c>
      <c r="T1903" s="398"/>
      <c r="U1903" s="391"/>
      <c r="V1903" s="390"/>
      <c r="W1903" s="398"/>
      <c r="X1903" s="398"/>
      <c r="Z1903" s="416">
        <v>1</v>
      </c>
      <c r="AA1903" s="416">
        <f>J1903</f>
        <v>47</v>
      </c>
    </row>
    <row r="1904" spans="1:27" s="416" customFormat="1" ht="56.25" hidden="1" customHeight="1">
      <c r="A1904" s="506">
        <f t="shared" si="243"/>
        <v>390</v>
      </c>
      <c r="B1904" s="403" t="s">
        <v>1757</v>
      </c>
      <c r="C1904" s="455" t="s">
        <v>218</v>
      </c>
      <c r="D1904" s="487">
        <v>31734</v>
      </c>
      <c r="E1904" s="391">
        <v>6089</v>
      </c>
      <c r="F1904" s="391" t="s">
        <v>234</v>
      </c>
      <c r="G1904" s="391">
        <v>1427.8</v>
      </c>
      <c r="H1904" s="528">
        <v>9</v>
      </c>
      <c r="I1904" s="528">
        <v>4</v>
      </c>
      <c r="J1904" s="528">
        <v>144</v>
      </c>
      <c r="K1904" s="458" t="s">
        <v>30</v>
      </c>
      <c r="L1904" s="519">
        <f t="shared" si="244"/>
        <v>4667948</v>
      </c>
      <c r="M1904" s="529">
        <v>4608000</v>
      </c>
      <c r="N1904" s="391"/>
      <c r="O1904" s="473">
        <v>20148</v>
      </c>
      <c r="P1904" s="391"/>
      <c r="Q1904" s="391">
        <v>39800</v>
      </c>
      <c r="R1904" s="528">
        <f>M1904/J1904</f>
        <v>32000</v>
      </c>
      <c r="S1904" s="388">
        <f t="shared" si="241"/>
        <v>0</v>
      </c>
      <c r="T1904" s="398"/>
      <c r="U1904" s="391"/>
      <c r="V1904" s="390"/>
      <c r="W1904" s="398"/>
      <c r="X1904" s="398"/>
      <c r="Z1904" s="416">
        <v>1</v>
      </c>
      <c r="AA1904" s="416">
        <f>J1904</f>
        <v>144</v>
      </c>
    </row>
    <row r="1905" spans="1:27" s="416" customFormat="1" ht="56.25" hidden="1" customHeight="1">
      <c r="A1905" s="506">
        <f t="shared" si="243"/>
        <v>391</v>
      </c>
      <c r="B1905" s="403" t="s">
        <v>1758</v>
      </c>
      <c r="C1905" s="455" t="s">
        <v>218</v>
      </c>
      <c r="D1905" s="487">
        <v>16958</v>
      </c>
      <c r="E1905" s="391">
        <v>3339</v>
      </c>
      <c r="F1905" s="391" t="s">
        <v>234</v>
      </c>
      <c r="G1905" s="391">
        <v>713.9</v>
      </c>
      <c r="H1905" s="528">
        <v>9</v>
      </c>
      <c r="I1905" s="528">
        <v>2</v>
      </c>
      <c r="J1905" s="528">
        <v>72</v>
      </c>
      <c r="K1905" s="458" t="s">
        <v>30</v>
      </c>
      <c r="L1905" s="519">
        <f t="shared" si="244"/>
        <v>2355677.94</v>
      </c>
      <c r="M1905" s="529">
        <v>2304000</v>
      </c>
      <c r="N1905" s="391"/>
      <c r="O1905" s="473">
        <v>17359</v>
      </c>
      <c r="P1905" s="391"/>
      <c r="Q1905" s="391">
        <v>34318.94</v>
      </c>
      <c r="R1905" s="528">
        <f>M1905/J1905</f>
        <v>32000</v>
      </c>
      <c r="S1905" s="388">
        <f t="shared" si="241"/>
        <v>-5.8207660913467407E-11</v>
      </c>
      <c r="T1905" s="398"/>
      <c r="U1905" s="391"/>
      <c r="V1905" s="390"/>
      <c r="W1905" s="398"/>
      <c r="X1905" s="398"/>
      <c r="Z1905" s="416">
        <v>1</v>
      </c>
      <c r="AA1905" s="416">
        <f>J1905</f>
        <v>72</v>
      </c>
    </row>
    <row r="1906" spans="1:27" s="416" customFormat="1" ht="37.5" hidden="1" customHeight="1">
      <c r="A1906" s="506">
        <f t="shared" si="243"/>
        <v>392</v>
      </c>
      <c r="B1906" s="403" t="s">
        <v>1759</v>
      </c>
      <c r="C1906" s="455" t="s">
        <v>272</v>
      </c>
      <c r="D1906" s="487">
        <v>11890</v>
      </c>
      <c r="E1906" s="391">
        <v>2245</v>
      </c>
      <c r="F1906" s="391" t="s">
        <v>223</v>
      </c>
      <c r="G1906" s="391">
        <v>1020</v>
      </c>
      <c r="H1906" s="528">
        <v>4</v>
      </c>
      <c r="I1906" s="528">
        <v>4</v>
      </c>
      <c r="J1906" s="528">
        <v>62</v>
      </c>
      <c r="K1906" s="458" t="s">
        <v>225</v>
      </c>
      <c r="L1906" s="519">
        <f t="shared" si="244"/>
        <v>1193422.5599999998</v>
      </c>
      <c r="M1906" s="529">
        <v>1153771</v>
      </c>
      <c r="N1906" s="391">
        <v>27181.41</v>
      </c>
      <c r="O1906" s="530"/>
      <c r="P1906" s="391"/>
      <c r="Q1906" s="391">
        <v>12470.15</v>
      </c>
      <c r="R1906" s="528">
        <f>M1906/J1906</f>
        <v>18609.209677419356</v>
      </c>
      <c r="S1906" s="388">
        <f t="shared" si="241"/>
        <v>-1.7644197214394808E-10</v>
      </c>
      <c r="T1906" s="398"/>
      <c r="U1906" s="391">
        <f>M1906+N1906+O1906+Q1906</f>
        <v>1193422.5599999998</v>
      </c>
      <c r="V1906" s="390"/>
      <c r="W1906" s="398"/>
      <c r="X1906" s="398"/>
    </row>
    <row r="1907" spans="1:27" s="416" customFormat="1" ht="37.5" hidden="1" customHeight="1">
      <c r="A1907" s="543">
        <f>A1906+1</f>
        <v>393</v>
      </c>
      <c r="B1907" s="403" t="s">
        <v>1760</v>
      </c>
      <c r="C1907" s="455" t="s">
        <v>272</v>
      </c>
      <c r="D1907" s="487">
        <v>8665</v>
      </c>
      <c r="E1907" s="391">
        <v>2100</v>
      </c>
      <c r="F1907" s="391" t="s">
        <v>223</v>
      </c>
      <c r="G1907" s="391">
        <v>700</v>
      </c>
      <c r="H1907" s="528">
        <v>5</v>
      </c>
      <c r="I1907" s="528">
        <v>2</v>
      </c>
      <c r="J1907" s="528">
        <v>39</v>
      </c>
      <c r="K1907" s="458" t="s">
        <v>33</v>
      </c>
      <c r="L1907" s="1129">
        <f>M1907+N1907+O1907+P1907+Q1907+M1908+N1908+O1908+P1908+Q1908</f>
        <v>5936846.1200000001</v>
      </c>
      <c r="M1907" s="529">
        <v>2338000</v>
      </c>
      <c r="N1907" s="391"/>
      <c r="O1907" s="473">
        <v>25971</v>
      </c>
      <c r="P1907" s="391"/>
      <c r="Q1907" s="391">
        <v>26715.119999999999</v>
      </c>
      <c r="R1907" s="528">
        <f>M1907/G1907</f>
        <v>3340</v>
      </c>
      <c r="S1907" s="388">
        <f t="shared" si="241"/>
        <v>3546160</v>
      </c>
      <c r="T1907" s="398"/>
      <c r="U1907" s="391"/>
      <c r="V1907" s="390"/>
      <c r="W1907" s="398"/>
      <c r="X1907" s="398"/>
    </row>
    <row r="1908" spans="1:27" s="416" customFormat="1" ht="27.75" hidden="1" customHeight="1">
      <c r="A1908" s="543"/>
      <c r="B1908" s="403"/>
      <c r="C1908" s="455"/>
      <c r="D1908" s="487"/>
      <c r="E1908" s="391"/>
      <c r="F1908" s="391"/>
      <c r="G1908" s="391"/>
      <c r="H1908" s="528"/>
      <c r="I1908" s="528"/>
      <c r="J1908" s="528"/>
      <c r="K1908" s="458" t="s">
        <v>38</v>
      </c>
      <c r="L1908" s="1129"/>
      <c r="M1908" s="529">
        <v>3500000</v>
      </c>
      <c r="N1908" s="391"/>
      <c r="O1908" s="473">
        <v>16460</v>
      </c>
      <c r="P1908" s="391"/>
      <c r="Q1908" s="391">
        <v>29700</v>
      </c>
      <c r="R1908" s="528">
        <f>M1908/E1907</f>
        <v>1666.6666666666667</v>
      </c>
      <c r="S1908" s="388">
        <f t="shared" si="241"/>
        <v>-3546160</v>
      </c>
      <c r="T1908" s="398"/>
      <c r="U1908" s="391"/>
      <c r="V1908" s="390"/>
      <c r="W1908" s="398"/>
      <c r="X1908" s="398"/>
    </row>
    <row r="1909" spans="1:27" s="416" customFormat="1" ht="54" hidden="1" customHeight="1">
      <c r="A1909" s="543">
        <v>394</v>
      </c>
      <c r="B1909" s="403" t="s">
        <v>1801</v>
      </c>
      <c r="C1909" s="455" t="s">
        <v>272</v>
      </c>
      <c r="D1909" s="487">
        <v>22847</v>
      </c>
      <c r="E1909" s="391">
        <v>3500</v>
      </c>
      <c r="F1909" s="391" t="s">
        <v>234</v>
      </c>
      <c r="G1909" s="391">
        <v>788</v>
      </c>
      <c r="H1909" s="528">
        <v>9</v>
      </c>
      <c r="I1909" s="528">
        <v>1</v>
      </c>
      <c r="J1909" s="528">
        <v>112</v>
      </c>
      <c r="K1909" s="458" t="s">
        <v>394</v>
      </c>
      <c r="L1909" s="1129">
        <f>M1909+N1909+O1909+P1909+Q1909+M1910+N1910+O1910+P1910+Q1910+M1911+N1911+O1911+Q1911</f>
        <v>11280517.390000001</v>
      </c>
      <c r="M1909" s="529">
        <v>5800000</v>
      </c>
      <c r="N1909" s="391"/>
      <c r="O1909" s="473">
        <v>20797</v>
      </c>
      <c r="P1909" s="391"/>
      <c r="Q1909" s="391">
        <v>29700</v>
      </c>
      <c r="R1909" s="528">
        <f>M1909/E1909</f>
        <v>1657.1428571428571</v>
      </c>
      <c r="S1909" s="388">
        <f t="shared" si="241"/>
        <v>5430020.3900000006</v>
      </c>
      <c r="T1909" s="398"/>
      <c r="U1909" s="391"/>
      <c r="V1909" s="390"/>
      <c r="W1909" s="398"/>
      <c r="X1909" s="398"/>
    </row>
    <row r="1910" spans="1:27" s="416" customFormat="1" ht="56.25" hidden="1" customHeight="1">
      <c r="A1910" s="543"/>
      <c r="B1910" s="403"/>
      <c r="C1910" s="455"/>
      <c r="D1910" s="487"/>
      <c r="E1910" s="391"/>
      <c r="F1910" s="391"/>
      <c r="G1910" s="391"/>
      <c r="H1910" s="528"/>
      <c r="I1910" s="528"/>
      <c r="J1910" s="528"/>
      <c r="K1910" s="458" t="s">
        <v>30</v>
      </c>
      <c r="L1910" s="1129"/>
      <c r="M1910" s="529">
        <v>3700000</v>
      </c>
      <c r="N1910" s="391"/>
      <c r="O1910" s="473">
        <v>20420.39</v>
      </c>
      <c r="P1910" s="391"/>
      <c r="Q1910" s="391">
        <v>39800</v>
      </c>
      <c r="R1910" s="528">
        <f>M1910/J1909</f>
        <v>33035.714285714283</v>
      </c>
      <c r="S1910" s="388">
        <f t="shared" si="241"/>
        <v>-3760220.39</v>
      </c>
      <c r="T1910" s="398"/>
      <c r="U1910" s="391"/>
      <c r="V1910" s="390"/>
      <c r="W1910" s="398"/>
      <c r="X1910" s="398"/>
      <c r="Z1910" s="416">
        <v>1</v>
      </c>
      <c r="AA1910" s="416">
        <v>112</v>
      </c>
    </row>
    <row r="1911" spans="1:27" s="416" customFormat="1" ht="56.25" hidden="1" customHeight="1">
      <c r="A1911" s="543"/>
      <c r="B1911" s="403"/>
      <c r="C1911" s="455"/>
      <c r="D1911" s="487"/>
      <c r="E1911" s="391"/>
      <c r="F1911" s="391"/>
      <c r="G1911" s="391"/>
      <c r="H1911" s="528"/>
      <c r="I1911" s="528"/>
      <c r="J1911" s="528"/>
      <c r="K1911" s="458" t="s">
        <v>33</v>
      </c>
      <c r="L1911" s="1129"/>
      <c r="M1911" s="529">
        <v>1654800</v>
      </c>
      <c r="N1911" s="391"/>
      <c r="O1911" s="473">
        <v>15000</v>
      </c>
      <c r="P1911" s="391"/>
      <c r="Q1911" s="391"/>
      <c r="R1911" s="528"/>
      <c r="S1911" s="388"/>
      <c r="T1911" s="398"/>
      <c r="U1911" s="391"/>
      <c r="V1911" s="390"/>
      <c r="W1911" s="398"/>
      <c r="X1911" s="398"/>
    </row>
    <row r="1912" spans="1:27" ht="37.5" hidden="1" customHeight="1">
      <c r="A1912" s="506">
        <f>A1909+1</f>
        <v>395</v>
      </c>
      <c r="B1912" s="403" t="s">
        <v>1802</v>
      </c>
      <c r="C1912" s="455" t="s">
        <v>272</v>
      </c>
      <c r="D1912" s="487">
        <v>21531</v>
      </c>
      <c r="E1912" s="391">
        <v>1469.4</v>
      </c>
      <c r="F1912" s="391" t="s">
        <v>234</v>
      </c>
      <c r="G1912" s="391">
        <v>822</v>
      </c>
      <c r="H1912" s="528">
        <v>9</v>
      </c>
      <c r="I1912" s="528">
        <v>1</v>
      </c>
      <c r="J1912" s="528">
        <v>108</v>
      </c>
      <c r="K1912" s="458" t="s">
        <v>225</v>
      </c>
      <c r="L1912" s="519">
        <f>M1912+N1912+O1912+P1912+Q1912</f>
        <v>2706668.76</v>
      </c>
      <c r="M1912" s="529">
        <v>2652536</v>
      </c>
      <c r="N1912" s="391">
        <v>36261.78</v>
      </c>
      <c r="O1912" s="530"/>
      <c r="P1912" s="391"/>
      <c r="Q1912" s="391">
        <v>17870.98</v>
      </c>
      <c r="R1912" s="528">
        <f>M1912/J1912</f>
        <v>24560.518518518518</v>
      </c>
      <c r="S1912" s="388">
        <f t="shared" si="241"/>
        <v>-2.2191670723259449E-10</v>
      </c>
      <c r="T1912" s="389"/>
      <c r="U1912" s="391">
        <f>M1912+N1912+O1912+Q1912</f>
        <v>2706668.76</v>
      </c>
      <c r="V1912" s="390"/>
      <c r="W1912" s="398"/>
      <c r="X1912" s="398"/>
    </row>
    <row r="1913" spans="1:27" s="416" customFormat="1" ht="56.25" hidden="1" customHeight="1">
      <c r="A1913" s="506">
        <f>A1912+1</f>
        <v>396</v>
      </c>
      <c r="B1913" s="403" t="s">
        <v>1803</v>
      </c>
      <c r="C1913" s="455" t="s">
        <v>218</v>
      </c>
      <c r="D1913" s="487">
        <v>11995</v>
      </c>
      <c r="E1913" s="391">
        <v>3457.1</v>
      </c>
      <c r="F1913" s="391" t="s">
        <v>234</v>
      </c>
      <c r="G1913" s="391">
        <v>518</v>
      </c>
      <c r="H1913" s="528">
        <v>9</v>
      </c>
      <c r="I1913" s="528">
        <v>1</v>
      </c>
      <c r="J1913" s="528">
        <v>72</v>
      </c>
      <c r="K1913" s="458" t="s">
        <v>30</v>
      </c>
      <c r="L1913" s="519">
        <f>M1913+N1913+O1913+P1913+Q1913</f>
        <v>2350425.6</v>
      </c>
      <c r="M1913" s="529">
        <v>2304000</v>
      </c>
      <c r="N1913" s="391"/>
      <c r="O1913" s="473">
        <v>19063.2</v>
      </c>
      <c r="P1913" s="391"/>
      <c r="Q1913" s="391">
        <v>27362.400000000001</v>
      </c>
      <c r="R1913" s="528">
        <f>M1913/J1913</f>
        <v>32000</v>
      </c>
      <c r="S1913" s="388">
        <f t="shared" si="241"/>
        <v>9.0949470177292824E-11</v>
      </c>
      <c r="T1913" s="398"/>
      <c r="U1913" s="391"/>
      <c r="V1913" s="390"/>
      <c r="W1913" s="398"/>
      <c r="X1913" s="398"/>
      <c r="Z1913" s="416">
        <v>1</v>
      </c>
      <c r="AA1913" s="416">
        <f>J1913</f>
        <v>72</v>
      </c>
    </row>
    <row r="1914" spans="1:27" ht="37.5" hidden="1" customHeight="1">
      <c r="A1914" s="506">
        <f t="shared" ref="A1914:A1921" si="246">A1913+1</f>
        <v>397</v>
      </c>
      <c r="B1914" s="403" t="s">
        <v>1804</v>
      </c>
      <c r="C1914" s="455" t="s">
        <v>218</v>
      </c>
      <c r="D1914" s="487">
        <v>28472</v>
      </c>
      <c r="E1914" s="391">
        <v>5399.2</v>
      </c>
      <c r="F1914" s="391" t="s">
        <v>234</v>
      </c>
      <c r="G1914" s="391">
        <v>1362</v>
      </c>
      <c r="H1914" s="528">
        <v>9</v>
      </c>
      <c r="I1914" s="528">
        <v>4</v>
      </c>
      <c r="J1914" s="528">
        <v>144</v>
      </c>
      <c r="K1914" s="458" t="s">
        <v>225</v>
      </c>
      <c r="L1914" s="519">
        <f>M1914+N1914+O1914+P1914+Q1914</f>
        <v>3165017.7</v>
      </c>
      <c r="M1914" s="529">
        <v>3108939</v>
      </c>
      <c r="N1914" s="391">
        <v>36278.699999999997</v>
      </c>
      <c r="O1914" s="530"/>
      <c r="P1914" s="391"/>
      <c r="Q1914" s="391">
        <v>19800</v>
      </c>
      <c r="R1914" s="528">
        <f>M1914/J1914</f>
        <v>21589.854166666668</v>
      </c>
      <c r="S1914" s="388">
        <f t="shared" si="241"/>
        <v>1.8917489796876907E-10</v>
      </c>
      <c r="T1914" s="389"/>
      <c r="U1914" s="391">
        <f>M1914+N1914+O1914+Q1914</f>
        <v>3165017.7</v>
      </c>
      <c r="V1914" s="390"/>
      <c r="W1914" s="398"/>
      <c r="X1914" s="398"/>
    </row>
    <row r="1915" spans="1:27" s="416" customFormat="1" ht="37.5" hidden="1" customHeight="1">
      <c r="A1915" s="506">
        <f t="shared" si="246"/>
        <v>398</v>
      </c>
      <c r="B1915" s="427" t="s">
        <v>790</v>
      </c>
      <c r="C1915" s="617" t="s">
        <v>218</v>
      </c>
      <c r="D1915" s="446">
        <v>16400</v>
      </c>
      <c r="E1915" s="388">
        <v>3048</v>
      </c>
      <c r="F1915" s="533" t="s">
        <v>234</v>
      </c>
      <c r="G1915" s="388">
        <v>685</v>
      </c>
      <c r="H1915" s="446">
        <v>9</v>
      </c>
      <c r="I1915" s="446">
        <v>2</v>
      </c>
      <c r="J1915" s="446">
        <v>72</v>
      </c>
      <c r="K1915" s="397" t="s">
        <v>33</v>
      </c>
      <c r="L1915" s="529">
        <f>SUM(M1915:Q1915)</f>
        <v>1500497</v>
      </c>
      <c r="M1915" s="551">
        <v>1455036</v>
      </c>
      <c r="N1915" s="388"/>
      <c r="O1915" s="473">
        <v>25561</v>
      </c>
      <c r="P1915" s="388"/>
      <c r="Q1915" s="388">
        <v>19900</v>
      </c>
      <c r="R1915" s="446">
        <f>M1915/G1915</f>
        <v>2124.1401459854014</v>
      </c>
      <c r="S1915" s="388">
        <f t="shared" si="241"/>
        <v>0</v>
      </c>
      <c r="T1915" s="398"/>
      <c r="U1915" s="550"/>
      <c r="V1915" s="390"/>
      <c r="W1915" s="398"/>
      <c r="X1915" s="398"/>
    </row>
    <row r="1916" spans="1:27" s="416" customFormat="1" ht="37.5" hidden="1" customHeight="1">
      <c r="A1916" s="506">
        <f t="shared" si="246"/>
        <v>399</v>
      </c>
      <c r="B1916" s="403" t="s">
        <v>1762</v>
      </c>
      <c r="C1916" s="455" t="s">
        <v>272</v>
      </c>
      <c r="D1916" s="487">
        <v>2050</v>
      </c>
      <c r="E1916" s="391">
        <v>468</v>
      </c>
      <c r="F1916" s="391" t="s">
        <v>223</v>
      </c>
      <c r="G1916" s="391">
        <v>400</v>
      </c>
      <c r="H1916" s="528">
        <v>2</v>
      </c>
      <c r="I1916" s="528">
        <v>2</v>
      </c>
      <c r="J1916" s="528">
        <v>12</v>
      </c>
      <c r="K1916" s="458" t="s">
        <v>33</v>
      </c>
      <c r="L1916" s="519">
        <f t="shared" ref="L1916:L1924" si="247">M1916+N1916+O1916+P1916+Q1916</f>
        <v>1147499.05</v>
      </c>
      <c r="M1916" s="529">
        <v>1120000</v>
      </c>
      <c r="N1916" s="391"/>
      <c r="O1916" s="473">
        <v>17511</v>
      </c>
      <c r="P1916" s="391"/>
      <c r="Q1916" s="391">
        <v>9988.0499999999993</v>
      </c>
      <c r="R1916" s="528">
        <f>M1916/G1916</f>
        <v>2800</v>
      </c>
      <c r="S1916" s="388">
        <f t="shared" ref="S1916:S1979" si="248">L1916-M1916-N1916-O1916-P1916-Q1916</f>
        <v>4.7293724492192268E-11</v>
      </c>
      <c r="T1916" s="398"/>
      <c r="U1916" s="391"/>
      <c r="V1916" s="390"/>
      <c r="W1916" s="398"/>
      <c r="X1916" s="398"/>
    </row>
    <row r="1917" spans="1:27" s="416" customFormat="1" ht="37.5" hidden="1" customHeight="1">
      <c r="A1917" s="506">
        <f t="shared" si="246"/>
        <v>400</v>
      </c>
      <c r="B1917" s="403" t="s">
        <v>1763</v>
      </c>
      <c r="C1917" s="455" t="s">
        <v>218</v>
      </c>
      <c r="D1917" s="487">
        <v>15975</v>
      </c>
      <c r="E1917" s="391">
        <v>3210</v>
      </c>
      <c r="F1917" s="391" t="s">
        <v>234</v>
      </c>
      <c r="G1917" s="391">
        <v>682.7</v>
      </c>
      <c r="H1917" s="528">
        <v>9</v>
      </c>
      <c r="I1917" s="528">
        <v>2</v>
      </c>
      <c r="J1917" s="528">
        <v>72</v>
      </c>
      <c r="K1917" s="458" t="s">
        <v>33</v>
      </c>
      <c r="L1917" s="519">
        <f t="shared" si="247"/>
        <v>1480754</v>
      </c>
      <c r="M1917" s="529">
        <v>1435412</v>
      </c>
      <c r="N1917" s="391"/>
      <c r="O1917" s="473">
        <v>25442</v>
      </c>
      <c r="P1917" s="391"/>
      <c r="Q1917" s="391">
        <v>19900</v>
      </c>
      <c r="R1917" s="528">
        <f>M1917/G1917</f>
        <v>2102.5516332210341</v>
      </c>
      <c r="S1917" s="388">
        <f t="shared" si="248"/>
        <v>0</v>
      </c>
      <c r="T1917" s="398"/>
      <c r="U1917" s="391"/>
      <c r="V1917" s="390"/>
      <c r="W1917" s="398"/>
      <c r="X1917" s="398"/>
    </row>
    <row r="1918" spans="1:27" s="416" customFormat="1" ht="37.5" hidden="1" customHeight="1">
      <c r="A1918" s="506">
        <f t="shared" si="246"/>
        <v>401</v>
      </c>
      <c r="B1918" s="403" t="s">
        <v>1764</v>
      </c>
      <c r="C1918" s="455" t="s">
        <v>218</v>
      </c>
      <c r="D1918" s="487">
        <v>43383</v>
      </c>
      <c r="E1918" s="391">
        <v>4012</v>
      </c>
      <c r="F1918" s="391" t="s">
        <v>234</v>
      </c>
      <c r="G1918" s="391">
        <v>1879</v>
      </c>
      <c r="H1918" s="528">
        <v>9</v>
      </c>
      <c r="I1918" s="528">
        <v>4</v>
      </c>
      <c r="J1918" s="528">
        <v>216</v>
      </c>
      <c r="K1918" s="458" t="s">
        <v>33</v>
      </c>
      <c r="L1918" s="519">
        <f t="shared" si="247"/>
        <v>4223837</v>
      </c>
      <c r="M1918" s="529">
        <v>4200000</v>
      </c>
      <c r="N1918" s="391"/>
      <c r="O1918" s="391">
        <v>23837</v>
      </c>
      <c r="P1918" s="391"/>
      <c r="Q1918" s="391"/>
      <c r="R1918" s="528">
        <f>M1918/J1918</f>
        <v>19444.444444444445</v>
      </c>
      <c r="S1918" s="388">
        <f t="shared" si="248"/>
        <v>0</v>
      </c>
      <c r="T1918" s="398"/>
      <c r="U1918" s="391"/>
      <c r="V1918" s="390"/>
      <c r="W1918" s="398"/>
      <c r="X1918" s="398"/>
    </row>
    <row r="1919" spans="1:27" s="416" customFormat="1" ht="37.5" hidden="1" customHeight="1">
      <c r="A1919" s="506">
        <f t="shared" si="246"/>
        <v>402</v>
      </c>
      <c r="B1919" s="403" t="s">
        <v>1765</v>
      </c>
      <c r="C1919" s="455" t="s">
        <v>218</v>
      </c>
      <c r="D1919" s="487">
        <v>26265</v>
      </c>
      <c r="E1919" s="391">
        <v>4342</v>
      </c>
      <c r="F1919" s="391" t="s">
        <v>234</v>
      </c>
      <c r="G1919" s="391">
        <v>718</v>
      </c>
      <c r="H1919" s="528">
        <v>12</v>
      </c>
      <c r="I1919" s="528">
        <v>2</v>
      </c>
      <c r="J1919" s="528">
        <v>89</v>
      </c>
      <c r="K1919" s="458" t="s">
        <v>225</v>
      </c>
      <c r="L1919" s="519">
        <f t="shared" si="247"/>
        <v>2665917.7000000002</v>
      </c>
      <c r="M1919" s="529">
        <v>2610438</v>
      </c>
      <c r="N1919" s="391">
        <v>35679.699999999997</v>
      </c>
      <c r="O1919" s="530"/>
      <c r="P1919" s="391"/>
      <c r="Q1919" s="391">
        <v>19800</v>
      </c>
      <c r="R1919" s="528">
        <f>M1919/J1919</f>
        <v>29330.764044943819</v>
      </c>
      <c r="S1919" s="388">
        <f t="shared" si="248"/>
        <v>1.8917489796876907E-10</v>
      </c>
      <c r="T1919" s="398"/>
      <c r="U1919" s="391">
        <f>M1919+N1919+O1919+Q1919</f>
        <v>2665917.7000000002</v>
      </c>
      <c r="V1919" s="390"/>
      <c r="W1919" s="398"/>
      <c r="X1919" s="398"/>
    </row>
    <row r="1920" spans="1:27" s="416" customFormat="1" ht="37.5" hidden="1" customHeight="1">
      <c r="A1920" s="506">
        <f t="shared" si="246"/>
        <v>403</v>
      </c>
      <c r="B1920" s="403" t="s">
        <v>1766</v>
      </c>
      <c r="C1920" s="455" t="s">
        <v>272</v>
      </c>
      <c r="D1920" s="487">
        <v>10704</v>
      </c>
      <c r="E1920" s="391">
        <v>1350</v>
      </c>
      <c r="F1920" s="391" t="s">
        <v>234</v>
      </c>
      <c r="G1920" s="391">
        <v>441.9</v>
      </c>
      <c r="H1920" s="528">
        <v>9</v>
      </c>
      <c r="I1920" s="528">
        <v>1</v>
      </c>
      <c r="J1920" s="528">
        <v>28</v>
      </c>
      <c r="K1920" s="458" t="s">
        <v>33</v>
      </c>
      <c r="L1920" s="519">
        <f t="shared" si="247"/>
        <v>968552.04</v>
      </c>
      <c r="M1920" s="529">
        <v>927990</v>
      </c>
      <c r="N1920" s="391"/>
      <c r="O1920" s="473">
        <v>21940.74</v>
      </c>
      <c r="P1920" s="391"/>
      <c r="Q1920" s="391">
        <v>18621.3</v>
      </c>
      <c r="R1920" s="528">
        <f>M1920/G1920</f>
        <v>2100</v>
      </c>
      <c r="S1920" s="388">
        <f t="shared" si="248"/>
        <v>3.637978807091713E-11</v>
      </c>
      <c r="T1920" s="398"/>
      <c r="U1920" s="391"/>
      <c r="V1920" s="390"/>
      <c r="W1920" s="398"/>
      <c r="X1920" s="398"/>
    </row>
    <row r="1921" spans="1:27" s="416" customFormat="1" ht="35.25" hidden="1" customHeight="1">
      <c r="A1921" s="506">
        <f t="shared" si="246"/>
        <v>404</v>
      </c>
      <c r="B1921" s="403" t="s">
        <v>1771</v>
      </c>
      <c r="C1921" s="455"/>
      <c r="D1921" s="487">
        <v>6488</v>
      </c>
      <c r="E1921" s="391">
        <v>1002</v>
      </c>
      <c r="F1921" s="391" t="s">
        <v>223</v>
      </c>
      <c r="G1921" s="391">
        <v>1203</v>
      </c>
      <c r="H1921" s="528">
        <v>2</v>
      </c>
      <c r="I1921" s="528">
        <v>3</v>
      </c>
      <c r="J1921" s="528">
        <v>18</v>
      </c>
      <c r="K1921" s="458" t="s">
        <v>33</v>
      </c>
      <c r="L1921" s="519">
        <f t="shared" si="247"/>
        <v>3417913.94</v>
      </c>
      <c r="M1921" s="529">
        <v>3368400</v>
      </c>
      <c r="N1921" s="391"/>
      <c r="O1921" s="473">
        <v>17903</v>
      </c>
      <c r="P1921" s="391"/>
      <c r="Q1921" s="391">
        <v>31610.94</v>
      </c>
      <c r="R1921" s="528">
        <f>M1921/G1921</f>
        <v>2800</v>
      </c>
      <c r="S1921" s="388">
        <f t="shared" si="248"/>
        <v>-5.4569682106375694E-11</v>
      </c>
      <c r="T1921" s="398"/>
      <c r="U1921" s="391"/>
      <c r="V1921" s="390"/>
      <c r="W1921" s="398"/>
      <c r="X1921" s="398"/>
    </row>
    <row r="1922" spans="1:27" s="416" customFormat="1" ht="37.5" hidden="1" customHeight="1">
      <c r="A1922" s="506">
        <f t="shared" si="243"/>
        <v>405</v>
      </c>
      <c r="B1922" s="403" t="s">
        <v>1772</v>
      </c>
      <c r="C1922" s="455" t="s">
        <v>272</v>
      </c>
      <c r="D1922" s="487">
        <v>2536</v>
      </c>
      <c r="E1922" s="391">
        <v>546</v>
      </c>
      <c r="F1922" s="391" t="s">
        <v>223</v>
      </c>
      <c r="G1922" s="391">
        <v>571</v>
      </c>
      <c r="H1922" s="528">
        <v>2</v>
      </c>
      <c r="I1922" s="528">
        <v>2</v>
      </c>
      <c r="J1922" s="528">
        <v>16</v>
      </c>
      <c r="K1922" s="458" t="s">
        <v>33</v>
      </c>
      <c r="L1922" s="519">
        <f t="shared" si="247"/>
        <v>1484542.95</v>
      </c>
      <c r="M1922" s="529">
        <v>1454981</v>
      </c>
      <c r="N1922" s="391"/>
      <c r="O1922" s="473">
        <v>17206</v>
      </c>
      <c r="P1922" s="391"/>
      <c r="Q1922" s="391">
        <v>12355.95</v>
      </c>
      <c r="R1922" s="528">
        <f>M1922/G1922</f>
        <v>2548.1278458844131</v>
      </c>
      <c r="S1922" s="388">
        <f t="shared" si="248"/>
        <v>-4.7293724492192268E-11</v>
      </c>
      <c r="T1922" s="398"/>
      <c r="U1922" s="391"/>
      <c r="V1922" s="390"/>
      <c r="W1922" s="398"/>
      <c r="X1922" s="398"/>
    </row>
    <row r="1923" spans="1:27" s="416" customFormat="1" ht="37.5" hidden="1" customHeight="1">
      <c r="A1923" s="506">
        <f t="shared" si="243"/>
        <v>406</v>
      </c>
      <c r="B1923" s="403" t="s">
        <v>1773</v>
      </c>
      <c r="C1923" s="455" t="s">
        <v>272</v>
      </c>
      <c r="D1923" s="487">
        <v>2916</v>
      </c>
      <c r="E1923" s="391">
        <v>676</v>
      </c>
      <c r="F1923" s="391" t="s">
        <v>223</v>
      </c>
      <c r="G1923" s="391">
        <v>480</v>
      </c>
      <c r="H1923" s="528">
        <v>2</v>
      </c>
      <c r="I1923" s="528">
        <v>2</v>
      </c>
      <c r="J1923" s="528">
        <v>8</v>
      </c>
      <c r="K1923" s="458" t="s">
        <v>33</v>
      </c>
      <c r="L1923" s="519">
        <f t="shared" si="247"/>
        <v>1375551</v>
      </c>
      <c r="M1923" s="529">
        <v>1344000</v>
      </c>
      <c r="N1923" s="391"/>
      <c r="O1923" s="473">
        <v>17329</v>
      </c>
      <c r="P1923" s="391"/>
      <c r="Q1923" s="391">
        <v>14222</v>
      </c>
      <c r="R1923" s="528">
        <f>M1923/G1923</f>
        <v>2800</v>
      </c>
      <c r="S1923" s="388">
        <f t="shared" si="248"/>
        <v>0</v>
      </c>
      <c r="T1923" s="398"/>
      <c r="U1923" s="391"/>
      <c r="V1923" s="390"/>
      <c r="W1923" s="398"/>
      <c r="X1923" s="398"/>
    </row>
    <row r="1924" spans="1:27" s="416" customFormat="1" ht="56.25" hidden="1" customHeight="1">
      <c r="A1924" s="506">
        <f t="shared" si="243"/>
        <v>407</v>
      </c>
      <c r="B1924" s="403" t="s">
        <v>1774</v>
      </c>
      <c r="C1924" s="455" t="s">
        <v>272</v>
      </c>
      <c r="D1924" s="487">
        <v>10160</v>
      </c>
      <c r="E1924" s="391">
        <v>1809</v>
      </c>
      <c r="F1924" s="391" t="s">
        <v>223</v>
      </c>
      <c r="G1924" s="391">
        <v>900</v>
      </c>
      <c r="H1924" s="528">
        <v>5</v>
      </c>
      <c r="I1924" s="528">
        <v>3</v>
      </c>
      <c r="J1924" s="528">
        <v>60</v>
      </c>
      <c r="K1924" s="458" t="s">
        <v>30</v>
      </c>
      <c r="L1924" s="519">
        <f t="shared" si="247"/>
        <v>1661384.93</v>
      </c>
      <c r="M1924" s="529">
        <v>1620000</v>
      </c>
      <c r="N1924" s="391"/>
      <c r="O1924" s="473">
        <v>14022.53</v>
      </c>
      <c r="P1924" s="391"/>
      <c r="Q1924" s="391">
        <v>27362.400000000001</v>
      </c>
      <c r="R1924" s="528">
        <f>M1924/J1924</f>
        <v>27000</v>
      </c>
      <c r="S1924" s="388">
        <f t="shared" si="248"/>
        <v>-6.5483618527650833E-11</v>
      </c>
      <c r="T1924" s="398"/>
      <c r="U1924" s="391"/>
      <c r="V1924" s="390"/>
      <c r="W1924" s="398"/>
      <c r="X1924" s="398"/>
      <c r="Z1924" s="416">
        <v>1</v>
      </c>
      <c r="AA1924" s="416">
        <f>J1924</f>
        <v>60</v>
      </c>
    </row>
    <row r="1925" spans="1:27" s="416" customFormat="1" ht="33.75" hidden="1" customHeight="1">
      <c r="A1925" s="543">
        <f>A1924+1</f>
        <v>408</v>
      </c>
      <c r="B1925" s="403" t="s">
        <v>1775</v>
      </c>
      <c r="C1925" s="455" t="s">
        <v>272</v>
      </c>
      <c r="D1925" s="487">
        <v>35914</v>
      </c>
      <c r="E1925" s="391">
        <v>3888</v>
      </c>
      <c r="F1925" s="391" t="s">
        <v>234</v>
      </c>
      <c r="G1925" s="391">
        <v>1535</v>
      </c>
      <c r="H1925" s="528">
        <v>9</v>
      </c>
      <c r="I1925" s="528">
        <v>3</v>
      </c>
      <c r="J1925" s="528">
        <v>144</v>
      </c>
      <c r="K1925" s="458" t="s">
        <v>225</v>
      </c>
      <c r="L1925" s="1129">
        <f>M1925+N1925+O1925+P1925+Q1925+M1926+N1926+O1926+P1926+Q1926</f>
        <v>7714733.0499999998</v>
      </c>
      <c r="M1925" s="529">
        <v>2989034</v>
      </c>
      <c r="N1925" s="391">
        <v>36109.550000000003</v>
      </c>
      <c r="O1925" s="530"/>
      <c r="P1925" s="391"/>
      <c r="Q1925" s="391">
        <v>19800</v>
      </c>
      <c r="R1925" s="528">
        <f>M1925/J1925</f>
        <v>20757.180555555555</v>
      </c>
      <c r="S1925" s="388">
        <f t="shared" si="248"/>
        <v>4669789.5</v>
      </c>
      <c r="T1925" s="398"/>
      <c r="U1925" s="391">
        <f>M1925+N1925+O1925+Q1925</f>
        <v>3044943.55</v>
      </c>
      <c r="V1925" s="390"/>
      <c r="W1925" s="398"/>
      <c r="X1925" s="398"/>
    </row>
    <row r="1926" spans="1:27" s="416" customFormat="1" ht="56.25" hidden="1" customHeight="1">
      <c r="A1926" s="543"/>
      <c r="B1926" s="403"/>
      <c r="C1926" s="455"/>
      <c r="D1926" s="487"/>
      <c r="E1926" s="391"/>
      <c r="F1926" s="391"/>
      <c r="G1926" s="391"/>
      <c r="H1926" s="528"/>
      <c r="I1926" s="528"/>
      <c r="J1926" s="528"/>
      <c r="K1926" s="458" t="s">
        <v>30</v>
      </c>
      <c r="L1926" s="1129"/>
      <c r="M1926" s="529">
        <v>4608000</v>
      </c>
      <c r="N1926" s="391"/>
      <c r="O1926" s="473">
        <v>21989.5</v>
      </c>
      <c r="P1926" s="391"/>
      <c r="Q1926" s="391">
        <v>39800</v>
      </c>
      <c r="R1926" s="528">
        <f>M1926/J1925</f>
        <v>32000</v>
      </c>
      <c r="S1926" s="388">
        <f t="shared" si="248"/>
        <v>-4669789.5</v>
      </c>
      <c r="T1926" s="398"/>
      <c r="U1926" s="391"/>
      <c r="V1926" s="390"/>
      <c r="W1926" s="398"/>
      <c r="X1926" s="398"/>
      <c r="Z1926" s="416">
        <v>1</v>
      </c>
      <c r="AA1926" s="416">
        <v>144</v>
      </c>
    </row>
    <row r="1927" spans="1:27" s="416" customFormat="1" ht="42.75" hidden="1" customHeight="1">
      <c r="A1927" s="506">
        <f>A1925+1</f>
        <v>409</v>
      </c>
      <c r="B1927" s="403" t="s">
        <v>1777</v>
      </c>
      <c r="C1927" s="455" t="s">
        <v>293</v>
      </c>
      <c r="D1927" s="487">
        <v>1762</v>
      </c>
      <c r="E1927" s="391">
        <v>510</v>
      </c>
      <c r="F1927" s="391" t="s">
        <v>223</v>
      </c>
      <c r="G1927" s="391">
        <v>352</v>
      </c>
      <c r="H1927" s="528">
        <v>2</v>
      </c>
      <c r="I1927" s="528">
        <v>1</v>
      </c>
      <c r="J1927" s="528">
        <v>8</v>
      </c>
      <c r="K1927" s="458" t="s">
        <v>33</v>
      </c>
      <c r="L1927" s="519">
        <f t="shared" ref="L1927:L1932" si="249">M1927+N1927+O1927+P1927+Q1927</f>
        <v>1025554.5599999999</v>
      </c>
      <c r="M1927" s="529">
        <v>1000000</v>
      </c>
      <c r="N1927" s="391"/>
      <c r="O1927" s="473">
        <v>16969.72</v>
      </c>
      <c r="P1927" s="391"/>
      <c r="Q1927" s="391">
        <v>8584.84</v>
      </c>
      <c r="R1927" s="528">
        <f>M1927/G1927</f>
        <v>2840.909090909091</v>
      </c>
      <c r="S1927" s="388">
        <f t="shared" si="248"/>
        <v>-6.184563972055912E-11</v>
      </c>
      <c r="T1927" s="398"/>
      <c r="U1927" s="391"/>
      <c r="V1927" s="390"/>
      <c r="W1927" s="398"/>
      <c r="X1927" s="398"/>
    </row>
    <row r="1928" spans="1:27" s="416" customFormat="1" ht="37.5" hidden="1" customHeight="1">
      <c r="A1928" s="506">
        <f t="shared" ref="A1928:A1949" si="250">A1927+1</f>
        <v>410</v>
      </c>
      <c r="B1928" s="403" t="s">
        <v>1778</v>
      </c>
      <c r="C1928" s="455" t="s">
        <v>393</v>
      </c>
      <c r="D1928" s="487">
        <v>4030</v>
      </c>
      <c r="E1928" s="391">
        <v>2200</v>
      </c>
      <c r="F1928" s="391" t="s">
        <v>223</v>
      </c>
      <c r="G1928" s="391">
        <v>733</v>
      </c>
      <c r="H1928" s="528">
        <v>2</v>
      </c>
      <c r="I1928" s="528">
        <v>2</v>
      </c>
      <c r="J1928" s="528">
        <v>18</v>
      </c>
      <c r="K1928" s="458" t="s">
        <v>33</v>
      </c>
      <c r="L1928" s="519">
        <f t="shared" si="249"/>
        <v>1649638.57</v>
      </c>
      <c r="M1928" s="529">
        <v>1612600</v>
      </c>
      <c r="N1928" s="391"/>
      <c r="O1928" s="473">
        <v>17403.54</v>
      </c>
      <c r="P1928" s="391"/>
      <c r="Q1928" s="391">
        <v>19635.03</v>
      </c>
      <c r="R1928" s="528">
        <f>M1928/G1928</f>
        <v>2200</v>
      </c>
      <c r="S1928" s="388">
        <f t="shared" si="248"/>
        <v>6.5483618527650833E-11</v>
      </c>
      <c r="T1928" s="398"/>
      <c r="U1928" s="391"/>
      <c r="V1928" s="390"/>
      <c r="W1928" s="398"/>
      <c r="X1928" s="398"/>
    </row>
    <row r="1929" spans="1:27" s="416" customFormat="1" ht="37.5" hidden="1" customHeight="1">
      <c r="A1929" s="506">
        <f t="shared" si="250"/>
        <v>411</v>
      </c>
      <c r="B1929" s="403" t="s">
        <v>1779</v>
      </c>
      <c r="C1929" s="455" t="s">
        <v>393</v>
      </c>
      <c r="D1929" s="487">
        <v>3710</v>
      </c>
      <c r="E1929" s="391">
        <v>750</v>
      </c>
      <c r="F1929" s="391" t="s">
        <v>223</v>
      </c>
      <c r="G1929" s="391">
        <v>816</v>
      </c>
      <c r="H1929" s="528">
        <v>2</v>
      </c>
      <c r="I1929" s="528">
        <v>3</v>
      </c>
      <c r="J1929" s="528">
        <v>16</v>
      </c>
      <c r="K1929" s="458" t="s">
        <v>33</v>
      </c>
      <c r="L1929" s="519">
        <f t="shared" si="249"/>
        <v>2435523.25</v>
      </c>
      <c r="M1929" s="529">
        <v>2400000</v>
      </c>
      <c r="N1929" s="391"/>
      <c r="O1929" s="473">
        <v>17447.32</v>
      </c>
      <c r="P1929" s="391"/>
      <c r="Q1929" s="391">
        <v>18075.93</v>
      </c>
      <c r="R1929" s="528">
        <f>M1929/G1929</f>
        <v>2941.1764705882351</v>
      </c>
      <c r="S1929" s="388">
        <f t="shared" si="248"/>
        <v>0</v>
      </c>
      <c r="T1929" s="398"/>
      <c r="U1929" s="391"/>
      <c r="V1929" s="390"/>
      <c r="W1929" s="398"/>
      <c r="X1929" s="398"/>
    </row>
    <row r="1930" spans="1:27" s="416" customFormat="1" ht="37.5" hidden="1" customHeight="1">
      <c r="A1930" s="506">
        <f t="shared" si="250"/>
        <v>412</v>
      </c>
      <c r="B1930" s="403" t="s">
        <v>1781</v>
      </c>
      <c r="C1930" s="455" t="s">
        <v>218</v>
      </c>
      <c r="D1930" s="487">
        <v>10930</v>
      </c>
      <c r="E1930" s="391">
        <v>1300</v>
      </c>
      <c r="F1930" s="391" t="s">
        <v>223</v>
      </c>
      <c r="G1930" s="391">
        <v>840</v>
      </c>
      <c r="H1930" s="528">
        <v>5</v>
      </c>
      <c r="I1930" s="528">
        <v>3</v>
      </c>
      <c r="J1930" s="528">
        <v>60</v>
      </c>
      <c r="K1930" s="458" t="s">
        <v>33</v>
      </c>
      <c r="L1930" s="519">
        <f t="shared" si="249"/>
        <v>2981179.4099999997</v>
      </c>
      <c r="M1930" s="529">
        <v>2926000</v>
      </c>
      <c r="N1930" s="391"/>
      <c r="O1930" s="473">
        <v>21481.05</v>
      </c>
      <c r="P1930" s="391"/>
      <c r="Q1930" s="391">
        <v>33698.36</v>
      </c>
      <c r="R1930" s="528">
        <f>M1930/G1930</f>
        <v>3483.3333333333335</v>
      </c>
      <c r="S1930" s="388">
        <f t="shared" si="248"/>
        <v>-3.2014213502407074E-10</v>
      </c>
      <c r="T1930" s="398"/>
      <c r="U1930" s="391"/>
      <c r="V1930" s="390"/>
      <c r="W1930" s="398"/>
      <c r="X1930" s="398"/>
    </row>
    <row r="1931" spans="1:27" s="416" customFormat="1" ht="37.5" hidden="1" customHeight="1">
      <c r="A1931" s="506">
        <f t="shared" si="250"/>
        <v>413</v>
      </c>
      <c r="B1931" s="403" t="s">
        <v>1782</v>
      </c>
      <c r="C1931" s="455" t="s">
        <v>218</v>
      </c>
      <c r="D1931" s="487">
        <v>14041</v>
      </c>
      <c r="E1931" s="391">
        <v>2770</v>
      </c>
      <c r="F1931" s="391" t="s">
        <v>223</v>
      </c>
      <c r="G1931" s="391">
        <v>1112</v>
      </c>
      <c r="H1931" s="528">
        <v>5</v>
      </c>
      <c r="I1931" s="528">
        <v>5</v>
      </c>
      <c r="J1931" s="528">
        <v>100</v>
      </c>
      <c r="K1931" s="458" t="s">
        <v>377</v>
      </c>
      <c r="L1931" s="519">
        <f t="shared" si="249"/>
        <v>8369840</v>
      </c>
      <c r="M1931" s="529">
        <v>8310000</v>
      </c>
      <c r="N1931" s="391">
        <v>30140</v>
      </c>
      <c r="O1931" s="530"/>
      <c r="P1931" s="391"/>
      <c r="Q1931" s="391">
        <v>29700</v>
      </c>
      <c r="R1931" s="528">
        <f>M1931/E1931</f>
        <v>3000</v>
      </c>
      <c r="S1931" s="388">
        <f t="shared" si="248"/>
        <v>0</v>
      </c>
      <c r="T1931" s="398"/>
      <c r="U1931" s="391"/>
      <c r="V1931" s="390"/>
      <c r="W1931" s="398"/>
      <c r="X1931" s="398"/>
    </row>
    <row r="1932" spans="1:27" s="416" customFormat="1" ht="37.5" hidden="1" customHeight="1">
      <c r="A1932" s="506">
        <f t="shared" si="250"/>
        <v>414</v>
      </c>
      <c r="B1932" s="403" t="s">
        <v>1784</v>
      </c>
      <c r="C1932" s="455" t="s">
        <v>393</v>
      </c>
      <c r="D1932" s="487">
        <v>3705</v>
      </c>
      <c r="E1932" s="391">
        <v>890</v>
      </c>
      <c r="F1932" s="391" t="s">
        <v>223</v>
      </c>
      <c r="G1932" s="391">
        <v>736</v>
      </c>
      <c r="H1932" s="528">
        <v>2</v>
      </c>
      <c r="I1932" s="528">
        <v>4</v>
      </c>
      <c r="J1932" s="528">
        <v>16</v>
      </c>
      <c r="K1932" s="458" t="s">
        <v>33</v>
      </c>
      <c r="L1932" s="519">
        <f t="shared" si="249"/>
        <v>1656201.56</v>
      </c>
      <c r="M1932" s="529">
        <v>1619200</v>
      </c>
      <c r="N1932" s="391"/>
      <c r="O1932" s="473">
        <v>18950</v>
      </c>
      <c r="P1932" s="391"/>
      <c r="Q1932" s="391">
        <v>18051.560000000001</v>
      </c>
      <c r="R1932" s="528">
        <f>M1932/G1932</f>
        <v>2200</v>
      </c>
      <c r="S1932" s="388">
        <f t="shared" si="248"/>
        <v>5.4569682106375694E-11</v>
      </c>
      <c r="T1932" s="398"/>
      <c r="U1932" s="391"/>
      <c r="V1932" s="390"/>
      <c r="W1932" s="398"/>
      <c r="X1932" s="398"/>
    </row>
    <row r="1933" spans="1:27" s="416" customFormat="1" ht="55.5" hidden="1" customHeight="1">
      <c r="A1933" s="506">
        <f t="shared" si="250"/>
        <v>415</v>
      </c>
      <c r="B1933" s="403" t="s">
        <v>1785</v>
      </c>
      <c r="C1933" s="455" t="s">
        <v>218</v>
      </c>
      <c r="D1933" s="487">
        <v>13262</v>
      </c>
      <c r="E1933" s="391">
        <v>2760</v>
      </c>
      <c r="F1933" s="391" t="s">
        <v>223</v>
      </c>
      <c r="G1933" s="391">
        <v>1231</v>
      </c>
      <c r="H1933" s="528">
        <v>5</v>
      </c>
      <c r="I1933" s="528">
        <v>4</v>
      </c>
      <c r="J1933" s="528">
        <v>64</v>
      </c>
      <c r="K1933" s="458" t="s">
        <v>225</v>
      </c>
      <c r="L1933" s="1129">
        <f>M1933+N1933+O1933+P1933+Q1933+M1934+N1934+O1934+P1934+Q1934</f>
        <v>4637493.0199999996</v>
      </c>
      <c r="M1933" s="529">
        <v>824181</v>
      </c>
      <c r="N1933" s="391">
        <v>41997.95</v>
      </c>
      <c r="O1933" s="530"/>
      <c r="P1933" s="391"/>
      <c r="Q1933" s="391">
        <v>16808.150000000001</v>
      </c>
      <c r="R1933" s="528">
        <f>M1933/J1933</f>
        <v>12877.828125</v>
      </c>
      <c r="S1933" s="388">
        <f t="shared" si="248"/>
        <v>3754505.9199999995</v>
      </c>
      <c r="T1933" s="398"/>
      <c r="U1933" s="391">
        <f>M1933+N1933+O1933+Q1933</f>
        <v>882987.1</v>
      </c>
      <c r="V1933" s="390"/>
      <c r="W1933" s="398"/>
      <c r="X1933" s="398"/>
    </row>
    <row r="1934" spans="1:27" s="416" customFormat="1" ht="39" hidden="1" customHeight="1">
      <c r="A1934" s="543"/>
      <c r="B1934" s="403"/>
      <c r="C1934" s="455"/>
      <c r="D1934" s="487"/>
      <c r="E1934" s="391"/>
      <c r="F1934" s="391"/>
      <c r="G1934" s="391"/>
      <c r="H1934" s="528">
        <v>64</v>
      </c>
      <c r="I1934" s="528"/>
      <c r="J1934" s="528"/>
      <c r="K1934" s="458" t="s">
        <v>33</v>
      </c>
      <c r="L1934" s="1129"/>
      <c r="M1934" s="529">
        <v>3693000</v>
      </c>
      <c r="N1934" s="391"/>
      <c r="O1934" s="473">
        <v>21705.919999999998</v>
      </c>
      <c r="P1934" s="391"/>
      <c r="Q1934" s="391">
        <v>39800</v>
      </c>
      <c r="R1934" s="528">
        <f>M1934/G1933</f>
        <v>3000</v>
      </c>
      <c r="S1934" s="388">
        <f t="shared" si="248"/>
        <v>-3754505.92</v>
      </c>
      <c r="T1934" s="398"/>
      <c r="U1934" s="391"/>
      <c r="V1934" s="390"/>
      <c r="W1934" s="398"/>
      <c r="X1934" s="398"/>
    </row>
    <row r="1935" spans="1:27" s="416" customFormat="1" ht="37.5" hidden="1" customHeight="1">
      <c r="A1935" s="506">
        <f>A1933+1</f>
        <v>416</v>
      </c>
      <c r="B1935" s="403" t="s">
        <v>1786</v>
      </c>
      <c r="C1935" s="455" t="s">
        <v>272</v>
      </c>
      <c r="D1935" s="487">
        <v>30318</v>
      </c>
      <c r="E1935" s="391">
        <v>4752</v>
      </c>
      <c r="F1935" s="391" t="s">
        <v>234</v>
      </c>
      <c r="G1935" s="391">
        <v>1300</v>
      </c>
      <c r="H1935" s="528">
        <v>9</v>
      </c>
      <c r="I1935" s="528">
        <v>3</v>
      </c>
      <c r="J1935" s="528">
        <v>87</v>
      </c>
      <c r="K1935" s="458" t="s">
        <v>33</v>
      </c>
      <c r="L1935" s="519">
        <f t="shared" ref="L1935:L1948" si="251">M1935+N1935+O1935+P1935+Q1935</f>
        <v>2675855.5099999998</v>
      </c>
      <c r="M1935" s="529">
        <v>2628994</v>
      </c>
      <c r="N1935" s="391"/>
      <c r="O1935" s="473">
        <v>26961.51</v>
      </c>
      <c r="P1935" s="391"/>
      <c r="Q1935" s="391">
        <v>19900</v>
      </c>
      <c r="R1935" s="528">
        <f>M1935/G1935</f>
        <v>2022.303076923077</v>
      </c>
      <c r="S1935" s="388">
        <f t="shared" si="248"/>
        <v>-2.2191670723259449E-10</v>
      </c>
      <c r="T1935" s="398"/>
      <c r="U1935" s="391"/>
      <c r="V1935" s="390"/>
      <c r="W1935" s="398"/>
      <c r="X1935" s="398"/>
    </row>
    <row r="1936" spans="1:27" s="416" customFormat="1" ht="37.5" hidden="1" customHeight="1">
      <c r="A1936" s="506">
        <f t="shared" si="250"/>
        <v>417</v>
      </c>
      <c r="B1936" s="403" t="s">
        <v>1787</v>
      </c>
      <c r="C1936" s="455" t="s">
        <v>272</v>
      </c>
      <c r="D1936" s="487">
        <v>12478</v>
      </c>
      <c r="E1936" s="391">
        <v>1416</v>
      </c>
      <c r="F1936" s="391" t="s">
        <v>223</v>
      </c>
      <c r="G1936" s="391">
        <v>1200</v>
      </c>
      <c r="H1936" s="528">
        <v>5</v>
      </c>
      <c r="I1936" s="528">
        <v>4</v>
      </c>
      <c r="J1936" s="528">
        <v>80</v>
      </c>
      <c r="K1936" s="458" t="s">
        <v>33</v>
      </c>
      <c r="L1936" s="519">
        <f t="shared" si="251"/>
        <v>4226259.01</v>
      </c>
      <c r="M1936" s="529">
        <v>4160000</v>
      </c>
      <c r="N1936" s="391"/>
      <c r="O1936" s="473">
        <v>27788</v>
      </c>
      <c r="P1936" s="391"/>
      <c r="Q1936" s="391">
        <v>38471.01</v>
      </c>
      <c r="R1936" s="528">
        <f>M1936/G1936</f>
        <v>3466.6666666666665</v>
      </c>
      <c r="S1936" s="388">
        <f t="shared" si="248"/>
        <v>-2.255546860396862E-10</v>
      </c>
      <c r="T1936" s="398"/>
      <c r="U1936" s="391"/>
      <c r="V1936" s="390"/>
      <c r="W1936" s="398"/>
      <c r="X1936" s="398"/>
    </row>
    <row r="1937" spans="1:29" s="416" customFormat="1" ht="41.25" hidden="1" customHeight="1">
      <c r="A1937" s="506">
        <f t="shared" si="250"/>
        <v>418</v>
      </c>
      <c r="B1937" s="403" t="s">
        <v>1788</v>
      </c>
      <c r="C1937" s="455" t="s">
        <v>218</v>
      </c>
      <c r="D1937" s="487">
        <v>31421</v>
      </c>
      <c r="E1937" s="391">
        <v>2602</v>
      </c>
      <c r="F1937" s="391" t="s">
        <v>234</v>
      </c>
      <c r="G1937" s="391">
        <v>1162</v>
      </c>
      <c r="H1937" s="528">
        <v>9</v>
      </c>
      <c r="I1937" s="528">
        <v>4</v>
      </c>
      <c r="J1937" s="528">
        <v>144</v>
      </c>
      <c r="K1937" s="458" t="s">
        <v>33</v>
      </c>
      <c r="L1937" s="519">
        <f t="shared" si="251"/>
        <v>4045959.05</v>
      </c>
      <c r="M1937" s="529">
        <v>4000000</v>
      </c>
      <c r="N1937" s="391"/>
      <c r="O1937" s="473">
        <v>26059.05</v>
      </c>
      <c r="P1937" s="391"/>
      <c r="Q1937" s="391">
        <v>19900</v>
      </c>
      <c r="R1937" s="528">
        <f>M1937/G1937</f>
        <v>3442.340791738382</v>
      </c>
      <c r="S1937" s="388">
        <f t="shared" si="248"/>
        <v>-1.8553691916167736E-10</v>
      </c>
      <c r="T1937" s="398"/>
      <c r="U1937" s="391"/>
      <c r="V1937" s="390"/>
      <c r="W1937" s="398"/>
      <c r="X1937" s="398"/>
    </row>
    <row r="1938" spans="1:29" ht="37.5" hidden="1" customHeight="1">
      <c r="A1938" s="506">
        <f t="shared" si="250"/>
        <v>419</v>
      </c>
      <c r="B1938" s="403" t="s">
        <v>1789</v>
      </c>
      <c r="C1938" s="455" t="s">
        <v>218</v>
      </c>
      <c r="D1938" s="487">
        <v>14614</v>
      </c>
      <c r="E1938" s="391">
        <v>2560</v>
      </c>
      <c r="F1938" s="391" t="s">
        <v>223</v>
      </c>
      <c r="G1938" s="391">
        <v>1152</v>
      </c>
      <c r="H1938" s="528">
        <v>5</v>
      </c>
      <c r="I1938" s="528">
        <v>4</v>
      </c>
      <c r="J1938" s="528">
        <v>80</v>
      </c>
      <c r="K1938" s="458" t="s">
        <v>225</v>
      </c>
      <c r="L1938" s="519">
        <f t="shared" si="251"/>
        <v>1313585.7</v>
      </c>
      <c r="M1938" s="529">
        <v>1265984</v>
      </c>
      <c r="N1938" s="391">
        <v>31790.25</v>
      </c>
      <c r="O1938" s="530"/>
      <c r="P1938" s="391"/>
      <c r="Q1938" s="391">
        <v>15811.45</v>
      </c>
      <c r="R1938" s="528">
        <f>M1938/J1938</f>
        <v>15824.8</v>
      </c>
      <c r="S1938" s="388">
        <f t="shared" si="248"/>
        <v>-4.7293724492192268E-11</v>
      </c>
      <c r="T1938" s="389"/>
      <c r="U1938" s="391">
        <f>M1938+N1938+O1938+Q1938</f>
        <v>1313585.7</v>
      </c>
      <c r="V1938" s="390"/>
      <c r="W1938" s="398"/>
      <c r="X1938" s="398"/>
    </row>
    <row r="1939" spans="1:29" ht="37.5" hidden="1" customHeight="1">
      <c r="A1939" s="506">
        <f t="shared" si="250"/>
        <v>420</v>
      </c>
      <c r="B1939" s="403" t="s">
        <v>1790</v>
      </c>
      <c r="C1939" s="455" t="s">
        <v>218</v>
      </c>
      <c r="D1939" s="487">
        <v>18119</v>
      </c>
      <c r="E1939" s="391">
        <v>3506</v>
      </c>
      <c r="F1939" s="391" t="s">
        <v>223</v>
      </c>
      <c r="G1939" s="391">
        <v>1760</v>
      </c>
      <c r="H1939" s="528">
        <v>5</v>
      </c>
      <c r="I1939" s="528">
        <v>6</v>
      </c>
      <c r="J1939" s="528">
        <v>120</v>
      </c>
      <c r="K1939" s="458" t="s">
        <v>33</v>
      </c>
      <c r="L1939" s="519">
        <f t="shared" si="251"/>
        <v>6221866.1200000001</v>
      </c>
      <c r="M1939" s="529">
        <v>6160000</v>
      </c>
      <c r="N1939" s="391"/>
      <c r="O1939" s="473">
        <v>22066.12</v>
      </c>
      <c r="P1939" s="391"/>
      <c r="Q1939" s="391">
        <v>39800</v>
      </c>
      <c r="R1939" s="528">
        <f>M1939/G1939</f>
        <v>3500</v>
      </c>
      <c r="S1939" s="388">
        <f t="shared" si="248"/>
        <v>1.1641532182693481E-10</v>
      </c>
      <c r="T1939" s="389"/>
      <c r="U1939" s="391"/>
      <c r="V1939" s="390"/>
      <c r="W1939" s="398"/>
      <c r="X1939" s="398"/>
    </row>
    <row r="1940" spans="1:29" ht="37.5" hidden="1" customHeight="1">
      <c r="A1940" s="506">
        <f t="shared" si="250"/>
        <v>421</v>
      </c>
      <c r="B1940" s="403" t="s">
        <v>1791</v>
      </c>
      <c r="C1940" s="455" t="s">
        <v>218</v>
      </c>
      <c r="D1940" s="487">
        <v>12418</v>
      </c>
      <c r="E1940" s="391">
        <v>2532</v>
      </c>
      <c r="F1940" s="391" t="s">
        <v>223</v>
      </c>
      <c r="G1940" s="391">
        <v>1137</v>
      </c>
      <c r="H1940" s="528">
        <v>5</v>
      </c>
      <c r="I1940" s="528">
        <v>4</v>
      </c>
      <c r="J1940" s="528">
        <v>80</v>
      </c>
      <c r="K1940" s="458" t="s">
        <v>33</v>
      </c>
      <c r="L1940" s="519">
        <f t="shared" si="251"/>
        <v>4039182.5</v>
      </c>
      <c r="M1940" s="529">
        <v>3979500</v>
      </c>
      <c r="N1940" s="391"/>
      <c r="O1940" s="473">
        <v>21396.48</v>
      </c>
      <c r="P1940" s="391"/>
      <c r="Q1940" s="391">
        <v>38286.019999999997</v>
      </c>
      <c r="R1940" s="528">
        <f>M1940/G1940</f>
        <v>3500</v>
      </c>
      <c r="S1940" s="388">
        <f t="shared" si="248"/>
        <v>0</v>
      </c>
      <c r="T1940" s="389"/>
      <c r="U1940" s="391"/>
      <c r="V1940" s="390"/>
      <c r="W1940" s="398"/>
      <c r="X1940" s="398"/>
    </row>
    <row r="1941" spans="1:29" ht="37.5" hidden="1" customHeight="1">
      <c r="A1941" s="506">
        <f t="shared" si="250"/>
        <v>422</v>
      </c>
      <c r="B1941" s="403" t="s">
        <v>1792</v>
      </c>
      <c r="C1941" s="455" t="s">
        <v>272</v>
      </c>
      <c r="D1941" s="487">
        <v>17863</v>
      </c>
      <c r="E1941" s="391">
        <v>2783</v>
      </c>
      <c r="F1941" s="391" t="s">
        <v>234</v>
      </c>
      <c r="G1941" s="391">
        <v>1823</v>
      </c>
      <c r="H1941" s="528">
        <v>9</v>
      </c>
      <c r="I1941" s="528">
        <v>1</v>
      </c>
      <c r="J1941" s="528">
        <v>39</v>
      </c>
      <c r="K1941" s="458" t="s">
        <v>33</v>
      </c>
      <c r="L1941" s="519">
        <f t="shared" si="251"/>
        <v>3945740.15</v>
      </c>
      <c r="M1941" s="529">
        <v>3900000</v>
      </c>
      <c r="N1941" s="391"/>
      <c r="O1941" s="473">
        <v>25840.15</v>
      </c>
      <c r="P1941" s="391"/>
      <c r="Q1941" s="391">
        <v>19900</v>
      </c>
      <c r="R1941" s="528">
        <f>M1941/G1941</f>
        <v>2139.3307734503564</v>
      </c>
      <c r="S1941" s="388">
        <f t="shared" si="248"/>
        <v>-9.4587448984384537E-11</v>
      </c>
      <c r="T1941" s="389"/>
      <c r="U1941" s="391"/>
      <c r="V1941" s="390"/>
      <c r="W1941" s="398"/>
      <c r="X1941" s="398"/>
    </row>
    <row r="1942" spans="1:29" ht="56.25" hidden="1" customHeight="1">
      <c r="A1942" s="506">
        <f t="shared" si="250"/>
        <v>423</v>
      </c>
      <c r="B1942" s="403" t="s">
        <v>1793</v>
      </c>
      <c r="C1942" s="455" t="s">
        <v>272</v>
      </c>
      <c r="D1942" s="487">
        <v>17673</v>
      </c>
      <c r="E1942" s="391">
        <v>3310</v>
      </c>
      <c r="F1942" s="391" t="s">
        <v>234</v>
      </c>
      <c r="G1942" s="391">
        <v>1408</v>
      </c>
      <c r="H1942" s="528">
        <v>5</v>
      </c>
      <c r="I1942" s="528">
        <v>6</v>
      </c>
      <c r="J1942" s="528">
        <v>79</v>
      </c>
      <c r="K1942" s="458" t="s">
        <v>33</v>
      </c>
      <c r="L1942" s="519">
        <f t="shared" si="251"/>
        <v>3243443</v>
      </c>
      <c r="M1942" s="529">
        <v>3200000</v>
      </c>
      <c r="N1942" s="391"/>
      <c r="O1942" s="473">
        <v>23443</v>
      </c>
      <c r="P1942" s="391"/>
      <c r="Q1942" s="391">
        <v>20000</v>
      </c>
      <c r="R1942" s="528">
        <f>M1942/J1942</f>
        <v>40506.329113924054</v>
      </c>
      <c r="S1942" s="388">
        <f t="shared" si="248"/>
        <v>0</v>
      </c>
      <c r="T1942" s="389"/>
      <c r="U1942" s="391"/>
      <c r="V1942" s="390"/>
      <c r="W1942" s="398"/>
      <c r="X1942" s="398"/>
    </row>
    <row r="1943" spans="1:29" s="416" customFormat="1" ht="56.25" hidden="1" customHeight="1">
      <c r="A1943" s="506">
        <f t="shared" si="250"/>
        <v>424</v>
      </c>
      <c r="B1943" s="403" t="s">
        <v>1794</v>
      </c>
      <c r="C1943" s="455" t="s">
        <v>218</v>
      </c>
      <c r="D1943" s="487">
        <v>16340</v>
      </c>
      <c r="E1943" s="391">
        <v>3026</v>
      </c>
      <c r="F1943" s="391" t="s">
        <v>234</v>
      </c>
      <c r="G1943" s="391">
        <v>713</v>
      </c>
      <c r="H1943" s="528">
        <v>9</v>
      </c>
      <c r="I1943" s="528">
        <v>2</v>
      </c>
      <c r="J1943" s="528">
        <v>72</v>
      </c>
      <c r="K1943" s="458" t="s">
        <v>30</v>
      </c>
      <c r="L1943" s="519">
        <f t="shared" si="251"/>
        <v>2358334.36</v>
      </c>
      <c r="M1943" s="529">
        <v>2304000</v>
      </c>
      <c r="N1943" s="391"/>
      <c r="O1943" s="473">
        <v>20015.419999999998</v>
      </c>
      <c r="P1943" s="391"/>
      <c r="Q1943" s="391">
        <v>34318.94</v>
      </c>
      <c r="R1943" s="528">
        <f>M1943/J1943</f>
        <v>32000</v>
      </c>
      <c r="S1943" s="388">
        <f t="shared" si="248"/>
        <v>-1.3096723705530167E-10</v>
      </c>
      <c r="T1943" s="398"/>
      <c r="U1943" s="391"/>
      <c r="V1943" s="390"/>
      <c r="W1943" s="398"/>
      <c r="X1943" s="398"/>
      <c r="Z1943" s="416">
        <v>1</v>
      </c>
      <c r="AA1943" s="416">
        <f>J1943</f>
        <v>72</v>
      </c>
    </row>
    <row r="1944" spans="1:29" ht="37.5" hidden="1" customHeight="1">
      <c r="A1944" s="506">
        <f t="shared" si="250"/>
        <v>425</v>
      </c>
      <c r="B1944" s="403" t="s">
        <v>1795</v>
      </c>
      <c r="C1944" s="455" t="s">
        <v>272</v>
      </c>
      <c r="D1944" s="487">
        <v>12178</v>
      </c>
      <c r="E1944" s="391">
        <v>1923</v>
      </c>
      <c r="F1944" s="391" t="s">
        <v>223</v>
      </c>
      <c r="G1944" s="391">
        <v>920</v>
      </c>
      <c r="H1944" s="528">
        <v>5</v>
      </c>
      <c r="I1944" s="528">
        <v>3</v>
      </c>
      <c r="J1944" s="528">
        <v>60</v>
      </c>
      <c r="K1944" s="458" t="s">
        <v>33</v>
      </c>
      <c r="L1944" s="519">
        <f t="shared" si="251"/>
        <v>3262645.5100000002</v>
      </c>
      <c r="M1944" s="529">
        <v>3202500</v>
      </c>
      <c r="N1944" s="391"/>
      <c r="O1944" s="473">
        <v>22599.43</v>
      </c>
      <c r="P1944" s="391"/>
      <c r="Q1944" s="391">
        <v>37546.080000000002</v>
      </c>
      <c r="R1944" s="528">
        <f>M1944/G1944</f>
        <v>3480.978260869565</v>
      </c>
      <c r="S1944" s="388">
        <f t="shared" si="248"/>
        <v>2.4010660126805305E-10</v>
      </c>
      <c r="T1944" s="389"/>
      <c r="U1944" s="391"/>
      <c r="V1944" s="390"/>
      <c r="W1944" s="398"/>
      <c r="X1944" s="398"/>
    </row>
    <row r="1945" spans="1:29" ht="37.5" hidden="1" customHeight="1">
      <c r="A1945" s="506">
        <f t="shared" si="250"/>
        <v>426</v>
      </c>
      <c r="B1945" s="403" t="s">
        <v>1797</v>
      </c>
      <c r="C1945" s="455" t="s">
        <v>272</v>
      </c>
      <c r="D1945" s="487">
        <v>31647</v>
      </c>
      <c r="E1945" s="391">
        <v>4980</v>
      </c>
      <c r="F1945" s="391" t="s">
        <v>234</v>
      </c>
      <c r="G1945" s="391">
        <v>677</v>
      </c>
      <c r="H1945" s="528">
        <v>16</v>
      </c>
      <c r="I1945" s="528">
        <v>1</v>
      </c>
      <c r="J1945" s="528">
        <v>86</v>
      </c>
      <c r="K1945" s="458" t="s">
        <v>225</v>
      </c>
      <c r="L1945" s="519">
        <f t="shared" si="251"/>
        <v>1910184.64</v>
      </c>
      <c r="M1945" s="529">
        <v>1852900</v>
      </c>
      <c r="N1945" s="391">
        <v>37484.639999999999</v>
      </c>
      <c r="O1945" s="530"/>
      <c r="P1945" s="391"/>
      <c r="Q1945" s="391">
        <v>19800</v>
      </c>
      <c r="R1945" s="528">
        <f>M1945/J1945</f>
        <v>21545.348837209302</v>
      </c>
      <c r="S1945" s="388">
        <f t="shared" si="248"/>
        <v>-1.0186340659856796E-10</v>
      </c>
      <c r="T1945" s="389"/>
      <c r="U1945" s="391">
        <f>M1945+N1945+O1945+Q1945</f>
        <v>1910184.64</v>
      </c>
      <c r="V1945" s="390"/>
      <c r="W1945" s="398"/>
      <c r="X1945" s="398"/>
    </row>
    <row r="1946" spans="1:29" ht="37.5" hidden="1" customHeight="1">
      <c r="A1946" s="506">
        <f t="shared" si="250"/>
        <v>427</v>
      </c>
      <c r="B1946" s="403" t="s">
        <v>1798</v>
      </c>
      <c r="C1946" s="455" t="s">
        <v>283</v>
      </c>
      <c r="D1946" s="487">
        <v>76168</v>
      </c>
      <c r="E1946" s="391">
        <v>19855.89</v>
      </c>
      <c r="F1946" s="391" t="s">
        <v>234</v>
      </c>
      <c r="G1946" s="391">
        <v>3369</v>
      </c>
      <c r="H1946" s="528">
        <v>9</v>
      </c>
      <c r="I1946" s="528">
        <v>7</v>
      </c>
      <c r="J1946" s="528">
        <v>207</v>
      </c>
      <c r="K1946" s="458" t="s">
        <v>3706</v>
      </c>
      <c r="L1946" s="519">
        <f t="shared" si="251"/>
        <v>3833915.69</v>
      </c>
      <c r="M1946" s="529">
        <v>3755000</v>
      </c>
      <c r="N1946" s="391">
        <v>49215.69</v>
      </c>
      <c r="O1946" s="530"/>
      <c r="P1946" s="391"/>
      <c r="Q1946" s="391">
        <v>29700</v>
      </c>
      <c r="R1946" s="528">
        <f>M1946/E1946</f>
        <v>189.11265120828128</v>
      </c>
      <c r="S1946" s="388">
        <f t="shared" si="248"/>
        <v>-5.8207660913467407E-11</v>
      </c>
      <c r="T1946" s="389"/>
      <c r="U1946" s="391"/>
      <c r="V1946" s="390"/>
      <c r="W1946" s="398"/>
      <c r="X1946" s="398"/>
    </row>
    <row r="1947" spans="1:29" s="416" customFormat="1" ht="56.25" hidden="1" customHeight="1">
      <c r="A1947" s="506">
        <f t="shared" si="250"/>
        <v>428</v>
      </c>
      <c r="B1947" s="403" t="s">
        <v>1799</v>
      </c>
      <c r="C1947" s="455" t="s">
        <v>218</v>
      </c>
      <c r="D1947" s="446">
        <v>22829</v>
      </c>
      <c r="E1947" s="388">
        <v>1768.48</v>
      </c>
      <c r="F1947" s="388" t="s">
        <v>234</v>
      </c>
      <c r="G1947" s="388">
        <v>734</v>
      </c>
      <c r="H1947" s="446">
        <v>12</v>
      </c>
      <c r="I1947" s="446">
        <v>2</v>
      </c>
      <c r="J1947" s="446">
        <v>96</v>
      </c>
      <c r="K1947" s="537" t="s">
        <v>30</v>
      </c>
      <c r="L1947" s="519">
        <f t="shared" si="251"/>
        <v>3047383</v>
      </c>
      <c r="M1947" s="529">
        <v>2985671</v>
      </c>
      <c r="N1947" s="391"/>
      <c r="O1947" s="530">
        <v>21912</v>
      </c>
      <c r="P1947" s="487"/>
      <c r="Q1947" s="391">
        <v>39800</v>
      </c>
      <c r="R1947" s="528">
        <f>M1947/J1947</f>
        <v>31100.739583333332</v>
      </c>
      <c r="S1947" s="388">
        <f t="shared" si="248"/>
        <v>0</v>
      </c>
      <c r="T1947" s="392"/>
      <c r="U1947" s="391"/>
      <c r="V1947" s="390"/>
      <c r="W1947" s="398"/>
      <c r="X1947" s="398"/>
      <c r="Z1947" s="416">
        <v>1</v>
      </c>
      <c r="AA1947" s="416">
        <f>J1947</f>
        <v>96</v>
      </c>
    </row>
    <row r="1948" spans="1:29" s="977" customFormat="1" ht="37.5" hidden="1" customHeight="1">
      <c r="A1948" s="506">
        <f t="shared" si="250"/>
        <v>429</v>
      </c>
      <c r="B1948" s="403" t="s">
        <v>1800</v>
      </c>
      <c r="C1948" s="455" t="s">
        <v>218</v>
      </c>
      <c r="D1948" s="487">
        <v>21460</v>
      </c>
      <c r="E1948" s="391">
        <v>3293.66</v>
      </c>
      <c r="F1948" s="391" t="s">
        <v>234</v>
      </c>
      <c r="G1948" s="391">
        <v>929</v>
      </c>
      <c r="H1948" s="528">
        <v>9</v>
      </c>
      <c r="I1948" s="528">
        <v>2</v>
      </c>
      <c r="J1948" s="528">
        <v>108</v>
      </c>
      <c r="K1948" s="458" t="s">
        <v>33</v>
      </c>
      <c r="L1948" s="519">
        <f t="shared" si="251"/>
        <v>1333458.1000000001</v>
      </c>
      <c r="M1948" s="529">
        <v>1286717</v>
      </c>
      <c r="N1948" s="391"/>
      <c r="O1948" s="473">
        <v>26841.1</v>
      </c>
      <c r="P1948" s="391"/>
      <c r="Q1948" s="391">
        <v>19900</v>
      </c>
      <c r="R1948" s="528">
        <f>M1948/G1948</f>
        <v>1385.0559741657696</v>
      </c>
      <c r="S1948" s="388">
        <f t="shared" si="248"/>
        <v>9.4587448984384537E-11</v>
      </c>
      <c r="T1948" s="392"/>
      <c r="U1948" s="391"/>
      <c r="V1948" s="390"/>
      <c r="W1948" s="398"/>
      <c r="X1948" s="398"/>
      <c r="Z1948" s="455"/>
      <c r="AA1948" s="388"/>
      <c r="AB1948" s="404"/>
      <c r="AC1948" s="390"/>
    </row>
    <row r="1949" spans="1:29" ht="37.5" hidden="1" customHeight="1">
      <c r="A1949" s="506">
        <f t="shared" si="250"/>
        <v>430</v>
      </c>
      <c r="B1949" s="403" t="s">
        <v>3683</v>
      </c>
      <c r="C1949" s="455" t="s">
        <v>272</v>
      </c>
      <c r="D1949" s="487">
        <v>13302</v>
      </c>
      <c r="E1949" s="391">
        <v>4100</v>
      </c>
      <c r="F1949" s="391" t="s">
        <v>223</v>
      </c>
      <c r="G1949" s="391">
        <v>980</v>
      </c>
      <c r="H1949" s="528">
        <v>5</v>
      </c>
      <c r="I1949" s="528">
        <v>4</v>
      </c>
      <c r="J1949" s="528">
        <v>73</v>
      </c>
      <c r="K1949" s="389" t="s">
        <v>33</v>
      </c>
      <c r="L1949" s="1129">
        <f>M1949+N1949+O1949+P1949+Q1949+M1950+N1950+O1950+P1950+Q1950</f>
        <v>10432510</v>
      </c>
      <c r="M1949" s="529">
        <v>3412500</v>
      </c>
      <c r="N1949" s="391"/>
      <c r="O1949" s="530">
        <v>28180</v>
      </c>
      <c r="P1949" s="391"/>
      <c r="Q1949" s="391">
        <v>40000</v>
      </c>
      <c r="R1949" s="528">
        <f>M1949/G1949</f>
        <v>3482.1428571428573</v>
      </c>
      <c r="S1949" s="388">
        <f t="shared" si="248"/>
        <v>6951830</v>
      </c>
      <c r="T1949" s="389"/>
      <c r="U1949" s="391"/>
      <c r="V1949" s="390"/>
      <c r="W1949" s="398"/>
      <c r="X1949" s="398"/>
    </row>
    <row r="1950" spans="1:29" ht="37.5" hidden="1" customHeight="1">
      <c r="A1950" s="506"/>
      <c r="B1950" s="403"/>
      <c r="C1950" s="455"/>
      <c r="D1950" s="487"/>
      <c r="E1950" s="391"/>
      <c r="F1950" s="391"/>
      <c r="G1950" s="391"/>
      <c r="H1950" s="528"/>
      <c r="I1950" s="528"/>
      <c r="J1950" s="528"/>
      <c r="K1950" s="389" t="s">
        <v>38</v>
      </c>
      <c r="L1950" s="1129"/>
      <c r="M1950" s="529">
        <v>6900000</v>
      </c>
      <c r="N1950" s="391"/>
      <c r="O1950" s="530">
        <v>21830</v>
      </c>
      <c r="P1950" s="391"/>
      <c r="Q1950" s="391">
        <v>30000</v>
      </c>
      <c r="R1950" s="528">
        <f>M1950/E1949</f>
        <v>1682.9268292682927</v>
      </c>
      <c r="S1950" s="388">
        <f t="shared" si="248"/>
        <v>-6951830</v>
      </c>
      <c r="T1950" s="389"/>
      <c r="U1950" s="391"/>
      <c r="V1950" s="390"/>
      <c r="W1950" s="398"/>
      <c r="X1950" s="398"/>
    </row>
    <row r="1951" spans="1:29" s="416" customFormat="1" ht="37.5" hidden="1" customHeight="1">
      <c r="A1951" s="446">
        <f>A1949+1</f>
        <v>431</v>
      </c>
      <c r="B1951" s="403" t="s">
        <v>1465</v>
      </c>
      <c r="C1951" s="455" t="s">
        <v>272</v>
      </c>
      <c r="D1951" s="487">
        <v>12714</v>
      </c>
      <c r="E1951" s="391">
        <v>4100</v>
      </c>
      <c r="F1951" s="391" t="s">
        <v>223</v>
      </c>
      <c r="G1951" s="391">
        <v>1158</v>
      </c>
      <c r="H1951" s="528">
        <v>5</v>
      </c>
      <c r="I1951" s="528">
        <v>4</v>
      </c>
      <c r="J1951" s="528">
        <v>69</v>
      </c>
      <c r="K1951" s="458" t="s">
        <v>33</v>
      </c>
      <c r="L1951" s="1129">
        <f>M1951+N1951+O1951+P1951+Q1951+M1952+N1952+O1952+Q1952</f>
        <v>10965316.560000001</v>
      </c>
      <c r="M1951" s="529">
        <v>4053000</v>
      </c>
      <c r="N1951" s="391"/>
      <c r="O1951" s="473">
        <v>21504.94</v>
      </c>
      <c r="P1951" s="391"/>
      <c r="Q1951" s="391">
        <v>39198.620000000003</v>
      </c>
      <c r="R1951" s="446">
        <f>M1951/G1951</f>
        <v>3500</v>
      </c>
      <c r="S1951" s="388">
        <f t="shared" si="248"/>
        <v>6851613</v>
      </c>
      <c r="T1951" s="398"/>
      <c r="U1951" s="391"/>
      <c r="V1951" s="390"/>
      <c r="W1951" s="398"/>
      <c r="X1951" s="398"/>
    </row>
    <row r="1952" spans="1:29" s="416" customFormat="1" ht="33.75" hidden="1" customHeight="1">
      <c r="A1952" s="446"/>
      <c r="B1952" s="403"/>
      <c r="C1952" s="455"/>
      <c r="D1952" s="487"/>
      <c r="E1952" s="391"/>
      <c r="F1952" s="391"/>
      <c r="G1952" s="391"/>
      <c r="H1952" s="528"/>
      <c r="I1952" s="528"/>
      <c r="J1952" s="528"/>
      <c r="K1952" s="458" t="s">
        <v>38</v>
      </c>
      <c r="L1952" s="1129"/>
      <c r="M1952" s="529">
        <v>6800000</v>
      </c>
      <c r="N1952" s="391"/>
      <c r="O1952" s="473">
        <v>21613</v>
      </c>
      <c r="P1952" s="391"/>
      <c r="Q1952" s="391">
        <v>30000</v>
      </c>
      <c r="R1952" s="528">
        <f>M1952/E1951</f>
        <v>1658.5365853658536</v>
      </c>
      <c r="S1952" s="388">
        <f t="shared" si="248"/>
        <v>-6851613</v>
      </c>
      <c r="T1952" s="398"/>
      <c r="U1952" s="391"/>
      <c r="V1952" s="390"/>
      <c r="W1952" s="398"/>
      <c r="X1952" s="398"/>
    </row>
    <row r="1953" spans="1:27" s="416" customFormat="1" ht="37.5" hidden="1" customHeight="1">
      <c r="A1953" s="446">
        <f>A1951+1</f>
        <v>432</v>
      </c>
      <c r="B1953" s="403" t="s">
        <v>1467</v>
      </c>
      <c r="C1953" s="455" t="s">
        <v>272</v>
      </c>
      <c r="D1953" s="487">
        <v>16663</v>
      </c>
      <c r="E1953" s="391">
        <v>3600</v>
      </c>
      <c r="F1953" s="391" t="s">
        <v>223</v>
      </c>
      <c r="G1953" s="391">
        <v>1147</v>
      </c>
      <c r="H1953" s="528">
        <v>5</v>
      </c>
      <c r="I1953" s="528">
        <v>4</v>
      </c>
      <c r="J1953" s="528">
        <v>64</v>
      </c>
      <c r="K1953" s="458" t="s">
        <v>38</v>
      </c>
      <c r="L1953" s="519">
        <f>M1953+N1953+O1953+P1953+Q1953</f>
        <v>6047178</v>
      </c>
      <c r="M1953" s="529">
        <v>6000000</v>
      </c>
      <c r="N1953" s="391"/>
      <c r="O1953" s="473">
        <v>17478</v>
      </c>
      <c r="P1953" s="391"/>
      <c r="Q1953" s="391">
        <v>29700</v>
      </c>
      <c r="R1953" s="528">
        <f>M1953/E1953</f>
        <v>1666.6666666666667</v>
      </c>
      <c r="S1953" s="388">
        <f t="shared" si="248"/>
        <v>0</v>
      </c>
      <c r="T1953" s="398"/>
      <c r="U1953" s="391"/>
      <c r="V1953" s="390"/>
      <c r="W1953" s="398"/>
      <c r="X1953" s="398"/>
    </row>
    <row r="1954" spans="1:27" s="416" customFormat="1" ht="31.5" hidden="1" customHeight="1">
      <c r="A1954" s="506">
        <f>A1953+1</f>
        <v>433</v>
      </c>
      <c r="B1954" s="403" t="s">
        <v>1468</v>
      </c>
      <c r="C1954" s="455" t="s">
        <v>272</v>
      </c>
      <c r="D1954" s="487">
        <v>13168</v>
      </c>
      <c r="E1954" s="391">
        <v>4100</v>
      </c>
      <c r="F1954" s="391" t="s">
        <v>223</v>
      </c>
      <c r="G1954" s="391">
        <v>1143</v>
      </c>
      <c r="H1954" s="528">
        <v>5</v>
      </c>
      <c r="I1954" s="528">
        <v>4</v>
      </c>
      <c r="J1954" s="528">
        <v>68</v>
      </c>
      <c r="K1954" s="458" t="s">
        <v>38</v>
      </c>
      <c r="L1954" s="1129">
        <f>M1954+N1954+O1954+P1954+Q1954+M1955+N1955+O1955+Q1955</f>
        <v>10571917</v>
      </c>
      <c r="M1954" s="529">
        <v>6800000</v>
      </c>
      <c r="N1954" s="391"/>
      <c r="O1954" s="473">
        <v>16500</v>
      </c>
      <c r="P1954" s="391"/>
      <c r="Q1954" s="391">
        <v>29700</v>
      </c>
      <c r="R1954" s="528">
        <f>M1954/E1954</f>
        <v>1658.5365853658536</v>
      </c>
      <c r="S1954" s="388">
        <f t="shared" si="248"/>
        <v>3725717</v>
      </c>
      <c r="T1954" s="398"/>
      <c r="U1954" s="391"/>
      <c r="V1954" s="390"/>
      <c r="W1954" s="398"/>
      <c r="X1954" s="398"/>
    </row>
    <row r="1955" spans="1:27" ht="43.5" hidden="1" customHeight="1">
      <c r="A1955" s="506"/>
      <c r="B1955" s="403"/>
      <c r="C1955" s="455"/>
      <c r="D1955" s="487"/>
      <c r="E1955" s="391"/>
      <c r="F1955" s="391"/>
      <c r="G1955" s="391"/>
      <c r="H1955" s="528">
        <v>68</v>
      </c>
      <c r="I1955" s="528"/>
      <c r="J1955" s="528"/>
      <c r="K1955" s="389" t="s">
        <v>33</v>
      </c>
      <c r="L1955" s="1129"/>
      <c r="M1955" s="529">
        <v>3657600</v>
      </c>
      <c r="N1955" s="391"/>
      <c r="O1955" s="530">
        <v>28117</v>
      </c>
      <c r="P1955" s="391"/>
      <c r="Q1955" s="391">
        <v>40000</v>
      </c>
      <c r="R1955" s="528"/>
      <c r="S1955" s="388">
        <f t="shared" si="248"/>
        <v>-3725717</v>
      </c>
      <c r="T1955" s="389"/>
      <c r="U1955" s="391"/>
      <c r="V1955" s="390"/>
      <c r="W1955" s="398"/>
      <c r="X1955" s="398"/>
    </row>
    <row r="1956" spans="1:27" ht="37.5" hidden="1" customHeight="1">
      <c r="A1956" s="446">
        <f>A1954+1</f>
        <v>434</v>
      </c>
      <c r="B1956" s="403" t="s">
        <v>3682</v>
      </c>
      <c r="C1956" s="455" t="s">
        <v>218</v>
      </c>
      <c r="D1956" s="487">
        <v>9246</v>
      </c>
      <c r="E1956" s="391">
        <v>1902</v>
      </c>
      <c r="F1956" s="391" t="s">
        <v>223</v>
      </c>
      <c r="G1956" s="391">
        <v>860</v>
      </c>
      <c r="H1956" s="528">
        <v>5</v>
      </c>
      <c r="I1956" s="528">
        <v>3</v>
      </c>
      <c r="J1956" s="528">
        <v>60</v>
      </c>
      <c r="K1956" s="389" t="s">
        <v>33</v>
      </c>
      <c r="L1956" s="1129">
        <f>M1956+N1956+O1956+P1956+Q1956+M1957+N1957+O1957+P1957+Q1957</f>
        <v>4187837</v>
      </c>
      <c r="M1956" s="529">
        <v>3000000</v>
      </c>
      <c r="N1956" s="391"/>
      <c r="O1956" s="530">
        <v>26248</v>
      </c>
      <c r="P1956" s="391"/>
      <c r="Q1956" s="391">
        <v>28650</v>
      </c>
      <c r="R1956" s="528">
        <f>M1956/G1956</f>
        <v>3488.3720930232557</v>
      </c>
      <c r="S1956" s="388">
        <f t="shared" si="248"/>
        <v>1132939</v>
      </c>
      <c r="T1956" s="389"/>
      <c r="U1956" s="391"/>
      <c r="V1956" s="390"/>
      <c r="W1956" s="398"/>
      <c r="X1956" s="398"/>
    </row>
    <row r="1957" spans="1:27" ht="37.5" hidden="1" customHeight="1">
      <c r="A1957" s="506"/>
      <c r="B1957" s="403"/>
      <c r="C1957" s="455"/>
      <c r="D1957" s="487"/>
      <c r="E1957" s="391"/>
      <c r="F1957" s="391"/>
      <c r="G1957" s="391"/>
      <c r="H1957" s="528"/>
      <c r="I1957" s="528"/>
      <c r="J1957" s="528"/>
      <c r="K1957" s="389" t="s">
        <v>225</v>
      </c>
      <c r="L1957" s="1129"/>
      <c r="M1957" s="529">
        <v>1092900</v>
      </c>
      <c r="N1957" s="391">
        <v>30499</v>
      </c>
      <c r="O1957" s="530"/>
      <c r="P1957" s="391"/>
      <c r="Q1957" s="391">
        <v>9540</v>
      </c>
      <c r="R1957" s="528">
        <v>16000</v>
      </c>
      <c r="S1957" s="388">
        <f t="shared" si="248"/>
        <v>-1132939</v>
      </c>
      <c r="T1957" s="389"/>
      <c r="U1957" s="391">
        <f>M1957+N1957+O1957+Q1957</f>
        <v>1132939</v>
      </c>
      <c r="V1957" s="390"/>
      <c r="W1957" s="398"/>
      <c r="X1957" s="398"/>
    </row>
    <row r="1958" spans="1:27" ht="56.25" hidden="1" customHeight="1">
      <c r="A1958" s="506">
        <f>A1956+1</f>
        <v>435</v>
      </c>
      <c r="B1958" s="403" t="s">
        <v>2377</v>
      </c>
      <c r="C1958" s="455" t="s">
        <v>272</v>
      </c>
      <c r="D1958" s="811">
        <v>11859</v>
      </c>
      <c r="E1958" s="391">
        <v>2200</v>
      </c>
      <c r="F1958" s="391" t="s">
        <v>223</v>
      </c>
      <c r="G1958" s="391">
        <v>1101</v>
      </c>
      <c r="H1958" s="528">
        <v>5</v>
      </c>
      <c r="I1958" s="528">
        <v>3</v>
      </c>
      <c r="J1958" s="528">
        <v>63</v>
      </c>
      <c r="K1958" s="389" t="s">
        <v>30</v>
      </c>
      <c r="L1958" s="519">
        <f>M1958+N1958+O1958+P1958+Q1958</f>
        <v>1617505</v>
      </c>
      <c r="M1958" s="529">
        <v>1575000</v>
      </c>
      <c r="N1958" s="391"/>
      <c r="O1958" s="530">
        <v>15005</v>
      </c>
      <c r="P1958" s="391"/>
      <c r="Q1958" s="391">
        <v>27500</v>
      </c>
      <c r="R1958" s="528">
        <f>M1958/J1958</f>
        <v>25000</v>
      </c>
      <c r="S1958" s="388">
        <f t="shared" si="248"/>
        <v>0</v>
      </c>
      <c r="T1958" s="389"/>
      <c r="U1958" s="391"/>
      <c r="V1958" s="390"/>
      <c r="W1958" s="398"/>
      <c r="X1958" s="398"/>
      <c r="Z1958" s="416">
        <v>1</v>
      </c>
      <c r="AA1958" s="416">
        <f>J1958</f>
        <v>63</v>
      </c>
    </row>
    <row r="1959" spans="1:27" ht="37.5" hidden="1" customHeight="1">
      <c r="A1959" s="506">
        <f>A1958+1</f>
        <v>436</v>
      </c>
      <c r="B1959" s="403" t="s">
        <v>3685</v>
      </c>
      <c r="C1959" s="455" t="s">
        <v>272</v>
      </c>
      <c r="D1959" s="487">
        <v>12619</v>
      </c>
      <c r="E1959" s="391">
        <v>2750</v>
      </c>
      <c r="F1959" s="391" t="s">
        <v>231</v>
      </c>
      <c r="G1959" s="391">
        <v>1173.3</v>
      </c>
      <c r="H1959" s="528">
        <v>4</v>
      </c>
      <c r="I1959" s="528">
        <v>3</v>
      </c>
      <c r="J1959" s="528">
        <v>36</v>
      </c>
      <c r="K1959" s="389" t="s">
        <v>239</v>
      </c>
      <c r="L1959" s="519">
        <f>M1959+N1959+O1959+P1959+Q1959</f>
        <v>3346916</v>
      </c>
      <c r="M1959" s="519">
        <v>3300000</v>
      </c>
      <c r="N1959" s="383">
        <v>28272</v>
      </c>
      <c r="O1959" s="540"/>
      <c r="P1959" s="388"/>
      <c r="Q1959" s="391">
        <v>18644</v>
      </c>
      <c r="R1959" s="528">
        <f>M1959/J1959</f>
        <v>91666.666666666672</v>
      </c>
      <c r="S1959" s="388">
        <f t="shared" si="248"/>
        <v>0</v>
      </c>
      <c r="T1959" s="389"/>
      <c r="U1959" s="388"/>
      <c r="V1959" s="390"/>
      <c r="W1959" s="398"/>
      <c r="X1959" s="398"/>
    </row>
    <row r="1960" spans="1:27" ht="39" hidden="1" customHeight="1">
      <c r="A1960" s="506">
        <f>A1959+1</f>
        <v>437</v>
      </c>
      <c r="B1960" s="1124" t="s">
        <v>4279</v>
      </c>
      <c r="C1960" s="455"/>
      <c r="D1960" s="487"/>
      <c r="E1960" s="391">
        <v>3800</v>
      </c>
      <c r="F1960" s="391" t="s">
        <v>223</v>
      </c>
      <c r="G1960" s="391">
        <v>1141</v>
      </c>
      <c r="H1960" s="528"/>
      <c r="I1960" s="528"/>
      <c r="J1960" s="528">
        <v>80</v>
      </c>
      <c r="K1960" s="458" t="s">
        <v>33</v>
      </c>
      <c r="L1960" s="384">
        <f>M1960+M1961+N1961+N1960+O1960+O1961+P1961+P1960+Q1960+Q1961</f>
        <v>10073593</v>
      </c>
      <c r="M1960" s="529">
        <v>3651200</v>
      </c>
      <c r="N1960" s="391"/>
      <c r="O1960" s="473">
        <v>29919</v>
      </c>
      <c r="P1960" s="391"/>
      <c r="Q1960" s="391">
        <v>40000</v>
      </c>
      <c r="R1960" s="446">
        <f>M1960/G1960</f>
        <v>3200</v>
      </c>
      <c r="S1960" s="388">
        <f t="shared" si="248"/>
        <v>6352474</v>
      </c>
      <c r="T1960" s="389"/>
      <c r="U1960" s="391"/>
      <c r="V1960" s="390"/>
      <c r="W1960" s="398"/>
      <c r="X1960" s="398"/>
    </row>
    <row r="1961" spans="1:27" ht="37.5" hidden="1" customHeight="1">
      <c r="A1961" s="506"/>
      <c r="B1961" s="1124"/>
      <c r="C1961" s="455"/>
      <c r="D1961" s="487"/>
      <c r="E1961" s="391"/>
      <c r="F1961" s="391"/>
      <c r="G1961" s="391"/>
      <c r="H1961" s="528"/>
      <c r="I1961" s="528"/>
      <c r="K1961" s="458" t="s">
        <v>3706</v>
      </c>
      <c r="M1961" s="529">
        <v>6300000</v>
      </c>
      <c r="N1961" s="391">
        <v>22474</v>
      </c>
      <c r="O1961" s="473"/>
      <c r="P1961" s="391"/>
      <c r="Q1961" s="391">
        <v>30000</v>
      </c>
      <c r="R1961" s="528">
        <f>M1961/E1960</f>
        <v>1657.8947368421052</v>
      </c>
      <c r="S1961" s="388">
        <f t="shared" si="248"/>
        <v>-6352474</v>
      </c>
      <c r="T1961" s="389"/>
      <c r="U1961" s="391"/>
      <c r="V1961" s="390"/>
      <c r="W1961" s="398"/>
      <c r="X1961" s="398"/>
    </row>
    <row r="1962" spans="1:27" ht="56.25" hidden="1" customHeight="1">
      <c r="A1962" s="506">
        <f>A1960+1</f>
        <v>438</v>
      </c>
      <c r="B1962" s="403" t="s">
        <v>3277</v>
      </c>
      <c r="C1962" s="455" t="s">
        <v>3705</v>
      </c>
      <c r="D1962" s="487">
        <v>3734</v>
      </c>
      <c r="E1962" s="391">
        <v>890</v>
      </c>
      <c r="F1962" s="391" t="s">
        <v>223</v>
      </c>
      <c r="G1962" s="391">
        <v>725</v>
      </c>
      <c r="H1962" s="528">
        <v>2</v>
      </c>
      <c r="I1962" s="528">
        <v>4</v>
      </c>
      <c r="J1962" s="528">
        <v>16</v>
      </c>
      <c r="K1962" s="389" t="s">
        <v>30</v>
      </c>
      <c r="L1962" s="519">
        <f t="shared" ref="L1962:L1983" si="252">M1962+N1962+O1962+P1962+Q1962</f>
        <v>418119</v>
      </c>
      <c r="M1962" s="529">
        <v>400000</v>
      </c>
      <c r="N1962" s="391"/>
      <c r="O1962" s="530">
        <v>11594</v>
      </c>
      <c r="P1962" s="391"/>
      <c r="Q1962" s="391">
        <v>6525</v>
      </c>
      <c r="R1962" s="528">
        <f>M1962/J1962</f>
        <v>25000</v>
      </c>
      <c r="S1962" s="388">
        <f t="shared" si="248"/>
        <v>0</v>
      </c>
      <c r="T1962" s="389"/>
      <c r="U1962" s="391"/>
      <c r="V1962" s="390"/>
      <c r="W1962" s="398"/>
      <c r="X1962" s="398"/>
      <c r="Z1962" s="416">
        <v>1</v>
      </c>
      <c r="AA1962" s="416">
        <f>J1962</f>
        <v>16</v>
      </c>
    </row>
    <row r="1963" spans="1:27" ht="56.25" hidden="1" customHeight="1">
      <c r="A1963" s="506">
        <f>A1962+1</f>
        <v>439</v>
      </c>
      <c r="B1963" s="403" t="s">
        <v>3278</v>
      </c>
      <c r="C1963" s="455" t="s">
        <v>3705</v>
      </c>
      <c r="D1963" s="487">
        <v>3901</v>
      </c>
      <c r="E1963" s="391">
        <v>890</v>
      </c>
      <c r="F1963" s="391" t="s">
        <v>223</v>
      </c>
      <c r="G1963" s="391">
        <v>724</v>
      </c>
      <c r="H1963" s="528">
        <v>2</v>
      </c>
      <c r="I1963" s="528">
        <v>4</v>
      </c>
      <c r="J1963" s="528">
        <v>16</v>
      </c>
      <c r="K1963" s="389" t="s">
        <v>30</v>
      </c>
      <c r="L1963" s="519">
        <f t="shared" si="252"/>
        <v>417800</v>
      </c>
      <c r="M1963" s="529">
        <v>400000</v>
      </c>
      <c r="N1963" s="391"/>
      <c r="O1963" s="530">
        <v>11275</v>
      </c>
      <c r="P1963" s="391"/>
      <c r="Q1963" s="391">
        <v>6525</v>
      </c>
      <c r="R1963" s="528">
        <f>M1963/J1963</f>
        <v>25000</v>
      </c>
      <c r="S1963" s="388">
        <f t="shared" si="248"/>
        <v>0</v>
      </c>
      <c r="T1963" s="389"/>
      <c r="U1963" s="391"/>
      <c r="V1963" s="390"/>
      <c r="W1963" s="398"/>
      <c r="X1963" s="398"/>
      <c r="Z1963" s="416">
        <v>1</v>
      </c>
      <c r="AA1963" s="416">
        <f>J1963</f>
        <v>16</v>
      </c>
    </row>
    <row r="1964" spans="1:27" ht="56.25" hidden="1" customHeight="1">
      <c r="A1964" s="506">
        <f t="shared" ref="A1964:A1977" si="253">A1963+1</f>
        <v>440</v>
      </c>
      <c r="B1964" s="403" t="s">
        <v>3279</v>
      </c>
      <c r="C1964" s="455" t="s">
        <v>3705</v>
      </c>
      <c r="D1964" s="487">
        <v>3872</v>
      </c>
      <c r="E1964" s="391">
        <v>890</v>
      </c>
      <c r="F1964" s="391" t="s">
        <v>223</v>
      </c>
      <c r="G1964" s="391">
        <v>719</v>
      </c>
      <c r="H1964" s="528">
        <v>2</v>
      </c>
      <c r="I1964" s="528">
        <v>4</v>
      </c>
      <c r="J1964" s="528">
        <v>16</v>
      </c>
      <c r="K1964" s="389" t="s">
        <v>30</v>
      </c>
      <c r="L1964" s="519">
        <f t="shared" si="252"/>
        <v>417774</v>
      </c>
      <c r="M1964" s="529">
        <v>400000</v>
      </c>
      <c r="N1964" s="391"/>
      <c r="O1964" s="530">
        <v>11249</v>
      </c>
      <c r="P1964" s="391"/>
      <c r="Q1964" s="391">
        <v>6525</v>
      </c>
      <c r="R1964" s="528">
        <f>M1964/J1964</f>
        <v>25000</v>
      </c>
      <c r="S1964" s="388">
        <f t="shared" si="248"/>
        <v>0</v>
      </c>
      <c r="T1964" s="389"/>
      <c r="U1964" s="391"/>
      <c r="V1964" s="390"/>
      <c r="W1964" s="398"/>
      <c r="X1964" s="398"/>
      <c r="Z1964" s="416">
        <v>1</v>
      </c>
      <c r="AA1964" s="416">
        <f>J1964</f>
        <v>16</v>
      </c>
    </row>
    <row r="1965" spans="1:27" ht="56.25" hidden="1" customHeight="1">
      <c r="A1965" s="506">
        <f t="shared" si="253"/>
        <v>441</v>
      </c>
      <c r="B1965" s="403" t="s">
        <v>3699</v>
      </c>
      <c r="C1965" s="455" t="s">
        <v>3705</v>
      </c>
      <c r="D1965" s="487">
        <v>2387</v>
      </c>
      <c r="E1965" s="391">
        <v>620</v>
      </c>
      <c r="F1965" s="391" t="s">
        <v>223</v>
      </c>
      <c r="G1965" s="391">
        <v>485</v>
      </c>
      <c r="H1965" s="528">
        <v>2</v>
      </c>
      <c r="I1965" s="528">
        <v>2</v>
      </c>
      <c r="J1965" s="528">
        <v>16</v>
      </c>
      <c r="K1965" s="389" t="s">
        <v>30</v>
      </c>
      <c r="L1965" s="519">
        <f t="shared" si="252"/>
        <v>417803</v>
      </c>
      <c r="M1965" s="529">
        <v>400000</v>
      </c>
      <c r="N1965" s="391"/>
      <c r="O1965" s="530">
        <v>11278</v>
      </c>
      <c r="P1965" s="391"/>
      <c r="Q1965" s="391">
        <v>6525</v>
      </c>
      <c r="R1965" s="528">
        <f>M1965/J1965</f>
        <v>25000</v>
      </c>
      <c r="S1965" s="388">
        <f t="shared" si="248"/>
        <v>0</v>
      </c>
      <c r="T1965" s="389"/>
      <c r="U1965" s="391"/>
      <c r="V1965" s="390"/>
      <c r="W1965" s="398"/>
      <c r="X1965" s="398"/>
      <c r="Z1965" s="416">
        <v>1</v>
      </c>
      <c r="AA1965" s="416">
        <f>J1965</f>
        <v>16</v>
      </c>
    </row>
    <row r="1966" spans="1:27" ht="56.25" hidden="1" customHeight="1">
      <c r="A1966" s="506">
        <f t="shared" si="253"/>
        <v>442</v>
      </c>
      <c r="B1966" s="403" t="s">
        <v>608</v>
      </c>
      <c r="C1966" s="455" t="s">
        <v>272</v>
      </c>
      <c r="D1966" s="487">
        <v>36525</v>
      </c>
      <c r="E1966" s="391">
        <v>4955</v>
      </c>
      <c r="F1966" s="391" t="s">
        <v>234</v>
      </c>
      <c r="G1966" s="391">
        <v>1818.1</v>
      </c>
      <c r="H1966" s="528">
        <v>10</v>
      </c>
      <c r="I1966" s="528">
        <v>4</v>
      </c>
      <c r="J1966" s="528">
        <v>130</v>
      </c>
      <c r="K1966" s="389" t="s">
        <v>30</v>
      </c>
      <c r="L1966" s="519">
        <f t="shared" si="252"/>
        <v>1150222</v>
      </c>
      <c r="M1966" s="529">
        <v>1088000</v>
      </c>
      <c r="N1966" s="391"/>
      <c r="O1966" s="473">
        <v>22222</v>
      </c>
      <c r="P1966" s="391"/>
      <c r="Q1966" s="391">
        <v>40000</v>
      </c>
      <c r="R1966" s="528">
        <f>M1966/J1966</f>
        <v>8369.2307692307695</v>
      </c>
      <c r="S1966" s="388">
        <f t="shared" si="248"/>
        <v>0</v>
      </c>
      <c r="T1966" s="389"/>
      <c r="U1966" s="391"/>
      <c r="V1966" s="390"/>
      <c r="W1966" s="398"/>
      <c r="X1966" s="398"/>
      <c r="Z1966" s="416">
        <v>1</v>
      </c>
      <c r="AA1966" s="416">
        <f>J1966</f>
        <v>130</v>
      </c>
    </row>
    <row r="1967" spans="1:27" ht="37.5" hidden="1" customHeight="1">
      <c r="A1967" s="506">
        <f t="shared" si="253"/>
        <v>443</v>
      </c>
      <c r="B1967" s="403" t="s">
        <v>3958</v>
      </c>
      <c r="C1967" s="455" t="s">
        <v>272</v>
      </c>
      <c r="D1967" s="487">
        <v>15337</v>
      </c>
      <c r="E1967" s="391">
        <v>2445</v>
      </c>
      <c r="F1967" s="391" t="s">
        <v>234</v>
      </c>
      <c r="G1967" s="391">
        <v>1030</v>
      </c>
      <c r="H1967" s="528">
        <v>5</v>
      </c>
      <c r="I1967" s="528">
        <v>4</v>
      </c>
      <c r="J1967" s="528">
        <v>68</v>
      </c>
      <c r="K1967" s="389" t="s">
        <v>33</v>
      </c>
      <c r="L1967" s="519">
        <f t="shared" si="252"/>
        <v>2210936</v>
      </c>
      <c r="M1967" s="529">
        <v>2163000</v>
      </c>
      <c r="N1967" s="391"/>
      <c r="O1967" s="530">
        <v>27936</v>
      </c>
      <c r="P1967" s="391"/>
      <c r="Q1967" s="391">
        <v>20000</v>
      </c>
      <c r="R1967" s="528">
        <f>M1967/G1967</f>
        <v>2100</v>
      </c>
      <c r="S1967" s="388">
        <f t="shared" si="248"/>
        <v>0</v>
      </c>
      <c r="T1967" s="389"/>
      <c r="U1967" s="391"/>
      <c r="V1967" s="390"/>
      <c r="W1967" s="398"/>
      <c r="X1967" s="398"/>
    </row>
    <row r="1968" spans="1:27" ht="56.25" hidden="1" customHeight="1">
      <c r="A1968" s="506">
        <f t="shared" si="253"/>
        <v>444</v>
      </c>
      <c r="B1968" s="403" t="s">
        <v>3294</v>
      </c>
      <c r="C1968" s="455" t="s">
        <v>3705</v>
      </c>
      <c r="D1968" s="487">
        <v>4951</v>
      </c>
      <c r="E1968" s="391">
        <v>1002</v>
      </c>
      <c r="F1968" s="391" t="s">
        <v>223</v>
      </c>
      <c r="G1968" s="391">
        <v>864</v>
      </c>
      <c r="H1968" s="528">
        <v>2</v>
      </c>
      <c r="I1968" s="528">
        <v>2</v>
      </c>
      <c r="J1968" s="528">
        <v>18</v>
      </c>
      <c r="K1968" s="389" t="s">
        <v>30</v>
      </c>
      <c r="L1968" s="519">
        <f t="shared" si="252"/>
        <v>475004</v>
      </c>
      <c r="M1968" s="529">
        <v>450000</v>
      </c>
      <c r="N1968" s="391"/>
      <c r="O1968" s="530">
        <v>13818</v>
      </c>
      <c r="P1968" s="391"/>
      <c r="Q1968" s="391">
        <v>11186</v>
      </c>
      <c r="R1968" s="528">
        <f>M1968/J1968</f>
        <v>25000</v>
      </c>
      <c r="S1968" s="388">
        <f t="shared" si="248"/>
        <v>0</v>
      </c>
      <c r="T1968" s="389"/>
      <c r="U1968" s="391"/>
      <c r="V1968" s="390"/>
      <c r="W1968" s="398"/>
      <c r="X1968" s="398"/>
      <c r="Z1968" s="416">
        <v>1</v>
      </c>
      <c r="AA1968" s="416">
        <f>J1968</f>
        <v>18</v>
      </c>
    </row>
    <row r="1969" spans="1:27" ht="66" hidden="1" customHeight="1">
      <c r="A1969" s="506">
        <f t="shared" si="253"/>
        <v>445</v>
      </c>
      <c r="B1969" s="403" t="s">
        <v>3707</v>
      </c>
      <c r="C1969" s="455" t="s">
        <v>272</v>
      </c>
      <c r="D1969" s="487">
        <v>16902</v>
      </c>
      <c r="E1969" s="391">
        <v>2400</v>
      </c>
      <c r="F1969" s="391" t="s">
        <v>234</v>
      </c>
      <c r="G1969" s="391">
        <v>1029</v>
      </c>
      <c r="H1969" s="528">
        <v>5</v>
      </c>
      <c r="I1969" s="528">
        <v>4</v>
      </c>
      <c r="J1969" s="528">
        <v>48</v>
      </c>
      <c r="K1969" s="458" t="s">
        <v>33</v>
      </c>
      <c r="L1969" s="384">
        <f t="shared" si="252"/>
        <v>2135237</v>
      </c>
      <c r="M1969" s="529">
        <v>2086587</v>
      </c>
      <c r="N1969" s="391"/>
      <c r="O1969" s="473">
        <v>28650</v>
      </c>
      <c r="P1969" s="391"/>
      <c r="Q1969" s="391">
        <v>20000</v>
      </c>
      <c r="R1969" s="446">
        <f>M1969/G1969</f>
        <v>2027.7813411078716</v>
      </c>
      <c r="S1969" s="388">
        <f t="shared" si="248"/>
        <v>0</v>
      </c>
      <c r="T1969" s="389"/>
      <c r="U1969" s="391"/>
      <c r="V1969" s="390"/>
      <c r="W1969" s="398"/>
      <c r="X1969" s="398"/>
    </row>
    <row r="1970" spans="1:27" ht="56.25" hidden="1" customHeight="1">
      <c r="A1970" s="506">
        <f t="shared" si="253"/>
        <v>446</v>
      </c>
      <c r="B1970" s="403" t="s">
        <v>3305</v>
      </c>
      <c r="C1970" s="455" t="s">
        <v>3705</v>
      </c>
      <c r="D1970" s="487">
        <v>2540</v>
      </c>
      <c r="E1970" s="391">
        <v>485</v>
      </c>
      <c r="F1970" s="391" t="s">
        <v>223</v>
      </c>
      <c r="G1970" s="391">
        <v>505</v>
      </c>
      <c r="H1970" s="528">
        <v>2</v>
      </c>
      <c r="I1970" s="528">
        <v>2</v>
      </c>
      <c r="J1970" s="528">
        <v>17</v>
      </c>
      <c r="K1970" s="389" t="s">
        <v>30</v>
      </c>
      <c r="L1970" s="519">
        <f t="shared" si="252"/>
        <v>442955</v>
      </c>
      <c r="M1970" s="529">
        <v>425000</v>
      </c>
      <c r="N1970" s="391"/>
      <c r="O1970" s="530">
        <v>11430</v>
      </c>
      <c r="P1970" s="391"/>
      <c r="Q1970" s="391">
        <v>6525</v>
      </c>
      <c r="R1970" s="528">
        <f>M1970/J1970</f>
        <v>25000</v>
      </c>
      <c r="S1970" s="388">
        <f t="shared" si="248"/>
        <v>0</v>
      </c>
      <c r="T1970" s="389"/>
      <c r="U1970" s="391"/>
      <c r="V1970" s="390"/>
      <c r="W1970" s="398"/>
      <c r="X1970" s="398"/>
      <c r="Z1970" s="416">
        <v>1</v>
      </c>
      <c r="AA1970" s="416">
        <f>J1970</f>
        <v>17</v>
      </c>
    </row>
    <row r="1971" spans="1:27" ht="37.5" hidden="1" customHeight="1">
      <c r="A1971" s="506">
        <f t="shared" si="253"/>
        <v>447</v>
      </c>
      <c r="B1971" s="403" t="s">
        <v>4182</v>
      </c>
      <c r="C1971" s="455" t="s">
        <v>218</v>
      </c>
      <c r="D1971" s="487">
        <v>9278</v>
      </c>
      <c r="E1971" s="391">
        <v>1400</v>
      </c>
      <c r="F1971" s="391" t="s">
        <v>223</v>
      </c>
      <c r="G1971" s="391">
        <v>839</v>
      </c>
      <c r="H1971" s="528">
        <v>5</v>
      </c>
      <c r="I1971" s="528">
        <v>3</v>
      </c>
      <c r="J1971" s="528">
        <v>60</v>
      </c>
      <c r="K1971" s="389" t="s">
        <v>225</v>
      </c>
      <c r="L1971" s="519">
        <f t="shared" si="252"/>
        <v>1001665</v>
      </c>
      <c r="M1971" s="529">
        <v>990000</v>
      </c>
      <c r="N1971" s="391"/>
      <c r="O1971" s="530"/>
      <c r="P1971" s="391"/>
      <c r="Q1971" s="391">
        <v>11665</v>
      </c>
      <c r="R1971" s="528">
        <f>M1971/J1971</f>
        <v>16500</v>
      </c>
      <c r="S1971" s="388">
        <f t="shared" si="248"/>
        <v>0</v>
      </c>
      <c r="T1971" s="389"/>
      <c r="U1971" s="391">
        <f>M1971+N1971+O1971+Q1971</f>
        <v>1001665</v>
      </c>
      <c r="V1971" s="390"/>
      <c r="W1971" s="398"/>
      <c r="X1971" s="398"/>
    </row>
    <row r="1972" spans="1:27" ht="37.5" hidden="1" customHeight="1">
      <c r="A1972" s="506">
        <f t="shared" si="253"/>
        <v>448</v>
      </c>
      <c r="B1972" s="812" t="s">
        <v>3684</v>
      </c>
      <c r="C1972" s="455" t="s">
        <v>3611</v>
      </c>
      <c r="D1972" s="545">
        <v>2835</v>
      </c>
      <c r="E1972" s="391">
        <v>600</v>
      </c>
      <c r="F1972" s="391" t="s">
        <v>231</v>
      </c>
      <c r="G1972" s="391">
        <v>985.4</v>
      </c>
      <c r="H1972" s="382">
        <v>1</v>
      </c>
      <c r="I1972" s="382">
        <v>1</v>
      </c>
      <c r="J1972" s="528">
        <v>13</v>
      </c>
      <c r="K1972" s="389" t="s">
        <v>285</v>
      </c>
      <c r="L1972" s="519">
        <f t="shared" si="252"/>
        <v>1845699</v>
      </c>
      <c r="M1972" s="529">
        <v>1800000</v>
      </c>
      <c r="N1972" s="383">
        <v>24832</v>
      </c>
      <c r="O1972" s="530"/>
      <c r="P1972" s="391"/>
      <c r="Q1972" s="391">
        <v>20867</v>
      </c>
      <c r="R1972" s="528">
        <f>M1972/E1972</f>
        <v>3000</v>
      </c>
      <c r="S1972" s="388">
        <f t="shared" si="248"/>
        <v>0</v>
      </c>
      <c r="T1972" s="389"/>
      <c r="U1972" s="391"/>
      <c r="V1972" s="390"/>
      <c r="W1972" s="398"/>
      <c r="X1972" s="398"/>
    </row>
    <row r="1973" spans="1:27" ht="56.25" hidden="1" customHeight="1">
      <c r="A1973" s="506">
        <f t="shared" si="253"/>
        <v>449</v>
      </c>
      <c r="B1973" s="403" t="s">
        <v>3310</v>
      </c>
      <c r="C1973" s="455" t="s">
        <v>3705</v>
      </c>
      <c r="D1973" s="487">
        <v>4283</v>
      </c>
      <c r="E1973" s="391">
        <v>760</v>
      </c>
      <c r="F1973" s="391" t="s">
        <v>223</v>
      </c>
      <c r="G1973" s="391">
        <v>804</v>
      </c>
      <c r="H1973" s="528">
        <v>2</v>
      </c>
      <c r="I1973" s="528">
        <v>2</v>
      </c>
      <c r="J1973" s="528">
        <v>18</v>
      </c>
      <c r="K1973" s="389" t="s">
        <v>30</v>
      </c>
      <c r="L1973" s="519">
        <f t="shared" si="252"/>
        <v>474342</v>
      </c>
      <c r="M1973" s="529">
        <v>450000</v>
      </c>
      <c r="N1973" s="391"/>
      <c r="O1973" s="530">
        <v>13156</v>
      </c>
      <c r="P1973" s="391"/>
      <c r="Q1973" s="391">
        <v>11186</v>
      </c>
      <c r="R1973" s="528">
        <f>M1973/J1973</f>
        <v>25000</v>
      </c>
      <c r="S1973" s="388">
        <f t="shared" si="248"/>
        <v>0</v>
      </c>
      <c r="T1973" s="389"/>
      <c r="U1973" s="391"/>
      <c r="V1973" s="390"/>
      <c r="W1973" s="398"/>
      <c r="X1973" s="398"/>
      <c r="Z1973" s="416">
        <v>1</v>
      </c>
      <c r="AA1973" s="416">
        <f>J1973</f>
        <v>18</v>
      </c>
    </row>
    <row r="1974" spans="1:27" ht="56.25" hidden="1" customHeight="1">
      <c r="A1974" s="506">
        <f t="shared" si="253"/>
        <v>450</v>
      </c>
      <c r="B1974" s="403" t="s">
        <v>3312</v>
      </c>
      <c r="C1974" s="455" t="s">
        <v>3705</v>
      </c>
      <c r="D1974" s="487">
        <v>3780</v>
      </c>
      <c r="E1974" s="391">
        <v>890</v>
      </c>
      <c r="F1974" s="391" t="s">
        <v>223</v>
      </c>
      <c r="G1974" s="391">
        <v>735</v>
      </c>
      <c r="H1974" s="528">
        <v>2</v>
      </c>
      <c r="I1974" s="528">
        <v>4</v>
      </c>
      <c r="J1974" s="528">
        <v>16</v>
      </c>
      <c r="K1974" s="389" t="s">
        <v>30</v>
      </c>
      <c r="L1974" s="519">
        <f t="shared" si="252"/>
        <v>433405</v>
      </c>
      <c r="M1974" s="529">
        <v>414222</v>
      </c>
      <c r="N1974" s="391"/>
      <c r="O1974" s="530">
        <v>12658</v>
      </c>
      <c r="P1974" s="391"/>
      <c r="Q1974" s="391">
        <v>6525</v>
      </c>
      <c r="R1974" s="528">
        <f>M1974/J1974</f>
        <v>25888.875</v>
      </c>
      <c r="S1974" s="388">
        <f t="shared" si="248"/>
        <v>0</v>
      </c>
      <c r="T1974" s="389"/>
      <c r="U1974" s="391"/>
      <c r="V1974" s="390"/>
      <c r="W1974" s="398"/>
      <c r="X1974" s="398"/>
      <c r="Z1974" s="416">
        <v>1</v>
      </c>
      <c r="AA1974" s="416">
        <f>J1974</f>
        <v>16</v>
      </c>
    </row>
    <row r="1975" spans="1:27" ht="37.5" hidden="1" customHeight="1">
      <c r="A1975" s="506">
        <f t="shared" si="253"/>
        <v>451</v>
      </c>
      <c r="B1975" s="591" t="s">
        <v>3686</v>
      </c>
      <c r="C1975" s="455" t="s">
        <v>218</v>
      </c>
      <c r="D1975" s="446">
        <v>18231</v>
      </c>
      <c r="E1975" s="388">
        <v>3562</v>
      </c>
      <c r="F1975" s="391" t="s">
        <v>223</v>
      </c>
      <c r="G1975" s="388">
        <v>1877</v>
      </c>
      <c r="H1975" s="446">
        <v>5</v>
      </c>
      <c r="I1975" s="446">
        <v>6</v>
      </c>
      <c r="J1975" s="446">
        <v>120</v>
      </c>
      <c r="K1975" s="389" t="s">
        <v>33</v>
      </c>
      <c r="L1975" s="519">
        <f t="shared" si="252"/>
        <v>6074385</v>
      </c>
      <c r="M1975" s="519">
        <v>6006400</v>
      </c>
      <c r="N1975" s="388"/>
      <c r="O1975" s="530">
        <v>27985</v>
      </c>
      <c r="P1975" s="388"/>
      <c r="Q1975" s="391">
        <v>40000</v>
      </c>
      <c r="R1975" s="528">
        <f>M1975/G1975</f>
        <v>3200</v>
      </c>
      <c r="S1975" s="388">
        <f t="shared" si="248"/>
        <v>0</v>
      </c>
      <c r="T1975" s="389"/>
      <c r="U1975" s="388"/>
      <c r="V1975" s="390"/>
      <c r="W1975" s="398"/>
      <c r="X1975" s="398"/>
    </row>
    <row r="1976" spans="1:27" ht="43.9" hidden="1" customHeight="1">
      <c r="A1976" s="506">
        <f t="shared" si="253"/>
        <v>452</v>
      </c>
      <c r="B1976" s="427" t="s">
        <v>2573</v>
      </c>
      <c r="C1976" s="455" t="s">
        <v>272</v>
      </c>
      <c r="D1976" s="532">
        <v>16717</v>
      </c>
      <c r="E1976" s="391">
        <v>3280</v>
      </c>
      <c r="F1976" s="539" t="s">
        <v>223</v>
      </c>
      <c r="G1976" s="535">
        <v>1339.7</v>
      </c>
      <c r="H1976" s="536">
        <v>5</v>
      </c>
      <c r="I1976" s="536">
        <v>5</v>
      </c>
      <c r="J1976" s="536">
        <v>91</v>
      </c>
      <c r="K1976" s="458" t="s">
        <v>225</v>
      </c>
      <c r="L1976" s="519">
        <f t="shared" si="252"/>
        <v>1782228</v>
      </c>
      <c r="M1976" s="538">
        <v>1729000</v>
      </c>
      <c r="N1976" s="539">
        <v>33849</v>
      </c>
      <c r="O1976" s="540"/>
      <c r="P1976" s="388"/>
      <c r="Q1976" s="391">
        <v>19379</v>
      </c>
      <c r="R1976" s="446">
        <f t="shared" ref="R1976:R1981" si="254">M1976/J1976</f>
        <v>19000</v>
      </c>
      <c r="S1976" s="388">
        <f t="shared" si="248"/>
        <v>0</v>
      </c>
      <c r="T1976" s="390"/>
      <c r="U1976" s="391">
        <f>M1976+N1976+O1976+Q1976</f>
        <v>1782228</v>
      </c>
      <c r="V1976" s="390"/>
      <c r="W1976" s="398"/>
      <c r="X1976" s="398"/>
    </row>
    <row r="1977" spans="1:27" ht="43.9" hidden="1" customHeight="1">
      <c r="A1977" s="506">
        <f t="shared" si="253"/>
        <v>453</v>
      </c>
      <c r="B1977" s="427" t="s">
        <v>3647</v>
      </c>
      <c r="C1977" s="455" t="s">
        <v>272</v>
      </c>
      <c r="D1977" s="532">
        <v>29534</v>
      </c>
      <c r="E1977" s="391">
        <v>4780</v>
      </c>
      <c r="F1977" s="539" t="s">
        <v>234</v>
      </c>
      <c r="G1977" s="535">
        <v>678</v>
      </c>
      <c r="H1977" s="536">
        <v>14</v>
      </c>
      <c r="I1977" s="536">
        <v>1</v>
      </c>
      <c r="J1977" s="536">
        <v>75</v>
      </c>
      <c r="K1977" s="458" t="s">
        <v>225</v>
      </c>
      <c r="L1977" s="519">
        <f t="shared" si="252"/>
        <v>2181932</v>
      </c>
      <c r="M1977" s="538">
        <v>2125500</v>
      </c>
      <c r="N1977" s="539">
        <v>36432</v>
      </c>
      <c r="O1977" s="540"/>
      <c r="P1977" s="388"/>
      <c r="Q1977" s="391">
        <v>20000</v>
      </c>
      <c r="R1977" s="446">
        <f t="shared" si="254"/>
        <v>28340</v>
      </c>
      <c r="S1977" s="388">
        <f t="shared" si="248"/>
        <v>0</v>
      </c>
      <c r="T1977" s="390"/>
      <c r="U1977" s="391">
        <f>M1977+N1977+O1977+Q1977</f>
        <v>2181932</v>
      </c>
      <c r="V1977" s="390"/>
      <c r="W1977" s="398"/>
      <c r="X1977" s="398"/>
    </row>
    <row r="1978" spans="1:27" ht="43.9" hidden="1" customHeight="1">
      <c r="A1978" s="506">
        <f t="shared" ref="A1978:A1984" si="255">A1977+1</f>
        <v>454</v>
      </c>
      <c r="B1978" s="427" t="s">
        <v>3649</v>
      </c>
      <c r="C1978" s="455" t="s">
        <v>218</v>
      </c>
      <c r="D1978" s="532">
        <v>63446</v>
      </c>
      <c r="E1978" s="391">
        <v>9922.5</v>
      </c>
      <c r="F1978" s="539" t="s">
        <v>234</v>
      </c>
      <c r="G1978" s="535">
        <v>2726.6</v>
      </c>
      <c r="H1978" s="536">
        <v>9</v>
      </c>
      <c r="I1978" s="536">
        <v>7</v>
      </c>
      <c r="J1978" s="536">
        <v>223</v>
      </c>
      <c r="K1978" s="458" t="s">
        <v>225</v>
      </c>
      <c r="L1978" s="519">
        <f t="shared" si="252"/>
        <v>4970951</v>
      </c>
      <c r="M1978" s="538">
        <v>4906000</v>
      </c>
      <c r="N1978" s="539">
        <v>44951</v>
      </c>
      <c r="O1978" s="540"/>
      <c r="P1978" s="388"/>
      <c r="Q1978" s="391">
        <v>20000</v>
      </c>
      <c r="R1978" s="446">
        <f t="shared" si="254"/>
        <v>22000</v>
      </c>
      <c r="S1978" s="388">
        <f t="shared" si="248"/>
        <v>0</v>
      </c>
      <c r="T1978" s="390"/>
      <c r="U1978" s="391">
        <f>M1978+N1978+O1978+Q1978</f>
        <v>4970951</v>
      </c>
      <c r="V1978" s="390"/>
      <c r="W1978" s="398"/>
      <c r="X1978" s="398"/>
    </row>
    <row r="1979" spans="1:27" ht="43.9" hidden="1" customHeight="1">
      <c r="A1979" s="506">
        <f t="shared" si="255"/>
        <v>455</v>
      </c>
      <c r="B1979" s="403" t="s">
        <v>3736</v>
      </c>
      <c r="C1979" s="455" t="s">
        <v>272</v>
      </c>
      <c r="D1979" s="487">
        <v>12352</v>
      </c>
      <c r="E1979" s="391">
        <v>1029</v>
      </c>
      <c r="F1979" s="391" t="s">
        <v>223</v>
      </c>
      <c r="G1979" s="391">
        <v>1141</v>
      </c>
      <c r="H1979" s="528">
        <v>5</v>
      </c>
      <c r="I1979" s="528">
        <v>4</v>
      </c>
      <c r="J1979" s="528">
        <v>80</v>
      </c>
      <c r="K1979" s="389" t="s">
        <v>225</v>
      </c>
      <c r="L1979" s="519">
        <f t="shared" si="252"/>
        <v>1324492</v>
      </c>
      <c r="M1979" s="529">
        <v>1280000</v>
      </c>
      <c r="N1979" s="391">
        <v>32219</v>
      </c>
      <c r="O1979" s="530"/>
      <c r="P1979" s="391"/>
      <c r="Q1979" s="391">
        <v>12273</v>
      </c>
      <c r="R1979" s="446">
        <f t="shared" si="254"/>
        <v>16000</v>
      </c>
      <c r="S1979" s="388">
        <f t="shared" si="248"/>
        <v>0</v>
      </c>
      <c r="T1979" s="390"/>
      <c r="U1979" s="391">
        <f>M1979+N1979+O1979+Q1979</f>
        <v>1324492</v>
      </c>
      <c r="V1979" s="390"/>
      <c r="W1979" s="398"/>
      <c r="X1979" s="398"/>
    </row>
    <row r="1980" spans="1:27" ht="43.9" hidden="1" customHeight="1">
      <c r="A1980" s="506">
        <f t="shared" si="255"/>
        <v>456</v>
      </c>
      <c r="B1980" s="403" t="s">
        <v>3760</v>
      </c>
      <c r="C1980" s="455" t="s">
        <v>272</v>
      </c>
      <c r="D1980" s="487">
        <f>40190+27889+15472+14533</f>
        <v>98084</v>
      </c>
      <c r="E1980" s="391">
        <f>1288*4</f>
        <v>5152</v>
      </c>
      <c r="F1980" s="391" t="s">
        <v>234</v>
      </c>
      <c r="G1980" s="391">
        <f>1288*4</f>
        <v>5152</v>
      </c>
      <c r="H1980" s="528">
        <v>13</v>
      </c>
      <c r="I1980" s="528">
        <f>2+2+1+1</f>
        <v>6</v>
      </c>
      <c r="J1980" s="528">
        <v>254</v>
      </c>
      <c r="K1980" s="389" t="s">
        <v>30</v>
      </c>
      <c r="L1980" s="519">
        <f t="shared" si="252"/>
        <v>9271110</v>
      </c>
      <c r="M1980" s="529">
        <v>9200000</v>
      </c>
      <c r="N1980" s="391"/>
      <c r="O1980" s="530">
        <v>31110</v>
      </c>
      <c r="P1980" s="391"/>
      <c r="Q1980" s="391">
        <v>40000</v>
      </c>
      <c r="R1980" s="446">
        <f t="shared" si="254"/>
        <v>36220.472440944883</v>
      </c>
      <c r="S1980" s="388">
        <f t="shared" ref="S1980:S2043" si="256">L1980-M1980-N1980-O1980-P1980-Q1980</f>
        <v>0</v>
      </c>
      <c r="T1980" s="390"/>
      <c r="U1980" s="391"/>
      <c r="V1980" s="390"/>
      <c r="W1980" s="398"/>
      <c r="X1980" s="398"/>
      <c r="Z1980" s="416">
        <v>1</v>
      </c>
      <c r="AA1980" s="416">
        <f>J1980</f>
        <v>254</v>
      </c>
    </row>
    <row r="1981" spans="1:27" ht="43.9" hidden="1" customHeight="1">
      <c r="A1981" s="506">
        <f t="shared" si="255"/>
        <v>457</v>
      </c>
      <c r="B1981" s="403" t="s">
        <v>3261</v>
      </c>
      <c r="C1981" s="455" t="s">
        <v>272</v>
      </c>
      <c r="D1981" s="446">
        <v>102151</v>
      </c>
      <c r="E1981" s="550">
        <v>16819</v>
      </c>
      <c r="F1981" s="539" t="s">
        <v>234</v>
      </c>
      <c r="G1981" s="550">
        <v>3855</v>
      </c>
      <c r="H1981" s="549">
        <v>9</v>
      </c>
      <c r="I1981" s="446">
        <v>11</v>
      </c>
      <c r="J1981" s="446">
        <v>366</v>
      </c>
      <c r="K1981" s="397" t="s">
        <v>225</v>
      </c>
      <c r="L1981" s="519">
        <f t="shared" si="252"/>
        <v>8574843</v>
      </c>
      <c r="M1981" s="551">
        <v>8500000</v>
      </c>
      <c r="N1981" s="565">
        <v>54843</v>
      </c>
      <c r="O1981" s="473"/>
      <c r="P1981" s="388"/>
      <c r="Q1981" s="391">
        <v>20000</v>
      </c>
      <c r="R1981" s="446">
        <f t="shared" si="254"/>
        <v>23224.043715846994</v>
      </c>
      <c r="S1981" s="388">
        <f t="shared" si="256"/>
        <v>0</v>
      </c>
      <c r="T1981" s="390"/>
      <c r="U1981" s="391">
        <f>M1981+N1981+O1981+Q1981</f>
        <v>8574843</v>
      </c>
      <c r="V1981" s="390"/>
      <c r="W1981" s="398"/>
      <c r="X1981" s="398"/>
    </row>
    <row r="1982" spans="1:27" ht="43.9" hidden="1" customHeight="1">
      <c r="A1982" s="506">
        <f t="shared" si="255"/>
        <v>458</v>
      </c>
      <c r="B1982" s="403" t="s">
        <v>1472</v>
      </c>
      <c r="C1982" s="455" t="s">
        <v>218</v>
      </c>
      <c r="D1982" s="487">
        <v>12947</v>
      </c>
      <c r="E1982" s="391">
        <v>2202</v>
      </c>
      <c r="F1982" s="391" t="s">
        <v>234</v>
      </c>
      <c r="G1982" s="391">
        <v>1137</v>
      </c>
      <c r="H1982" s="528">
        <v>5</v>
      </c>
      <c r="I1982" s="528">
        <v>4</v>
      </c>
      <c r="J1982" s="528">
        <v>77</v>
      </c>
      <c r="K1982" s="389" t="s">
        <v>285</v>
      </c>
      <c r="L1982" s="519">
        <f t="shared" si="252"/>
        <v>6059589</v>
      </c>
      <c r="M1982" s="529">
        <v>6000000</v>
      </c>
      <c r="N1982" s="391">
        <v>29589</v>
      </c>
      <c r="O1982" s="530"/>
      <c r="P1982" s="391"/>
      <c r="Q1982" s="391">
        <v>30000</v>
      </c>
      <c r="R1982" s="528">
        <f>M1982/E1982</f>
        <v>2724.7956403269754</v>
      </c>
      <c r="S1982" s="388">
        <f t="shared" si="256"/>
        <v>0</v>
      </c>
      <c r="T1982" s="390"/>
      <c r="U1982" s="391"/>
      <c r="V1982" s="390"/>
      <c r="W1982" s="398"/>
      <c r="X1982" s="398"/>
    </row>
    <row r="1983" spans="1:27" ht="43.9" hidden="1" customHeight="1">
      <c r="A1983" s="506">
        <f t="shared" si="255"/>
        <v>459</v>
      </c>
      <c r="B1983" s="403" t="s">
        <v>2416</v>
      </c>
      <c r="C1983" s="455" t="s">
        <v>218</v>
      </c>
      <c r="D1983" s="811">
        <v>12446</v>
      </c>
      <c r="E1983" s="391">
        <v>3030</v>
      </c>
      <c r="F1983" s="391" t="s">
        <v>223</v>
      </c>
      <c r="G1983" s="391">
        <v>1140</v>
      </c>
      <c r="H1983" s="528">
        <v>5</v>
      </c>
      <c r="I1983" s="528">
        <v>4</v>
      </c>
      <c r="J1983" s="528">
        <v>80</v>
      </c>
      <c r="K1983" s="458" t="s">
        <v>33</v>
      </c>
      <c r="L1983" s="519">
        <f t="shared" si="252"/>
        <v>3258337</v>
      </c>
      <c r="M1983" s="529">
        <v>3192000</v>
      </c>
      <c r="N1983" s="391"/>
      <c r="O1983" s="530">
        <v>27772</v>
      </c>
      <c r="P1983" s="391"/>
      <c r="Q1983" s="391">
        <v>38565</v>
      </c>
      <c r="R1983" s="382">
        <f>M1983/G1983</f>
        <v>2800</v>
      </c>
      <c r="S1983" s="388">
        <f t="shared" si="256"/>
        <v>0</v>
      </c>
      <c r="T1983" s="390"/>
      <c r="U1983" s="391"/>
      <c r="V1983" s="390"/>
      <c r="W1983" s="398"/>
      <c r="X1983" s="398"/>
    </row>
    <row r="1984" spans="1:27" ht="43.9" hidden="1" customHeight="1">
      <c r="A1984" s="1115">
        <f t="shared" si="255"/>
        <v>460</v>
      </c>
      <c r="B1984" s="403" t="s">
        <v>3873</v>
      </c>
      <c r="C1984" s="381" t="s">
        <v>222</v>
      </c>
      <c r="D1984" s="455">
        <v>7105.1</v>
      </c>
      <c r="E1984" s="391">
        <v>4726</v>
      </c>
      <c r="F1984" s="391" t="s">
        <v>223</v>
      </c>
      <c r="G1984" s="391">
        <v>600</v>
      </c>
      <c r="H1984" s="528">
        <v>8</v>
      </c>
      <c r="I1984" s="528">
        <v>5</v>
      </c>
      <c r="J1984" s="528">
        <v>56</v>
      </c>
      <c r="K1984" s="381" t="s">
        <v>3874</v>
      </c>
      <c r="L1984" s="519">
        <f>M1984+N1984+O1984+P1984+Q1984+Q1985+P1985+O1985+N1985+M1985</f>
        <v>3935345</v>
      </c>
      <c r="M1984" s="529">
        <v>1840000</v>
      </c>
      <c r="N1984" s="391">
        <v>30805</v>
      </c>
      <c r="O1984" s="530"/>
      <c r="P1984" s="487"/>
      <c r="Q1984" s="391">
        <v>12423</v>
      </c>
      <c r="R1984" s="528">
        <f>M1984/G1984</f>
        <v>3066.6666666666665</v>
      </c>
      <c r="S1984" s="388">
        <f t="shared" si="256"/>
        <v>2052117</v>
      </c>
      <c r="T1984" s="390"/>
      <c r="U1984" s="391"/>
      <c r="V1984" s="390"/>
      <c r="W1984" s="398"/>
      <c r="X1984" s="398"/>
    </row>
    <row r="1985" spans="1:24" ht="43.9" hidden="1" customHeight="1">
      <c r="A1985" s="1115"/>
      <c r="B1985" s="403"/>
      <c r="C1985" s="455"/>
      <c r="D1985" s="487"/>
      <c r="E1985" s="391"/>
      <c r="F1985" s="391"/>
      <c r="G1985" s="391"/>
      <c r="H1985" s="528"/>
      <c r="I1985" s="528"/>
      <c r="J1985" s="528"/>
      <c r="K1985" s="458" t="s">
        <v>3875</v>
      </c>
      <c r="L1985" s="519"/>
      <c r="M1985" s="529">
        <v>2000000</v>
      </c>
      <c r="N1985" s="391">
        <v>36445</v>
      </c>
      <c r="O1985" s="530"/>
      <c r="P1985" s="487"/>
      <c r="Q1985" s="391">
        <v>15672</v>
      </c>
      <c r="R1985" s="528">
        <f>M1985/E1984</f>
        <v>423.19085907744392</v>
      </c>
      <c r="S1985" s="388">
        <f t="shared" si="256"/>
        <v>-2052117</v>
      </c>
      <c r="T1985" s="390"/>
      <c r="U1985" s="391"/>
      <c r="V1985" s="390"/>
      <c r="W1985" s="398"/>
      <c r="X1985" s="398"/>
    </row>
    <row r="1986" spans="1:24" ht="43.9" hidden="1" customHeight="1">
      <c r="A1986" s="1115">
        <f>A1984+1</f>
        <v>461</v>
      </c>
      <c r="B1986" s="403" t="s">
        <v>3876</v>
      </c>
      <c r="C1986" s="455" t="s">
        <v>222</v>
      </c>
      <c r="D1986" s="487">
        <v>6640</v>
      </c>
      <c r="E1986" s="391">
        <v>4844</v>
      </c>
      <c r="F1986" s="391" t="s">
        <v>223</v>
      </c>
      <c r="G1986" s="391">
        <v>600</v>
      </c>
      <c r="H1986" s="528">
        <v>8</v>
      </c>
      <c r="I1986" s="528">
        <v>5</v>
      </c>
      <c r="J1986" s="528">
        <v>52</v>
      </c>
      <c r="K1986" s="458" t="s">
        <v>3874</v>
      </c>
      <c r="L1986" s="519">
        <f>M1986+M1987+N1987+N1986+O1986+O1987+P1987+P1986+Q1986+Q1987</f>
        <v>3933458</v>
      </c>
      <c r="M1986" s="529">
        <v>1840000</v>
      </c>
      <c r="N1986" s="391">
        <v>30758</v>
      </c>
      <c r="O1986" s="530"/>
      <c r="P1986" s="487"/>
      <c r="Q1986" s="391">
        <v>11609</v>
      </c>
      <c r="R1986" s="528">
        <f>M1986/G1986</f>
        <v>3066.6666666666665</v>
      </c>
      <c r="S1986" s="388">
        <f t="shared" si="256"/>
        <v>2051091</v>
      </c>
      <c r="T1986" s="390"/>
      <c r="U1986" s="391"/>
      <c r="V1986" s="390"/>
      <c r="W1986" s="398"/>
      <c r="X1986" s="398"/>
    </row>
    <row r="1987" spans="1:24" ht="43.9" hidden="1" customHeight="1">
      <c r="A1987" s="1115"/>
      <c r="B1987" s="403"/>
      <c r="C1987" s="455"/>
      <c r="D1987" s="487"/>
      <c r="E1987" s="391"/>
      <c r="F1987" s="391"/>
      <c r="G1987" s="391"/>
      <c r="H1987" s="528"/>
      <c r="I1987" s="528"/>
      <c r="J1987" s="528"/>
      <c r="K1987" s="458" t="s">
        <v>3875</v>
      </c>
      <c r="L1987" s="519"/>
      <c r="M1987" s="529">
        <v>2000000</v>
      </c>
      <c r="N1987" s="391">
        <v>36445</v>
      </c>
      <c r="O1987" s="530"/>
      <c r="P1987" s="487"/>
      <c r="Q1987" s="391">
        <v>14646</v>
      </c>
      <c r="R1987" s="528">
        <f>M1987/E1986</f>
        <v>412.8819157720892</v>
      </c>
      <c r="S1987" s="388">
        <f t="shared" si="256"/>
        <v>-2051091</v>
      </c>
      <c r="T1987" s="390"/>
      <c r="U1987" s="391"/>
      <c r="V1987" s="390"/>
      <c r="W1987" s="398"/>
      <c r="X1987" s="398"/>
    </row>
    <row r="1988" spans="1:24" ht="43.9" hidden="1" customHeight="1">
      <c r="A1988" s="1115">
        <f>A1986+1</f>
        <v>462</v>
      </c>
      <c r="B1988" s="591" t="s">
        <v>3877</v>
      </c>
      <c r="C1988" s="455" t="s">
        <v>218</v>
      </c>
      <c r="D1988" s="446">
        <v>12332</v>
      </c>
      <c r="E1988" s="388">
        <v>3440</v>
      </c>
      <c r="F1988" s="391" t="s">
        <v>223</v>
      </c>
      <c r="G1988" s="388">
        <v>1154</v>
      </c>
      <c r="H1988" s="446">
        <v>5</v>
      </c>
      <c r="I1988" s="446">
        <v>4</v>
      </c>
      <c r="J1988" s="446">
        <v>80</v>
      </c>
      <c r="K1988" s="389" t="s">
        <v>33</v>
      </c>
      <c r="L1988" s="519">
        <f>M1988+M1989+N1989+N1988+O1988+O1989+P1989+P1988+Q1988+Q1989</f>
        <v>10611764</v>
      </c>
      <c r="M1988" s="529">
        <v>3692800</v>
      </c>
      <c r="N1988" s="391"/>
      <c r="O1988" s="530">
        <v>21472</v>
      </c>
      <c r="P1988" s="487"/>
      <c r="Q1988" s="391">
        <v>38212</v>
      </c>
      <c r="R1988" s="528">
        <f>M1988/G1988</f>
        <v>3200</v>
      </c>
      <c r="S1988" s="388">
        <f t="shared" si="256"/>
        <v>6859280</v>
      </c>
      <c r="T1988" s="390"/>
      <c r="U1988" s="391"/>
      <c r="V1988" s="390"/>
      <c r="W1988" s="398"/>
      <c r="X1988" s="398"/>
    </row>
    <row r="1989" spans="1:24" ht="43.9" hidden="1" customHeight="1">
      <c r="A1989" s="1115"/>
      <c r="B1989" s="591"/>
      <c r="C1989" s="455"/>
      <c r="D1989" s="446"/>
      <c r="E1989" s="388"/>
      <c r="F1989" s="391"/>
      <c r="G1989" s="388"/>
      <c r="H1989" s="446"/>
      <c r="I1989" s="446"/>
      <c r="J1989" s="446"/>
      <c r="K1989" s="389" t="s">
        <v>285</v>
      </c>
      <c r="L1989" s="519"/>
      <c r="M1989" s="529">
        <v>6800000</v>
      </c>
      <c r="N1989" s="391">
        <v>29280</v>
      </c>
      <c r="O1989" s="530"/>
      <c r="P1989" s="487"/>
      <c r="Q1989" s="391">
        <v>30000</v>
      </c>
      <c r="R1989" s="528">
        <f>M1989/E1988</f>
        <v>1976.7441860465117</v>
      </c>
      <c r="S1989" s="388">
        <f t="shared" si="256"/>
        <v>-6859280</v>
      </c>
      <c r="T1989" s="390"/>
      <c r="U1989" s="391"/>
      <c r="V1989" s="390"/>
      <c r="W1989" s="398"/>
      <c r="X1989" s="398"/>
    </row>
    <row r="1990" spans="1:24" ht="43.9" hidden="1" customHeight="1">
      <c r="A1990" s="1115">
        <f>A1988+1</f>
        <v>463</v>
      </c>
      <c r="B1990" s="427" t="s">
        <v>3646</v>
      </c>
      <c r="C1990" s="455" t="s">
        <v>272</v>
      </c>
      <c r="D1990" s="532">
        <v>17824</v>
      </c>
      <c r="E1990" s="391">
        <v>4368</v>
      </c>
      <c r="F1990" s="539" t="s">
        <v>234</v>
      </c>
      <c r="G1990" s="535">
        <v>1057</v>
      </c>
      <c r="H1990" s="536">
        <v>5</v>
      </c>
      <c r="I1990" s="536">
        <v>1</v>
      </c>
      <c r="J1990" s="536">
        <v>187</v>
      </c>
      <c r="K1990" s="458" t="s">
        <v>33</v>
      </c>
      <c r="L1990" s="529">
        <f>M1990+N1990+O1990+Q1990+N1991+O1991+Q1991+M1991</f>
        <v>6492664</v>
      </c>
      <c r="M1990" s="538">
        <v>2805224</v>
      </c>
      <c r="N1990" s="539"/>
      <c r="O1990" s="540">
        <v>22787</v>
      </c>
      <c r="P1990" s="388"/>
      <c r="Q1990" s="391">
        <v>20000</v>
      </c>
      <c r="R1990" s="446">
        <f>M1990/G1990</f>
        <v>2653.948912015137</v>
      </c>
      <c r="S1990" s="388">
        <f t="shared" si="256"/>
        <v>3644653</v>
      </c>
      <c r="T1990" s="390"/>
      <c r="U1990" s="539"/>
      <c r="V1990" s="390"/>
      <c r="W1990" s="398"/>
      <c r="X1990" s="398"/>
    </row>
    <row r="1991" spans="1:24" ht="43.9" hidden="1" customHeight="1">
      <c r="A1991" s="1115"/>
      <c r="B1991" s="427"/>
      <c r="C1991" s="455"/>
      <c r="D1991" s="532"/>
      <c r="E1991" s="391"/>
      <c r="F1991" s="539"/>
      <c r="G1991" s="535"/>
      <c r="H1991" s="536"/>
      <c r="I1991" s="536"/>
      <c r="J1991" s="536"/>
      <c r="K1991" s="458" t="s">
        <v>225</v>
      </c>
      <c r="L1991" s="529"/>
      <c r="M1991" s="538">
        <v>3600000</v>
      </c>
      <c r="N1991" s="539">
        <v>44653</v>
      </c>
      <c r="O1991" s="540"/>
      <c r="P1991" s="388"/>
      <c r="Q1991" s="391"/>
      <c r="R1991" s="446">
        <f>N1991/J1990</f>
        <v>238.78609625668449</v>
      </c>
      <c r="S1991" s="388">
        <f t="shared" si="256"/>
        <v>-3644653</v>
      </c>
      <c r="T1991" s="390"/>
      <c r="U1991" s="391">
        <f>M1991+N1991+O1991+Q1991</f>
        <v>3644653</v>
      </c>
      <c r="V1991" s="390"/>
      <c r="W1991" s="398"/>
      <c r="X1991" s="398"/>
    </row>
    <row r="1992" spans="1:24" ht="43.9" hidden="1" customHeight="1">
      <c r="A1992" s="506">
        <f>A1990+1</f>
        <v>464</v>
      </c>
      <c r="B1992" s="403" t="s">
        <v>3878</v>
      </c>
      <c r="C1992" s="455" t="s">
        <v>218</v>
      </c>
      <c r="D1992" s="487">
        <v>12477</v>
      </c>
      <c r="E1992" s="391">
        <v>2160</v>
      </c>
      <c r="F1992" s="391" t="s">
        <v>223</v>
      </c>
      <c r="G1992" s="391">
        <v>1119</v>
      </c>
      <c r="H1992" s="528">
        <v>5</v>
      </c>
      <c r="I1992" s="528">
        <v>4</v>
      </c>
      <c r="J1992" s="528">
        <v>78</v>
      </c>
      <c r="K1992" s="458" t="s">
        <v>33</v>
      </c>
      <c r="L1992" s="519">
        <f>M1992+N1992+O1992+P1992+Q1992</f>
        <v>3642291</v>
      </c>
      <c r="M1992" s="529">
        <v>3580800</v>
      </c>
      <c r="N1992" s="391"/>
      <c r="O1992" s="530">
        <v>22830</v>
      </c>
      <c r="P1992" s="487"/>
      <c r="Q1992" s="391">
        <v>38661</v>
      </c>
      <c r="R1992" s="528">
        <f>M1992/G1992</f>
        <v>3200</v>
      </c>
      <c r="S1992" s="388">
        <f t="shared" si="256"/>
        <v>0</v>
      </c>
      <c r="T1992" s="390"/>
      <c r="U1992" s="391"/>
      <c r="V1992" s="390"/>
      <c r="W1992" s="398"/>
      <c r="X1992" s="398"/>
    </row>
    <row r="1993" spans="1:24" ht="43.9" hidden="1" customHeight="1">
      <c r="A1993" s="506">
        <f>A1992+1</f>
        <v>465</v>
      </c>
      <c r="B1993" s="403" t="s">
        <v>3879</v>
      </c>
      <c r="C1993" s="455" t="s">
        <v>272</v>
      </c>
      <c r="D1993" s="487">
        <v>6034.5</v>
      </c>
      <c r="E1993" s="391">
        <v>3240</v>
      </c>
      <c r="F1993" s="391" t="s">
        <v>223</v>
      </c>
      <c r="G1993" s="391">
        <v>1434</v>
      </c>
      <c r="H1993" s="528">
        <v>4</v>
      </c>
      <c r="I1993" s="528">
        <v>5</v>
      </c>
      <c r="J1993" s="528">
        <v>43</v>
      </c>
      <c r="K1993" s="458" t="s">
        <v>33</v>
      </c>
      <c r="L1993" s="519">
        <f>M1993+N1993+O1993+P1993+Q1993</f>
        <v>4627316</v>
      </c>
      <c r="M1993" s="519">
        <v>4588800</v>
      </c>
      <c r="N1993" s="391"/>
      <c r="O1993" s="530">
        <v>19817</v>
      </c>
      <c r="P1993" s="391"/>
      <c r="Q1993" s="813">
        <v>18699</v>
      </c>
      <c r="R1993" s="528">
        <f>M1993/G1993</f>
        <v>3200</v>
      </c>
      <c r="S1993" s="388">
        <f t="shared" si="256"/>
        <v>0</v>
      </c>
      <c r="T1993" s="390"/>
      <c r="U1993" s="388"/>
      <c r="V1993" s="390"/>
      <c r="W1993" s="398"/>
      <c r="X1993" s="398"/>
    </row>
    <row r="1994" spans="1:24" ht="51" hidden="1" customHeight="1">
      <c r="A1994" s="1115">
        <f>A1993+1</f>
        <v>466</v>
      </c>
      <c r="B1994" s="403" t="s">
        <v>2370</v>
      </c>
      <c r="C1994" s="531" t="s">
        <v>272</v>
      </c>
      <c r="D1994" s="446">
        <v>26510</v>
      </c>
      <c r="E1994" s="550">
        <v>6000</v>
      </c>
      <c r="F1994" s="539" t="s">
        <v>223</v>
      </c>
      <c r="G1994" s="550">
        <v>2100</v>
      </c>
      <c r="H1994" s="549">
        <v>5</v>
      </c>
      <c r="I1994" s="446">
        <v>6</v>
      </c>
      <c r="J1994" s="446">
        <v>65</v>
      </c>
      <c r="K1994" s="389" t="s">
        <v>38</v>
      </c>
      <c r="L1994" s="529">
        <f>M1994+N1994+O1994+Q1994+N1995+O1995+Q1995+M1995</f>
        <v>16836938</v>
      </c>
      <c r="M1994" s="529">
        <v>10000000</v>
      </c>
      <c r="N1994" s="391"/>
      <c r="O1994" s="530">
        <v>23469</v>
      </c>
      <c r="P1994" s="391"/>
      <c r="Q1994" s="391">
        <v>30000</v>
      </c>
      <c r="R1994" s="528">
        <f>M1994/E1994</f>
        <v>1666.6666666666667</v>
      </c>
      <c r="S1994" s="388">
        <f t="shared" si="256"/>
        <v>6783469</v>
      </c>
      <c r="T1994" s="390"/>
      <c r="U1994" s="391"/>
      <c r="V1994" s="390"/>
      <c r="W1994" s="398"/>
      <c r="X1994" s="398"/>
    </row>
    <row r="1995" spans="1:24" ht="43.9" hidden="1" customHeight="1">
      <c r="A1995" s="1115"/>
      <c r="B1995" s="403"/>
      <c r="C1995" s="455"/>
      <c r="D1995" s="545"/>
      <c r="E1995" s="550"/>
      <c r="F1995" s="539"/>
      <c r="G1995" s="550"/>
      <c r="H1995" s="446">
        <v>65</v>
      </c>
      <c r="I1995" s="528"/>
      <c r="J1995" s="528"/>
      <c r="K1995" s="389" t="s">
        <v>33</v>
      </c>
      <c r="L1995" s="529"/>
      <c r="M1995" s="529">
        <v>6720000</v>
      </c>
      <c r="N1995" s="388"/>
      <c r="O1995" s="530">
        <v>23469</v>
      </c>
      <c r="P1995" s="388"/>
      <c r="Q1995" s="391">
        <v>40000</v>
      </c>
      <c r="R1995" s="382">
        <v>3200</v>
      </c>
      <c r="S1995" s="388">
        <f t="shared" si="256"/>
        <v>-6783469</v>
      </c>
      <c r="T1995" s="390"/>
      <c r="U1995" s="391"/>
      <c r="V1995" s="390"/>
      <c r="W1995" s="398"/>
      <c r="X1995" s="398"/>
    </row>
    <row r="1996" spans="1:24" ht="43.9" hidden="1" customHeight="1">
      <c r="A1996" s="506">
        <f>A1994+1</f>
        <v>467</v>
      </c>
      <c r="B1996" s="403" t="s">
        <v>3955</v>
      </c>
      <c r="C1996" s="455" t="s">
        <v>272</v>
      </c>
      <c r="D1996" s="487">
        <v>33725</v>
      </c>
      <c r="E1996" s="391">
        <v>4680</v>
      </c>
      <c r="F1996" s="391" t="s">
        <v>234</v>
      </c>
      <c r="G1996" s="391">
        <v>2480</v>
      </c>
      <c r="H1996" s="528">
        <v>5</v>
      </c>
      <c r="I1996" s="528">
        <v>8</v>
      </c>
      <c r="J1996" s="528">
        <v>112</v>
      </c>
      <c r="K1996" s="458" t="s">
        <v>3880</v>
      </c>
      <c r="L1996" s="519">
        <f>M1996+N1996+O1996+P1996+Q1996</f>
        <v>7940184</v>
      </c>
      <c r="M1996" s="391">
        <v>7885431</v>
      </c>
      <c r="N1996" s="391">
        <v>34753</v>
      </c>
      <c r="O1996" s="473"/>
      <c r="P1996" s="391"/>
      <c r="Q1996" s="391">
        <v>20000</v>
      </c>
      <c r="R1996" s="528">
        <f>M1996/G1996</f>
        <v>3179.6092741935486</v>
      </c>
      <c r="S1996" s="388">
        <f t="shared" si="256"/>
        <v>0</v>
      </c>
      <c r="T1996" s="390"/>
      <c r="U1996" s="391"/>
      <c r="V1996" s="390"/>
      <c r="W1996" s="398"/>
      <c r="X1996" s="398"/>
    </row>
    <row r="1997" spans="1:24" ht="43.9" hidden="1" customHeight="1">
      <c r="A1997" s="1111">
        <f>A1996+1</f>
        <v>468</v>
      </c>
      <c r="B1997" s="403" t="s">
        <v>2395</v>
      </c>
      <c r="C1997" s="455" t="s">
        <v>272</v>
      </c>
      <c r="D1997" s="487">
        <v>12184</v>
      </c>
      <c r="E1997" s="391">
        <v>2600</v>
      </c>
      <c r="F1997" s="391" t="s">
        <v>223</v>
      </c>
      <c r="G1997" s="391">
        <v>1003</v>
      </c>
      <c r="H1997" s="528">
        <v>5</v>
      </c>
      <c r="I1997" s="528">
        <v>2</v>
      </c>
      <c r="J1997" s="528">
        <v>105</v>
      </c>
      <c r="K1997" s="458" t="s">
        <v>33</v>
      </c>
      <c r="L1997" s="1128">
        <f>M1997+N1997+O1997+P1997+Q1997+Q1998+P1998+O1998+N1998+M1998+M1999+N1999+O1999+Q1999</f>
        <v>11619844</v>
      </c>
      <c r="M1997" s="529">
        <v>2994208</v>
      </c>
      <c r="N1997" s="391"/>
      <c r="O1997" s="530">
        <v>20768</v>
      </c>
      <c r="P1997" s="391"/>
      <c r="Q1997" s="391">
        <v>37753</v>
      </c>
      <c r="R1997" s="528">
        <f>M1997/G1997</f>
        <v>2985.2522432701894</v>
      </c>
      <c r="S1997" s="388">
        <f t="shared" si="256"/>
        <v>8567115</v>
      </c>
      <c r="T1997" s="390"/>
      <c r="U1997" s="391"/>
      <c r="V1997" s="390"/>
      <c r="W1997" s="398"/>
      <c r="X1997" s="398"/>
    </row>
    <row r="1998" spans="1:24" ht="43.9" hidden="1" customHeight="1">
      <c r="A1998" s="1111"/>
      <c r="B1998" s="403"/>
      <c r="C1998" s="455"/>
      <c r="D1998" s="487"/>
      <c r="E1998" s="391"/>
      <c r="F1998" s="391"/>
      <c r="G1998" s="391"/>
      <c r="H1998" s="528"/>
      <c r="I1998" s="528"/>
      <c r="J1998" s="528"/>
      <c r="K1998" s="458" t="s">
        <v>38</v>
      </c>
      <c r="L1998" s="1128"/>
      <c r="M1998" s="529">
        <v>4314400</v>
      </c>
      <c r="N1998" s="391"/>
      <c r="O1998" s="530">
        <v>12980</v>
      </c>
      <c r="P1998" s="391"/>
      <c r="Q1998" s="391">
        <v>30000</v>
      </c>
      <c r="R1998" s="528">
        <f>M1998/E1997</f>
        <v>1659.3846153846155</v>
      </c>
      <c r="S1998" s="388">
        <f t="shared" si="256"/>
        <v>-4357380</v>
      </c>
      <c r="T1998" s="390"/>
      <c r="U1998" s="391"/>
      <c r="V1998" s="390"/>
      <c r="W1998" s="398"/>
      <c r="X1998" s="398"/>
    </row>
    <row r="1999" spans="1:24" ht="73.5" hidden="1" customHeight="1">
      <c r="A1999" s="1111"/>
      <c r="B1999" s="403"/>
      <c r="C1999" s="455"/>
      <c r="D1999" s="487"/>
      <c r="E1999" s="391"/>
      <c r="F1999" s="391"/>
      <c r="G1999" s="391"/>
      <c r="H1999" s="528"/>
      <c r="I1999" s="528"/>
      <c r="J1999" s="528"/>
      <c r="K1999" s="458" t="s">
        <v>30</v>
      </c>
      <c r="L1999" s="1128"/>
      <c r="M1999" s="529">
        <v>4200000</v>
      </c>
      <c r="N1999" s="391"/>
      <c r="O1999" s="530">
        <v>9735</v>
      </c>
      <c r="P1999" s="391"/>
      <c r="Q1999" s="391"/>
      <c r="R1999" s="528"/>
      <c r="S1999" s="388">
        <f t="shared" si="256"/>
        <v>-4209735</v>
      </c>
      <c r="T1999" s="390"/>
      <c r="U1999" s="391"/>
      <c r="V1999" s="390"/>
      <c r="W1999" s="398"/>
      <c r="X1999" s="398"/>
    </row>
    <row r="2000" spans="1:24" ht="60.75" hidden="1" customHeight="1">
      <c r="A2000" s="493">
        <f>A1997+1</f>
        <v>469</v>
      </c>
      <c r="B2000" s="711" t="s">
        <v>3309</v>
      </c>
      <c r="C2000" s="531" t="s">
        <v>218</v>
      </c>
      <c r="D2000" s="446">
        <v>11900</v>
      </c>
      <c r="E2000" s="388">
        <v>2311</v>
      </c>
      <c r="F2000" s="539" t="s">
        <v>223</v>
      </c>
      <c r="G2000" s="388">
        <v>1140</v>
      </c>
      <c r="H2000" s="446">
        <v>5</v>
      </c>
      <c r="I2000" s="446">
        <v>4</v>
      </c>
      <c r="J2000" s="446">
        <v>80</v>
      </c>
      <c r="K2000" s="397" t="s">
        <v>33</v>
      </c>
      <c r="L2000" s="519">
        <f t="shared" ref="L2000:L2007" si="257">M2000+N2000+O2000+P2000+Q2000</f>
        <v>3658255</v>
      </c>
      <c r="M2000" s="519">
        <v>3604590</v>
      </c>
      <c r="N2000" s="388"/>
      <c r="O2000" s="473">
        <v>53665</v>
      </c>
      <c r="P2000" s="388"/>
      <c r="Q2000" s="391"/>
      <c r="R2000" s="446">
        <f>M2000/G2000</f>
        <v>3161.9210526315787</v>
      </c>
      <c r="S2000" s="388">
        <f t="shared" si="256"/>
        <v>0</v>
      </c>
      <c r="T2000" s="390"/>
      <c r="U2000" s="388"/>
      <c r="V2000" s="390"/>
      <c r="W2000" s="398"/>
      <c r="X2000" s="398"/>
    </row>
    <row r="2001" spans="1:24" ht="60.75" hidden="1" customHeight="1">
      <c r="A2001" s="493">
        <f t="shared" ref="A2001:A2031" si="258">A2000+1</f>
        <v>470</v>
      </c>
      <c r="B2001" s="711" t="s">
        <v>3306</v>
      </c>
      <c r="C2001" s="531" t="s">
        <v>272</v>
      </c>
      <c r="D2001" s="446">
        <v>18255</v>
      </c>
      <c r="E2001" s="388">
        <v>2409</v>
      </c>
      <c r="F2001" s="539" t="s">
        <v>223</v>
      </c>
      <c r="G2001" s="388">
        <v>1217</v>
      </c>
      <c r="H2001" s="446">
        <v>5</v>
      </c>
      <c r="I2001" s="446">
        <v>4</v>
      </c>
      <c r="J2001" s="446">
        <v>40</v>
      </c>
      <c r="K2001" s="397" t="s">
        <v>33</v>
      </c>
      <c r="L2001" s="519">
        <f t="shared" si="257"/>
        <v>2390634</v>
      </c>
      <c r="M2001" s="519">
        <v>2328410</v>
      </c>
      <c r="N2001" s="388"/>
      <c r="O2001" s="473">
        <v>22224</v>
      </c>
      <c r="P2001" s="388"/>
      <c r="Q2001" s="391">
        <v>40000</v>
      </c>
      <c r="R2001" s="446">
        <f>M2001/G2001</f>
        <v>1913.2374691865243</v>
      </c>
      <c r="S2001" s="388">
        <f t="shared" si="256"/>
        <v>0</v>
      </c>
      <c r="T2001" s="390"/>
      <c r="U2001" s="388"/>
      <c r="V2001" s="390"/>
      <c r="W2001" s="398"/>
      <c r="X2001" s="398"/>
    </row>
    <row r="2002" spans="1:24" ht="60.75" hidden="1" customHeight="1">
      <c r="A2002" s="493">
        <f t="shared" si="258"/>
        <v>471</v>
      </c>
      <c r="B2002" s="711" t="s">
        <v>3266</v>
      </c>
      <c r="C2002" s="531" t="s">
        <v>272</v>
      </c>
      <c r="D2002" s="446">
        <v>17070</v>
      </c>
      <c r="E2002" s="388">
        <v>2155</v>
      </c>
      <c r="F2002" s="539" t="s">
        <v>223</v>
      </c>
      <c r="G2002" s="388">
        <v>1470</v>
      </c>
      <c r="H2002" s="446">
        <v>5</v>
      </c>
      <c r="I2002" s="446">
        <v>3</v>
      </c>
      <c r="J2002" s="446">
        <v>50</v>
      </c>
      <c r="K2002" s="397" t="s">
        <v>33</v>
      </c>
      <c r="L2002" s="519">
        <f t="shared" si="257"/>
        <v>3230667</v>
      </c>
      <c r="M2002" s="519">
        <v>3168150</v>
      </c>
      <c r="N2002" s="388"/>
      <c r="O2002" s="473">
        <v>22517</v>
      </c>
      <c r="P2002" s="388"/>
      <c r="Q2002" s="391">
        <v>40000</v>
      </c>
      <c r="R2002" s="446">
        <f>M2002/G2002</f>
        <v>2155.204081632653</v>
      </c>
      <c r="S2002" s="388">
        <f t="shared" si="256"/>
        <v>0</v>
      </c>
      <c r="T2002" s="390"/>
      <c r="U2002" s="388"/>
      <c r="V2002" s="390"/>
      <c r="W2002" s="398"/>
      <c r="X2002" s="398"/>
    </row>
    <row r="2003" spans="1:24" ht="60.75" hidden="1" customHeight="1">
      <c r="A2003" s="493">
        <f t="shared" si="258"/>
        <v>472</v>
      </c>
      <c r="B2003" s="404" t="s">
        <v>4061</v>
      </c>
      <c r="C2003" s="455" t="s">
        <v>315</v>
      </c>
      <c r="D2003" s="487">
        <v>26032</v>
      </c>
      <c r="E2003" s="391">
        <v>8110</v>
      </c>
      <c r="F2003" s="391" t="s">
        <v>234</v>
      </c>
      <c r="G2003" s="391">
        <v>1295</v>
      </c>
      <c r="H2003" s="528" t="s">
        <v>4062</v>
      </c>
      <c r="I2003" s="528">
        <v>4</v>
      </c>
      <c r="J2003" s="528">
        <v>82</v>
      </c>
      <c r="K2003" s="458" t="s">
        <v>38</v>
      </c>
      <c r="L2003" s="519">
        <f t="shared" si="257"/>
        <v>13766559</v>
      </c>
      <c r="M2003" s="519">
        <v>13700000</v>
      </c>
      <c r="N2003" s="388">
        <v>36559</v>
      </c>
      <c r="O2003" s="473"/>
      <c r="P2003" s="388"/>
      <c r="Q2003" s="388">
        <v>30000</v>
      </c>
      <c r="R2003" s="391">
        <f>M2003/E2003</f>
        <v>1689.2725030826141</v>
      </c>
      <c r="S2003" s="388">
        <f t="shared" si="256"/>
        <v>0</v>
      </c>
      <c r="T2003" s="390"/>
      <c r="U2003" s="388"/>
      <c r="V2003" s="390"/>
      <c r="W2003" s="398"/>
      <c r="X2003" s="398"/>
    </row>
    <row r="2004" spans="1:24" ht="60.75" hidden="1" customHeight="1">
      <c r="A2004" s="493">
        <f t="shared" si="258"/>
        <v>473</v>
      </c>
      <c r="B2004" s="404" t="s">
        <v>4063</v>
      </c>
      <c r="C2004" s="455" t="s">
        <v>315</v>
      </c>
      <c r="D2004" s="487">
        <v>33950</v>
      </c>
      <c r="E2004" s="391">
        <v>4980</v>
      </c>
      <c r="F2004" s="391" t="s">
        <v>234</v>
      </c>
      <c r="G2004" s="391">
        <v>1062</v>
      </c>
      <c r="H2004" s="528">
        <v>12</v>
      </c>
      <c r="I2004" s="528">
        <v>1</v>
      </c>
      <c r="J2004" s="528">
        <v>115</v>
      </c>
      <c r="K2004" s="458" t="s">
        <v>33</v>
      </c>
      <c r="L2004" s="519">
        <f t="shared" si="257"/>
        <v>3236497</v>
      </c>
      <c r="M2004" s="519">
        <v>3193292</v>
      </c>
      <c r="N2004" s="388"/>
      <c r="O2004" s="473">
        <v>23205</v>
      </c>
      <c r="P2004" s="388"/>
      <c r="Q2004" s="388">
        <v>20000</v>
      </c>
      <c r="R2004" s="391">
        <f>M2004/G2004</f>
        <v>3006.8662900188324</v>
      </c>
      <c r="S2004" s="388">
        <f t="shared" si="256"/>
        <v>0</v>
      </c>
      <c r="T2004" s="390"/>
      <c r="U2004" s="388"/>
      <c r="V2004" s="390"/>
      <c r="W2004" s="398"/>
      <c r="X2004" s="398"/>
    </row>
    <row r="2005" spans="1:24" ht="60.75" hidden="1" customHeight="1">
      <c r="A2005" s="493">
        <f t="shared" si="258"/>
        <v>474</v>
      </c>
      <c r="B2005" s="404" t="s">
        <v>4280</v>
      </c>
      <c r="C2005" s="455" t="s">
        <v>4064</v>
      </c>
      <c r="D2005" s="487">
        <v>24576</v>
      </c>
      <c r="E2005" s="391">
        <v>4129</v>
      </c>
      <c r="F2005" s="391" t="s">
        <v>228</v>
      </c>
      <c r="G2005" s="391">
        <v>604</v>
      </c>
      <c r="H2005" s="528">
        <v>18</v>
      </c>
      <c r="I2005" s="528">
        <v>1</v>
      </c>
      <c r="J2005" s="528">
        <v>90</v>
      </c>
      <c r="K2005" s="458" t="s">
        <v>227</v>
      </c>
      <c r="L2005" s="519">
        <f t="shared" si="257"/>
        <v>15068308</v>
      </c>
      <c r="M2005" s="519">
        <v>15000000</v>
      </c>
      <c r="N2005" s="388">
        <v>38308</v>
      </c>
      <c r="O2005" s="473"/>
      <c r="P2005" s="388"/>
      <c r="Q2005" s="388">
        <v>30000</v>
      </c>
      <c r="R2005" s="391">
        <f>M2005/E2005</f>
        <v>3632.8408815693874</v>
      </c>
      <c r="S2005" s="388">
        <f t="shared" si="256"/>
        <v>0</v>
      </c>
      <c r="T2005" s="390"/>
      <c r="U2005" s="388"/>
      <c r="V2005" s="390"/>
      <c r="W2005" s="398"/>
      <c r="X2005" s="398"/>
    </row>
    <row r="2006" spans="1:24" ht="60.75" hidden="1" customHeight="1">
      <c r="A2006" s="493">
        <f t="shared" si="258"/>
        <v>475</v>
      </c>
      <c r="B2006" s="404" t="s">
        <v>4065</v>
      </c>
      <c r="C2006" s="455" t="s">
        <v>297</v>
      </c>
      <c r="D2006" s="487">
        <v>32553</v>
      </c>
      <c r="E2006" s="391">
        <v>5489</v>
      </c>
      <c r="F2006" s="391" t="s">
        <v>228</v>
      </c>
      <c r="G2006" s="391">
        <v>1396</v>
      </c>
      <c r="H2006" s="528">
        <v>9</v>
      </c>
      <c r="I2006" s="528">
        <v>4</v>
      </c>
      <c r="J2006" s="528">
        <v>144</v>
      </c>
      <c r="K2006" s="458" t="s">
        <v>227</v>
      </c>
      <c r="L2006" s="519">
        <f t="shared" si="257"/>
        <v>14567899</v>
      </c>
      <c r="M2006" s="519">
        <v>14500000</v>
      </c>
      <c r="N2006" s="388">
        <v>37899</v>
      </c>
      <c r="O2006" s="473"/>
      <c r="P2006" s="388"/>
      <c r="Q2006" s="388">
        <v>30000</v>
      </c>
      <c r="R2006" s="391">
        <f>M2006/E2006</f>
        <v>2641.6469302240844</v>
      </c>
      <c r="S2006" s="388">
        <f t="shared" si="256"/>
        <v>0</v>
      </c>
      <c r="T2006" s="390"/>
      <c r="U2006" s="388"/>
      <c r="V2006" s="390"/>
      <c r="W2006" s="398"/>
      <c r="X2006" s="398"/>
    </row>
    <row r="2007" spans="1:24" ht="60.75" hidden="1" customHeight="1">
      <c r="A2007" s="493">
        <f t="shared" si="258"/>
        <v>476</v>
      </c>
      <c r="B2007" s="404" t="s">
        <v>4086</v>
      </c>
      <c r="C2007" s="455" t="s">
        <v>218</v>
      </c>
      <c r="D2007" s="487">
        <v>12373</v>
      </c>
      <c r="E2007" s="391">
        <v>2958</v>
      </c>
      <c r="F2007" s="391" t="s">
        <v>223</v>
      </c>
      <c r="G2007" s="391">
        <v>1141</v>
      </c>
      <c r="H2007" s="528" t="s">
        <v>3884</v>
      </c>
      <c r="I2007" s="528">
        <v>4</v>
      </c>
      <c r="J2007" s="528">
        <v>80</v>
      </c>
      <c r="K2007" s="458" t="s">
        <v>33</v>
      </c>
      <c r="L2007" s="519">
        <f t="shared" si="257"/>
        <v>4064921</v>
      </c>
      <c r="M2007" s="519">
        <v>4000000</v>
      </c>
      <c r="N2007" s="388"/>
      <c r="O2007" s="473">
        <v>26582</v>
      </c>
      <c r="P2007" s="388"/>
      <c r="Q2007" s="388">
        <v>38339</v>
      </c>
      <c r="R2007" s="446">
        <f>M2007/G2007</f>
        <v>3505.6967572304998</v>
      </c>
      <c r="S2007" s="388">
        <f t="shared" si="256"/>
        <v>0</v>
      </c>
      <c r="T2007" s="390"/>
      <c r="U2007" s="388"/>
      <c r="V2007" s="390"/>
      <c r="W2007" s="398"/>
      <c r="X2007" s="398"/>
    </row>
    <row r="2008" spans="1:24" ht="60.75" hidden="1" customHeight="1">
      <c r="A2008" s="493">
        <f t="shared" si="258"/>
        <v>477</v>
      </c>
      <c r="B2008" s="404" t="s">
        <v>4066</v>
      </c>
      <c r="C2008" s="455" t="s">
        <v>218</v>
      </c>
      <c r="D2008" s="487">
        <v>15462</v>
      </c>
      <c r="E2008" s="391">
        <v>3363</v>
      </c>
      <c r="F2008" s="391" t="s">
        <v>234</v>
      </c>
      <c r="G2008" s="391">
        <v>693</v>
      </c>
      <c r="H2008" s="528">
        <v>9</v>
      </c>
      <c r="I2008" s="528">
        <v>2</v>
      </c>
      <c r="J2008" s="528">
        <v>72</v>
      </c>
      <c r="K2008" s="458" t="s">
        <v>285</v>
      </c>
      <c r="L2008" s="529">
        <f>M2008+N2008+O2008+Q2008</f>
        <v>9263015</v>
      </c>
      <c r="M2008" s="529">
        <v>9200000</v>
      </c>
      <c r="N2008" s="391">
        <v>33015</v>
      </c>
      <c r="O2008" s="530"/>
      <c r="P2008" s="391"/>
      <c r="Q2008" s="391">
        <v>30000</v>
      </c>
      <c r="R2008" s="391">
        <f>M2008/E2008</f>
        <v>2735.6526910496582</v>
      </c>
      <c r="S2008" s="388">
        <f t="shared" si="256"/>
        <v>0</v>
      </c>
      <c r="T2008" s="390"/>
      <c r="U2008" s="391"/>
      <c r="V2008" s="390"/>
      <c r="W2008" s="398"/>
      <c r="X2008" s="398"/>
    </row>
    <row r="2009" spans="1:24" ht="60.75" hidden="1" customHeight="1">
      <c r="A2009" s="493">
        <f t="shared" si="258"/>
        <v>478</v>
      </c>
      <c r="B2009" s="404" t="s">
        <v>2539</v>
      </c>
      <c r="C2009" s="455" t="s">
        <v>218</v>
      </c>
      <c r="D2009" s="382">
        <v>46137</v>
      </c>
      <c r="E2009" s="383">
        <v>5090</v>
      </c>
      <c r="F2009" s="539" t="s">
        <v>234</v>
      </c>
      <c r="G2009" s="383">
        <v>2192</v>
      </c>
      <c r="H2009" s="549">
        <v>9</v>
      </c>
      <c r="I2009" s="549">
        <v>4</v>
      </c>
      <c r="J2009" s="382">
        <v>151</v>
      </c>
      <c r="K2009" s="387" t="s">
        <v>285</v>
      </c>
      <c r="L2009" s="529">
        <f t="shared" ref="L2009:L2015" si="259">M2009+N2009+O2009+P2009+Q2009</f>
        <v>16340551</v>
      </c>
      <c r="M2009" s="384">
        <v>16270000</v>
      </c>
      <c r="N2009" s="383">
        <v>40551</v>
      </c>
      <c r="O2009" s="530"/>
      <c r="Q2009" s="391">
        <v>30000</v>
      </c>
      <c r="R2009" s="391">
        <f>M2009/E2009</f>
        <v>3196.4636542239687</v>
      </c>
      <c r="S2009" s="388">
        <f t="shared" si="256"/>
        <v>0</v>
      </c>
      <c r="T2009" s="390"/>
      <c r="U2009" s="383"/>
      <c r="V2009" s="390"/>
      <c r="W2009" s="398"/>
      <c r="X2009" s="398"/>
    </row>
    <row r="2010" spans="1:24" ht="60.75" hidden="1" customHeight="1">
      <c r="A2010" s="493">
        <f t="shared" si="258"/>
        <v>479</v>
      </c>
      <c r="B2010" s="404" t="s">
        <v>4067</v>
      </c>
      <c r="C2010" s="455" t="s">
        <v>218</v>
      </c>
      <c r="D2010" s="487">
        <v>7091.1</v>
      </c>
      <c r="E2010" s="391">
        <v>1710</v>
      </c>
      <c r="F2010" s="391" t="s">
        <v>234</v>
      </c>
      <c r="G2010" s="391">
        <v>336.6</v>
      </c>
      <c r="H2010" s="528">
        <v>9</v>
      </c>
      <c r="I2010" s="528">
        <v>1</v>
      </c>
      <c r="J2010" s="528">
        <v>36</v>
      </c>
      <c r="K2010" s="458" t="s">
        <v>285</v>
      </c>
      <c r="L2010" s="529">
        <f t="shared" si="259"/>
        <v>5176634</v>
      </c>
      <c r="M2010" s="529">
        <v>5130000</v>
      </c>
      <c r="N2010" s="391">
        <v>30993</v>
      </c>
      <c r="O2010" s="530"/>
      <c r="P2010" s="391"/>
      <c r="Q2010" s="391">
        <v>15641</v>
      </c>
      <c r="R2010" s="391">
        <f>M2010/E2010</f>
        <v>3000</v>
      </c>
      <c r="S2010" s="388">
        <f t="shared" si="256"/>
        <v>0</v>
      </c>
      <c r="T2010" s="390"/>
      <c r="U2010" s="391"/>
      <c r="V2010" s="390"/>
      <c r="W2010" s="398"/>
      <c r="X2010" s="398"/>
    </row>
    <row r="2011" spans="1:24" ht="60.75" hidden="1" customHeight="1">
      <c r="A2011" s="493">
        <f t="shared" si="258"/>
        <v>480</v>
      </c>
      <c r="B2011" s="404" t="s">
        <v>4087</v>
      </c>
      <c r="C2011" s="455" t="s">
        <v>218</v>
      </c>
      <c r="D2011" s="487">
        <v>11313</v>
      </c>
      <c r="E2011" s="391">
        <v>2912</v>
      </c>
      <c r="F2011" s="391" t="s">
        <v>234</v>
      </c>
      <c r="G2011" s="391">
        <v>412</v>
      </c>
      <c r="H2011" s="528">
        <v>12</v>
      </c>
      <c r="I2011" s="528">
        <v>1</v>
      </c>
      <c r="J2011" s="528">
        <v>48</v>
      </c>
      <c r="K2011" s="458" t="s">
        <v>227</v>
      </c>
      <c r="L2011" s="529">
        <f t="shared" si="259"/>
        <v>5560775</v>
      </c>
      <c r="M2011" s="529">
        <v>5500000</v>
      </c>
      <c r="N2011" s="391">
        <v>35822</v>
      </c>
      <c r="O2011" s="530"/>
      <c r="P2011" s="391"/>
      <c r="Q2011" s="391">
        <v>24953</v>
      </c>
      <c r="R2011" s="391">
        <f>M2011/E2011</f>
        <v>1888.7362637362637</v>
      </c>
      <c r="S2011" s="388">
        <f t="shared" si="256"/>
        <v>0</v>
      </c>
      <c r="T2011" s="390"/>
      <c r="U2011" s="391"/>
      <c r="V2011" s="390"/>
      <c r="W2011" s="398"/>
      <c r="X2011" s="398"/>
    </row>
    <row r="2012" spans="1:24" s="414" customFormat="1" ht="43.9" hidden="1" customHeight="1">
      <c r="A2012" s="493">
        <f t="shared" si="258"/>
        <v>481</v>
      </c>
      <c r="B2012" s="403" t="s">
        <v>781</v>
      </c>
      <c r="C2012" s="455" t="s">
        <v>222</v>
      </c>
      <c r="D2012" s="487">
        <v>15919</v>
      </c>
      <c r="E2012" s="391">
        <v>2500</v>
      </c>
      <c r="F2012" s="391" t="s">
        <v>231</v>
      </c>
      <c r="G2012" s="391">
        <v>1667.6</v>
      </c>
      <c r="H2012" s="528">
        <v>4</v>
      </c>
      <c r="I2012" s="528">
        <v>5</v>
      </c>
      <c r="J2012" s="528">
        <v>42</v>
      </c>
      <c r="K2012" s="458" t="s">
        <v>38</v>
      </c>
      <c r="L2012" s="529">
        <f t="shared" si="259"/>
        <v>4127272.6</v>
      </c>
      <c r="M2012" s="529">
        <v>4114801.25</v>
      </c>
      <c r="N2012" s="391"/>
      <c r="O2012" s="473">
        <v>12471.35</v>
      </c>
      <c r="P2012" s="391"/>
      <c r="Q2012" s="391"/>
      <c r="R2012" s="446">
        <f>M2012/G2012</f>
        <v>2467.4989505876711</v>
      </c>
      <c r="S2012" s="388">
        <f t="shared" si="256"/>
        <v>9.276845958083868E-11</v>
      </c>
      <c r="T2012" s="389"/>
      <c r="U2012" s="391"/>
      <c r="V2012" s="390"/>
      <c r="W2012" s="398"/>
      <c r="X2012" s="398"/>
    </row>
    <row r="2013" spans="1:24" ht="60.75" hidden="1" customHeight="1">
      <c r="A2013" s="493">
        <f t="shared" si="258"/>
        <v>482</v>
      </c>
      <c r="B2013" s="404" t="s">
        <v>4139</v>
      </c>
      <c r="C2013" s="455" t="s">
        <v>283</v>
      </c>
      <c r="D2013" s="487">
        <v>18917</v>
      </c>
      <c r="E2013" s="391">
        <v>4200</v>
      </c>
      <c r="F2013" s="391" t="s">
        <v>234</v>
      </c>
      <c r="G2013" s="391">
        <v>732</v>
      </c>
      <c r="H2013" s="528">
        <v>12</v>
      </c>
      <c r="I2013" s="528">
        <v>1</v>
      </c>
      <c r="J2013" s="528">
        <v>78</v>
      </c>
      <c r="K2013" s="458" t="s">
        <v>38</v>
      </c>
      <c r="L2013" s="1128">
        <f>M2013+N2013+O2013+P2013+Q2013+M2014+N2014+O2014+Q2014</f>
        <v>8613646</v>
      </c>
      <c r="M2013" s="529">
        <v>7000000</v>
      </c>
      <c r="N2013" s="391">
        <v>35940</v>
      </c>
      <c r="O2013" s="530"/>
      <c r="P2013" s="391"/>
      <c r="Q2013" s="391">
        <v>30000</v>
      </c>
      <c r="R2013" s="391">
        <f>M2013/E2013</f>
        <v>1666.6666666666667</v>
      </c>
      <c r="S2013" s="388">
        <f t="shared" si="256"/>
        <v>1547706</v>
      </c>
      <c r="T2013" s="390"/>
      <c r="U2013" s="391"/>
      <c r="V2013" s="390"/>
      <c r="W2013" s="398"/>
      <c r="X2013" s="398"/>
    </row>
    <row r="2014" spans="1:24" ht="60.75" hidden="1" customHeight="1">
      <c r="A2014" s="493"/>
      <c r="B2014" s="404"/>
      <c r="C2014" s="455"/>
      <c r="D2014" s="487"/>
      <c r="E2014" s="391"/>
      <c r="F2014" s="391"/>
      <c r="G2014" s="391"/>
      <c r="H2014" s="528"/>
      <c r="I2014" s="528"/>
      <c r="J2014" s="528"/>
      <c r="K2014" s="458" t="s">
        <v>33</v>
      </c>
      <c r="L2014" s="1128"/>
      <c r="M2014" s="529">
        <v>1537200</v>
      </c>
      <c r="N2014" s="391"/>
      <c r="O2014" s="530">
        <v>10506</v>
      </c>
      <c r="P2014" s="391"/>
      <c r="Q2014" s="391"/>
      <c r="R2014" s="391"/>
      <c r="S2014" s="388">
        <f t="shared" si="256"/>
        <v>-1547706</v>
      </c>
      <c r="T2014" s="390"/>
      <c r="U2014" s="391"/>
      <c r="V2014" s="390"/>
      <c r="W2014" s="398"/>
      <c r="X2014" s="398"/>
    </row>
    <row r="2015" spans="1:24" ht="60.75" hidden="1" customHeight="1">
      <c r="A2015" s="493">
        <f>A2013+1</f>
        <v>483</v>
      </c>
      <c r="B2015" s="404" t="s">
        <v>3772</v>
      </c>
      <c r="C2015" s="455" t="s">
        <v>283</v>
      </c>
      <c r="D2015" s="487">
        <v>19369</v>
      </c>
      <c r="E2015" s="391">
        <v>5100</v>
      </c>
      <c r="F2015" s="391" t="s">
        <v>234</v>
      </c>
      <c r="G2015" s="391">
        <v>581</v>
      </c>
      <c r="H2015" s="528">
        <v>12</v>
      </c>
      <c r="I2015" s="528">
        <v>1</v>
      </c>
      <c r="J2015" s="528">
        <v>78</v>
      </c>
      <c r="K2015" s="458" t="s">
        <v>38</v>
      </c>
      <c r="L2015" s="529">
        <f t="shared" si="259"/>
        <v>8544486</v>
      </c>
      <c r="M2015" s="529">
        <v>8478416</v>
      </c>
      <c r="N2015" s="391">
        <v>36070</v>
      </c>
      <c r="O2015" s="530"/>
      <c r="P2015" s="391"/>
      <c r="Q2015" s="391">
        <v>30000</v>
      </c>
      <c r="R2015" s="391">
        <f>M2015/E2015</f>
        <v>1662.4345098039216</v>
      </c>
      <c r="S2015" s="388">
        <f t="shared" si="256"/>
        <v>0</v>
      </c>
      <c r="T2015" s="390"/>
      <c r="U2015" s="391"/>
      <c r="V2015" s="390"/>
      <c r="W2015" s="398"/>
      <c r="X2015" s="398"/>
    </row>
    <row r="2016" spans="1:24" ht="41.25" hidden="1" customHeight="1">
      <c r="A2016" s="493">
        <f t="shared" si="258"/>
        <v>484</v>
      </c>
      <c r="B2016" s="404" t="s">
        <v>4140</v>
      </c>
      <c r="C2016" s="455" t="s">
        <v>283</v>
      </c>
      <c r="D2016" s="487">
        <v>19928</v>
      </c>
      <c r="E2016" s="391">
        <v>4788</v>
      </c>
      <c r="F2016" s="391" t="s">
        <v>234</v>
      </c>
      <c r="G2016" s="391">
        <v>516</v>
      </c>
      <c r="H2016" s="528">
        <v>12</v>
      </c>
      <c r="I2016" s="528">
        <v>1</v>
      </c>
      <c r="J2016" s="528">
        <v>77</v>
      </c>
      <c r="K2016" s="458" t="s">
        <v>38</v>
      </c>
      <c r="L2016" s="1128">
        <f>M2016+N2016+O2016+P2016+Q2016+M2017+N2017+O2017+Q2017</f>
        <v>8385306</v>
      </c>
      <c r="M2016" s="529">
        <v>7228546</v>
      </c>
      <c r="N2016" s="391">
        <v>36230</v>
      </c>
      <c r="O2016" s="530"/>
      <c r="P2016" s="391"/>
      <c r="Q2016" s="391">
        <v>30000</v>
      </c>
      <c r="R2016" s="391">
        <f>M2016/E2016</f>
        <v>1509.7213868003341</v>
      </c>
      <c r="S2016" s="388">
        <f t="shared" si="256"/>
        <v>1090530</v>
      </c>
      <c r="T2016" s="390"/>
      <c r="U2016" s="391"/>
      <c r="V2016" s="390"/>
      <c r="W2016" s="398"/>
      <c r="X2016" s="398"/>
    </row>
    <row r="2017" spans="1:16379" ht="60.75" hidden="1" customHeight="1">
      <c r="A2017" s="493"/>
      <c r="B2017" s="404"/>
      <c r="C2017" s="455"/>
      <c r="D2017" s="487"/>
      <c r="E2017" s="391"/>
      <c r="F2017" s="391"/>
      <c r="G2017" s="391"/>
      <c r="H2017" s="528"/>
      <c r="I2017" s="528"/>
      <c r="J2017" s="528"/>
      <c r="K2017" s="458" t="s">
        <v>225</v>
      </c>
      <c r="L2017" s="1128"/>
      <c r="M2017" s="529">
        <v>1090530</v>
      </c>
      <c r="N2017" s="391"/>
      <c r="O2017" s="530"/>
      <c r="P2017" s="391"/>
      <c r="Q2017" s="391"/>
      <c r="R2017" s="391"/>
      <c r="S2017" s="388">
        <f t="shared" si="256"/>
        <v>-1090530</v>
      </c>
      <c r="T2017" s="390"/>
      <c r="U2017" s="391">
        <f>M2017+N2017+O2017+Q2017</f>
        <v>1090530</v>
      </c>
      <c r="V2017" s="390"/>
      <c r="W2017" s="398"/>
      <c r="X2017" s="398"/>
    </row>
    <row r="2018" spans="1:16379" s="416" customFormat="1" ht="37.5" hidden="1" customHeight="1">
      <c r="A2018" s="493">
        <f>A2016+1</f>
        <v>485</v>
      </c>
      <c r="B2018" s="403" t="s">
        <v>2442</v>
      </c>
      <c r="C2018" s="455" t="s">
        <v>218</v>
      </c>
      <c r="D2018" s="487">
        <v>16344</v>
      </c>
      <c r="E2018" s="391">
        <v>3003.6</v>
      </c>
      <c r="F2018" s="391" t="s">
        <v>234</v>
      </c>
      <c r="G2018" s="391">
        <v>737</v>
      </c>
      <c r="H2018" s="528">
        <v>9</v>
      </c>
      <c r="I2018" s="528">
        <v>2</v>
      </c>
      <c r="J2018" s="528">
        <v>72</v>
      </c>
      <c r="K2018" s="458" t="s">
        <v>376</v>
      </c>
      <c r="L2018" s="529">
        <f t="shared" ref="L2018:L2030" si="260">M2018+N2018+O2018+P2018+Q2018</f>
        <v>7563337</v>
      </c>
      <c r="M2018" s="529">
        <v>7500000</v>
      </c>
      <c r="N2018" s="391">
        <v>33337</v>
      </c>
      <c r="O2018" s="530"/>
      <c r="P2018" s="391"/>
      <c r="Q2018" s="391">
        <v>30000</v>
      </c>
      <c r="R2018" s="528">
        <f>M2018/E2018</f>
        <v>2497.003595685178</v>
      </c>
      <c r="S2018" s="388">
        <f t="shared" si="256"/>
        <v>0</v>
      </c>
      <c r="T2018" s="398"/>
      <c r="U2018" s="391"/>
      <c r="V2018" s="390"/>
      <c r="W2018" s="398"/>
      <c r="X2018" s="398"/>
    </row>
    <row r="2019" spans="1:16379" s="416" customFormat="1" ht="37.5" hidden="1" customHeight="1">
      <c r="A2019" s="493">
        <f t="shared" si="258"/>
        <v>486</v>
      </c>
      <c r="B2019" s="403" t="s">
        <v>2443</v>
      </c>
      <c r="C2019" s="455" t="s">
        <v>218</v>
      </c>
      <c r="D2019" s="487">
        <v>16188</v>
      </c>
      <c r="E2019" s="391">
        <v>3217.5</v>
      </c>
      <c r="F2019" s="391" t="s">
        <v>234</v>
      </c>
      <c r="G2019" s="391">
        <v>660</v>
      </c>
      <c r="H2019" s="528">
        <v>9</v>
      </c>
      <c r="I2019" s="528">
        <v>2</v>
      </c>
      <c r="J2019" s="528">
        <v>70</v>
      </c>
      <c r="K2019" s="458" t="s">
        <v>376</v>
      </c>
      <c r="L2019" s="529">
        <f t="shared" si="260"/>
        <v>9715780</v>
      </c>
      <c r="M2019" s="529">
        <v>9652500</v>
      </c>
      <c r="N2019" s="391">
        <v>33280</v>
      </c>
      <c r="O2019" s="530"/>
      <c r="P2019" s="391"/>
      <c r="Q2019" s="391">
        <v>30000</v>
      </c>
      <c r="R2019" s="528">
        <f>M2019/E2019</f>
        <v>3000</v>
      </c>
      <c r="S2019" s="388">
        <f t="shared" si="256"/>
        <v>0</v>
      </c>
      <c r="T2019" s="398"/>
      <c r="U2019" s="391"/>
      <c r="V2019" s="390"/>
      <c r="W2019" s="398"/>
      <c r="X2019" s="398"/>
    </row>
    <row r="2020" spans="1:16379" s="416" customFormat="1" ht="37.5" hidden="1" customHeight="1">
      <c r="A2020" s="493">
        <f t="shared" si="258"/>
        <v>487</v>
      </c>
      <c r="B2020" s="403" t="s">
        <v>2478</v>
      </c>
      <c r="C2020" s="455" t="s">
        <v>218</v>
      </c>
      <c r="D2020" s="487">
        <v>18157</v>
      </c>
      <c r="E2020" s="391">
        <v>3065</v>
      </c>
      <c r="F2020" s="391" t="s">
        <v>234</v>
      </c>
      <c r="G2020" s="391">
        <v>660</v>
      </c>
      <c r="H2020" s="528">
        <v>9</v>
      </c>
      <c r="I2020" s="528">
        <v>2</v>
      </c>
      <c r="J2020" s="528">
        <v>72</v>
      </c>
      <c r="K2020" s="458" t="s">
        <v>285</v>
      </c>
      <c r="L2020" s="529">
        <f t="shared" si="260"/>
        <v>9258998</v>
      </c>
      <c r="M2020" s="529">
        <v>9195000</v>
      </c>
      <c r="N2020" s="391">
        <v>33998</v>
      </c>
      <c r="O2020" s="530"/>
      <c r="P2020" s="391"/>
      <c r="Q2020" s="391">
        <v>30000</v>
      </c>
      <c r="R2020" s="528">
        <f>M2020/E2020</f>
        <v>3000</v>
      </c>
      <c r="S2020" s="388">
        <f t="shared" si="256"/>
        <v>0</v>
      </c>
      <c r="T2020" s="398"/>
      <c r="U2020" s="391"/>
      <c r="V2020" s="390"/>
      <c r="W2020" s="398"/>
      <c r="X2020" s="398"/>
    </row>
    <row r="2021" spans="1:16379" ht="60.75" hidden="1" customHeight="1">
      <c r="A2021" s="493">
        <f t="shared" si="258"/>
        <v>488</v>
      </c>
      <c r="B2021" s="404" t="s">
        <v>4142</v>
      </c>
      <c r="C2021" s="455" t="s">
        <v>272</v>
      </c>
      <c r="D2021" s="487">
        <v>4904</v>
      </c>
      <c r="E2021" s="391">
        <v>798</v>
      </c>
      <c r="F2021" s="391" t="s">
        <v>252</v>
      </c>
      <c r="G2021" s="391">
        <v>1000</v>
      </c>
      <c r="H2021" s="528">
        <v>2</v>
      </c>
      <c r="I2021" s="528">
        <v>3</v>
      </c>
      <c r="J2021" s="528">
        <v>14</v>
      </c>
      <c r="K2021" s="458" t="s">
        <v>4141</v>
      </c>
      <c r="L2021" s="519">
        <f t="shared" si="260"/>
        <v>222441.96</v>
      </c>
      <c r="M2021" s="519">
        <v>189710.96</v>
      </c>
      <c r="N2021" s="388">
        <v>32731</v>
      </c>
      <c r="O2021" s="473"/>
      <c r="P2021" s="388"/>
      <c r="Q2021" s="388"/>
      <c r="R2021" s="391">
        <f>M2021/J2021</f>
        <v>13550.782857142856</v>
      </c>
      <c r="S2021" s="388">
        <f t="shared" si="256"/>
        <v>0</v>
      </c>
      <c r="T2021" s="390"/>
      <c r="U2021" s="388"/>
      <c r="V2021" s="390"/>
      <c r="W2021" s="398"/>
      <c r="X2021" s="398"/>
    </row>
    <row r="2022" spans="1:16379" ht="60.75" hidden="1" customHeight="1">
      <c r="A2022" s="493">
        <f t="shared" si="258"/>
        <v>489</v>
      </c>
      <c r="B2022" s="404" t="s">
        <v>573</v>
      </c>
      <c r="C2022" s="455" t="s">
        <v>272</v>
      </c>
      <c r="D2022" s="487">
        <v>5164</v>
      </c>
      <c r="E2022" s="391">
        <v>808</v>
      </c>
      <c r="F2022" s="391" t="s">
        <v>252</v>
      </c>
      <c r="G2022" s="391">
        <v>822</v>
      </c>
      <c r="H2022" s="528">
        <v>2</v>
      </c>
      <c r="I2022" s="528">
        <v>3</v>
      </c>
      <c r="J2022" s="528">
        <v>14</v>
      </c>
      <c r="K2022" s="458" t="s">
        <v>4141</v>
      </c>
      <c r="L2022" s="519">
        <f t="shared" si="260"/>
        <v>223053.96</v>
      </c>
      <c r="M2022" s="519">
        <v>189710.96</v>
      </c>
      <c r="N2022" s="388">
        <v>33343</v>
      </c>
      <c r="O2022" s="473"/>
      <c r="P2022" s="388"/>
      <c r="Q2022" s="388"/>
      <c r="R2022" s="391">
        <f>M2022/J2022</f>
        <v>13550.782857142856</v>
      </c>
      <c r="S2022" s="388">
        <f t="shared" si="256"/>
        <v>0</v>
      </c>
      <c r="T2022" s="390"/>
      <c r="U2022" s="388"/>
      <c r="V2022" s="390"/>
      <c r="W2022" s="398"/>
      <c r="X2022" s="398"/>
    </row>
    <row r="2023" spans="1:16379" s="416" customFormat="1" ht="37.5" hidden="1" customHeight="1">
      <c r="A2023" s="493">
        <f t="shared" si="258"/>
        <v>490</v>
      </c>
      <c r="B2023" s="403" t="s">
        <v>2536</v>
      </c>
      <c r="C2023" s="455" t="s">
        <v>218</v>
      </c>
      <c r="D2023" s="487">
        <v>16186</v>
      </c>
      <c r="E2023" s="391">
        <v>2799</v>
      </c>
      <c r="F2023" s="391" t="s">
        <v>234</v>
      </c>
      <c r="G2023" s="391">
        <v>997</v>
      </c>
      <c r="H2023" s="528">
        <v>9</v>
      </c>
      <c r="I2023" s="528">
        <v>2</v>
      </c>
      <c r="J2023" s="528">
        <v>90</v>
      </c>
      <c r="K2023" s="458" t="s">
        <v>377</v>
      </c>
      <c r="L2023" s="529">
        <f t="shared" si="260"/>
        <v>9463279</v>
      </c>
      <c r="M2023" s="529">
        <v>9400000</v>
      </c>
      <c r="N2023" s="391">
        <v>33279</v>
      </c>
      <c r="O2023" s="530"/>
      <c r="P2023" s="391"/>
      <c r="Q2023" s="391">
        <v>30000</v>
      </c>
      <c r="R2023" s="528">
        <f t="shared" ref="R2023:R2031" si="261">M2023/E2023</f>
        <v>3358.3422650946768</v>
      </c>
      <c r="S2023" s="388">
        <f t="shared" si="256"/>
        <v>0</v>
      </c>
      <c r="T2023" s="398"/>
      <c r="U2023" s="391"/>
      <c r="V2023" s="390"/>
      <c r="W2023" s="398"/>
      <c r="X2023" s="398"/>
    </row>
    <row r="2024" spans="1:16379" s="416" customFormat="1" ht="37.5" hidden="1" customHeight="1">
      <c r="A2024" s="493">
        <f t="shared" si="258"/>
        <v>491</v>
      </c>
      <c r="B2024" s="403" t="s">
        <v>2579</v>
      </c>
      <c r="C2024" s="455" t="s">
        <v>218</v>
      </c>
      <c r="D2024" s="487">
        <v>17426</v>
      </c>
      <c r="E2024" s="391">
        <v>3343</v>
      </c>
      <c r="F2024" s="391" t="s">
        <v>234</v>
      </c>
      <c r="G2024" s="391">
        <v>698.7</v>
      </c>
      <c r="H2024" s="528">
        <v>9</v>
      </c>
      <c r="I2024" s="528">
        <v>3</v>
      </c>
      <c r="J2024" s="528">
        <v>84</v>
      </c>
      <c r="K2024" s="458" t="s">
        <v>377</v>
      </c>
      <c r="L2024" s="529">
        <f t="shared" si="260"/>
        <v>10092731</v>
      </c>
      <c r="M2024" s="529">
        <v>10029000</v>
      </c>
      <c r="N2024" s="391">
        <v>33731</v>
      </c>
      <c r="O2024" s="530"/>
      <c r="P2024" s="391"/>
      <c r="Q2024" s="391">
        <v>30000</v>
      </c>
      <c r="R2024" s="528">
        <f t="shared" si="261"/>
        <v>3000</v>
      </c>
      <c r="S2024" s="388">
        <f t="shared" si="256"/>
        <v>0</v>
      </c>
      <c r="T2024" s="398"/>
      <c r="U2024" s="391"/>
      <c r="V2024" s="390"/>
      <c r="W2024" s="398"/>
      <c r="X2024" s="398"/>
    </row>
    <row r="2025" spans="1:16379" s="416" customFormat="1" ht="37.5" hidden="1" customHeight="1">
      <c r="A2025" s="493">
        <f t="shared" si="258"/>
        <v>492</v>
      </c>
      <c r="B2025" s="403" t="s">
        <v>2674</v>
      </c>
      <c r="C2025" s="455" t="s">
        <v>218</v>
      </c>
      <c r="D2025" s="487">
        <v>32036</v>
      </c>
      <c r="E2025" s="391">
        <v>5883</v>
      </c>
      <c r="F2025" s="391" t="s">
        <v>234</v>
      </c>
      <c r="G2025" s="391">
        <v>1408</v>
      </c>
      <c r="H2025" s="528">
        <v>9</v>
      </c>
      <c r="I2025" s="528">
        <v>4</v>
      </c>
      <c r="J2025" s="528">
        <v>144</v>
      </c>
      <c r="K2025" s="458" t="s">
        <v>285</v>
      </c>
      <c r="L2025" s="529">
        <f t="shared" si="260"/>
        <v>17718063</v>
      </c>
      <c r="M2025" s="529">
        <v>17649000</v>
      </c>
      <c r="N2025" s="391">
        <v>39063</v>
      </c>
      <c r="O2025" s="530"/>
      <c r="P2025" s="391"/>
      <c r="Q2025" s="391">
        <v>30000</v>
      </c>
      <c r="R2025" s="528">
        <f t="shared" si="261"/>
        <v>3000</v>
      </c>
      <c r="S2025" s="388">
        <f t="shared" si="256"/>
        <v>0</v>
      </c>
      <c r="T2025" s="398"/>
      <c r="U2025" s="391"/>
      <c r="V2025" s="390"/>
      <c r="W2025" s="398"/>
      <c r="X2025" s="398"/>
    </row>
    <row r="2026" spans="1:16379" s="416" customFormat="1" ht="37.5" hidden="1" customHeight="1">
      <c r="A2026" s="493">
        <f t="shared" si="258"/>
        <v>493</v>
      </c>
      <c r="B2026" s="403" t="s">
        <v>2731</v>
      </c>
      <c r="C2026" s="455" t="s">
        <v>218</v>
      </c>
      <c r="D2026" s="487">
        <v>15482</v>
      </c>
      <c r="E2026" s="391">
        <v>2850.6</v>
      </c>
      <c r="F2026" s="391" t="s">
        <v>234</v>
      </c>
      <c r="G2026" s="391">
        <v>493</v>
      </c>
      <c r="H2026" s="528">
        <v>10</v>
      </c>
      <c r="I2026" s="528">
        <v>2</v>
      </c>
      <c r="J2026" s="528">
        <v>77</v>
      </c>
      <c r="K2026" s="458" t="s">
        <v>285</v>
      </c>
      <c r="L2026" s="529">
        <f t="shared" si="260"/>
        <v>8614822</v>
      </c>
      <c r="M2026" s="529">
        <v>8551800</v>
      </c>
      <c r="N2026" s="391">
        <v>33022</v>
      </c>
      <c r="O2026" s="530"/>
      <c r="P2026" s="391"/>
      <c r="Q2026" s="391">
        <v>30000</v>
      </c>
      <c r="R2026" s="528">
        <f t="shared" si="261"/>
        <v>3000</v>
      </c>
      <c r="S2026" s="388">
        <f t="shared" si="256"/>
        <v>0</v>
      </c>
      <c r="T2026" s="462"/>
      <c r="U2026" s="391"/>
      <c r="V2026" s="390"/>
      <c r="W2026" s="398"/>
      <c r="X2026" s="398"/>
      <c r="Y2026" s="381"/>
      <c r="Z2026" s="381"/>
      <c r="AA2026" s="381"/>
      <c r="AB2026" s="381"/>
      <c r="AC2026" s="381"/>
      <c r="AD2026" s="381"/>
      <c r="AE2026" s="381"/>
      <c r="AF2026" s="381"/>
      <c r="AG2026" s="381"/>
      <c r="AH2026" s="381"/>
      <c r="AI2026" s="381"/>
      <c r="AJ2026" s="381"/>
      <c r="AK2026" s="381"/>
      <c r="AL2026" s="381"/>
      <c r="AM2026" s="381"/>
      <c r="AN2026" s="381"/>
      <c r="AO2026" s="381"/>
      <c r="AP2026" s="381"/>
      <c r="AQ2026" s="381"/>
      <c r="AR2026" s="381"/>
      <c r="AS2026" s="381"/>
      <c r="AT2026" s="381"/>
      <c r="AU2026" s="381"/>
      <c r="AV2026" s="381"/>
      <c r="AW2026" s="381"/>
      <c r="AX2026" s="381"/>
      <c r="AY2026" s="381"/>
      <c r="AZ2026" s="381"/>
      <c r="BA2026" s="381"/>
      <c r="BB2026" s="381"/>
      <c r="BC2026" s="381"/>
      <c r="BD2026" s="381"/>
      <c r="BE2026" s="381"/>
      <c r="BF2026" s="381"/>
      <c r="BG2026" s="381"/>
      <c r="BH2026" s="381"/>
      <c r="BI2026" s="381"/>
      <c r="BJ2026" s="381"/>
      <c r="BK2026" s="381"/>
      <c r="BL2026" s="381"/>
      <c r="BM2026" s="381"/>
      <c r="BN2026" s="381"/>
      <c r="BO2026" s="381"/>
      <c r="BP2026" s="381"/>
      <c r="BQ2026" s="381"/>
      <c r="BR2026" s="381"/>
      <c r="BS2026" s="381"/>
      <c r="BT2026" s="381"/>
      <c r="BU2026" s="381"/>
      <c r="BV2026" s="381"/>
      <c r="BW2026" s="381"/>
      <c r="BX2026" s="381"/>
      <c r="BY2026" s="381"/>
      <c r="BZ2026" s="381"/>
      <c r="CA2026" s="381"/>
      <c r="CB2026" s="381"/>
      <c r="CC2026" s="381"/>
      <c r="CD2026" s="381"/>
      <c r="CE2026" s="381"/>
      <c r="CF2026" s="381"/>
      <c r="CG2026" s="381"/>
      <c r="CH2026" s="381"/>
      <c r="CI2026" s="381"/>
      <c r="CJ2026" s="381"/>
      <c r="CK2026" s="381"/>
      <c r="CL2026" s="381"/>
      <c r="CM2026" s="381"/>
      <c r="CN2026" s="381"/>
      <c r="CO2026" s="381"/>
      <c r="CP2026" s="381"/>
      <c r="CQ2026" s="381"/>
      <c r="CR2026" s="381"/>
      <c r="CS2026" s="381"/>
      <c r="CT2026" s="381"/>
      <c r="CU2026" s="381"/>
      <c r="CV2026" s="381"/>
      <c r="CW2026" s="381"/>
      <c r="CX2026" s="381"/>
      <c r="CY2026" s="381"/>
      <c r="CZ2026" s="381"/>
      <c r="DA2026" s="381"/>
      <c r="DB2026" s="381"/>
      <c r="DC2026" s="381"/>
      <c r="DD2026" s="381"/>
      <c r="DE2026" s="381"/>
      <c r="DF2026" s="381"/>
      <c r="DG2026" s="381"/>
      <c r="DH2026" s="381"/>
      <c r="DI2026" s="381"/>
      <c r="DJ2026" s="381"/>
      <c r="DK2026" s="381"/>
      <c r="DL2026" s="381"/>
      <c r="DM2026" s="381"/>
      <c r="DN2026" s="381"/>
      <c r="DO2026" s="381"/>
      <c r="DP2026" s="381"/>
      <c r="DQ2026" s="381"/>
      <c r="DR2026" s="381"/>
      <c r="DS2026" s="381"/>
      <c r="DT2026" s="381"/>
      <c r="DU2026" s="381"/>
      <c r="DV2026" s="381"/>
      <c r="DW2026" s="381"/>
      <c r="DX2026" s="381"/>
      <c r="DY2026" s="381"/>
      <c r="DZ2026" s="381"/>
      <c r="EA2026" s="381"/>
      <c r="EB2026" s="381"/>
      <c r="EC2026" s="381"/>
      <c r="ED2026" s="381"/>
      <c r="EE2026" s="381"/>
      <c r="EF2026" s="381"/>
      <c r="EG2026" s="381"/>
      <c r="EH2026" s="381"/>
      <c r="EI2026" s="381"/>
      <c r="EJ2026" s="381"/>
      <c r="EK2026" s="381"/>
      <c r="EL2026" s="381"/>
      <c r="EM2026" s="381"/>
      <c r="EN2026" s="381"/>
      <c r="EO2026" s="381"/>
      <c r="EP2026" s="381"/>
      <c r="EQ2026" s="381"/>
      <c r="ER2026" s="381"/>
      <c r="ES2026" s="381"/>
      <c r="ET2026" s="381"/>
      <c r="EU2026" s="381"/>
      <c r="EV2026" s="381"/>
      <c r="EW2026" s="381"/>
      <c r="EX2026" s="381"/>
      <c r="EY2026" s="381"/>
      <c r="EZ2026" s="381"/>
      <c r="FA2026" s="381"/>
      <c r="FB2026" s="381"/>
      <c r="FC2026" s="381"/>
      <c r="FD2026" s="381"/>
      <c r="FE2026" s="381"/>
      <c r="FF2026" s="381"/>
      <c r="FG2026" s="381"/>
      <c r="FH2026" s="381"/>
      <c r="FI2026" s="381"/>
      <c r="FJ2026" s="381"/>
      <c r="FK2026" s="381"/>
      <c r="FL2026" s="381"/>
      <c r="FM2026" s="381"/>
      <c r="FN2026" s="381"/>
      <c r="FO2026" s="381"/>
      <c r="FP2026" s="381"/>
      <c r="FQ2026" s="381"/>
      <c r="FR2026" s="381"/>
      <c r="FS2026" s="381"/>
      <c r="FT2026" s="381"/>
      <c r="FU2026" s="381"/>
      <c r="FV2026" s="381"/>
      <c r="FW2026" s="381"/>
      <c r="FX2026" s="381"/>
      <c r="FY2026" s="381"/>
      <c r="FZ2026" s="381"/>
      <c r="GA2026" s="381"/>
      <c r="GB2026" s="381"/>
      <c r="GC2026" s="381"/>
      <c r="GD2026" s="381"/>
      <c r="GE2026" s="381"/>
      <c r="GF2026" s="381"/>
      <c r="GG2026" s="381"/>
      <c r="GH2026" s="381"/>
      <c r="GI2026" s="381"/>
      <c r="GJ2026" s="381"/>
      <c r="GK2026" s="381"/>
      <c r="GL2026" s="381"/>
      <c r="GM2026" s="381"/>
      <c r="GN2026" s="381"/>
      <c r="GO2026" s="381"/>
      <c r="GP2026" s="381"/>
      <c r="GQ2026" s="381"/>
      <c r="GR2026" s="381"/>
      <c r="GS2026" s="381"/>
      <c r="GT2026" s="381"/>
      <c r="GU2026" s="381"/>
      <c r="GV2026" s="381"/>
      <c r="GW2026" s="381"/>
      <c r="GX2026" s="381"/>
      <c r="GY2026" s="381"/>
      <c r="GZ2026" s="381"/>
      <c r="HA2026" s="381"/>
      <c r="HB2026" s="381"/>
      <c r="HC2026" s="381"/>
      <c r="HD2026" s="381"/>
      <c r="HE2026" s="381"/>
      <c r="HF2026" s="381"/>
      <c r="HG2026" s="381"/>
      <c r="HH2026" s="381"/>
      <c r="HI2026" s="381"/>
      <c r="HJ2026" s="381"/>
      <c r="HK2026" s="381"/>
      <c r="HL2026" s="381"/>
      <c r="HM2026" s="381"/>
      <c r="HN2026" s="381"/>
      <c r="HO2026" s="381"/>
      <c r="HP2026" s="381"/>
      <c r="HQ2026" s="381"/>
      <c r="HR2026" s="381"/>
      <c r="HS2026" s="381"/>
      <c r="HT2026" s="381"/>
      <c r="HU2026" s="381"/>
      <c r="HV2026" s="381"/>
      <c r="HW2026" s="381"/>
      <c r="HX2026" s="381"/>
      <c r="HY2026" s="381"/>
      <c r="HZ2026" s="381"/>
      <c r="IA2026" s="381"/>
      <c r="IB2026" s="381"/>
      <c r="IC2026" s="381"/>
      <c r="ID2026" s="381"/>
      <c r="IE2026" s="381"/>
      <c r="IF2026" s="381"/>
      <c r="IG2026" s="381"/>
      <c r="IH2026" s="381"/>
      <c r="II2026" s="381"/>
      <c r="IJ2026" s="381"/>
      <c r="IK2026" s="381"/>
      <c r="IL2026" s="381"/>
      <c r="IM2026" s="381"/>
      <c r="IN2026" s="381"/>
      <c r="IO2026" s="381"/>
      <c r="IP2026" s="381"/>
      <c r="IQ2026" s="381"/>
      <c r="IR2026" s="381"/>
      <c r="IS2026" s="381"/>
      <c r="IT2026" s="381"/>
      <c r="IU2026" s="381"/>
      <c r="IV2026" s="381"/>
      <c r="IW2026" s="381"/>
      <c r="IX2026" s="381"/>
      <c r="IY2026" s="381"/>
      <c r="IZ2026" s="381"/>
      <c r="JA2026" s="381"/>
      <c r="JB2026" s="381"/>
      <c r="JC2026" s="381"/>
      <c r="JD2026" s="381"/>
      <c r="JE2026" s="381"/>
      <c r="JF2026" s="381"/>
      <c r="JG2026" s="381"/>
      <c r="JH2026" s="381"/>
      <c r="JI2026" s="381"/>
      <c r="JJ2026" s="381"/>
      <c r="JK2026" s="381"/>
      <c r="JL2026" s="381"/>
      <c r="JM2026" s="381"/>
      <c r="JN2026" s="381"/>
      <c r="JO2026" s="381"/>
      <c r="JP2026" s="381"/>
      <c r="JQ2026" s="381"/>
      <c r="JR2026" s="381"/>
      <c r="JS2026" s="381"/>
      <c r="JT2026" s="381"/>
      <c r="JU2026" s="381"/>
      <c r="JV2026" s="381"/>
      <c r="JW2026" s="381"/>
      <c r="JX2026" s="381"/>
      <c r="JY2026" s="381"/>
      <c r="JZ2026" s="381"/>
      <c r="KA2026" s="381"/>
      <c r="KB2026" s="381"/>
      <c r="KC2026" s="381"/>
      <c r="KD2026" s="381"/>
      <c r="KE2026" s="381"/>
      <c r="KF2026" s="381"/>
      <c r="KG2026" s="381"/>
      <c r="KH2026" s="381"/>
      <c r="KI2026" s="381"/>
      <c r="KJ2026" s="381"/>
      <c r="KK2026" s="381"/>
      <c r="KL2026" s="381"/>
      <c r="KM2026" s="381"/>
      <c r="KN2026" s="381"/>
      <c r="KO2026" s="381"/>
      <c r="KP2026" s="381"/>
      <c r="KQ2026" s="381"/>
      <c r="KR2026" s="381"/>
      <c r="KS2026" s="381"/>
      <c r="KT2026" s="381"/>
      <c r="KU2026" s="381"/>
      <c r="KV2026" s="381"/>
      <c r="KW2026" s="381"/>
      <c r="KX2026" s="381"/>
      <c r="KY2026" s="381"/>
      <c r="KZ2026" s="381"/>
      <c r="LA2026" s="381"/>
      <c r="LB2026" s="381"/>
      <c r="LC2026" s="381"/>
      <c r="LD2026" s="381"/>
      <c r="LE2026" s="381"/>
      <c r="LF2026" s="381"/>
      <c r="LG2026" s="381"/>
      <c r="LH2026" s="381"/>
      <c r="LI2026" s="381"/>
      <c r="LJ2026" s="381"/>
      <c r="LK2026" s="381"/>
      <c r="LL2026" s="381"/>
      <c r="LM2026" s="381"/>
      <c r="LN2026" s="381"/>
      <c r="LO2026" s="381"/>
      <c r="LP2026" s="381"/>
      <c r="LQ2026" s="381"/>
      <c r="LR2026" s="381"/>
      <c r="LS2026" s="381"/>
      <c r="LT2026" s="381"/>
      <c r="LU2026" s="381"/>
      <c r="LV2026" s="381"/>
      <c r="LW2026" s="381"/>
      <c r="LX2026" s="381"/>
      <c r="LY2026" s="381"/>
      <c r="LZ2026" s="381"/>
      <c r="MA2026" s="381"/>
      <c r="MB2026" s="381"/>
      <c r="MC2026" s="381"/>
      <c r="MD2026" s="381"/>
      <c r="ME2026" s="381"/>
      <c r="MF2026" s="381"/>
      <c r="MG2026" s="381"/>
      <c r="MH2026" s="381"/>
      <c r="MI2026" s="381"/>
      <c r="MJ2026" s="381"/>
      <c r="MK2026" s="381"/>
      <c r="ML2026" s="381"/>
      <c r="MM2026" s="381"/>
      <c r="MN2026" s="381"/>
      <c r="MO2026" s="381"/>
      <c r="MP2026" s="381"/>
      <c r="MQ2026" s="381"/>
      <c r="MR2026" s="381"/>
      <c r="MS2026" s="381"/>
      <c r="MT2026" s="381"/>
      <c r="MU2026" s="381"/>
      <c r="MV2026" s="381"/>
      <c r="MW2026" s="381"/>
      <c r="MX2026" s="381"/>
      <c r="MY2026" s="381"/>
      <c r="MZ2026" s="381"/>
      <c r="NA2026" s="381"/>
      <c r="NB2026" s="381"/>
      <c r="NC2026" s="381"/>
      <c r="ND2026" s="381"/>
      <c r="NE2026" s="381"/>
      <c r="NF2026" s="381"/>
      <c r="NG2026" s="381"/>
      <c r="NH2026" s="381"/>
      <c r="NI2026" s="381"/>
      <c r="NJ2026" s="381"/>
      <c r="NK2026" s="381"/>
      <c r="NL2026" s="381"/>
      <c r="NM2026" s="381"/>
      <c r="NN2026" s="381"/>
      <c r="NO2026" s="381"/>
      <c r="NP2026" s="381"/>
      <c r="NQ2026" s="381"/>
      <c r="NR2026" s="381"/>
      <c r="NS2026" s="381"/>
      <c r="NT2026" s="381"/>
      <c r="NU2026" s="381"/>
      <c r="NV2026" s="381"/>
      <c r="NW2026" s="381"/>
      <c r="NX2026" s="381"/>
      <c r="NY2026" s="381"/>
      <c r="NZ2026" s="381"/>
      <c r="OA2026" s="381"/>
      <c r="OB2026" s="381"/>
      <c r="OC2026" s="381"/>
      <c r="OD2026" s="381"/>
      <c r="OE2026" s="381"/>
      <c r="OF2026" s="381"/>
      <c r="OG2026" s="381"/>
      <c r="OH2026" s="381"/>
      <c r="OI2026" s="381"/>
      <c r="OJ2026" s="381"/>
      <c r="OK2026" s="381"/>
      <c r="OL2026" s="381"/>
      <c r="OM2026" s="381"/>
      <c r="ON2026" s="381"/>
      <c r="OO2026" s="381"/>
      <c r="OP2026" s="381"/>
      <c r="OQ2026" s="381"/>
      <c r="OR2026" s="381"/>
      <c r="OS2026" s="381"/>
      <c r="OT2026" s="381"/>
      <c r="OU2026" s="381"/>
      <c r="OV2026" s="381"/>
      <c r="OW2026" s="381"/>
      <c r="OX2026" s="381"/>
      <c r="OY2026" s="381"/>
      <c r="OZ2026" s="381"/>
      <c r="PA2026" s="381"/>
      <c r="PB2026" s="381"/>
      <c r="PC2026" s="381"/>
      <c r="PD2026" s="381"/>
      <c r="PE2026" s="381"/>
      <c r="PF2026" s="381"/>
      <c r="PG2026" s="381"/>
      <c r="PH2026" s="381"/>
      <c r="PI2026" s="381"/>
      <c r="PJ2026" s="381"/>
      <c r="PK2026" s="381"/>
      <c r="PL2026" s="381"/>
      <c r="PM2026" s="381"/>
      <c r="PN2026" s="381"/>
      <c r="PO2026" s="381"/>
      <c r="PP2026" s="381"/>
      <c r="PQ2026" s="381"/>
      <c r="PR2026" s="381"/>
      <c r="PS2026" s="381"/>
      <c r="PT2026" s="381"/>
      <c r="PU2026" s="381"/>
      <c r="PV2026" s="381"/>
      <c r="PW2026" s="381"/>
      <c r="PX2026" s="381"/>
      <c r="PY2026" s="381"/>
      <c r="PZ2026" s="381"/>
      <c r="QA2026" s="381"/>
      <c r="QB2026" s="381"/>
      <c r="QC2026" s="381"/>
      <c r="QD2026" s="381"/>
      <c r="QE2026" s="381"/>
      <c r="QF2026" s="381"/>
      <c r="QG2026" s="381"/>
      <c r="QH2026" s="381"/>
      <c r="QI2026" s="381"/>
      <c r="QJ2026" s="381"/>
      <c r="QK2026" s="381"/>
      <c r="QL2026" s="381"/>
      <c r="QM2026" s="381"/>
      <c r="QN2026" s="381"/>
      <c r="QO2026" s="381"/>
      <c r="QP2026" s="381"/>
      <c r="QQ2026" s="381"/>
      <c r="QR2026" s="381"/>
      <c r="QS2026" s="381"/>
      <c r="QT2026" s="381"/>
      <c r="QU2026" s="381"/>
      <c r="QV2026" s="381"/>
      <c r="QW2026" s="381"/>
      <c r="QX2026" s="381"/>
      <c r="QY2026" s="381"/>
      <c r="QZ2026" s="381"/>
      <c r="RA2026" s="381"/>
      <c r="RB2026" s="381"/>
      <c r="RC2026" s="381"/>
      <c r="RD2026" s="381"/>
      <c r="RE2026" s="381"/>
      <c r="RF2026" s="381"/>
      <c r="RG2026" s="381"/>
      <c r="RH2026" s="381"/>
      <c r="RI2026" s="381"/>
      <c r="RJ2026" s="381"/>
      <c r="RK2026" s="381"/>
      <c r="RL2026" s="381"/>
      <c r="RM2026" s="381"/>
      <c r="RN2026" s="381"/>
      <c r="RO2026" s="381"/>
      <c r="RP2026" s="381"/>
      <c r="RQ2026" s="381"/>
      <c r="RR2026" s="381"/>
      <c r="RS2026" s="381"/>
      <c r="RT2026" s="381"/>
      <c r="RU2026" s="381"/>
      <c r="RV2026" s="381"/>
      <c r="RW2026" s="381"/>
      <c r="RX2026" s="381"/>
      <c r="RY2026" s="381"/>
      <c r="RZ2026" s="381"/>
      <c r="SA2026" s="381"/>
      <c r="SB2026" s="381"/>
      <c r="SC2026" s="381"/>
      <c r="SD2026" s="381"/>
      <c r="SE2026" s="381"/>
      <c r="SF2026" s="381"/>
      <c r="SG2026" s="381"/>
      <c r="SH2026" s="381"/>
      <c r="SI2026" s="381"/>
      <c r="SJ2026" s="381"/>
      <c r="SK2026" s="381"/>
      <c r="SL2026" s="381"/>
      <c r="SM2026" s="381"/>
      <c r="SN2026" s="381"/>
      <c r="SO2026" s="381"/>
      <c r="SP2026" s="381"/>
      <c r="SQ2026" s="381"/>
      <c r="SR2026" s="381"/>
      <c r="SS2026" s="381"/>
      <c r="ST2026" s="381"/>
      <c r="SU2026" s="381"/>
      <c r="SV2026" s="381"/>
      <c r="SW2026" s="381"/>
      <c r="SX2026" s="381"/>
      <c r="SY2026" s="381"/>
      <c r="SZ2026" s="381"/>
      <c r="TA2026" s="381"/>
      <c r="TB2026" s="381"/>
      <c r="TC2026" s="381"/>
      <c r="TD2026" s="381"/>
      <c r="TE2026" s="381"/>
      <c r="TF2026" s="381"/>
      <c r="TG2026" s="381"/>
      <c r="TH2026" s="381"/>
      <c r="TI2026" s="381"/>
      <c r="TJ2026" s="381"/>
      <c r="TK2026" s="381"/>
      <c r="TL2026" s="381"/>
      <c r="TM2026" s="381"/>
      <c r="TN2026" s="381"/>
      <c r="TO2026" s="381"/>
      <c r="TP2026" s="381"/>
      <c r="TQ2026" s="381"/>
      <c r="TR2026" s="381"/>
      <c r="TS2026" s="381"/>
      <c r="TT2026" s="381"/>
      <c r="TU2026" s="381"/>
      <c r="TV2026" s="381"/>
      <c r="TW2026" s="381"/>
      <c r="TX2026" s="381"/>
      <c r="TY2026" s="381"/>
      <c r="TZ2026" s="381"/>
      <c r="UA2026" s="381"/>
      <c r="UB2026" s="381"/>
      <c r="UC2026" s="381"/>
      <c r="UD2026" s="381"/>
      <c r="UE2026" s="381"/>
      <c r="UF2026" s="381"/>
      <c r="UG2026" s="381"/>
      <c r="UH2026" s="381"/>
      <c r="UI2026" s="381"/>
      <c r="UJ2026" s="381"/>
      <c r="UK2026" s="381"/>
      <c r="UL2026" s="381"/>
      <c r="UM2026" s="381"/>
      <c r="UN2026" s="381"/>
      <c r="UO2026" s="381"/>
      <c r="UP2026" s="381"/>
      <c r="UQ2026" s="381"/>
      <c r="UR2026" s="381"/>
      <c r="US2026" s="381"/>
      <c r="UT2026" s="381"/>
      <c r="UU2026" s="381"/>
      <c r="UV2026" s="381"/>
      <c r="UW2026" s="381"/>
      <c r="UX2026" s="381"/>
      <c r="UY2026" s="381"/>
      <c r="UZ2026" s="381"/>
      <c r="VA2026" s="381"/>
      <c r="VB2026" s="381"/>
      <c r="VC2026" s="381"/>
      <c r="VD2026" s="381"/>
      <c r="VE2026" s="381"/>
      <c r="VF2026" s="381"/>
      <c r="VG2026" s="381"/>
      <c r="VH2026" s="381"/>
      <c r="VI2026" s="381"/>
      <c r="VJ2026" s="381"/>
      <c r="VK2026" s="381"/>
      <c r="VL2026" s="381"/>
      <c r="VM2026" s="381"/>
      <c r="VN2026" s="381"/>
      <c r="VO2026" s="381"/>
      <c r="VP2026" s="381"/>
      <c r="VQ2026" s="381"/>
      <c r="VR2026" s="381"/>
      <c r="VS2026" s="381"/>
      <c r="VT2026" s="381"/>
      <c r="VU2026" s="381"/>
      <c r="VV2026" s="381"/>
      <c r="VW2026" s="381"/>
      <c r="VX2026" s="381"/>
      <c r="VY2026" s="381"/>
      <c r="VZ2026" s="381"/>
      <c r="WA2026" s="381"/>
      <c r="WB2026" s="381"/>
      <c r="WC2026" s="381"/>
      <c r="WD2026" s="381"/>
      <c r="WE2026" s="381"/>
      <c r="WF2026" s="381"/>
      <c r="WG2026" s="381"/>
      <c r="WH2026" s="381"/>
      <c r="WI2026" s="381"/>
      <c r="WJ2026" s="381"/>
      <c r="WK2026" s="381"/>
      <c r="WL2026" s="381"/>
      <c r="WM2026" s="381"/>
      <c r="WN2026" s="381"/>
      <c r="WO2026" s="381"/>
      <c r="WP2026" s="381"/>
      <c r="WQ2026" s="381"/>
      <c r="WR2026" s="381"/>
      <c r="WS2026" s="381"/>
      <c r="WT2026" s="381"/>
      <c r="WU2026" s="381"/>
      <c r="WV2026" s="381"/>
      <c r="WW2026" s="381"/>
      <c r="WX2026" s="381"/>
      <c r="WY2026" s="381"/>
      <c r="WZ2026" s="381"/>
      <c r="XA2026" s="381"/>
      <c r="XB2026" s="381"/>
      <c r="XC2026" s="381"/>
      <c r="XD2026" s="381"/>
      <c r="XE2026" s="381"/>
      <c r="XF2026" s="381"/>
      <c r="XG2026" s="381"/>
      <c r="XH2026" s="381"/>
      <c r="XI2026" s="381"/>
      <c r="XJ2026" s="381"/>
      <c r="XK2026" s="381"/>
      <c r="XL2026" s="381"/>
      <c r="XM2026" s="381"/>
      <c r="XN2026" s="381"/>
      <c r="XO2026" s="381"/>
      <c r="XP2026" s="381"/>
      <c r="XQ2026" s="381"/>
      <c r="XR2026" s="381"/>
      <c r="XS2026" s="381"/>
      <c r="XT2026" s="381"/>
      <c r="XU2026" s="381"/>
      <c r="XV2026" s="381"/>
      <c r="XW2026" s="381"/>
      <c r="XX2026" s="381"/>
      <c r="XY2026" s="381"/>
      <c r="XZ2026" s="381"/>
      <c r="YA2026" s="381"/>
      <c r="YB2026" s="381"/>
      <c r="YC2026" s="381"/>
      <c r="YD2026" s="381"/>
      <c r="YE2026" s="381"/>
      <c r="YF2026" s="381"/>
      <c r="YG2026" s="381"/>
      <c r="YH2026" s="381"/>
      <c r="YI2026" s="381"/>
      <c r="YJ2026" s="381"/>
      <c r="YK2026" s="381"/>
      <c r="YL2026" s="381"/>
      <c r="YM2026" s="381"/>
      <c r="YN2026" s="381"/>
      <c r="YO2026" s="381"/>
      <c r="YP2026" s="381"/>
      <c r="YQ2026" s="381"/>
      <c r="YR2026" s="381"/>
      <c r="YS2026" s="381"/>
      <c r="YT2026" s="381"/>
      <c r="YU2026" s="381"/>
      <c r="YV2026" s="381"/>
      <c r="YW2026" s="381"/>
      <c r="YX2026" s="381"/>
      <c r="YY2026" s="381"/>
      <c r="YZ2026" s="381"/>
      <c r="ZA2026" s="381"/>
      <c r="ZB2026" s="381"/>
      <c r="ZC2026" s="381"/>
      <c r="ZD2026" s="381"/>
      <c r="ZE2026" s="381"/>
      <c r="ZF2026" s="381"/>
      <c r="ZG2026" s="381"/>
      <c r="ZH2026" s="381"/>
      <c r="ZI2026" s="381"/>
      <c r="ZJ2026" s="381"/>
      <c r="ZK2026" s="381"/>
      <c r="ZL2026" s="381"/>
      <c r="ZM2026" s="381"/>
      <c r="ZN2026" s="381"/>
      <c r="ZO2026" s="381"/>
      <c r="ZP2026" s="381"/>
      <c r="ZQ2026" s="381"/>
      <c r="ZR2026" s="381"/>
      <c r="ZS2026" s="381"/>
      <c r="ZT2026" s="381"/>
      <c r="ZU2026" s="381"/>
      <c r="ZV2026" s="381"/>
      <c r="ZW2026" s="381"/>
      <c r="ZX2026" s="381"/>
      <c r="ZY2026" s="381"/>
      <c r="ZZ2026" s="381"/>
      <c r="AAA2026" s="381"/>
      <c r="AAB2026" s="381"/>
      <c r="AAC2026" s="381"/>
      <c r="AAD2026" s="381"/>
      <c r="AAE2026" s="381"/>
      <c r="AAF2026" s="381"/>
      <c r="AAG2026" s="381"/>
      <c r="AAH2026" s="381"/>
      <c r="AAI2026" s="381"/>
      <c r="AAJ2026" s="381"/>
      <c r="AAK2026" s="381"/>
      <c r="AAL2026" s="381"/>
      <c r="AAM2026" s="381"/>
      <c r="AAN2026" s="381"/>
      <c r="AAO2026" s="381"/>
      <c r="AAP2026" s="381"/>
      <c r="AAQ2026" s="381"/>
      <c r="AAR2026" s="381"/>
      <c r="AAS2026" s="381"/>
      <c r="AAT2026" s="381"/>
      <c r="AAU2026" s="381"/>
      <c r="AAV2026" s="381"/>
      <c r="AAW2026" s="381"/>
      <c r="AAX2026" s="381"/>
      <c r="AAY2026" s="381"/>
      <c r="AAZ2026" s="381"/>
      <c r="ABA2026" s="381"/>
      <c r="ABB2026" s="381"/>
      <c r="ABC2026" s="381"/>
      <c r="ABD2026" s="381"/>
      <c r="ABE2026" s="381"/>
      <c r="ABF2026" s="381"/>
      <c r="ABG2026" s="381"/>
      <c r="ABH2026" s="381"/>
      <c r="ABI2026" s="381"/>
      <c r="ABJ2026" s="381"/>
      <c r="ABK2026" s="381"/>
      <c r="ABL2026" s="381"/>
      <c r="ABM2026" s="381"/>
      <c r="ABN2026" s="381"/>
      <c r="ABO2026" s="381"/>
      <c r="ABP2026" s="381"/>
      <c r="ABQ2026" s="381"/>
      <c r="ABR2026" s="381"/>
      <c r="ABS2026" s="381"/>
      <c r="ABT2026" s="381"/>
      <c r="ABU2026" s="381"/>
      <c r="ABV2026" s="381"/>
      <c r="ABW2026" s="381"/>
      <c r="ABX2026" s="381"/>
      <c r="ABY2026" s="381"/>
      <c r="ABZ2026" s="381"/>
      <c r="ACA2026" s="381"/>
      <c r="ACB2026" s="381"/>
      <c r="ACC2026" s="381"/>
      <c r="ACD2026" s="381"/>
      <c r="ACE2026" s="381"/>
      <c r="ACF2026" s="381"/>
      <c r="ACG2026" s="381"/>
      <c r="ACH2026" s="381"/>
      <c r="ACI2026" s="381"/>
      <c r="ACJ2026" s="381"/>
      <c r="ACK2026" s="381"/>
      <c r="ACL2026" s="381"/>
      <c r="ACM2026" s="381"/>
      <c r="ACN2026" s="381"/>
      <c r="ACO2026" s="381"/>
      <c r="ACP2026" s="381"/>
      <c r="ACQ2026" s="381"/>
      <c r="ACR2026" s="381"/>
      <c r="ACS2026" s="381"/>
      <c r="ACT2026" s="381"/>
      <c r="ACU2026" s="381"/>
      <c r="ACV2026" s="381"/>
      <c r="ACW2026" s="381"/>
      <c r="ACX2026" s="381"/>
      <c r="ACY2026" s="381"/>
      <c r="ACZ2026" s="381"/>
      <c r="ADA2026" s="381"/>
      <c r="ADB2026" s="381"/>
      <c r="ADC2026" s="381"/>
      <c r="ADD2026" s="381"/>
      <c r="ADE2026" s="381"/>
      <c r="ADF2026" s="381"/>
      <c r="ADG2026" s="381"/>
      <c r="ADH2026" s="381"/>
      <c r="ADI2026" s="381"/>
      <c r="ADJ2026" s="381"/>
      <c r="ADK2026" s="381"/>
      <c r="ADL2026" s="381"/>
      <c r="ADM2026" s="381"/>
      <c r="ADN2026" s="381"/>
      <c r="ADO2026" s="381"/>
      <c r="ADP2026" s="381"/>
      <c r="ADQ2026" s="381"/>
      <c r="ADR2026" s="381"/>
      <c r="ADS2026" s="381"/>
      <c r="ADT2026" s="381"/>
      <c r="ADU2026" s="381"/>
      <c r="ADV2026" s="381"/>
      <c r="ADW2026" s="381"/>
      <c r="ADX2026" s="381"/>
      <c r="ADY2026" s="381"/>
      <c r="ADZ2026" s="381"/>
      <c r="AEA2026" s="381"/>
      <c r="AEB2026" s="381"/>
      <c r="AEC2026" s="381"/>
      <c r="AED2026" s="381"/>
      <c r="AEE2026" s="381"/>
      <c r="AEF2026" s="381"/>
      <c r="AEG2026" s="381"/>
      <c r="AEH2026" s="381"/>
      <c r="AEI2026" s="381"/>
      <c r="AEJ2026" s="381"/>
      <c r="AEK2026" s="381"/>
      <c r="AEL2026" s="381"/>
      <c r="AEM2026" s="381"/>
      <c r="AEN2026" s="381"/>
      <c r="AEO2026" s="381"/>
      <c r="AEP2026" s="381"/>
      <c r="AEQ2026" s="381"/>
      <c r="AER2026" s="381"/>
      <c r="AES2026" s="381"/>
      <c r="AET2026" s="381"/>
      <c r="AEU2026" s="381"/>
      <c r="AEV2026" s="381"/>
      <c r="AEW2026" s="381"/>
      <c r="AEX2026" s="381"/>
      <c r="AEY2026" s="381"/>
      <c r="AEZ2026" s="381"/>
      <c r="AFA2026" s="381"/>
      <c r="AFB2026" s="381"/>
      <c r="AFC2026" s="381"/>
      <c r="AFD2026" s="381"/>
      <c r="AFE2026" s="381"/>
      <c r="AFF2026" s="381"/>
      <c r="AFG2026" s="381"/>
      <c r="AFH2026" s="381"/>
      <c r="AFI2026" s="381"/>
      <c r="AFJ2026" s="381"/>
      <c r="AFK2026" s="381"/>
      <c r="AFL2026" s="381"/>
      <c r="AFM2026" s="381"/>
      <c r="AFN2026" s="381"/>
      <c r="AFO2026" s="381"/>
      <c r="AFP2026" s="381"/>
      <c r="AFQ2026" s="381"/>
      <c r="AFR2026" s="381"/>
      <c r="AFS2026" s="381"/>
      <c r="AFT2026" s="381"/>
      <c r="AFU2026" s="381"/>
      <c r="AFV2026" s="381"/>
      <c r="AFW2026" s="381"/>
      <c r="AFX2026" s="381"/>
      <c r="AFY2026" s="381"/>
      <c r="AFZ2026" s="381"/>
      <c r="AGA2026" s="381"/>
      <c r="AGB2026" s="381"/>
      <c r="AGC2026" s="381"/>
      <c r="AGD2026" s="381"/>
      <c r="AGE2026" s="381"/>
      <c r="AGF2026" s="381"/>
      <c r="AGG2026" s="381"/>
      <c r="AGH2026" s="381"/>
      <c r="AGI2026" s="381"/>
      <c r="AGJ2026" s="381"/>
      <c r="AGK2026" s="381"/>
      <c r="AGL2026" s="381"/>
      <c r="AGM2026" s="381"/>
      <c r="AGN2026" s="381"/>
      <c r="AGO2026" s="381"/>
      <c r="AGP2026" s="381"/>
      <c r="AGQ2026" s="381"/>
      <c r="AGR2026" s="381"/>
      <c r="AGS2026" s="381"/>
      <c r="AGT2026" s="381"/>
      <c r="AGU2026" s="381"/>
      <c r="AGV2026" s="381"/>
      <c r="AGW2026" s="381"/>
      <c r="AGX2026" s="381"/>
      <c r="AGY2026" s="381"/>
      <c r="AGZ2026" s="381"/>
      <c r="AHA2026" s="381"/>
      <c r="AHB2026" s="381"/>
      <c r="AHC2026" s="381"/>
      <c r="AHD2026" s="381"/>
      <c r="AHE2026" s="381"/>
      <c r="AHF2026" s="381"/>
      <c r="AHG2026" s="381"/>
      <c r="AHH2026" s="381"/>
      <c r="AHI2026" s="381"/>
      <c r="AHJ2026" s="381"/>
      <c r="AHK2026" s="381"/>
      <c r="AHL2026" s="381"/>
      <c r="AHM2026" s="381"/>
      <c r="AHN2026" s="381"/>
      <c r="AHO2026" s="381"/>
      <c r="AHP2026" s="381"/>
      <c r="AHQ2026" s="381"/>
      <c r="AHR2026" s="381"/>
      <c r="AHS2026" s="381"/>
      <c r="AHT2026" s="381"/>
      <c r="AHU2026" s="381"/>
      <c r="AHV2026" s="381"/>
      <c r="AHW2026" s="381"/>
      <c r="AHX2026" s="381"/>
      <c r="AHY2026" s="381"/>
      <c r="AHZ2026" s="381"/>
      <c r="AIA2026" s="381"/>
      <c r="AIB2026" s="381"/>
      <c r="AIC2026" s="381"/>
      <c r="AID2026" s="381"/>
      <c r="AIE2026" s="381"/>
      <c r="AIF2026" s="381"/>
      <c r="AIG2026" s="381"/>
      <c r="AIH2026" s="381"/>
      <c r="AII2026" s="381"/>
      <c r="AIJ2026" s="381"/>
      <c r="AIK2026" s="381"/>
      <c r="AIL2026" s="381"/>
      <c r="AIM2026" s="381"/>
      <c r="AIN2026" s="381"/>
      <c r="AIO2026" s="381"/>
      <c r="AIP2026" s="381"/>
      <c r="AIQ2026" s="381"/>
      <c r="AIR2026" s="381"/>
      <c r="AIS2026" s="381"/>
      <c r="AIT2026" s="381"/>
      <c r="AIU2026" s="381"/>
      <c r="AIV2026" s="381"/>
      <c r="AIW2026" s="381"/>
      <c r="AIX2026" s="381"/>
      <c r="AIY2026" s="381"/>
      <c r="AIZ2026" s="381"/>
      <c r="AJA2026" s="381"/>
      <c r="AJB2026" s="381"/>
      <c r="AJC2026" s="381"/>
      <c r="AJD2026" s="381"/>
      <c r="AJE2026" s="381"/>
      <c r="AJF2026" s="381"/>
      <c r="AJG2026" s="381"/>
      <c r="AJH2026" s="381"/>
      <c r="AJI2026" s="381"/>
      <c r="AJJ2026" s="381"/>
      <c r="AJK2026" s="381"/>
      <c r="AJL2026" s="381"/>
      <c r="AJM2026" s="381"/>
      <c r="AJN2026" s="381"/>
      <c r="AJO2026" s="381"/>
      <c r="AJP2026" s="381"/>
      <c r="AJQ2026" s="381"/>
      <c r="AJR2026" s="381"/>
      <c r="AJS2026" s="381"/>
      <c r="AJT2026" s="381"/>
      <c r="AJU2026" s="381"/>
      <c r="AJV2026" s="381"/>
      <c r="AJW2026" s="381"/>
      <c r="AJX2026" s="381"/>
      <c r="AJY2026" s="381"/>
      <c r="AJZ2026" s="381"/>
      <c r="AKA2026" s="381"/>
      <c r="AKB2026" s="381"/>
      <c r="AKC2026" s="381"/>
      <c r="AKD2026" s="381"/>
      <c r="AKE2026" s="381"/>
      <c r="AKF2026" s="381"/>
      <c r="AKG2026" s="381"/>
      <c r="AKH2026" s="381"/>
      <c r="AKI2026" s="381"/>
      <c r="AKJ2026" s="381"/>
      <c r="AKK2026" s="381"/>
      <c r="AKL2026" s="381"/>
      <c r="AKM2026" s="381"/>
      <c r="AKN2026" s="381"/>
      <c r="AKO2026" s="381"/>
      <c r="AKP2026" s="381"/>
      <c r="AKQ2026" s="381"/>
      <c r="AKR2026" s="381"/>
      <c r="AKS2026" s="381"/>
      <c r="AKT2026" s="381"/>
      <c r="AKU2026" s="381"/>
      <c r="AKV2026" s="381"/>
      <c r="AKW2026" s="381"/>
      <c r="AKX2026" s="381"/>
      <c r="AKY2026" s="381"/>
      <c r="AKZ2026" s="381"/>
      <c r="ALA2026" s="381"/>
      <c r="ALB2026" s="381"/>
      <c r="ALC2026" s="381"/>
      <c r="ALD2026" s="381"/>
      <c r="ALE2026" s="381"/>
      <c r="ALF2026" s="381"/>
      <c r="ALG2026" s="381"/>
      <c r="ALH2026" s="381"/>
      <c r="ALI2026" s="381"/>
      <c r="ALJ2026" s="381"/>
      <c r="ALK2026" s="381"/>
      <c r="ALL2026" s="381"/>
      <c r="ALM2026" s="381"/>
      <c r="ALN2026" s="381"/>
      <c r="ALO2026" s="381"/>
      <c r="ALP2026" s="381"/>
      <c r="ALQ2026" s="381"/>
      <c r="ALR2026" s="381"/>
      <c r="ALS2026" s="381"/>
      <c r="ALT2026" s="381"/>
      <c r="ALU2026" s="381"/>
      <c r="ALV2026" s="381"/>
      <c r="ALW2026" s="381"/>
      <c r="ALX2026" s="381"/>
      <c r="ALY2026" s="381"/>
      <c r="ALZ2026" s="381"/>
      <c r="AMA2026" s="381"/>
      <c r="AMB2026" s="381"/>
      <c r="AMC2026" s="381"/>
      <c r="AMD2026" s="381"/>
      <c r="AME2026" s="381"/>
      <c r="AMF2026" s="381"/>
      <c r="AMG2026" s="381"/>
      <c r="AMH2026" s="381"/>
      <c r="AMI2026" s="381"/>
      <c r="AMJ2026" s="381"/>
      <c r="AMK2026" s="381"/>
      <c r="AML2026" s="381"/>
      <c r="AMM2026" s="381"/>
      <c r="AMN2026" s="381"/>
      <c r="AMO2026" s="381"/>
      <c r="AMP2026" s="381"/>
      <c r="AMQ2026" s="381"/>
      <c r="AMR2026" s="381"/>
      <c r="AMS2026" s="381"/>
      <c r="AMT2026" s="381"/>
      <c r="AMU2026" s="381"/>
      <c r="AMV2026" s="381"/>
      <c r="AMW2026" s="381"/>
      <c r="AMX2026" s="381"/>
      <c r="AMY2026" s="381"/>
      <c r="AMZ2026" s="381"/>
      <c r="ANA2026" s="381"/>
      <c r="ANB2026" s="381"/>
      <c r="ANC2026" s="381"/>
      <c r="AND2026" s="381"/>
      <c r="ANE2026" s="381"/>
      <c r="ANF2026" s="381"/>
      <c r="ANG2026" s="381"/>
      <c r="ANH2026" s="381"/>
      <c r="ANI2026" s="381"/>
      <c r="ANJ2026" s="381"/>
      <c r="ANK2026" s="381"/>
      <c r="ANL2026" s="381"/>
      <c r="ANM2026" s="381"/>
      <c r="ANN2026" s="381"/>
      <c r="ANO2026" s="381"/>
      <c r="ANP2026" s="381"/>
      <c r="ANQ2026" s="381"/>
      <c r="ANR2026" s="381"/>
      <c r="ANS2026" s="381"/>
      <c r="ANT2026" s="381"/>
      <c r="ANU2026" s="381"/>
      <c r="ANV2026" s="381"/>
      <c r="ANW2026" s="381"/>
      <c r="ANX2026" s="381"/>
      <c r="ANY2026" s="381"/>
      <c r="ANZ2026" s="381"/>
      <c r="AOA2026" s="381"/>
      <c r="AOB2026" s="381"/>
      <c r="AOC2026" s="381"/>
      <c r="AOD2026" s="381"/>
      <c r="AOE2026" s="381"/>
      <c r="AOF2026" s="381"/>
      <c r="AOG2026" s="381"/>
      <c r="AOH2026" s="381"/>
      <c r="AOI2026" s="381"/>
      <c r="AOJ2026" s="381"/>
      <c r="AOK2026" s="381"/>
      <c r="AOL2026" s="381"/>
      <c r="AOM2026" s="381"/>
      <c r="AON2026" s="381"/>
      <c r="AOO2026" s="381"/>
      <c r="AOP2026" s="381"/>
      <c r="AOQ2026" s="381"/>
      <c r="AOR2026" s="381"/>
      <c r="AOS2026" s="381"/>
      <c r="AOT2026" s="381"/>
      <c r="AOU2026" s="381"/>
      <c r="AOV2026" s="381"/>
      <c r="AOW2026" s="381"/>
      <c r="AOX2026" s="381"/>
      <c r="AOY2026" s="381"/>
      <c r="AOZ2026" s="381"/>
      <c r="APA2026" s="381"/>
      <c r="APB2026" s="381"/>
      <c r="APC2026" s="381"/>
      <c r="APD2026" s="381"/>
      <c r="APE2026" s="381"/>
      <c r="APF2026" s="381"/>
      <c r="APG2026" s="381"/>
      <c r="APH2026" s="381"/>
      <c r="API2026" s="381"/>
      <c r="APJ2026" s="381"/>
      <c r="APK2026" s="381"/>
      <c r="APL2026" s="381"/>
      <c r="APM2026" s="381"/>
      <c r="APN2026" s="381"/>
      <c r="APO2026" s="381"/>
      <c r="APP2026" s="381"/>
      <c r="APQ2026" s="381"/>
      <c r="APR2026" s="381"/>
      <c r="APS2026" s="381"/>
      <c r="APT2026" s="381"/>
      <c r="APU2026" s="381"/>
      <c r="APV2026" s="381"/>
      <c r="APW2026" s="381"/>
      <c r="APX2026" s="381"/>
      <c r="APY2026" s="381"/>
      <c r="APZ2026" s="381"/>
      <c r="AQA2026" s="381"/>
      <c r="AQB2026" s="381"/>
      <c r="AQC2026" s="381"/>
      <c r="AQD2026" s="381"/>
      <c r="AQE2026" s="381"/>
      <c r="AQF2026" s="381"/>
      <c r="AQG2026" s="381"/>
      <c r="AQH2026" s="381"/>
      <c r="AQI2026" s="381"/>
      <c r="AQJ2026" s="381"/>
      <c r="AQK2026" s="381"/>
      <c r="AQL2026" s="381"/>
      <c r="AQM2026" s="381"/>
      <c r="AQN2026" s="381"/>
      <c r="AQO2026" s="381"/>
      <c r="AQP2026" s="381"/>
      <c r="AQQ2026" s="381"/>
      <c r="AQR2026" s="381"/>
      <c r="AQS2026" s="381"/>
      <c r="AQT2026" s="381"/>
      <c r="AQU2026" s="381"/>
      <c r="AQV2026" s="381"/>
      <c r="AQW2026" s="381"/>
      <c r="AQX2026" s="381"/>
      <c r="AQY2026" s="381"/>
      <c r="AQZ2026" s="381"/>
      <c r="ARA2026" s="381"/>
      <c r="ARB2026" s="381"/>
      <c r="ARC2026" s="381"/>
      <c r="ARD2026" s="381"/>
      <c r="ARE2026" s="381"/>
      <c r="ARF2026" s="381"/>
      <c r="ARG2026" s="381"/>
      <c r="ARH2026" s="381"/>
      <c r="ARI2026" s="381"/>
      <c r="ARJ2026" s="381"/>
      <c r="ARK2026" s="381"/>
      <c r="ARL2026" s="381"/>
      <c r="ARM2026" s="381"/>
      <c r="ARN2026" s="381"/>
      <c r="ARO2026" s="381"/>
      <c r="ARP2026" s="381"/>
      <c r="ARQ2026" s="381"/>
      <c r="ARR2026" s="381"/>
      <c r="ARS2026" s="381"/>
      <c r="ART2026" s="381"/>
      <c r="ARU2026" s="381"/>
      <c r="ARV2026" s="381"/>
      <c r="ARW2026" s="381"/>
      <c r="ARX2026" s="381"/>
      <c r="ARY2026" s="381"/>
      <c r="ARZ2026" s="381"/>
      <c r="ASA2026" s="381"/>
      <c r="ASB2026" s="381"/>
      <c r="ASC2026" s="381"/>
      <c r="ASD2026" s="381"/>
      <c r="ASE2026" s="381"/>
      <c r="ASF2026" s="381"/>
      <c r="ASG2026" s="381"/>
      <c r="ASH2026" s="381"/>
      <c r="ASI2026" s="381"/>
      <c r="ASJ2026" s="381"/>
      <c r="ASK2026" s="381"/>
      <c r="ASL2026" s="381"/>
      <c r="ASM2026" s="381"/>
      <c r="ASN2026" s="381"/>
      <c r="ASO2026" s="381"/>
      <c r="ASP2026" s="381"/>
      <c r="ASQ2026" s="381"/>
      <c r="ASR2026" s="381"/>
      <c r="ASS2026" s="381"/>
      <c r="AST2026" s="381"/>
      <c r="ASU2026" s="381"/>
      <c r="ASV2026" s="381"/>
      <c r="ASW2026" s="381"/>
      <c r="ASX2026" s="381"/>
      <c r="ASY2026" s="381"/>
      <c r="ASZ2026" s="381"/>
      <c r="ATA2026" s="381"/>
      <c r="ATB2026" s="381"/>
      <c r="ATC2026" s="381"/>
      <c r="ATD2026" s="381"/>
      <c r="ATE2026" s="381"/>
      <c r="ATF2026" s="381"/>
      <c r="ATG2026" s="381"/>
      <c r="ATH2026" s="381"/>
      <c r="ATI2026" s="381"/>
      <c r="ATJ2026" s="381"/>
      <c r="ATK2026" s="381"/>
      <c r="ATL2026" s="381"/>
      <c r="ATM2026" s="381"/>
      <c r="ATN2026" s="381"/>
      <c r="ATO2026" s="381"/>
      <c r="ATP2026" s="381"/>
      <c r="ATQ2026" s="381"/>
      <c r="ATR2026" s="381"/>
      <c r="ATS2026" s="381"/>
      <c r="ATT2026" s="381"/>
      <c r="ATU2026" s="381"/>
      <c r="ATV2026" s="381"/>
      <c r="ATW2026" s="381"/>
      <c r="ATX2026" s="381"/>
      <c r="ATY2026" s="381"/>
      <c r="ATZ2026" s="381"/>
      <c r="AUA2026" s="381"/>
      <c r="AUB2026" s="381"/>
      <c r="AUC2026" s="381"/>
      <c r="AUD2026" s="381"/>
      <c r="AUE2026" s="381"/>
      <c r="AUF2026" s="381"/>
      <c r="AUG2026" s="381"/>
      <c r="AUH2026" s="381"/>
      <c r="AUI2026" s="381"/>
      <c r="AUJ2026" s="381"/>
      <c r="AUK2026" s="381"/>
      <c r="AUL2026" s="381"/>
      <c r="AUM2026" s="381"/>
      <c r="AUN2026" s="381"/>
      <c r="AUO2026" s="381"/>
      <c r="AUP2026" s="381"/>
      <c r="AUQ2026" s="381"/>
      <c r="AUR2026" s="381"/>
      <c r="AUS2026" s="381"/>
      <c r="AUT2026" s="381"/>
      <c r="AUU2026" s="381"/>
      <c r="AUV2026" s="381"/>
      <c r="AUW2026" s="381"/>
      <c r="AUX2026" s="381"/>
      <c r="AUY2026" s="381"/>
      <c r="AUZ2026" s="381"/>
      <c r="AVA2026" s="381"/>
      <c r="AVB2026" s="381"/>
      <c r="AVC2026" s="381"/>
      <c r="AVD2026" s="381"/>
      <c r="AVE2026" s="381"/>
      <c r="AVF2026" s="381"/>
      <c r="AVG2026" s="381"/>
      <c r="AVH2026" s="381"/>
      <c r="AVI2026" s="381"/>
      <c r="AVJ2026" s="381"/>
      <c r="AVK2026" s="381"/>
      <c r="AVL2026" s="381"/>
      <c r="AVM2026" s="381"/>
      <c r="AVN2026" s="381"/>
      <c r="AVO2026" s="381"/>
      <c r="AVP2026" s="381"/>
      <c r="AVQ2026" s="381"/>
      <c r="AVR2026" s="381"/>
      <c r="AVS2026" s="381"/>
      <c r="AVT2026" s="381"/>
      <c r="AVU2026" s="381"/>
      <c r="AVV2026" s="381"/>
      <c r="AVW2026" s="381"/>
      <c r="AVX2026" s="381"/>
      <c r="AVY2026" s="381"/>
      <c r="AVZ2026" s="381"/>
      <c r="AWA2026" s="381"/>
      <c r="AWB2026" s="381"/>
      <c r="AWC2026" s="381"/>
      <c r="AWD2026" s="381"/>
      <c r="AWE2026" s="381"/>
      <c r="AWF2026" s="381"/>
      <c r="AWG2026" s="381"/>
      <c r="AWH2026" s="381"/>
      <c r="AWI2026" s="381"/>
      <c r="AWJ2026" s="381"/>
      <c r="AWK2026" s="381"/>
      <c r="AWL2026" s="381"/>
      <c r="AWM2026" s="381"/>
      <c r="AWN2026" s="381"/>
      <c r="AWO2026" s="381"/>
      <c r="AWP2026" s="381"/>
      <c r="AWQ2026" s="381"/>
      <c r="AWR2026" s="381"/>
      <c r="AWS2026" s="381"/>
      <c r="AWT2026" s="381"/>
      <c r="AWU2026" s="381"/>
      <c r="AWV2026" s="381"/>
      <c r="AWW2026" s="381"/>
      <c r="AWX2026" s="381"/>
      <c r="AWY2026" s="381"/>
      <c r="AWZ2026" s="381"/>
      <c r="AXA2026" s="381"/>
      <c r="AXB2026" s="381"/>
      <c r="AXC2026" s="381"/>
      <c r="AXD2026" s="381"/>
      <c r="AXE2026" s="381"/>
      <c r="AXF2026" s="381"/>
      <c r="AXG2026" s="381"/>
      <c r="AXH2026" s="381"/>
      <c r="AXI2026" s="381"/>
      <c r="AXJ2026" s="381"/>
      <c r="AXK2026" s="381"/>
      <c r="AXL2026" s="381"/>
      <c r="AXM2026" s="381"/>
      <c r="AXN2026" s="381"/>
      <c r="AXO2026" s="381"/>
      <c r="AXP2026" s="381"/>
      <c r="AXQ2026" s="381"/>
      <c r="AXR2026" s="381"/>
      <c r="AXS2026" s="381"/>
      <c r="AXT2026" s="381"/>
      <c r="AXU2026" s="381"/>
      <c r="AXV2026" s="381"/>
      <c r="AXW2026" s="381"/>
      <c r="AXX2026" s="381"/>
      <c r="AXY2026" s="381"/>
      <c r="AXZ2026" s="381"/>
      <c r="AYA2026" s="381"/>
      <c r="AYB2026" s="381"/>
      <c r="AYC2026" s="381"/>
      <c r="AYD2026" s="381"/>
      <c r="AYE2026" s="381"/>
      <c r="AYF2026" s="381"/>
      <c r="AYG2026" s="381"/>
      <c r="AYH2026" s="381"/>
      <c r="AYI2026" s="381"/>
      <c r="AYJ2026" s="381"/>
      <c r="AYK2026" s="381"/>
      <c r="AYL2026" s="381"/>
      <c r="AYM2026" s="381"/>
      <c r="AYN2026" s="381"/>
      <c r="AYO2026" s="381"/>
      <c r="AYP2026" s="381"/>
      <c r="AYQ2026" s="381"/>
      <c r="AYR2026" s="381"/>
      <c r="AYS2026" s="381"/>
      <c r="AYT2026" s="381"/>
      <c r="AYU2026" s="381"/>
      <c r="AYV2026" s="381"/>
      <c r="AYW2026" s="381"/>
      <c r="AYX2026" s="381"/>
      <c r="AYY2026" s="381"/>
      <c r="AYZ2026" s="381"/>
      <c r="AZA2026" s="381"/>
      <c r="AZB2026" s="381"/>
      <c r="AZC2026" s="381"/>
      <c r="AZD2026" s="381"/>
      <c r="AZE2026" s="381"/>
      <c r="AZF2026" s="381"/>
      <c r="AZG2026" s="381"/>
      <c r="AZH2026" s="381"/>
      <c r="AZI2026" s="381"/>
      <c r="AZJ2026" s="381"/>
      <c r="AZK2026" s="381"/>
      <c r="AZL2026" s="381"/>
      <c r="AZM2026" s="381"/>
      <c r="AZN2026" s="381"/>
      <c r="AZO2026" s="381"/>
      <c r="AZP2026" s="381"/>
      <c r="AZQ2026" s="381"/>
      <c r="AZR2026" s="381"/>
      <c r="AZS2026" s="381"/>
      <c r="AZT2026" s="381"/>
      <c r="AZU2026" s="381"/>
      <c r="AZV2026" s="381"/>
      <c r="AZW2026" s="381"/>
      <c r="AZX2026" s="381"/>
      <c r="AZY2026" s="381"/>
      <c r="AZZ2026" s="381"/>
      <c r="BAA2026" s="381"/>
      <c r="BAB2026" s="381"/>
      <c r="BAC2026" s="381"/>
      <c r="BAD2026" s="381"/>
      <c r="BAE2026" s="381"/>
      <c r="BAF2026" s="381"/>
      <c r="BAG2026" s="381"/>
      <c r="BAH2026" s="381"/>
      <c r="BAI2026" s="381"/>
      <c r="BAJ2026" s="381"/>
      <c r="BAK2026" s="381"/>
      <c r="BAL2026" s="381"/>
      <c r="BAM2026" s="381"/>
      <c r="BAN2026" s="381"/>
      <c r="BAO2026" s="381"/>
      <c r="BAP2026" s="381"/>
      <c r="BAQ2026" s="381"/>
      <c r="BAR2026" s="381"/>
      <c r="BAS2026" s="381"/>
      <c r="BAT2026" s="381"/>
      <c r="BAU2026" s="381"/>
      <c r="BAV2026" s="381"/>
      <c r="BAW2026" s="381"/>
      <c r="BAX2026" s="381"/>
      <c r="BAY2026" s="381"/>
      <c r="BAZ2026" s="381"/>
      <c r="BBA2026" s="381"/>
      <c r="BBB2026" s="381"/>
      <c r="BBC2026" s="381"/>
      <c r="BBD2026" s="381"/>
      <c r="BBE2026" s="381"/>
      <c r="BBF2026" s="381"/>
      <c r="BBG2026" s="381"/>
      <c r="BBH2026" s="381"/>
      <c r="BBI2026" s="381"/>
      <c r="BBJ2026" s="381"/>
      <c r="BBK2026" s="381"/>
      <c r="BBL2026" s="381"/>
      <c r="BBM2026" s="381"/>
      <c r="BBN2026" s="381"/>
      <c r="BBO2026" s="381"/>
      <c r="BBP2026" s="381"/>
      <c r="BBQ2026" s="381"/>
      <c r="BBR2026" s="381"/>
      <c r="BBS2026" s="381"/>
      <c r="BBT2026" s="381"/>
      <c r="BBU2026" s="381"/>
      <c r="BBV2026" s="381"/>
      <c r="BBW2026" s="381"/>
      <c r="BBX2026" s="381"/>
      <c r="BBY2026" s="381"/>
      <c r="BBZ2026" s="381"/>
      <c r="BCA2026" s="381"/>
      <c r="BCB2026" s="381"/>
      <c r="BCC2026" s="381"/>
      <c r="BCD2026" s="381"/>
      <c r="BCE2026" s="381"/>
      <c r="BCF2026" s="381"/>
      <c r="BCG2026" s="381"/>
      <c r="BCH2026" s="381"/>
      <c r="BCI2026" s="381"/>
      <c r="BCJ2026" s="381"/>
      <c r="BCK2026" s="381"/>
      <c r="BCL2026" s="381"/>
      <c r="BCM2026" s="381"/>
      <c r="BCN2026" s="381"/>
      <c r="BCO2026" s="381"/>
      <c r="BCP2026" s="381"/>
      <c r="BCQ2026" s="381"/>
      <c r="BCR2026" s="381"/>
      <c r="BCS2026" s="381"/>
      <c r="BCT2026" s="381"/>
      <c r="BCU2026" s="381"/>
      <c r="BCV2026" s="381"/>
      <c r="BCW2026" s="381"/>
      <c r="BCX2026" s="381"/>
      <c r="BCY2026" s="381"/>
      <c r="BCZ2026" s="381"/>
      <c r="BDA2026" s="381"/>
      <c r="BDB2026" s="381"/>
      <c r="BDC2026" s="381"/>
      <c r="BDD2026" s="381"/>
      <c r="BDE2026" s="381"/>
      <c r="BDF2026" s="381"/>
      <c r="BDG2026" s="381"/>
      <c r="BDH2026" s="381"/>
      <c r="BDI2026" s="381"/>
      <c r="BDJ2026" s="381"/>
      <c r="BDK2026" s="381"/>
      <c r="BDL2026" s="381"/>
      <c r="BDM2026" s="381"/>
      <c r="BDN2026" s="381"/>
      <c r="BDO2026" s="381"/>
      <c r="BDP2026" s="381"/>
      <c r="BDQ2026" s="381"/>
      <c r="BDR2026" s="381"/>
      <c r="BDS2026" s="381"/>
      <c r="BDT2026" s="381"/>
      <c r="BDU2026" s="381"/>
      <c r="BDV2026" s="381"/>
      <c r="BDW2026" s="381"/>
      <c r="BDX2026" s="381"/>
      <c r="BDY2026" s="381"/>
      <c r="BDZ2026" s="381"/>
      <c r="BEA2026" s="381"/>
      <c r="BEB2026" s="381"/>
      <c r="BEC2026" s="381"/>
      <c r="BED2026" s="381"/>
      <c r="BEE2026" s="381"/>
      <c r="BEF2026" s="381"/>
      <c r="BEG2026" s="381"/>
      <c r="BEH2026" s="381"/>
      <c r="BEI2026" s="381"/>
      <c r="BEJ2026" s="381"/>
      <c r="BEK2026" s="381"/>
      <c r="BEL2026" s="381"/>
      <c r="BEM2026" s="381"/>
      <c r="BEN2026" s="381"/>
      <c r="BEO2026" s="381"/>
      <c r="BEP2026" s="381"/>
      <c r="BEQ2026" s="381"/>
      <c r="BER2026" s="381"/>
      <c r="BES2026" s="381"/>
      <c r="BET2026" s="381"/>
      <c r="BEU2026" s="381"/>
      <c r="BEV2026" s="381"/>
      <c r="BEW2026" s="381"/>
      <c r="BEX2026" s="381"/>
      <c r="BEY2026" s="381"/>
      <c r="BEZ2026" s="381"/>
      <c r="BFA2026" s="381"/>
      <c r="BFB2026" s="381"/>
      <c r="BFC2026" s="381"/>
      <c r="BFD2026" s="381"/>
      <c r="BFE2026" s="381"/>
      <c r="BFF2026" s="381"/>
      <c r="BFG2026" s="381"/>
      <c r="BFH2026" s="381"/>
      <c r="BFI2026" s="381"/>
      <c r="BFJ2026" s="381"/>
      <c r="BFK2026" s="381"/>
      <c r="BFL2026" s="381"/>
      <c r="BFM2026" s="381"/>
      <c r="BFN2026" s="381"/>
      <c r="BFO2026" s="381"/>
      <c r="BFP2026" s="381"/>
      <c r="BFQ2026" s="381"/>
      <c r="BFR2026" s="381"/>
      <c r="BFS2026" s="381"/>
      <c r="BFT2026" s="381"/>
      <c r="BFU2026" s="381"/>
      <c r="BFV2026" s="381"/>
      <c r="BFW2026" s="381"/>
      <c r="BFX2026" s="381"/>
      <c r="BFY2026" s="381"/>
      <c r="BFZ2026" s="381"/>
      <c r="BGA2026" s="381"/>
      <c r="BGB2026" s="381"/>
      <c r="BGC2026" s="381"/>
      <c r="BGD2026" s="381"/>
      <c r="BGE2026" s="381"/>
      <c r="BGF2026" s="381"/>
      <c r="BGG2026" s="381"/>
      <c r="BGH2026" s="381"/>
      <c r="BGI2026" s="381"/>
      <c r="BGJ2026" s="381"/>
      <c r="BGK2026" s="381"/>
      <c r="BGL2026" s="381"/>
      <c r="BGM2026" s="381"/>
      <c r="BGN2026" s="381"/>
      <c r="BGO2026" s="381"/>
      <c r="BGP2026" s="381"/>
      <c r="BGQ2026" s="381"/>
      <c r="BGR2026" s="381"/>
      <c r="BGS2026" s="381"/>
      <c r="BGT2026" s="381"/>
      <c r="BGU2026" s="381"/>
      <c r="BGV2026" s="381"/>
      <c r="BGW2026" s="381"/>
      <c r="BGX2026" s="381"/>
      <c r="BGY2026" s="381"/>
      <c r="BGZ2026" s="381"/>
      <c r="BHA2026" s="381"/>
      <c r="BHB2026" s="381"/>
      <c r="BHC2026" s="381"/>
      <c r="BHD2026" s="381"/>
      <c r="BHE2026" s="381"/>
      <c r="BHF2026" s="381"/>
      <c r="BHG2026" s="381"/>
      <c r="BHH2026" s="381"/>
      <c r="BHI2026" s="381"/>
      <c r="BHJ2026" s="381"/>
      <c r="BHK2026" s="381"/>
      <c r="BHL2026" s="381"/>
      <c r="BHM2026" s="381"/>
      <c r="BHN2026" s="381"/>
      <c r="BHO2026" s="381"/>
      <c r="BHP2026" s="381"/>
      <c r="BHQ2026" s="381"/>
      <c r="BHR2026" s="381"/>
      <c r="BHS2026" s="381"/>
      <c r="BHT2026" s="381"/>
      <c r="BHU2026" s="381"/>
      <c r="BHV2026" s="381"/>
      <c r="BHW2026" s="381"/>
      <c r="BHX2026" s="381"/>
      <c r="BHY2026" s="381"/>
      <c r="BHZ2026" s="381"/>
      <c r="BIA2026" s="381"/>
      <c r="BIB2026" s="381"/>
      <c r="BIC2026" s="381"/>
      <c r="BID2026" s="381"/>
      <c r="BIE2026" s="381"/>
      <c r="BIF2026" s="381"/>
      <c r="BIG2026" s="381"/>
      <c r="BIH2026" s="381"/>
      <c r="BII2026" s="381"/>
      <c r="BIJ2026" s="381"/>
      <c r="BIK2026" s="381"/>
      <c r="BIL2026" s="381"/>
      <c r="BIM2026" s="381"/>
      <c r="BIN2026" s="381"/>
      <c r="BIO2026" s="381"/>
      <c r="BIP2026" s="381"/>
      <c r="BIQ2026" s="381"/>
      <c r="BIR2026" s="381"/>
      <c r="BIS2026" s="381"/>
      <c r="BIT2026" s="381"/>
      <c r="BIU2026" s="381"/>
      <c r="BIV2026" s="381"/>
      <c r="BIW2026" s="381"/>
      <c r="BIX2026" s="381"/>
      <c r="BIY2026" s="381"/>
      <c r="BIZ2026" s="381"/>
      <c r="BJA2026" s="381"/>
      <c r="BJB2026" s="381"/>
      <c r="BJC2026" s="381"/>
      <c r="BJD2026" s="381"/>
      <c r="BJE2026" s="381"/>
      <c r="BJF2026" s="381"/>
      <c r="BJG2026" s="381"/>
      <c r="BJH2026" s="381"/>
      <c r="BJI2026" s="381"/>
      <c r="BJJ2026" s="381"/>
      <c r="BJK2026" s="381"/>
      <c r="BJL2026" s="381"/>
      <c r="BJM2026" s="381"/>
      <c r="BJN2026" s="381"/>
      <c r="BJO2026" s="381"/>
      <c r="BJP2026" s="381"/>
      <c r="BJQ2026" s="381"/>
      <c r="BJR2026" s="381"/>
      <c r="BJS2026" s="381"/>
      <c r="BJT2026" s="381"/>
      <c r="BJU2026" s="381"/>
      <c r="BJV2026" s="381"/>
      <c r="BJW2026" s="381"/>
      <c r="BJX2026" s="381"/>
      <c r="BJY2026" s="381"/>
      <c r="BJZ2026" s="381"/>
      <c r="BKA2026" s="381"/>
      <c r="BKB2026" s="381"/>
      <c r="BKC2026" s="381"/>
      <c r="BKD2026" s="381"/>
      <c r="BKE2026" s="381"/>
      <c r="BKF2026" s="381"/>
      <c r="BKG2026" s="381"/>
      <c r="BKH2026" s="381"/>
      <c r="BKI2026" s="381"/>
      <c r="BKJ2026" s="381"/>
      <c r="BKK2026" s="381"/>
      <c r="BKL2026" s="381"/>
      <c r="BKM2026" s="381"/>
      <c r="BKN2026" s="381"/>
      <c r="BKO2026" s="381"/>
      <c r="BKP2026" s="381"/>
      <c r="BKQ2026" s="381"/>
      <c r="BKR2026" s="381"/>
      <c r="BKS2026" s="381"/>
      <c r="BKT2026" s="381"/>
      <c r="BKU2026" s="381"/>
      <c r="BKV2026" s="381"/>
      <c r="BKW2026" s="381"/>
      <c r="BKX2026" s="381"/>
      <c r="BKY2026" s="381"/>
      <c r="BKZ2026" s="381"/>
      <c r="BLA2026" s="381"/>
      <c r="BLB2026" s="381"/>
      <c r="BLC2026" s="381"/>
      <c r="BLD2026" s="381"/>
      <c r="BLE2026" s="381"/>
      <c r="BLF2026" s="381"/>
      <c r="BLG2026" s="381"/>
      <c r="BLH2026" s="381"/>
      <c r="BLI2026" s="381"/>
      <c r="BLJ2026" s="381"/>
      <c r="BLK2026" s="381"/>
      <c r="BLL2026" s="381"/>
      <c r="BLM2026" s="381"/>
      <c r="BLN2026" s="381"/>
      <c r="BLO2026" s="381"/>
      <c r="BLP2026" s="381"/>
      <c r="BLQ2026" s="381"/>
      <c r="BLR2026" s="381"/>
      <c r="BLS2026" s="381"/>
      <c r="BLT2026" s="381"/>
      <c r="BLU2026" s="381"/>
      <c r="BLV2026" s="381"/>
      <c r="BLW2026" s="381"/>
      <c r="BLX2026" s="381"/>
      <c r="BLY2026" s="381"/>
      <c r="BLZ2026" s="381"/>
      <c r="BMA2026" s="381"/>
      <c r="BMB2026" s="381"/>
      <c r="BMC2026" s="381"/>
      <c r="BMD2026" s="381"/>
      <c r="BME2026" s="381"/>
      <c r="BMF2026" s="381"/>
      <c r="BMG2026" s="381"/>
      <c r="BMH2026" s="381"/>
      <c r="BMI2026" s="381"/>
      <c r="BMJ2026" s="381"/>
      <c r="BMK2026" s="381"/>
      <c r="BML2026" s="381"/>
      <c r="BMM2026" s="381"/>
      <c r="BMN2026" s="381"/>
      <c r="BMO2026" s="381"/>
      <c r="BMP2026" s="381"/>
      <c r="BMQ2026" s="381"/>
      <c r="BMR2026" s="381"/>
      <c r="BMS2026" s="381"/>
      <c r="BMT2026" s="381"/>
      <c r="BMU2026" s="381"/>
      <c r="BMV2026" s="381"/>
      <c r="BMW2026" s="381"/>
      <c r="BMX2026" s="381"/>
      <c r="BMY2026" s="381"/>
      <c r="BMZ2026" s="381"/>
      <c r="BNA2026" s="381"/>
      <c r="BNB2026" s="381"/>
      <c r="BNC2026" s="381"/>
      <c r="BND2026" s="381"/>
      <c r="BNE2026" s="381"/>
      <c r="BNF2026" s="381"/>
      <c r="BNG2026" s="381"/>
      <c r="BNH2026" s="381"/>
      <c r="BNI2026" s="381"/>
      <c r="BNJ2026" s="381"/>
      <c r="BNK2026" s="381"/>
      <c r="BNL2026" s="381"/>
      <c r="BNM2026" s="381"/>
      <c r="BNN2026" s="381"/>
      <c r="BNO2026" s="381"/>
      <c r="BNP2026" s="381"/>
      <c r="BNQ2026" s="381"/>
      <c r="BNR2026" s="381"/>
      <c r="BNS2026" s="381"/>
      <c r="BNT2026" s="381"/>
      <c r="BNU2026" s="381"/>
      <c r="BNV2026" s="381"/>
      <c r="BNW2026" s="381"/>
      <c r="BNX2026" s="381"/>
      <c r="BNY2026" s="381"/>
      <c r="BNZ2026" s="381"/>
      <c r="BOA2026" s="381"/>
      <c r="BOB2026" s="381"/>
      <c r="BOC2026" s="381"/>
      <c r="BOD2026" s="381"/>
      <c r="BOE2026" s="381"/>
      <c r="BOF2026" s="381"/>
      <c r="BOG2026" s="381"/>
      <c r="BOH2026" s="381"/>
      <c r="BOI2026" s="381"/>
      <c r="BOJ2026" s="381"/>
      <c r="BOK2026" s="381"/>
      <c r="BOL2026" s="381"/>
      <c r="BOM2026" s="381"/>
      <c r="BON2026" s="381"/>
      <c r="BOO2026" s="381"/>
      <c r="BOP2026" s="381"/>
      <c r="BOQ2026" s="381"/>
      <c r="BOR2026" s="381"/>
      <c r="BOS2026" s="381"/>
      <c r="BOT2026" s="381"/>
      <c r="BOU2026" s="381"/>
      <c r="BOV2026" s="381"/>
      <c r="BOW2026" s="381"/>
      <c r="BOX2026" s="381"/>
      <c r="BOY2026" s="381"/>
      <c r="BOZ2026" s="381"/>
      <c r="BPA2026" s="381"/>
      <c r="BPB2026" s="381"/>
      <c r="BPC2026" s="381"/>
      <c r="BPD2026" s="381"/>
      <c r="BPE2026" s="381"/>
      <c r="BPF2026" s="381"/>
      <c r="BPG2026" s="381"/>
      <c r="BPH2026" s="381"/>
      <c r="BPI2026" s="381"/>
      <c r="BPJ2026" s="381"/>
      <c r="BPK2026" s="381"/>
      <c r="BPL2026" s="381"/>
      <c r="BPM2026" s="381"/>
      <c r="BPN2026" s="381"/>
      <c r="BPO2026" s="381"/>
      <c r="BPP2026" s="381"/>
      <c r="BPQ2026" s="381"/>
      <c r="BPR2026" s="381"/>
      <c r="BPS2026" s="381"/>
      <c r="BPT2026" s="381"/>
      <c r="BPU2026" s="381"/>
      <c r="BPV2026" s="381"/>
      <c r="BPW2026" s="381"/>
      <c r="BPX2026" s="381"/>
      <c r="BPY2026" s="381"/>
      <c r="BPZ2026" s="381"/>
      <c r="BQA2026" s="381"/>
      <c r="BQB2026" s="381"/>
      <c r="BQC2026" s="381"/>
      <c r="BQD2026" s="381"/>
      <c r="BQE2026" s="381"/>
      <c r="BQF2026" s="381"/>
      <c r="BQG2026" s="381"/>
      <c r="BQH2026" s="381"/>
      <c r="BQI2026" s="381"/>
      <c r="BQJ2026" s="381"/>
      <c r="BQK2026" s="381"/>
      <c r="BQL2026" s="381"/>
      <c r="BQM2026" s="381"/>
      <c r="BQN2026" s="381"/>
      <c r="BQO2026" s="381"/>
      <c r="BQP2026" s="381"/>
      <c r="BQQ2026" s="381"/>
      <c r="BQR2026" s="381"/>
      <c r="BQS2026" s="381"/>
      <c r="BQT2026" s="381"/>
      <c r="BQU2026" s="381"/>
      <c r="BQV2026" s="381"/>
      <c r="BQW2026" s="381"/>
      <c r="BQX2026" s="381"/>
      <c r="BQY2026" s="381"/>
      <c r="BQZ2026" s="381"/>
      <c r="BRA2026" s="381"/>
      <c r="BRB2026" s="381"/>
      <c r="BRC2026" s="381"/>
      <c r="BRD2026" s="381"/>
      <c r="BRE2026" s="381"/>
      <c r="BRF2026" s="381"/>
      <c r="BRG2026" s="381"/>
      <c r="BRH2026" s="381"/>
      <c r="BRI2026" s="381"/>
      <c r="BRJ2026" s="381"/>
      <c r="BRK2026" s="381"/>
      <c r="BRL2026" s="381"/>
      <c r="BRM2026" s="381"/>
      <c r="BRN2026" s="381"/>
      <c r="BRO2026" s="381"/>
      <c r="BRP2026" s="381"/>
      <c r="BRQ2026" s="381"/>
      <c r="BRR2026" s="381"/>
      <c r="BRS2026" s="381"/>
      <c r="BRT2026" s="381"/>
      <c r="BRU2026" s="381"/>
      <c r="BRV2026" s="381"/>
      <c r="BRW2026" s="381"/>
      <c r="BRX2026" s="381"/>
      <c r="BRY2026" s="381"/>
      <c r="BRZ2026" s="381"/>
      <c r="BSA2026" s="381"/>
      <c r="BSB2026" s="381"/>
      <c r="BSC2026" s="381"/>
      <c r="BSD2026" s="381"/>
      <c r="BSE2026" s="381"/>
      <c r="BSF2026" s="381"/>
      <c r="BSG2026" s="381"/>
      <c r="BSH2026" s="381"/>
      <c r="BSI2026" s="381"/>
      <c r="BSJ2026" s="381"/>
      <c r="BSK2026" s="381"/>
      <c r="BSL2026" s="381"/>
      <c r="BSM2026" s="381"/>
      <c r="BSN2026" s="381"/>
      <c r="BSO2026" s="381"/>
      <c r="BSP2026" s="381"/>
      <c r="BSQ2026" s="381"/>
      <c r="BSR2026" s="381"/>
      <c r="BSS2026" s="381"/>
      <c r="BST2026" s="381"/>
      <c r="BSU2026" s="381"/>
      <c r="BSV2026" s="381"/>
      <c r="BSW2026" s="381"/>
      <c r="BSX2026" s="381"/>
      <c r="BSY2026" s="381"/>
      <c r="BSZ2026" s="381"/>
      <c r="BTA2026" s="381"/>
      <c r="BTB2026" s="381"/>
      <c r="BTC2026" s="381"/>
      <c r="BTD2026" s="381"/>
      <c r="BTE2026" s="381"/>
      <c r="BTF2026" s="381"/>
      <c r="BTG2026" s="381"/>
      <c r="BTH2026" s="381"/>
      <c r="BTI2026" s="381"/>
      <c r="BTJ2026" s="381"/>
      <c r="BTK2026" s="381"/>
      <c r="BTL2026" s="381"/>
      <c r="BTM2026" s="381"/>
      <c r="BTN2026" s="381"/>
      <c r="BTO2026" s="381"/>
      <c r="BTP2026" s="381"/>
      <c r="BTQ2026" s="381"/>
      <c r="BTR2026" s="381"/>
      <c r="BTS2026" s="381"/>
      <c r="BTT2026" s="381"/>
      <c r="BTU2026" s="381"/>
      <c r="BTV2026" s="381"/>
      <c r="BTW2026" s="381"/>
      <c r="BTX2026" s="381"/>
      <c r="BTY2026" s="381"/>
      <c r="BTZ2026" s="381"/>
      <c r="BUA2026" s="381"/>
      <c r="BUB2026" s="381"/>
      <c r="BUC2026" s="381"/>
      <c r="BUD2026" s="381"/>
      <c r="BUE2026" s="381"/>
      <c r="BUF2026" s="381"/>
      <c r="BUG2026" s="381"/>
      <c r="BUH2026" s="381"/>
      <c r="BUI2026" s="381"/>
      <c r="BUJ2026" s="381"/>
      <c r="BUK2026" s="381"/>
      <c r="BUL2026" s="381"/>
      <c r="BUM2026" s="381"/>
      <c r="BUN2026" s="381"/>
      <c r="BUO2026" s="381"/>
      <c r="BUP2026" s="381"/>
      <c r="BUQ2026" s="381"/>
      <c r="BUR2026" s="381"/>
      <c r="BUS2026" s="381"/>
      <c r="BUT2026" s="381"/>
      <c r="BUU2026" s="381"/>
      <c r="BUV2026" s="381"/>
      <c r="BUW2026" s="381"/>
      <c r="BUX2026" s="381"/>
      <c r="BUY2026" s="381"/>
      <c r="BUZ2026" s="381"/>
      <c r="BVA2026" s="381"/>
      <c r="BVB2026" s="381"/>
      <c r="BVC2026" s="381"/>
      <c r="BVD2026" s="381"/>
      <c r="BVE2026" s="381"/>
      <c r="BVF2026" s="381"/>
      <c r="BVG2026" s="381"/>
      <c r="BVH2026" s="381"/>
      <c r="BVI2026" s="381"/>
      <c r="BVJ2026" s="381"/>
      <c r="BVK2026" s="381"/>
      <c r="BVL2026" s="381"/>
      <c r="BVM2026" s="381"/>
      <c r="BVN2026" s="381"/>
      <c r="BVO2026" s="381"/>
      <c r="BVP2026" s="381"/>
      <c r="BVQ2026" s="381"/>
      <c r="BVR2026" s="381"/>
      <c r="BVS2026" s="381"/>
      <c r="BVT2026" s="381"/>
      <c r="BVU2026" s="381"/>
      <c r="BVV2026" s="381"/>
      <c r="BVW2026" s="381"/>
      <c r="BVX2026" s="381"/>
      <c r="BVY2026" s="381"/>
      <c r="BVZ2026" s="381"/>
      <c r="BWA2026" s="381"/>
      <c r="BWB2026" s="381"/>
      <c r="BWC2026" s="381"/>
      <c r="BWD2026" s="381"/>
      <c r="BWE2026" s="381"/>
      <c r="BWF2026" s="381"/>
      <c r="BWG2026" s="381"/>
      <c r="BWH2026" s="381"/>
      <c r="BWI2026" s="381"/>
      <c r="BWJ2026" s="381"/>
      <c r="BWK2026" s="381"/>
      <c r="BWL2026" s="381"/>
      <c r="BWM2026" s="381"/>
      <c r="BWN2026" s="381"/>
      <c r="BWO2026" s="381"/>
      <c r="BWP2026" s="381"/>
      <c r="BWQ2026" s="381"/>
      <c r="BWR2026" s="381"/>
      <c r="BWS2026" s="381"/>
      <c r="BWT2026" s="381"/>
      <c r="BWU2026" s="381"/>
      <c r="BWV2026" s="381"/>
      <c r="BWW2026" s="381"/>
      <c r="BWX2026" s="381"/>
      <c r="BWY2026" s="381"/>
      <c r="BWZ2026" s="381"/>
      <c r="BXA2026" s="381"/>
      <c r="BXB2026" s="381"/>
      <c r="BXC2026" s="381"/>
      <c r="BXD2026" s="381"/>
      <c r="BXE2026" s="381"/>
      <c r="BXF2026" s="381"/>
      <c r="BXG2026" s="381"/>
      <c r="BXH2026" s="381"/>
      <c r="BXI2026" s="381"/>
      <c r="BXJ2026" s="381"/>
      <c r="BXK2026" s="381"/>
      <c r="BXL2026" s="381"/>
      <c r="BXM2026" s="381"/>
      <c r="BXN2026" s="381"/>
      <c r="BXO2026" s="381"/>
      <c r="BXP2026" s="381"/>
      <c r="BXQ2026" s="381"/>
      <c r="BXR2026" s="381"/>
      <c r="BXS2026" s="381"/>
      <c r="BXT2026" s="381"/>
      <c r="BXU2026" s="381"/>
      <c r="BXV2026" s="381"/>
      <c r="BXW2026" s="381"/>
      <c r="BXX2026" s="381"/>
      <c r="BXY2026" s="381"/>
      <c r="BXZ2026" s="381"/>
      <c r="BYA2026" s="381"/>
      <c r="BYB2026" s="381"/>
      <c r="BYC2026" s="381"/>
      <c r="BYD2026" s="381"/>
      <c r="BYE2026" s="381"/>
      <c r="BYF2026" s="381"/>
      <c r="BYG2026" s="381"/>
      <c r="BYH2026" s="381"/>
      <c r="BYI2026" s="381"/>
      <c r="BYJ2026" s="381"/>
      <c r="BYK2026" s="381"/>
      <c r="BYL2026" s="381"/>
      <c r="BYM2026" s="381"/>
      <c r="BYN2026" s="381"/>
      <c r="BYO2026" s="381"/>
      <c r="BYP2026" s="381"/>
      <c r="BYQ2026" s="381"/>
      <c r="BYR2026" s="381"/>
      <c r="BYS2026" s="381"/>
      <c r="BYT2026" s="381"/>
      <c r="BYU2026" s="381"/>
      <c r="BYV2026" s="381"/>
      <c r="BYW2026" s="381"/>
      <c r="BYX2026" s="381"/>
      <c r="BYY2026" s="381"/>
      <c r="BYZ2026" s="381"/>
      <c r="BZA2026" s="381"/>
      <c r="BZB2026" s="381"/>
      <c r="BZC2026" s="381"/>
      <c r="BZD2026" s="381"/>
      <c r="BZE2026" s="381"/>
      <c r="BZF2026" s="381"/>
      <c r="BZG2026" s="381"/>
      <c r="BZH2026" s="381"/>
      <c r="BZI2026" s="381"/>
      <c r="BZJ2026" s="381"/>
      <c r="BZK2026" s="381"/>
      <c r="BZL2026" s="381"/>
      <c r="BZM2026" s="381"/>
      <c r="BZN2026" s="381"/>
      <c r="BZO2026" s="381"/>
      <c r="BZP2026" s="381"/>
      <c r="BZQ2026" s="381"/>
      <c r="BZR2026" s="381"/>
      <c r="BZS2026" s="381"/>
      <c r="BZT2026" s="381"/>
      <c r="BZU2026" s="381"/>
      <c r="BZV2026" s="381"/>
      <c r="BZW2026" s="381"/>
      <c r="BZX2026" s="381"/>
      <c r="BZY2026" s="381"/>
      <c r="BZZ2026" s="381"/>
      <c r="CAA2026" s="381"/>
      <c r="CAB2026" s="381"/>
      <c r="CAC2026" s="381"/>
      <c r="CAD2026" s="381"/>
      <c r="CAE2026" s="381"/>
      <c r="CAF2026" s="381"/>
      <c r="CAG2026" s="381"/>
      <c r="CAH2026" s="381"/>
      <c r="CAI2026" s="381"/>
      <c r="CAJ2026" s="381"/>
      <c r="CAK2026" s="381"/>
      <c r="CAL2026" s="381"/>
      <c r="CAM2026" s="381"/>
      <c r="CAN2026" s="381"/>
      <c r="CAO2026" s="381"/>
      <c r="CAP2026" s="381"/>
      <c r="CAQ2026" s="381"/>
      <c r="CAR2026" s="381"/>
      <c r="CAS2026" s="381"/>
      <c r="CAT2026" s="381"/>
      <c r="CAU2026" s="381"/>
      <c r="CAV2026" s="381"/>
      <c r="CAW2026" s="381"/>
      <c r="CAX2026" s="381"/>
      <c r="CAY2026" s="381"/>
      <c r="CAZ2026" s="381"/>
      <c r="CBA2026" s="381"/>
      <c r="CBB2026" s="381"/>
      <c r="CBC2026" s="381"/>
      <c r="CBD2026" s="381"/>
      <c r="CBE2026" s="381"/>
      <c r="CBF2026" s="381"/>
      <c r="CBG2026" s="381"/>
      <c r="CBH2026" s="381"/>
      <c r="CBI2026" s="381"/>
      <c r="CBJ2026" s="381"/>
      <c r="CBK2026" s="381"/>
      <c r="CBL2026" s="381"/>
      <c r="CBM2026" s="381"/>
      <c r="CBN2026" s="381"/>
      <c r="CBO2026" s="381"/>
      <c r="CBP2026" s="381"/>
      <c r="CBQ2026" s="381"/>
      <c r="CBR2026" s="381"/>
      <c r="CBS2026" s="381"/>
      <c r="CBT2026" s="381"/>
      <c r="CBU2026" s="381"/>
      <c r="CBV2026" s="381"/>
      <c r="CBW2026" s="381"/>
      <c r="CBX2026" s="381"/>
      <c r="CBY2026" s="381"/>
      <c r="CBZ2026" s="381"/>
      <c r="CCA2026" s="381"/>
      <c r="CCB2026" s="381"/>
      <c r="CCC2026" s="381"/>
      <c r="CCD2026" s="381"/>
      <c r="CCE2026" s="381"/>
      <c r="CCF2026" s="381"/>
      <c r="CCG2026" s="381"/>
      <c r="CCH2026" s="381"/>
      <c r="CCI2026" s="381"/>
      <c r="CCJ2026" s="381"/>
      <c r="CCK2026" s="381"/>
      <c r="CCL2026" s="381"/>
      <c r="CCM2026" s="381"/>
      <c r="CCN2026" s="381"/>
      <c r="CCO2026" s="381"/>
      <c r="CCP2026" s="381"/>
      <c r="CCQ2026" s="381"/>
      <c r="CCR2026" s="381"/>
      <c r="CCS2026" s="381"/>
      <c r="CCT2026" s="381"/>
      <c r="CCU2026" s="381"/>
      <c r="CCV2026" s="381"/>
      <c r="CCW2026" s="381"/>
      <c r="CCX2026" s="381"/>
      <c r="CCY2026" s="381"/>
      <c r="CCZ2026" s="381"/>
      <c r="CDA2026" s="381"/>
      <c r="CDB2026" s="381"/>
      <c r="CDC2026" s="381"/>
      <c r="CDD2026" s="381"/>
      <c r="CDE2026" s="381"/>
      <c r="CDF2026" s="381"/>
      <c r="CDG2026" s="381"/>
      <c r="CDH2026" s="381"/>
      <c r="CDI2026" s="381"/>
      <c r="CDJ2026" s="381"/>
      <c r="CDK2026" s="381"/>
      <c r="CDL2026" s="381"/>
      <c r="CDM2026" s="381"/>
      <c r="CDN2026" s="381"/>
      <c r="CDO2026" s="381"/>
      <c r="CDP2026" s="381"/>
      <c r="CDQ2026" s="381"/>
      <c r="CDR2026" s="381"/>
      <c r="CDS2026" s="381"/>
      <c r="CDT2026" s="381"/>
      <c r="CDU2026" s="381"/>
      <c r="CDV2026" s="381"/>
      <c r="CDW2026" s="381"/>
      <c r="CDX2026" s="381"/>
      <c r="CDY2026" s="381"/>
      <c r="CDZ2026" s="381"/>
      <c r="CEA2026" s="381"/>
      <c r="CEB2026" s="381"/>
      <c r="CEC2026" s="381"/>
      <c r="CED2026" s="381"/>
      <c r="CEE2026" s="381"/>
      <c r="CEF2026" s="381"/>
      <c r="CEG2026" s="381"/>
      <c r="CEH2026" s="381"/>
      <c r="CEI2026" s="381"/>
      <c r="CEJ2026" s="381"/>
      <c r="CEK2026" s="381"/>
      <c r="CEL2026" s="381"/>
      <c r="CEM2026" s="381"/>
      <c r="CEN2026" s="381"/>
      <c r="CEO2026" s="381"/>
      <c r="CEP2026" s="381"/>
      <c r="CEQ2026" s="381"/>
      <c r="CER2026" s="381"/>
      <c r="CES2026" s="381"/>
      <c r="CET2026" s="381"/>
      <c r="CEU2026" s="381"/>
      <c r="CEV2026" s="381"/>
      <c r="CEW2026" s="381"/>
      <c r="CEX2026" s="381"/>
      <c r="CEY2026" s="381"/>
      <c r="CEZ2026" s="381"/>
      <c r="CFA2026" s="381"/>
      <c r="CFB2026" s="381"/>
      <c r="CFC2026" s="381"/>
      <c r="CFD2026" s="381"/>
      <c r="CFE2026" s="381"/>
      <c r="CFF2026" s="381"/>
      <c r="CFG2026" s="381"/>
      <c r="CFH2026" s="381"/>
      <c r="CFI2026" s="381"/>
      <c r="CFJ2026" s="381"/>
      <c r="CFK2026" s="381"/>
      <c r="CFL2026" s="381"/>
      <c r="CFM2026" s="381"/>
      <c r="CFN2026" s="381"/>
      <c r="CFO2026" s="381"/>
      <c r="CFP2026" s="381"/>
      <c r="CFQ2026" s="381"/>
      <c r="CFR2026" s="381"/>
      <c r="CFS2026" s="381"/>
      <c r="CFT2026" s="381"/>
      <c r="CFU2026" s="381"/>
      <c r="CFV2026" s="381"/>
      <c r="CFW2026" s="381"/>
      <c r="CFX2026" s="381"/>
      <c r="CFY2026" s="381"/>
      <c r="CFZ2026" s="381"/>
      <c r="CGA2026" s="381"/>
      <c r="CGB2026" s="381"/>
      <c r="CGC2026" s="381"/>
      <c r="CGD2026" s="381"/>
      <c r="CGE2026" s="381"/>
      <c r="CGF2026" s="381"/>
      <c r="CGG2026" s="381"/>
      <c r="CGH2026" s="381"/>
      <c r="CGI2026" s="381"/>
      <c r="CGJ2026" s="381"/>
      <c r="CGK2026" s="381"/>
      <c r="CGL2026" s="381"/>
      <c r="CGM2026" s="381"/>
      <c r="CGN2026" s="381"/>
      <c r="CGO2026" s="381"/>
      <c r="CGP2026" s="381"/>
      <c r="CGQ2026" s="381"/>
      <c r="CGR2026" s="381"/>
      <c r="CGS2026" s="381"/>
      <c r="CGT2026" s="381"/>
      <c r="CGU2026" s="381"/>
      <c r="CGV2026" s="381"/>
      <c r="CGW2026" s="381"/>
      <c r="CGX2026" s="381"/>
      <c r="CGY2026" s="381"/>
      <c r="CGZ2026" s="381"/>
      <c r="CHA2026" s="381"/>
      <c r="CHB2026" s="381"/>
      <c r="CHC2026" s="381"/>
      <c r="CHD2026" s="381"/>
      <c r="CHE2026" s="381"/>
      <c r="CHF2026" s="381"/>
      <c r="CHG2026" s="381"/>
      <c r="CHH2026" s="381"/>
      <c r="CHI2026" s="381"/>
      <c r="CHJ2026" s="381"/>
      <c r="CHK2026" s="381"/>
      <c r="CHL2026" s="381"/>
      <c r="CHM2026" s="381"/>
      <c r="CHN2026" s="381"/>
      <c r="CHO2026" s="381"/>
      <c r="CHP2026" s="381"/>
      <c r="CHQ2026" s="381"/>
      <c r="CHR2026" s="381"/>
      <c r="CHS2026" s="381"/>
      <c r="CHT2026" s="381"/>
      <c r="CHU2026" s="381"/>
      <c r="CHV2026" s="381"/>
      <c r="CHW2026" s="381"/>
      <c r="CHX2026" s="381"/>
      <c r="CHY2026" s="381"/>
      <c r="CHZ2026" s="381"/>
      <c r="CIA2026" s="381"/>
      <c r="CIB2026" s="381"/>
      <c r="CIC2026" s="381"/>
      <c r="CID2026" s="381"/>
      <c r="CIE2026" s="381"/>
      <c r="CIF2026" s="381"/>
      <c r="CIG2026" s="381"/>
      <c r="CIH2026" s="381"/>
      <c r="CII2026" s="381"/>
      <c r="CIJ2026" s="381"/>
      <c r="CIK2026" s="381"/>
      <c r="CIL2026" s="381"/>
      <c r="CIM2026" s="381"/>
      <c r="CIN2026" s="381"/>
      <c r="CIO2026" s="381"/>
      <c r="CIP2026" s="381"/>
      <c r="CIQ2026" s="381"/>
      <c r="CIR2026" s="381"/>
      <c r="CIS2026" s="381"/>
      <c r="CIT2026" s="381"/>
      <c r="CIU2026" s="381"/>
      <c r="CIV2026" s="381"/>
      <c r="CIW2026" s="381"/>
      <c r="CIX2026" s="381"/>
      <c r="CIY2026" s="381"/>
      <c r="CIZ2026" s="381"/>
      <c r="CJA2026" s="381"/>
      <c r="CJB2026" s="381"/>
      <c r="CJC2026" s="381"/>
      <c r="CJD2026" s="381"/>
      <c r="CJE2026" s="381"/>
      <c r="CJF2026" s="381"/>
      <c r="CJG2026" s="381"/>
      <c r="CJH2026" s="381"/>
      <c r="CJI2026" s="381"/>
      <c r="CJJ2026" s="381"/>
      <c r="CJK2026" s="381"/>
      <c r="CJL2026" s="381"/>
      <c r="CJM2026" s="381"/>
      <c r="CJN2026" s="381"/>
      <c r="CJO2026" s="381"/>
      <c r="CJP2026" s="381"/>
      <c r="CJQ2026" s="381"/>
      <c r="CJR2026" s="381"/>
      <c r="CJS2026" s="381"/>
      <c r="CJT2026" s="381"/>
      <c r="CJU2026" s="381"/>
      <c r="CJV2026" s="381"/>
      <c r="CJW2026" s="381"/>
      <c r="CJX2026" s="381"/>
      <c r="CJY2026" s="381"/>
      <c r="CJZ2026" s="381"/>
      <c r="CKA2026" s="381"/>
      <c r="CKB2026" s="381"/>
      <c r="CKC2026" s="381"/>
      <c r="CKD2026" s="381"/>
      <c r="CKE2026" s="381"/>
      <c r="CKF2026" s="381"/>
      <c r="CKG2026" s="381"/>
      <c r="CKH2026" s="381"/>
      <c r="CKI2026" s="381"/>
      <c r="CKJ2026" s="381"/>
      <c r="CKK2026" s="381"/>
      <c r="CKL2026" s="381"/>
      <c r="CKM2026" s="381"/>
      <c r="CKN2026" s="381"/>
      <c r="CKO2026" s="381"/>
      <c r="CKP2026" s="381"/>
      <c r="CKQ2026" s="381"/>
      <c r="CKR2026" s="381"/>
      <c r="CKS2026" s="381"/>
      <c r="CKT2026" s="381"/>
      <c r="CKU2026" s="381"/>
      <c r="CKV2026" s="381"/>
      <c r="CKW2026" s="381"/>
      <c r="CKX2026" s="381"/>
      <c r="CKY2026" s="381"/>
      <c r="CKZ2026" s="381"/>
      <c r="CLA2026" s="381"/>
      <c r="CLB2026" s="381"/>
      <c r="CLC2026" s="381"/>
      <c r="CLD2026" s="381"/>
      <c r="CLE2026" s="381"/>
      <c r="CLF2026" s="381"/>
      <c r="CLG2026" s="381"/>
      <c r="CLH2026" s="381"/>
      <c r="CLI2026" s="381"/>
      <c r="CLJ2026" s="381"/>
      <c r="CLK2026" s="381"/>
      <c r="CLL2026" s="381"/>
      <c r="CLM2026" s="381"/>
      <c r="CLN2026" s="381"/>
      <c r="CLO2026" s="381"/>
      <c r="CLP2026" s="381"/>
      <c r="CLQ2026" s="381"/>
      <c r="CLR2026" s="381"/>
      <c r="CLS2026" s="381"/>
      <c r="CLT2026" s="381"/>
      <c r="CLU2026" s="381"/>
      <c r="CLV2026" s="381"/>
      <c r="CLW2026" s="381"/>
      <c r="CLX2026" s="381"/>
      <c r="CLY2026" s="381"/>
      <c r="CLZ2026" s="381"/>
      <c r="CMA2026" s="381"/>
      <c r="CMB2026" s="381"/>
      <c r="CMC2026" s="381"/>
      <c r="CMD2026" s="381"/>
      <c r="CME2026" s="381"/>
      <c r="CMF2026" s="381"/>
      <c r="CMG2026" s="381"/>
      <c r="CMH2026" s="381"/>
      <c r="CMI2026" s="381"/>
      <c r="CMJ2026" s="381"/>
      <c r="CMK2026" s="381"/>
      <c r="CML2026" s="381"/>
      <c r="CMM2026" s="381"/>
      <c r="CMN2026" s="381"/>
      <c r="CMO2026" s="381"/>
      <c r="CMP2026" s="381"/>
      <c r="CMQ2026" s="381"/>
      <c r="CMR2026" s="381"/>
      <c r="CMS2026" s="381"/>
      <c r="CMT2026" s="381"/>
      <c r="CMU2026" s="381"/>
      <c r="CMV2026" s="381"/>
      <c r="CMW2026" s="381"/>
      <c r="CMX2026" s="381"/>
      <c r="CMY2026" s="381"/>
      <c r="CMZ2026" s="381"/>
      <c r="CNA2026" s="381"/>
      <c r="CNB2026" s="381"/>
      <c r="CNC2026" s="381"/>
      <c r="CND2026" s="381"/>
      <c r="CNE2026" s="381"/>
      <c r="CNF2026" s="381"/>
      <c r="CNG2026" s="381"/>
      <c r="CNH2026" s="381"/>
      <c r="CNI2026" s="381"/>
      <c r="CNJ2026" s="381"/>
      <c r="CNK2026" s="381"/>
      <c r="CNL2026" s="381"/>
      <c r="CNM2026" s="381"/>
      <c r="CNN2026" s="381"/>
      <c r="CNO2026" s="381"/>
      <c r="CNP2026" s="381"/>
      <c r="CNQ2026" s="381"/>
      <c r="CNR2026" s="381"/>
      <c r="CNS2026" s="381"/>
      <c r="CNT2026" s="381"/>
      <c r="CNU2026" s="381"/>
      <c r="CNV2026" s="381"/>
      <c r="CNW2026" s="381"/>
      <c r="CNX2026" s="381"/>
      <c r="CNY2026" s="381"/>
      <c r="CNZ2026" s="381"/>
      <c r="COA2026" s="381"/>
      <c r="COB2026" s="381"/>
      <c r="COC2026" s="381"/>
      <c r="COD2026" s="381"/>
      <c r="COE2026" s="381"/>
      <c r="COF2026" s="381"/>
      <c r="COG2026" s="381"/>
      <c r="COH2026" s="381"/>
      <c r="COI2026" s="381"/>
      <c r="COJ2026" s="381"/>
      <c r="COK2026" s="381"/>
      <c r="COL2026" s="381"/>
      <c r="COM2026" s="381"/>
      <c r="CON2026" s="381"/>
      <c r="COO2026" s="381"/>
      <c r="COP2026" s="381"/>
      <c r="COQ2026" s="381"/>
      <c r="COR2026" s="381"/>
      <c r="COS2026" s="381"/>
      <c r="COT2026" s="381"/>
      <c r="COU2026" s="381"/>
      <c r="COV2026" s="381"/>
      <c r="COW2026" s="381"/>
      <c r="COX2026" s="381"/>
      <c r="COY2026" s="381"/>
      <c r="COZ2026" s="381"/>
      <c r="CPA2026" s="381"/>
      <c r="CPB2026" s="381"/>
      <c r="CPC2026" s="381"/>
      <c r="CPD2026" s="381"/>
      <c r="CPE2026" s="381"/>
      <c r="CPF2026" s="381"/>
      <c r="CPG2026" s="381"/>
      <c r="CPH2026" s="381"/>
      <c r="CPI2026" s="381"/>
      <c r="CPJ2026" s="381"/>
      <c r="CPK2026" s="381"/>
      <c r="CPL2026" s="381"/>
      <c r="CPM2026" s="381"/>
      <c r="CPN2026" s="381"/>
      <c r="CPO2026" s="381"/>
      <c r="CPP2026" s="381"/>
      <c r="CPQ2026" s="381"/>
      <c r="CPR2026" s="381"/>
      <c r="CPS2026" s="381"/>
      <c r="CPT2026" s="381"/>
      <c r="CPU2026" s="381"/>
      <c r="CPV2026" s="381"/>
      <c r="CPW2026" s="381"/>
      <c r="CPX2026" s="381"/>
      <c r="CPY2026" s="381"/>
      <c r="CPZ2026" s="381"/>
      <c r="CQA2026" s="381"/>
      <c r="CQB2026" s="381"/>
      <c r="CQC2026" s="381"/>
      <c r="CQD2026" s="381"/>
      <c r="CQE2026" s="381"/>
      <c r="CQF2026" s="381"/>
      <c r="CQG2026" s="381"/>
      <c r="CQH2026" s="381"/>
      <c r="CQI2026" s="381"/>
      <c r="CQJ2026" s="381"/>
      <c r="CQK2026" s="381"/>
      <c r="CQL2026" s="381"/>
      <c r="CQM2026" s="381"/>
      <c r="CQN2026" s="381"/>
      <c r="CQO2026" s="381"/>
      <c r="CQP2026" s="381"/>
      <c r="CQQ2026" s="381"/>
      <c r="CQR2026" s="381"/>
      <c r="CQS2026" s="381"/>
      <c r="CQT2026" s="381"/>
      <c r="CQU2026" s="381"/>
      <c r="CQV2026" s="381"/>
      <c r="CQW2026" s="381"/>
      <c r="CQX2026" s="381"/>
      <c r="CQY2026" s="381"/>
      <c r="CQZ2026" s="381"/>
      <c r="CRA2026" s="381"/>
      <c r="CRB2026" s="381"/>
      <c r="CRC2026" s="381"/>
      <c r="CRD2026" s="381"/>
      <c r="CRE2026" s="381"/>
      <c r="CRF2026" s="381"/>
      <c r="CRG2026" s="381"/>
      <c r="CRH2026" s="381"/>
      <c r="CRI2026" s="381"/>
      <c r="CRJ2026" s="381"/>
      <c r="CRK2026" s="381"/>
      <c r="CRL2026" s="381"/>
      <c r="CRM2026" s="381"/>
      <c r="CRN2026" s="381"/>
      <c r="CRO2026" s="381"/>
      <c r="CRP2026" s="381"/>
      <c r="CRQ2026" s="381"/>
      <c r="CRR2026" s="381"/>
      <c r="CRS2026" s="381"/>
      <c r="CRT2026" s="381"/>
      <c r="CRU2026" s="381"/>
      <c r="CRV2026" s="381"/>
      <c r="CRW2026" s="381"/>
      <c r="CRX2026" s="381"/>
      <c r="CRY2026" s="381"/>
      <c r="CRZ2026" s="381"/>
      <c r="CSA2026" s="381"/>
      <c r="CSB2026" s="381"/>
      <c r="CSC2026" s="381"/>
      <c r="CSD2026" s="381"/>
      <c r="CSE2026" s="381"/>
      <c r="CSF2026" s="381"/>
      <c r="CSG2026" s="381"/>
      <c r="CSH2026" s="381"/>
      <c r="CSI2026" s="381"/>
      <c r="CSJ2026" s="381"/>
      <c r="CSK2026" s="381"/>
      <c r="CSL2026" s="381"/>
      <c r="CSM2026" s="381"/>
      <c r="CSN2026" s="381"/>
      <c r="CSO2026" s="381"/>
      <c r="CSP2026" s="381"/>
      <c r="CSQ2026" s="381"/>
      <c r="CSR2026" s="381"/>
      <c r="CSS2026" s="381"/>
      <c r="CST2026" s="381"/>
      <c r="CSU2026" s="381"/>
      <c r="CSV2026" s="381"/>
      <c r="CSW2026" s="381"/>
      <c r="CSX2026" s="381"/>
      <c r="CSY2026" s="381"/>
      <c r="CSZ2026" s="381"/>
      <c r="CTA2026" s="381"/>
      <c r="CTB2026" s="381"/>
      <c r="CTC2026" s="381"/>
      <c r="CTD2026" s="381"/>
      <c r="CTE2026" s="381"/>
      <c r="CTF2026" s="381"/>
      <c r="CTG2026" s="381"/>
      <c r="CTH2026" s="381"/>
      <c r="CTI2026" s="381"/>
      <c r="CTJ2026" s="381"/>
      <c r="CTK2026" s="381"/>
      <c r="CTL2026" s="381"/>
      <c r="CTM2026" s="381"/>
      <c r="CTN2026" s="381"/>
      <c r="CTO2026" s="381"/>
      <c r="CTP2026" s="381"/>
      <c r="CTQ2026" s="381"/>
      <c r="CTR2026" s="381"/>
      <c r="CTS2026" s="381"/>
      <c r="CTT2026" s="381"/>
      <c r="CTU2026" s="381"/>
      <c r="CTV2026" s="381"/>
      <c r="CTW2026" s="381"/>
      <c r="CTX2026" s="381"/>
      <c r="CTY2026" s="381"/>
      <c r="CTZ2026" s="381"/>
      <c r="CUA2026" s="381"/>
      <c r="CUB2026" s="381"/>
      <c r="CUC2026" s="381"/>
      <c r="CUD2026" s="381"/>
      <c r="CUE2026" s="381"/>
      <c r="CUF2026" s="381"/>
      <c r="CUG2026" s="381"/>
      <c r="CUH2026" s="381"/>
      <c r="CUI2026" s="381"/>
      <c r="CUJ2026" s="381"/>
      <c r="CUK2026" s="381"/>
      <c r="CUL2026" s="381"/>
      <c r="CUM2026" s="381"/>
      <c r="CUN2026" s="381"/>
      <c r="CUO2026" s="381"/>
      <c r="CUP2026" s="381"/>
      <c r="CUQ2026" s="381"/>
      <c r="CUR2026" s="381"/>
      <c r="CUS2026" s="381"/>
      <c r="CUT2026" s="381"/>
      <c r="CUU2026" s="381"/>
      <c r="CUV2026" s="381"/>
      <c r="CUW2026" s="381"/>
      <c r="CUX2026" s="381"/>
      <c r="CUY2026" s="381"/>
      <c r="CUZ2026" s="381"/>
      <c r="CVA2026" s="381"/>
      <c r="CVB2026" s="381"/>
      <c r="CVC2026" s="381"/>
      <c r="CVD2026" s="381"/>
      <c r="CVE2026" s="381"/>
      <c r="CVF2026" s="381"/>
      <c r="CVG2026" s="381"/>
      <c r="CVH2026" s="381"/>
      <c r="CVI2026" s="381"/>
      <c r="CVJ2026" s="381"/>
      <c r="CVK2026" s="381"/>
      <c r="CVL2026" s="381"/>
      <c r="CVM2026" s="381"/>
      <c r="CVN2026" s="381"/>
      <c r="CVO2026" s="381"/>
      <c r="CVP2026" s="381"/>
      <c r="CVQ2026" s="381"/>
      <c r="CVR2026" s="381"/>
      <c r="CVS2026" s="381"/>
      <c r="CVT2026" s="381"/>
      <c r="CVU2026" s="381"/>
      <c r="CVV2026" s="381"/>
      <c r="CVW2026" s="381"/>
      <c r="CVX2026" s="381"/>
      <c r="CVY2026" s="381"/>
      <c r="CVZ2026" s="381"/>
      <c r="CWA2026" s="381"/>
      <c r="CWB2026" s="381"/>
      <c r="CWC2026" s="381"/>
      <c r="CWD2026" s="381"/>
      <c r="CWE2026" s="381"/>
      <c r="CWF2026" s="381"/>
      <c r="CWG2026" s="381"/>
      <c r="CWH2026" s="381"/>
      <c r="CWI2026" s="381"/>
      <c r="CWJ2026" s="381"/>
      <c r="CWK2026" s="381"/>
      <c r="CWL2026" s="381"/>
      <c r="CWM2026" s="381"/>
      <c r="CWN2026" s="381"/>
      <c r="CWO2026" s="381"/>
      <c r="CWP2026" s="381"/>
      <c r="CWQ2026" s="381"/>
      <c r="CWR2026" s="381"/>
      <c r="CWS2026" s="381"/>
      <c r="CWT2026" s="381"/>
      <c r="CWU2026" s="381"/>
      <c r="CWV2026" s="381"/>
      <c r="CWW2026" s="381"/>
      <c r="CWX2026" s="381"/>
      <c r="CWY2026" s="381"/>
      <c r="CWZ2026" s="381"/>
      <c r="CXA2026" s="381"/>
      <c r="CXB2026" s="381"/>
      <c r="CXC2026" s="381"/>
      <c r="CXD2026" s="381"/>
      <c r="CXE2026" s="381"/>
      <c r="CXF2026" s="381"/>
      <c r="CXG2026" s="381"/>
      <c r="CXH2026" s="381"/>
      <c r="CXI2026" s="381"/>
      <c r="CXJ2026" s="381"/>
      <c r="CXK2026" s="381"/>
      <c r="CXL2026" s="381"/>
      <c r="CXM2026" s="381"/>
      <c r="CXN2026" s="381"/>
      <c r="CXO2026" s="381"/>
      <c r="CXP2026" s="381"/>
      <c r="CXQ2026" s="381"/>
      <c r="CXR2026" s="381"/>
      <c r="CXS2026" s="381"/>
      <c r="CXT2026" s="381"/>
      <c r="CXU2026" s="381"/>
      <c r="CXV2026" s="381"/>
      <c r="CXW2026" s="381"/>
      <c r="CXX2026" s="381"/>
      <c r="CXY2026" s="381"/>
      <c r="CXZ2026" s="381"/>
      <c r="CYA2026" s="381"/>
      <c r="CYB2026" s="381"/>
      <c r="CYC2026" s="381"/>
      <c r="CYD2026" s="381"/>
      <c r="CYE2026" s="381"/>
      <c r="CYF2026" s="381"/>
      <c r="CYG2026" s="381"/>
      <c r="CYH2026" s="381"/>
      <c r="CYI2026" s="381"/>
      <c r="CYJ2026" s="381"/>
      <c r="CYK2026" s="381"/>
      <c r="CYL2026" s="381"/>
      <c r="CYM2026" s="381"/>
      <c r="CYN2026" s="381"/>
      <c r="CYO2026" s="381"/>
      <c r="CYP2026" s="381"/>
      <c r="CYQ2026" s="381"/>
      <c r="CYR2026" s="381"/>
      <c r="CYS2026" s="381"/>
      <c r="CYT2026" s="381"/>
      <c r="CYU2026" s="381"/>
      <c r="CYV2026" s="381"/>
      <c r="CYW2026" s="381"/>
      <c r="CYX2026" s="381"/>
      <c r="CYY2026" s="381"/>
      <c r="CYZ2026" s="381"/>
      <c r="CZA2026" s="381"/>
      <c r="CZB2026" s="381"/>
      <c r="CZC2026" s="381"/>
      <c r="CZD2026" s="381"/>
      <c r="CZE2026" s="381"/>
      <c r="CZF2026" s="381"/>
      <c r="CZG2026" s="381"/>
      <c r="CZH2026" s="381"/>
      <c r="CZI2026" s="381"/>
      <c r="CZJ2026" s="381"/>
      <c r="CZK2026" s="381"/>
      <c r="CZL2026" s="381"/>
      <c r="CZM2026" s="381"/>
      <c r="CZN2026" s="381"/>
      <c r="CZO2026" s="381"/>
      <c r="CZP2026" s="381"/>
      <c r="CZQ2026" s="381"/>
      <c r="CZR2026" s="381"/>
      <c r="CZS2026" s="381"/>
      <c r="CZT2026" s="381"/>
      <c r="CZU2026" s="381"/>
      <c r="CZV2026" s="381"/>
      <c r="CZW2026" s="381"/>
      <c r="CZX2026" s="381"/>
      <c r="CZY2026" s="381"/>
      <c r="CZZ2026" s="381"/>
      <c r="DAA2026" s="381"/>
      <c r="DAB2026" s="381"/>
      <c r="DAC2026" s="381"/>
      <c r="DAD2026" s="381"/>
      <c r="DAE2026" s="381"/>
      <c r="DAF2026" s="381"/>
      <c r="DAG2026" s="381"/>
      <c r="DAH2026" s="381"/>
      <c r="DAI2026" s="381"/>
      <c r="DAJ2026" s="381"/>
      <c r="DAK2026" s="381"/>
      <c r="DAL2026" s="381"/>
      <c r="DAM2026" s="381"/>
      <c r="DAN2026" s="381"/>
      <c r="DAO2026" s="381"/>
      <c r="DAP2026" s="381"/>
      <c r="DAQ2026" s="381"/>
      <c r="DAR2026" s="381"/>
      <c r="DAS2026" s="381"/>
      <c r="DAT2026" s="381"/>
      <c r="DAU2026" s="381"/>
      <c r="DAV2026" s="381"/>
      <c r="DAW2026" s="381"/>
      <c r="DAX2026" s="381"/>
      <c r="DAY2026" s="381"/>
      <c r="DAZ2026" s="381"/>
      <c r="DBA2026" s="381"/>
      <c r="DBB2026" s="381"/>
      <c r="DBC2026" s="381"/>
      <c r="DBD2026" s="381"/>
      <c r="DBE2026" s="381"/>
      <c r="DBF2026" s="381"/>
      <c r="DBG2026" s="381"/>
      <c r="DBH2026" s="381"/>
      <c r="DBI2026" s="381"/>
      <c r="DBJ2026" s="381"/>
      <c r="DBK2026" s="381"/>
      <c r="DBL2026" s="381"/>
      <c r="DBM2026" s="381"/>
      <c r="DBN2026" s="381"/>
      <c r="DBO2026" s="381"/>
      <c r="DBP2026" s="381"/>
      <c r="DBQ2026" s="381"/>
      <c r="DBR2026" s="381"/>
      <c r="DBS2026" s="381"/>
      <c r="DBT2026" s="381"/>
      <c r="DBU2026" s="381"/>
      <c r="DBV2026" s="381"/>
      <c r="DBW2026" s="381"/>
      <c r="DBX2026" s="381"/>
      <c r="DBY2026" s="381"/>
      <c r="DBZ2026" s="381"/>
      <c r="DCA2026" s="381"/>
      <c r="DCB2026" s="381"/>
      <c r="DCC2026" s="381"/>
      <c r="DCD2026" s="381"/>
      <c r="DCE2026" s="381"/>
      <c r="DCF2026" s="381"/>
      <c r="DCG2026" s="381"/>
      <c r="DCH2026" s="381"/>
      <c r="DCI2026" s="381"/>
      <c r="DCJ2026" s="381"/>
      <c r="DCK2026" s="381"/>
      <c r="DCL2026" s="381"/>
      <c r="DCM2026" s="381"/>
      <c r="DCN2026" s="381"/>
      <c r="DCO2026" s="381"/>
      <c r="DCP2026" s="381"/>
      <c r="DCQ2026" s="381"/>
      <c r="DCR2026" s="381"/>
      <c r="DCS2026" s="381"/>
      <c r="DCT2026" s="381"/>
      <c r="DCU2026" s="381"/>
      <c r="DCV2026" s="381"/>
      <c r="DCW2026" s="381"/>
      <c r="DCX2026" s="381"/>
      <c r="DCY2026" s="381"/>
      <c r="DCZ2026" s="381"/>
      <c r="DDA2026" s="381"/>
      <c r="DDB2026" s="381"/>
      <c r="DDC2026" s="381"/>
      <c r="DDD2026" s="381"/>
      <c r="DDE2026" s="381"/>
      <c r="DDF2026" s="381"/>
      <c r="DDG2026" s="381"/>
      <c r="DDH2026" s="381"/>
      <c r="DDI2026" s="381"/>
      <c r="DDJ2026" s="381"/>
      <c r="DDK2026" s="381"/>
      <c r="DDL2026" s="381"/>
      <c r="DDM2026" s="381"/>
      <c r="DDN2026" s="381"/>
      <c r="DDO2026" s="381"/>
      <c r="DDP2026" s="381"/>
      <c r="DDQ2026" s="381"/>
      <c r="DDR2026" s="381"/>
      <c r="DDS2026" s="381"/>
      <c r="DDT2026" s="381"/>
      <c r="DDU2026" s="381"/>
      <c r="DDV2026" s="381"/>
      <c r="DDW2026" s="381"/>
      <c r="DDX2026" s="381"/>
      <c r="DDY2026" s="381"/>
      <c r="DDZ2026" s="381"/>
      <c r="DEA2026" s="381"/>
      <c r="DEB2026" s="381"/>
      <c r="DEC2026" s="381"/>
      <c r="DED2026" s="381"/>
      <c r="DEE2026" s="381"/>
      <c r="DEF2026" s="381"/>
      <c r="DEG2026" s="381"/>
      <c r="DEH2026" s="381"/>
      <c r="DEI2026" s="381"/>
      <c r="DEJ2026" s="381"/>
      <c r="DEK2026" s="381"/>
      <c r="DEL2026" s="381"/>
      <c r="DEM2026" s="381"/>
      <c r="DEN2026" s="381"/>
      <c r="DEO2026" s="381"/>
      <c r="DEP2026" s="381"/>
      <c r="DEQ2026" s="381"/>
      <c r="DER2026" s="381"/>
      <c r="DES2026" s="381"/>
      <c r="DET2026" s="381"/>
      <c r="DEU2026" s="381"/>
      <c r="DEV2026" s="381"/>
      <c r="DEW2026" s="381"/>
      <c r="DEX2026" s="381"/>
      <c r="DEY2026" s="381"/>
      <c r="DEZ2026" s="381"/>
      <c r="DFA2026" s="381"/>
      <c r="DFB2026" s="381"/>
      <c r="DFC2026" s="381"/>
      <c r="DFD2026" s="381"/>
      <c r="DFE2026" s="381"/>
      <c r="DFF2026" s="381"/>
      <c r="DFG2026" s="381"/>
      <c r="DFH2026" s="381"/>
      <c r="DFI2026" s="381"/>
      <c r="DFJ2026" s="381"/>
      <c r="DFK2026" s="381"/>
      <c r="DFL2026" s="381"/>
      <c r="DFM2026" s="381"/>
      <c r="DFN2026" s="381"/>
      <c r="DFO2026" s="381"/>
      <c r="DFP2026" s="381"/>
      <c r="DFQ2026" s="381"/>
      <c r="DFR2026" s="381"/>
      <c r="DFS2026" s="381"/>
      <c r="DFT2026" s="381"/>
      <c r="DFU2026" s="381"/>
      <c r="DFV2026" s="381"/>
      <c r="DFW2026" s="381"/>
      <c r="DFX2026" s="381"/>
      <c r="DFY2026" s="381"/>
      <c r="DFZ2026" s="381"/>
      <c r="DGA2026" s="381"/>
      <c r="DGB2026" s="381"/>
      <c r="DGC2026" s="381"/>
      <c r="DGD2026" s="381"/>
      <c r="DGE2026" s="381"/>
      <c r="DGF2026" s="381"/>
      <c r="DGG2026" s="381"/>
      <c r="DGH2026" s="381"/>
      <c r="DGI2026" s="381"/>
      <c r="DGJ2026" s="381"/>
      <c r="DGK2026" s="381"/>
      <c r="DGL2026" s="381"/>
      <c r="DGM2026" s="381"/>
      <c r="DGN2026" s="381"/>
      <c r="DGO2026" s="381"/>
      <c r="DGP2026" s="381"/>
      <c r="DGQ2026" s="381"/>
      <c r="DGR2026" s="381"/>
      <c r="DGS2026" s="381"/>
      <c r="DGT2026" s="381"/>
      <c r="DGU2026" s="381"/>
      <c r="DGV2026" s="381"/>
      <c r="DGW2026" s="381"/>
      <c r="DGX2026" s="381"/>
      <c r="DGY2026" s="381"/>
      <c r="DGZ2026" s="381"/>
      <c r="DHA2026" s="381"/>
      <c r="DHB2026" s="381"/>
      <c r="DHC2026" s="381"/>
      <c r="DHD2026" s="381"/>
      <c r="DHE2026" s="381"/>
      <c r="DHF2026" s="381"/>
      <c r="DHG2026" s="381"/>
      <c r="DHH2026" s="381"/>
      <c r="DHI2026" s="381"/>
      <c r="DHJ2026" s="381"/>
      <c r="DHK2026" s="381"/>
      <c r="DHL2026" s="381"/>
      <c r="DHM2026" s="381"/>
      <c r="DHN2026" s="381"/>
      <c r="DHO2026" s="381"/>
      <c r="DHP2026" s="381"/>
      <c r="DHQ2026" s="381"/>
      <c r="DHR2026" s="381"/>
      <c r="DHS2026" s="381"/>
      <c r="DHT2026" s="381"/>
      <c r="DHU2026" s="381"/>
      <c r="DHV2026" s="381"/>
      <c r="DHW2026" s="381"/>
      <c r="DHX2026" s="381"/>
      <c r="DHY2026" s="381"/>
      <c r="DHZ2026" s="381"/>
      <c r="DIA2026" s="381"/>
      <c r="DIB2026" s="381"/>
      <c r="DIC2026" s="381"/>
      <c r="DID2026" s="381"/>
      <c r="DIE2026" s="381"/>
      <c r="DIF2026" s="381"/>
      <c r="DIG2026" s="381"/>
      <c r="DIH2026" s="381"/>
      <c r="DII2026" s="381"/>
      <c r="DIJ2026" s="381"/>
      <c r="DIK2026" s="381"/>
      <c r="DIL2026" s="381"/>
      <c r="DIM2026" s="381"/>
      <c r="DIN2026" s="381"/>
      <c r="DIO2026" s="381"/>
      <c r="DIP2026" s="381"/>
      <c r="DIQ2026" s="381"/>
      <c r="DIR2026" s="381"/>
      <c r="DIS2026" s="381"/>
      <c r="DIT2026" s="381"/>
      <c r="DIU2026" s="381"/>
      <c r="DIV2026" s="381"/>
      <c r="DIW2026" s="381"/>
      <c r="DIX2026" s="381"/>
      <c r="DIY2026" s="381"/>
      <c r="DIZ2026" s="381"/>
      <c r="DJA2026" s="381"/>
      <c r="DJB2026" s="381"/>
      <c r="DJC2026" s="381"/>
      <c r="DJD2026" s="381"/>
      <c r="DJE2026" s="381"/>
      <c r="DJF2026" s="381"/>
      <c r="DJG2026" s="381"/>
      <c r="DJH2026" s="381"/>
      <c r="DJI2026" s="381"/>
      <c r="DJJ2026" s="381"/>
      <c r="DJK2026" s="381"/>
      <c r="DJL2026" s="381"/>
      <c r="DJM2026" s="381"/>
      <c r="DJN2026" s="381"/>
      <c r="DJO2026" s="381"/>
      <c r="DJP2026" s="381"/>
      <c r="DJQ2026" s="381"/>
      <c r="DJR2026" s="381"/>
      <c r="DJS2026" s="381"/>
      <c r="DJT2026" s="381"/>
      <c r="DJU2026" s="381"/>
      <c r="DJV2026" s="381"/>
      <c r="DJW2026" s="381"/>
      <c r="DJX2026" s="381"/>
      <c r="DJY2026" s="381"/>
      <c r="DJZ2026" s="381"/>
      <c r="DKA2026" s="381"/>
      <c r="DKB2026" s="381"/>
      <c r="DKC2026" s="381"/>
      <c r="DKD2026" s="381"/>
      <c r="DKE2026" s="381"/>
      <c r="DKF2026" s="381"/>
      <c r="DKG2026" s="381"/>
      <c r="DKH2026" s="381"/>
      <c r="DKI2026" s="381"/>
      <c r="DKJ2026" s="381"/>
      <c r="DKK2026" s="381"/>
      <c r="DKL2026" s="381"/>
      <c r="DKM2026" s="381"/>
      <c r="DKN2026" s="381"/>
      <c r="DKO2026" s="381"/>
      <c r="DKP2026" s="381"/>
      <c r="DKQ2026" s="381"/>
      <c r="DKR2026" s="381"/>
      <c r="DKS2026" s="381"/>
      <c r="DKT2026" s="381"/>
      <c r="DKU2026" s="381"/>
      <c r="DKV2026" s="381"/>
      <c r="DKW2026" s="381"/>
      <c r="DKX2026" s="381"/>
      <c r="DKY2026" s="381"/>
      <c r="DKZ2026" s="381"/>
      <c r="DLA2026" s="381"/>
      <c r="DLB2026" s="381"/>
      <c r="DLC2026" s="381"/>
      <c r="DLD2026" s="381"/>
      <c r="DLE2026" s="381"/>
      <c r="DLF2026" s="381"/>
      <c r="DLG2026" s="381"/>
      <c r="DLH2026" s="381"/>
      <c r="DLI2026" s="381"/>
      <c r="DLJ2026" s="381"/>
      <c r="DLK2026" s="381"/>
      <c r="DLL2026" s="381"/>
      <c r="DLM2026" s="381"/>
      <c r="DLN2026" s="381"/>
      <c r="DLO2026" s="381"/>
      <c r="DLP2026" s="381"/>
      <c r="DLQ2026" s="381"/>
      <c r="DLR2026" s="381"/>
      <c r="DLS2026" s="381"/>
      <c r="DLT2026" s="381"/>
      <c r="DLU2026" s="381"/>
      <c r="DLV2026" s="381"/>
      <c r="DLW2026" s="381"/>
      <c r="DLX2026" s="381"/>
      <c r="DLY2026" s="381"/>
      <c r="DLZ2026" s="381"/>
      <c r="DMA2026" s="381"/>
      <c r="DMB2026" s="381"/>
      <c r="DMC2026" s="381"/>
      <c r="DMD2026" s="381"/>
      <c r="DME2026" s="381"/>
      <c r="DMF2026" s="381"/>
      <c r="DMG2026" s="381"/>
      <c r="DMH2026" s="381"/>
      <c r="DMI2026" s="381"/>
      <c r="DMJ2026" s="381"/>
      <c r="DMK2026" s="381"/>
      <c r="DML2026" s="381"/>
      <c r="DMM2026" s="381"/>
      <c r="DMN2026" s="381"/>
      <c r="DMO2026" s="381"/>
      <c r="DMP2026" s="381"/>
      <c r="DMQ2026" s="381"/>
      <c r="DMR2026" s="381"/>
      <c r="DMS2026" s="381"/>
      <c r="DMT2026" s="381"/>
      <c r="DMU2026" s="381"/>
      <c r="DMV2026" s="381"/>
      <c r="DMW2026" s="381"/>
      <c r="DMX2026" s="381"/>
      <c r="DMY2026" s="381"/>
      <c r="DMZ2026" s="381"/>
      <c r="DNA2026" s="381"/>
      <c r="DNB2026" s="381"/>
      <c r="DNC2026" s="381"/>
      <c r="DND2026" s="381"/>
      <c r="DNE2026" s="381"/>
      <c r="DNF2026" s="381"/>
      <c r="DNG2026" s="381"/>
      <c r="DNH2026" s="381"/>
      <c r="DNI2026" s="381"/>
      <c r="DNJ2026" s="381"/>
      <c r="DNK2026" s="381"/>
      <c r="DNL2026" s="381"/>
      <c r="DNM2026" s="381"/>
      <c r="DNN2026" s="381"/>
      <c r="DNO2026" s="381"/>
      <c r="DNP2026" s="381"/>
      <c r="DNQ2026" s="381"/>
      <c r="DNR2026" s="381"/>
      <c r="DNS2026" s="381"/>
      <c r="DNT2026" s="381"/>
      <c r="DNU2026" s="381"/>
      <c r="DNV2026" s="381"/>
      <c r="DNW2026" s="381"/>
      <c r="DNX2026" s="381"/>
      <c r="DNY2026" s="381"/>
      <c r="DNZ2026" s="381"/>
      <c r="DOA2026" s="381"/>
      <c r="DOB2026" s="381"/>
      <c r="DOC2026" s="381"/>
      <c r="DOD2026" s="381"/>
      <c r="DOE2026" s="381"/>
      <c r="DOF2026" s="381"/>
      <c r="DOG2026" s="381"/>
      <c r="DOH2026" s="381"/>
      <c r="DOI2026" s="381"/>
      <c r="DOJ2026" s="381"/>
      <c r="DOK2026" s="381"/>
      <c r="DOL2026" s="381"/>
      <c r="DOM2026" s="381"/>
      <c r="DON2026" s="381"/>
      <c r="DOO2026" s="381"/>
      <c r="DOP2026" s="381"/>
      <c r="DOQ2026" s="381"/>
      <c r="DOR2026" s="381"/>
      <c r="DOS2026" s="381"/>
      <c r="DOT2026" s="381"/>
      <c r="DOU2026" s="381"/>
      <c r="DOV2026" s="381"/>
      <c r="DOW2026" s="381"/>
      <c r="DOX2026" s="381"/>
      <c r="DOY2026" s="381"/>
      <c r="DOZ2026" s="381"/>
      <c r="DPA2026" s="381"/>
      <c r="DPB2026" s="381"/>
      <c r="DPC2026" s="381"/>
      <c r="DPD2026" s="381"/>
      <c r="DPE2026" s="381"/>
      <c r="DPF2026" s="381"/>
      <c r="DPG2026" s="381"/>
      <c r="DPH2026" s="381"/>
      <c r="DPI2026" s="381"/>
      <c r="DPJ2026" s="381"/>
      <c r="DPK2026" s="381"/>
      <c r="DPL2026" s="381"/>
      <c r="DPM2026" s="381"/>
      <c r="DPN2026" s="381"/>
      <c r="DPO2026" s="381"/>
      <c r="DPP2026" s="381"/>
      <c r="DPQ2026" s="381"/>
      <c r="DPR2026" s="381"/>
      <c r="DPS2026" s="381"/>
      <c r="DPT2026" s="381"/>
      <c r="DPU2026" s="381"/>
      <c r="DPV2026" s="381"/>
      <c r="DPW2026" s="381"/>
      <c r="DPX2026" s="381"/>
      <c r="DPY2026" s="381"/>
      <c r="DPZ2026" s="381"/>
      <c r="DQA2026" s="381"/>
      <c r="DQB2026" s="381"/>
      <c r="DQC2026" s="381"/>
      <c r="DQD2026" s="381"/>
      <c r="DQE2026" s="381"/>
      <c r="DQF2026" s="381"/>
      <c r="DQG2026" s="381"/>
      <c r="DQH2026" s="381"/>
      <c r="DQI2026" s="381"/>
      <c r="DQJ2026" s="381"/>
      <c r="DQK2026" s="381"/>
      <c r="DQL2026" s="381"/>
      <c r="DQM2026" s="381"/>
      <c r="DQN2026" s="381"/>
      <c r="DQO2026" s="381"/>
      <c r="DQP2026" s="381"/>
      <c r="DQQ2026" s="381"/>
      <c r="DQR2026" s="381"/>
      <c r="DQS2026" s="381"/>
      <c r="DQT2026" s="381"/>
      <c r="DQU2026" s="381"/>
      <c r="DQV2026" s="381"/>
      <c r="DQW2026" s="381"/>
      <c r="DQX2026" s="381"/>
      <c r="DQY2026" s="381"/>
      <c r="DQZ2026" s="381"/>
      <c r="DRA2026" s="381"/>
      <c r="DRB2026" s="381"/>
      <c r="DRC2026" s="381"/>
      <c r="DRD2026" s="381"/>
      <c r="DRE2026" s="381"/>
      <c r="DRF2026" s="381"/>
      <c r="DRG2026" s="381"/>
      <c r="DRH2026" s="381"/>
      <c r="DRI2026" s="381"/>
      <c r="DRJ2026" s="381"/>
      <c r="DRK2026" s="381"/>
      <c r="DRL2026" s="381"/>
      <c r="DRM2026" s="381"/>
      <c r="DRN2026" s="381"/>
      <c r="DRO2026" s="381"/>
      <c r="DRP2026" s="381"/>
      <c r="DRQ2026" s="381"/>
      <c r="DRR2026" s="381"/>
      <c r="DRS2026" s="381"/>
      <c r="DRT2026" s="381"/>
      <c r="DRU2026" s="381"/>
      <c r="DRV2026" s="381"/>
      <c r="DRW2026" s="381"/>
      <c r="DRX2026" s="381"/>
      <c r="DRY2026" s="381"/>
      <c r="DRZ2026" s="381"/>
      <c r="DSA2026" s="381"/>
      <c r="DSB2026" s="381"/>
      <c r="DSC2026" s="381"/>
      <c r="DSD2026" s="381"/>
      <c r="DSE2026" s="381"/>
      <c r="DSF2026" s="381"/>
      <c r="DSG2026" s="381"/>
      <c r="DSH2026" s="381"/>
      <c r="DSI2026" s="381"/>
      <c r="DSJ2026" s="381"/>
      <c r="DSK2026" s="381"/>
      <c r="DSL2026" s="381"/>
      <c r="DSM2026" s="381"/>
      <c r="DSN2026" s="381"/>
      <c r="DSO2026" s="381"/>
      <c r="DSP2026" s="381"/>
      <c r="DSQ2026" s="381"/>
      <c r="DSR2026" s="381"/>
      <c r="DSS2026" s="381"/>
      <c r="DST2026" s="381"/>
      <c r="DSU2026" s="381"/>
      <c r="DSV2026" s="381"/>
      <c r="DSW2026" s="381"/>
      <c r="DSX2026" s="381"/>
      <c r="DSY2026" s="381"/>
      <c r="DSZ2026" s="381"/>
      <c r="DTA2026" s="381"/>
      <c r="DTB2026" s="381"/>
      <c r="DTC2026" s="381"/>
      <c r="DTD2026" s="381"/>
      <c r="DTE2026" s="381"/>
      <c r="DTF2026" s="381"/>
      <c r="DTG2026" s="381"/>
      <c r="DTH2026" s="381"/>
      <c r="DTI2026" s="381"/>
      <c r="DTJ2026" s="381"/>
      <c r="DTK2026" s="381"/>
      <c r="DTL2026" s="381"/>
      <c r="DTM2026" s="381"/>
      <c r="DTN2026" s="381"/>
      <c r="DTO2026" s="381"/>
      <c r="DTP2026" s="381"/>
      <c r="DTQ2026" s="381"/>
      <c r="DTR2026" s="381"/>
      <c r="DTS2026" s="381"/>
      <c r="DTT2026" s="381"/>
      <c r="DTU2026" s="381"/>
      <c r="DTV2026" s="381"/>
      <c r="DTW2026" s="381"/>
      <c r="DTX2026" s="381"/>
      <c r="DTY2026" s="381"/>
      <c r="DTZ2026" s="381"/>
      <c r="DUA2026" s="381"/>
      <c r="DUB2026" s="381"/>
      <c r="DUC2026" s="381"/>
      <c r="DUD2026" s="381"/>
      <c r="DUE2026" s="381"/>
      <c r="DUF2026" s="381"/>
      <c r="DUG2026" s="381"/>
      <c r="DUH2026" s="381"/>
      <c r="DUI2026" s="381"/>
      <c r="DUJ2026" s="381"/>
      <c r="DUK2026" s="381"/>
      <c r="DUL2026" s="381"/>
      <c r="DUM2026" s="381"/>
      <c r="DUN2026" s="381"/>
      <c r="DUO2026" s="381"/>
      <c r="DUP2026" s="381"/>
      <c r="DUQ2026" s="381"/>
      <c r="DUR2026" s="381"/>
      <c r="DUS2026" s="381"/>
      <c r="DUT2026" s="381"/>
      <c r="DUU2026" s="381"/>
      <c r="DUV2026" s="381"/>
      <c r="DUW2026" s="381"/>
      <c r="DUX2026" s="381"/>
      <c r="DUY2026" s="381"/>
      <c r="DUZ2026" s="381"/>
      <c r="DVA2026" s="381"/>
      <c r="DVB2026" s="381"/>
      <c r="DVC2026" s="381"/>
      <c r="DVD2026" s="381"/>
      <c r="DVE2026" s="381"/>
      <c r="DVF2026" s="381"/>
      <c r="DVG2026" s="381"/>
      <c r="DVH2026" s="381"/>
      <c r="DVI2026" s="381"/>
      <c r="DVJ2026" s="381"/>
      <c r="DVK2026" s="381"/>
      <c r="DVL2026" s="381"/>
      <c r="DVM2026" s="381"/>
      <c r="DVN2026" s="381"/>
      <c r="DVO2026" s="381"/>
      <c r="DVP2026" s="381"/>
      <c r="DVQ2026" s="381"/>
      <c r="DVR2026" s="381"/>
      <c r="DVS2026" s="381"/>
      <c r="DVT2026" s="381"/>
      <c r="DVU2026" s="381"/>
      <c r="DVV2026" s="381"/>
      <c r="DVW2026" s="381"/>
      <c r="DVX2026" s="381"/>
      <c r="DVY2026" s="381"/>
      <c r="DVZ2026" s="381"/>
      <c r="DWA2026" s="381"/>
      <c r="DWB2026" s="381"/>
      <c r="DWC2026" s="381"/>
      <c r="DWD2026" s="381"/>
      <c r="DWE2026" s="381"/>
      <c r="DWF2026" s="381"/>
      <c r="DWG2026" s="381"/>
      <c r="DWH2026" s="381"/>
      <c r="DWI2026" s="381"/>
      <c r="DWJ2026" s="381"/>
      <c r="DWK2026" s="381"/>
      <c r="DWL2026" s="381"/>
      <c r="DWM2026" s="381"/>
      <c r="DWN2026" s="381"/>
      <c r="DWO2026" s="381"/>
      <c r="DWP2026" s="381"/>
      <c r="DWQ2026" s="381"/>
      <c r="DWR2026" s="381"/>
      <c r="DWS2026" s="381"/>
      <c r="DWT2026" s="381"/>
      <c r="DWU2026" s="381"/>
      <c r="DWV2026" s="381"/>
      <c r="DWW2026" s="381"/>
      <c r="DWX2026" s="381"/>
      <c r="DWY2026" s="381"/>
      <c r="DWZ2026" s="381"/>
      <c r="DXA2026" s="381"/>
      <c r="DXB2026" s="381"/>
      <c r="DXC2026" s="381"/>
      <c r="DXD2026" s="381"/>
      <c r="DXE2026" s="381"/>
      <c r="DXF2026" s="381"/>
      <c r="DXG2026" s="381"/>
      <c r="DXH2026" s="381"/>
      <c r="DXI2026" s="381"/>
      <c r="DXJ2026" s="381"/>
      <c r="DXK2026" s="381"/>
      <c r="DXL2026" s="381"/>
      <c r="DXM2026" s="381"/>
      <c r="DXN2026" s="381"/>
      <c r="DXO2026" s="381"/>
      <c r="DXP2026" s="381"/>
      <c r="DXQ2026" s="381"/>
      <c r="DXR2026" s="381"/>
      <c r="DXS2026" s="381"/>
      <c r="DXT2026" s="381"/>
      <c r="DXU2026" s="381"/>
      <c r="DXV2026" s="381"/>
      <c r="DXW2026" s="381"/>
      <c r="DXX2026" s="381"/>
      <c r="DXY2026" s="381"/>
      <c r="DXZ2026" s="381"/>
      <c r="DYA2026" s="381"/>
      <c r="DYB2026" s="381"/>
      <c r="DYC2026" s="381"/>
      <c r="DYD2026" s="381"/>
      <c r="DYE2026" s="381"/>
      <c r="DYF2026" s="381"/>
      <c r="DYG2026" s="381"/>
      <c r="DYH2026" s="381"/>
      <c r="DYI2026" s="381"/>
      <c r="DYJ2026" s="381"/>
      <c r="DYK2026" s="381"/>
      <c r="DYL2026" s="381"/>
      <c r="DYM2026" s="381"/>
      <c r="DYN2026" s="381"/>
      <c r="DYO2026" s="381"/>
      <c r="DYP2026" s="381"/>
      <c r="DYQ2026" s="381"/>
      <c r="DYR2026" s="381"/>
      <c r="DYS2026" s="381"/>
      <c r="DYT2026" s="381"/>
      <c r="DYU2026" s="381"/>
      <c r="DYV2026" s="381"/>
      <c r="DYW2026" s="381"/>
      <c r="DYX2026" s="381"/>
      <c r="DYY2026" s="381"/>
      <c r="DYZ2026" s="381"/>
      <c r="DZA2026" s="381"/>
      <c r="DZB2026" s="381"/>
      <c r="DZC2026" s="381"/>
      <c r="DZD2026" s="381"/>
      <c r="DZE2026" s="381"/>
      <c r="DZF2026" s="381"/>
      <c r="DZG2026" s="381"/>
      <c r="DZH2026" s="381"/>
      <c r="DZI2026" s="381"/>
      <c r="DZJ2026" s="381"/>
      <c r="DZK2026" s="381"/>
      <c r="DZL2026" s="381"/>
      <c r="DZM2026" s="381"/>
      <c r="DZN2026" s="381"/>
      <c r="DZO2026" s="381"/>
      <c r="DZP2026" s="381"/>
      <c r="DZQ2026" s="381"/>
      <c r="DZR2026" s="381"/>
      <c r="DZS2026" s="381"/>
      <c r="DZT2026" s="381"/>
      <c r="DZU2026" s="381"/>
      <c r="DZV2026" s="381"/>
      <c r="DZW2026" s="381"/>
      <c r="DZX2026" s="381"/>
      <c r="DZY2026" s="381"/>
      <c r="DZZ2026" s="381"/>
      <c r="EAA2026" s="381"/>
      <c r="EAB2026" s="381"/>
      <c r="EAC2026" s="381"/>
      <c r="EAD2026" s="381"/>
      <c r="EAE2026" s="381"/>
      <c r="EAF2026" s="381"/>
      <c r="EAG2026" s="381"/>
      <c r="EAH2026" s="381"/>
      <c r="EAI2026" s="381"/>
      <c r="EAJ2026" s="381"/>
      <c r="EAK2026" s="381"/>
      <c r="EAL2026" s="381"/>
      <c r="EAM2026" s="381"/>
      <c r="EAN2026" s="381"/>
      <c r="EAO2026" s="381"/>
      <c r="EAP2026" s="381"/>
      <c r="EAQ2026" s="381"/>
      <c r="EAR2026" s="381"/>
      <c r="EAS2026" s="381"/>
      <c r="EAT2026" s="381"/>
      <c r="EAU2026" s="381"/>
      <c r="EAV2026" s="381"/>
      <c r="EAW2026" s="381"/>
      <c r="EAX2026" s="381"/>
      <c r="EAY2026" s="381"/>
      <c r="EAZ2026" s="381"/>
      <c r="EBA2026" s="381"/>
      <c r="EBB2026" s="381"/>
      <c r="EBC2026" s="381"/>
      <c r="EBD2026" s="381"/>
      <c r="EBE2026" s="381"/>
      <c r="EBF2026" s="381"/>
      <c r="EBG2026" s="381"/>
      <c r="EBH2026" s="381"/>
      <c r="EBI2026" s="381"/>
      <c r="EBJ2026" s="381"/>
      <c r="EBK2026" s="381"/>
      <c r="EBL2026" s="381"/>
      <c r="EBM2026" s="381"/>
      <c r="EBN2026" s="381"/>
      <c r="EBO2026" s="381"/>
      <c r="EBP2026" s="381"/>
      <c r="EBQ2026" s="381"/>
      <c r="EBR2026" s="381"/>
      <c r="EBS2026" s="381"/>
      <c r="EBT2026" s="381"/>
      <c r="EBU2026" s="381"/>
      <c r="EBV2026" s="381"/>
      <c r="EBW2026" s="381"/>
      <c r="EBX2026" s="381"/>
      <c r="EBY2026" s="381"/>
      <c r="EBZ2026" s="381"/>
      <c r="ECA2026" s="381"/>
      <c r="ECB2026" s="381"/>
      <c r="ECC2026" s="381"/>
      <c r="ECD2026" s="381"/>
      <c r="ECE2026" s="381"/>
      <c r="ECF2026" s="381"/>
      <c r="ECG2026" s="381"/>
      <c r="ECH2026" s="381"/>
      <c r="ECI2026" s="381"/>
      <c r="ECJ2026" s="381"/>
      <c r="ECK2026" s="381"/>
      <c r="ECL2026" s="381"/>
      <c r="ECM2026" s="381"/>
      <c r="ECN2026" s="381"/>
      <c r="ECO2026" s="381"/>
      <c r="ECP2026" s="381"/>
      <c r="ECQ2026" s="381"/>
      <c r="ECR2026" s="381"/>
      <c r="ECS2026" s="381"/>
      <c r="ECT2026" s="381"/>
      <c r="ECU2026" s="381"/>
      <c r="ECV2026" s="381"/>
      <c r="ECW2026" s="381"/>
      <c r="ECX2026" s="381"/>
      <c r="ECY2026" s="381"/>
      <c r="ECZ2026" s="381"/>
      <c r="EDA2026" s="381"/>
      <c r="EDB2026" s="381"/>
      <c r="EDC2026" s="381"/>
      <c r="EDD2026" s="381"/>
      <c r="EDE2026" s="381"/>
      <c r="EDF2026" s="381"/>
      <c r="EDG2026" s="381"/>
      <c r="EDH2026" s="381"/>
      <c r="EDI2026" s="381"/>
      <c r="EDJ2026" s="381"/>
      <c r="EDK2026" s="381"/>
      <c r="EDL2026" s="381"/>
      <c r="EDM2026" s="381"/>
      <c r="EDN2026" s="381"/>
      <c r="EDO2026" s="381"/>
      <c r="EDP2026" s="381"/>
      <c r="EDQ2026" s="381"/>
      <c r="EDR2026" s="381"/>
      <c r="EDS2026" s="381"/>
      <c r="EDT2026" s="381"/>
      <c r="EDU2026" s="381"/>
      <c r="EDV2026" s="381"/>
      <c r="EDW2026" s="381"/>
      <c r="EDX2026" s="381"/>
      <c r="EDY2026" s="381"/>
      <c r="EDZ2026" s="381"/>
      <c r="EEA2026" s="381"/>
      <c r="EEB2026" s="381"/>
      <c r="EEC2026" s="381"/>
      <c r="EED2026" s="381"/>
      <c r="EEE2026" s="381"/>
      <c r="EEF2026" s="381"/>
      <c r="EEG2026" s="381"/>
      <c r="EEH2026" s="381"/>
      <c r="EEI2026" s="381"/>
      <c r="EEJ2026" s="381"/>
      <c r="EEK2026" s="381"/>
      <c r="EEL2026" s="381"/>
      <c r="EEM2026" s="381"/>
      <c r="EEN2026" s="381"/>
      <c r="EEO2026" s="381"/>
      <c r="EEP2026" s="381"/>
      <c r="EEQ2026" s="381"/>
      <c r="EER2026" s="381"/>
      <c r="EES2026" s="381"/>
      <c r="EET2026" s="381"/>
      <c r="EEU2026" s="381"/>
      <c r="EEV2026" s="381"/>
      <c r="EEW2026" s="381"/>
      <c r="EEX2026" s="381"/>
      <c r="EEY2026" s="381"/>
      <c r="EEZ2026" s="381"/>
      <c r="EFA2026" s="381"/>
      <c r="EFB2026" s="381"/>
      <c r="EFC2026" s="381"/>
      <c r="EFD2026" s="381"/>
      <c r="EFE2026" s="381"/>
      <c r="EFF2026" s="381"/>
      <c r="EFG2026" s="381"/>
      <c r="EFH2026" s="381"/>
      <c r="EFI2026" s="381"/>
      <c r="EFJ2026" s="381"/>
      <c r="EFK2026" s="381"/>
      <c r="EFL2026" s="381"/>
      <c r="EFM2026" s="381"/>
      <c r="EFN2026" s="381"/>
      <c r="EFO2026" s="381"/>
      <c r="EFP2026" s="381"/>
      <c r="EFQ2026" s="381"/>
      <c r="EFR2026" s="381"/>
      <c r="EFS2026" s="381"/>
      <c r="EFT2026" s="381"/>
      <c r="EFU2026" s="381"/>
      <c r="EFV2026" s="381"/>
      <c r="EFW2026" s="381"/>
      <c r="EFX2026" s="381"/>
      <c r="EFY2026" s="381"/>
      <c r="EFZ2026" s="381"/>
      <c r="EGA2026" s="381"/>
      <c r="EGB2026" s="381"/>
      <c r="EGC2026" s="381"/>
      <c r="EGD2026" s="381"/>
      <c r="EGE2026" s="381"/>
      <c r="EGF2026" s="381"/>
      <c r="EGG2026" s="381"/>
      <c r="EGH2026" s="381"/>
      <c r="EGI2026" s="381"/>
      <c r="EGJ2026" s="381"/>
      <c r="EGK2026" s="381"/>
      <c r="EGL2026" s="381"/>
      <c r="EGM2026" s="381"/>
      <c r="EGN2026" s="381"/>
      <c r="EGO2026" s="381"/>
      <c r="EGP2026" s="381"/>
      <c r="EGQ2026" s="381"/>
      <c r="EGR2026" s="381"/>
      <c r="EGS2026" s="381"/>
      <c r="EGT2026" s="381"/>
      <c r="EGU2026" s="381"/>
      <c r="EGV2026" s="381"/>
      <c r="EGW2026" s="381"/>
      <c r="EGX2026" s="381"/>
      <c r="EGY2026" s="381"/>
      <c r="EGZ2026" s="381"/>
      <c r="EHA2026" s="381"/>
      <c r="EHB2026" s="381"/>
      <c r="EHC2026" s="381"/>
      <c r="EHD2026" s="381"/>
      <c r="EHE2026" s="381"/>
      <c r="EHF2026" s="381"/>
      <c r="EHG2026" s="381"/>
      <c r="EHH2026" s="381"/>
      <c r="EHI2026" s="381"/>
      <c r="EHJ2026" s="381"/>
      <c r="EHK2026" s="381"/>
      <c r="EHL2026" s="381"/>
      <c r="EHM2026" s="381"/>
      <c r="EHN2026" s="381"/>
      <c r="EHO2026" s="381"/>
      <c r="EHP2026" s="381"/>
      <c r="EHQ2026" s="381"/>
      <c r="EHR2026" s="381"/>
      <c r="EHS2026" s="381"/>
      <c r="EHT2026" s="381"/>
      <c r="EHU2026" s="381"/>
      <c r="EHV2026" s="381"/>
      <c r="EHW2026" s="381"/>
      <c r="EHX2026" s="381"/>
      <c r="EHY2026" s="381"/>
      <c r="EHZ2026" s="381"/>
      <c r="EIA2026" s="381"/>
      <c r="EIB2026" s="381"/>
      <c r="EIC2026" s="381"/>
      <c r="EID2026" s="381"/>
      <c r="EIE2026" s="381"/>
      <c r="EIF2026" s="381"/>
      <c r="EIG2026" s="381"/>
      <c r="EIH2026" s="381"/>
      <c r="EII2026" s="381"/>
      <c r="EIJ2026" s="381"/>
      <c r="EIK2026" s="381"/>
      <c r="EIL2026" s="381"/>
      <c r="EIM2026" s="381"/>
      <c r="EIN2026" s="381"/>
      <c r="EIO2026" s="381"/>
      <c r="EIP2026" s="381"/>
      <c r="EIQ2026" s="381"/>
      <c r="EIR2026" s="381"/>
      <c r="EIS2026" s="381"/>
      <c r="EIT2026" s="381"/>
      <c r="EIU2026" s="381"/>
      <c r="EIV2026" s="381"/>
      <c r="EIW2026" s="381"/>
      <c r="EIX2026" s="381"/>
      <c r="EIY2026" s="381"/>
      <c r="EIZ2026" s="381"/>
      <c r="EJA2026" s="381"/>
      <c r="EJB2026" s="381"/>
      <c r="EJC2026" s="381"/>
      <c r="EJD2026" s="381"/>
      <c r="EJE2026" s="381"/>
      <c r="EJF2026" s="381"/>
      <c r="EJG2026" s="381"/>
      <c r="EJH2026" s="381"/>
      <c r="EJI2026" s="381"/>
      <c r="EJJ2026" s="381"/>
      <c r="EJK2026" s="381"/>
      <c r="EJL2026" s="381"/>
      <c r="EJM2026" s="381"/>
      <c r="EJN2026" s="381"/>
      <c r="EJO2026" s="381"/>
      <c r="EJP2026" s="381"/>
      <c r="EJQ2026" s="381"/>
      <c r="EJR2026" s="381"/>
      <c r="EJS2026" s="381"/>
      <c r="EJT2026" s="381"/>
      <c r="EJU2026" s="381"/>
      <c r="EJV2026" s="381"/>
      <c r="EJW2026" s="381"/>
      <c r="EJX2026" s="381"/>
      <c r="EJY2026" s="381"/>
      <c r="EJZ2026" s="381"/>
      <c r="EKA2026" s="381"/>
      <c r="EKB2026" s="381"/>
      <c r="EKC2026" s="381"/>
      <c r="EKD2026" s="381"/>
      <c r="EKE2026" s="381"/>
      <c r="EKF2026" s="381"/>
      <c r="EKG2026" s="381"/>
      <c r="EKH2026" s="381"/>
      <c r="EKI2026" s="381"/>
      <c r="EKJ2026" s="381"/>
      <c r="EKK2026" s="381"/>
      <c r="EKL2026" s="381"/>
      <c r="EKM2026" s="381"/>
      <c r="EKN2026" s="381"/>
      <c r="EKO2026" s="381"/>
      <c r="EKP2026" s="381"/>
      <c r="EKQ2026" s="381"/>
      <c r="EKR2026" s="381"/>
      <c r="EKS2026" s="381"/>
      <c r="EKT2026" s="381"/>
      <c r="EKU2026" s="381"/>
      <c r="EKV2026" s="381"/>
      <c r="EKW2026" s="381"/>
      <c r="EKX2026" s="381"/>
      <c r="EKY2026" s="381"/>
      <c r="EKZ2026" s="381"/>
      <c r="ELA2026" s="381"/>
      <c r="ELB2026" s="381"/>
      <c r="ELC2026" s="381"/>
      <c r="ELD2026" s="381"/>
      <c r="ELE2026" s="381"/>
      <c r="ELF2026" s="381"/>
      <c r="ELG2026" s="381"/>
      <c r="ELH2026" s="381"/>
      <c r="ELI2026" s="381"/>
      <c r="ELJ2026" s="381"/>
      <c r="ELK2026" s="381"/>
      <c r="ELL2026" s="381"/>
      <c r="ELM2026" s="381"/>
      <c r="ELN2026" s="381"/>
      <c r="ELO2026" s="381"/>
      <c r="ELP2026" s="381"/>
      <c r="ELQ2026" s="381"/>
      <c r="ELR2026" s="381"/>
      <c r="ELS2026" s="381"/>
      <c r="ELT2026" s="381"/>
      <c r="ELU2026" s="381"/>
      <c r="ELV2026" s="381"/>
      <c r="ELW2026" s="381"/>
      <c r="ELX2026" s="381"/>
      <c r="ELY2026" s="381"/>
      <c r="ELZ2026" s="381"/>
      <c r="EMA2026" s="381"/>
      <c r="EMB2026" s="381"/>
      <c r="EMC2026" s="381"/>
      <c r="EMD2026" s="381"/>
      <c r="EME2026" s="381"/>
      <c r="EMF2026" s="381"/>
      <c r="EMG2026" s="381"/>
      <c r="EMH2026" s="381"/>
      <c r="EMI2026" s="381"/>
      <c r="EMJ2026" s="381"/>
      <c r="EMK2026" s="381"/>
      <c r="EML2026" s="381"/>
      <c r="EMM2026" s="381"/>
      <c r="EMN2026" s="381"/>
      <c r="EMO2026" s="381"/>
      <c r="EMP2026" s="381"/>
      <c r="EMQ2026" s="381"/>
      <c r="EMR2026" s="381"/>
      <c r="EMS2026" s="381"/>
      <c r="EMT2026" s="381"/>
      <c r="EMU2026" s="381"/>
      <c r="EMV2026" s="381"/>
      <c r="EMW2026" s="381"/>
      <c r="EMX2026" s="381"/>
      <c r="EMY2026" s="381"/>
      <c r="EMZ2026" s="381"/>
      <c r="ENA2026" s="381"/>
      <c r="ENB2026" s="381"/>
      <c r="ENC2026" s="381"/>
      <c r="END2026" s="381"/>
      <c r="ENE2026" s="381"/>
      <c r="ENF2026" s="381"/>
      <c r="ENG2026" s="381"/>
      <c r="ENH2026" s="381"/>
      <c r="ENI2026" s="381"/>
      <c r="ENJ2026" s="381"/>
      <c r="ENK2026" s="381"/>
      <c r="ENL2026" s="381"/>
      <c r="ENM2026" s="381"/>
      <c r="ENN2026" s="381"/>
      <c r="ENO2026" s="381"/>
      <c r="ENP2026" s="381"/>
      <c r="ENQ2026" s="381"/>
      <c r="ENR2026" s="381"/>
      <c r="ENS2026" s="381"/>
      <c r="ENT2026" s="381"/>
      <c r="ENU2026" s="381"/>
      <c r="ENV2026" s="381"/>
      <c r="ENW2026" s="381"/>
      <c r="ENX2026" s="381"/>
      <c r="ENY2026" s="381"/>
      <c r="ENZ2026" s="381"/>
      <c r="EOA2026" s="381"/>
      <c r="EOB2026" s="381"/>
      <c r="EOC2026" s="381"/>
      <c r="EOD2026" s="381"/>
      <c r="EOE2026" s="381"/>
      <c r="EOF2026" s="381"/>
      <c r="EOG2026" s="381"/>
      <c r="EOH2026" s="381"/>
      <c r="EOI2026" s="381"/>
      <c r="EOJ2026" s="381"/>
      <c r="EOK2026" s="381"/>
      <c r="EOL2026" s="381"/>
      <c r="EOM2026" s="381"/>
      <c r="EON2026" s="381"/>
      <c r="EOO2026" s="381"/>
      <c r="EOP2026" s="381"/>
      <c r="EOQ2026" s="381"/>
      <c r="EOR2026" s="381"/>
      <c r="EOS2026" s="381"/>
      <c r="EOT2026" s="381"/>
      <c r="EOU2026" s="381"/>
      <c r="EOV2026" s="381"/>
      <c r="EOW2026" s="381"/>
      <c r="EOX2026" s="381"/>
      <c r="EOY2026" s="381"/>
      <c r="EOZ2026" s="381"/>
      <c r="EPA2026" s="381"/>
      <c r="EPB2026" s="381"/>
      <c r="EPC2026" s="381"/>
      <c r="EPD2026" s="381"/>
      <c r="EPE2026" s="381"/>
      <c r="EPF2026" s="381"/>
      <c r="EPG2026" s="381"/>
      <c r="EPH2026" s="381"/>
      <c r="EPI2026" s="381"/>
      <c r="EPJ2026" s="381"/>
      <c r="EPK2026" s="381"/>
      <c r="EPL2026" s="381"/>
      <c r="EPM2026" s="381"/>
      <c r="EPN2026" s="381"/>
      <c r="EPO2026" s="381"/>
      <c r="EPP2026" s="381"/>
      <c r="EPQ2026" s="381"/>
      <c r="EPR2026" s="381"/>
      <c r="EPS2026" s="381"/>
      <c r="EPT2026" s="381"/>
      <c r="EPU2026" s="381"/>
      <c r="EPV2026" s="381"/>
      <c r="EPW2026" s="381"/>
      <c r="EPX2026" s="381"/>
      <c r="EPY2026" s="381"/>
      <c r="EPZ2026" s="381"/>
      <c r="EQA2026" s="381"/>
      <c r="EQB2026" s="381"/>
      <c r="EQC2026" s="381"/>
      <c r="EQD2026" s="381"/>
      <c r="EQE2026" s="381"/>
      <c r="EQF2026" s="381"/>
      <c r="EQG2026" s="381"/>
      <c r="EQH2026" s="381"/>
      <c r="EQI2026" s="381"/>
      <c r="EQJ2026" s="381"/>
      <c r="EQK2026" s="381"/>
      <c r="EQL2026" s="381"/>
      <c r="EQM2026" s="381"/>
      <c r="EQN2026" s="381"/>
      <c r="EQO2026" s="381"/>
      <c r="EQP2026" s="381"/>
      <c r="EQQ2026" s="381"/>
      <c r="EQR2026" s="381"/>
      <c r="EQS2026" s="381"/>
      <c r="EQT2026" s="381"/>
      <c r="EQU2026" s="381"/>
      <c r="EQV2026" s="381"/>
      <c r="EQW2026" s="381"/>
      <c r="EQX2026" s="381"/>
      <c r="EQY2026" s="381"/>
      <c r="EQZ2026" s="381"/>
      <c r="ERA2026" s="381"/>
      <c r="ERB2026" s="381"/>
      <c r="ERC2026" s="381"/>
      <c r="ERD2026" s="381"/>
      <c r="ERE2026" s="381"/>
      <c r="ERF2026" s="381"/>
      <c r="ERG2026" s="381"/>
      <c r="ERH2026" s="381"/>
      <c r="ERI2026" s="381"/>
      <c r="ERJ2026" s="381"/>
      <c r="ERK2026" s="381"/>
      <c r="ERL2026" s="381"/>
      <c r="ERM2026" s="381"/>
      <c r="ERN2026" s="381"/>
      <c r="ERO2026" s="381"/>
      <c r="ERP2026" s="381"/>
      <c r="ERQ2026" s="381"/>
      <c r="ERR2026" s="381"/>
      <c r="ERS2026" s="381"/>
      <c r="ERT2026" s="381"/>
      <c r="ERU2026" s="381"/>
      <c r="ERV2026" s="381"/>
      <c r="ERW2026" s="381"/>
      <c r="ERX2026" s="381"/>
      <c r="ERY2026" s="381"/>
      <c r="ERZ2026" s="381"/>
      <c r="ESA2026" s="381"/>
      <c r="ESB2026" s="381"/>
      <c r="ESC2026" s="381"/>
      <c r="ESD2026" s="381"/>
      <c r="ESE2026" s="381"/>
      <c r="ESF2026" s="381"/>
      <c r="ESG2026" s="381"/>
      <c r="ESH2026" s="381"/>
      <c r="ESI2026" s="381"/>
      <c r="ESJ2026" s="381"/>
      <c r="ESK2026" s="381"/>
      <c r="ESL2026" s="381"/>
      <c r="ESM2026" s="381"/>
      <c r="ESN2026" s="381"/>
      <c r="ESO2026" s="381"/>
      <c r="ESP2026" s="381"/>
      <c r="ESQ2026" s="381"/>
      <c r="ESR2026" s="381"/>
      <c r="ESS2026" s="381"/>
      <c r="EST2026" s="381"/>
      <c r="ESU2026" s="381"/>
      <c r="ESV2026" s="381"/>
      <c r="ESW2026" s="381"/>
      <c r="ESX2026" s="381"/>
      <c r="ESY2026" s="381"/>
      <c r="ESZ2026" s="381"/>
      <c r="ETA2026" s="381"/>
      <c r="ETB2026" s="381"/>
      <c r="ETC2026" s="381"/>
      <c r="ETD2026" s="381"/>
      <c r="ETE2026" s="381"/>
      <c r="ETF2026" s="381"/>
      <c r="ETG2026" s="381"/>
      <c r="ETH2026" s="381"/>
      <c r="ETI2026" s="381"/>
      <c r="ETJ2026" s="381"/>
      <c r="ETK2026" s="381"/>
      <c r="ETL2026" s="381"/>
      <c r="ETM2026" s="381"/>
      <c r="ETN2026" s="381"/>
      <c r="ETO2026" s="381"/>
      <c r="ETP2026" s="381"/>
      <c r="ETQ2026" s="381"/>
      <c r="ETR2026" s="381"/>
      <c r="ETS2026" s="381"/>
      <c r="ETT2026" s="381"/>
      <c r="ETU2026" s="381"/>
      <c r="ETV2026" s="381"/>
      <c r="ETW2026" s="381"/>
      <c r="ETX2026" s="381"/>
      <c r="ETY2026" s="381"/>
      <c r="ETZ2026" s="381"/>
      <c r="EUA2026" s="381"/>
      <c r="EUB2026" s="381"/>
      <c r="EUC2026" s="381"/>
      <c r="EUD2026" s="381"/>
      <c r="EUE2026" s="381"/>
      <c r="EUF2026" s="381"/>
      <c r="EUG2026" s="381"/>
      <c r="EUH2026" s="381"/>
      <c r="EUI2026" s="381"/>
      <c r="EUJ2026" s="381"/>
      <c r="EUK2026" s="381"/>
      <c r="EUL2026" s="381"/>
      <c r="EUM2026" s="381"/>
      <c r="EUN2026" s="381"/>
      <c r="EUO2026" s="381"/>
      <c r="EUP2026" s="381"/>
      <c r="EUQ2026" s="381"/>
      <c r="EUR2026" s="381"/>
      <c r="EUS2026" s="381"/>
      <c r="EUT2026" s="381"/>
      <c r="EUU2026" s="381"/>
      <c r="EUV2026" s="381"/>
      <c r="EUW2026" s="381"/>
      <c r="EUX2026" s="381"/>
      <c r="EUY2026" s="381"/>
      <c r="EUZ2026" s="381"/>
      <c r="EVA2026" s="381"/>
      <c r="EVB2026" s="381"/>
      <c r="EVC2026" s="381"/>
      <c r="EVD2026" s="381"/>
      <c r="EVE2026" s="381"/>
      <c r="EVF2026" s="381"/>
      <c r="EVG2026" s="381"/>
      <c r="EVH2026" s="381"/>
      <c r="EVI2026" s="381"/>
      <c r="EVJ2026" s="381"/>
      <c r="EVK2026" s="381"/>
      <c r="EVL2026" s="381"/>
      <c r="EVM2026" s="381"/>
      <c r="EVN2026" s="381"/>
      <c r="EVO2026" s="381"/>
      <c r="EVP2026" s="381"/>
      <c r="EVQ2026" s="381"/>
      <c r="EVR2026" s="381"/>
      <c r="EVS2026" s="381"/>
      <c r="EVT2026" s="381"/>
      <c r="EVU2026" s="381"/>
      <c r="EVV2026" s="381"/>
      <c r="EVW2026" s="381"/>
      <c r="EVX2026" s="381"/>
      <c r="EVY2026" s="381"/>
      <c r="EVZ2026" s="381"/>
      <c r="EWA2026" s="381"/>
      <c r="EWB2026" s="381"/>
      <c r="EWC2026" s="381"/>
      <c r="EWD2026" s="381"/>
      <c r="EWE2026" s="381"/>
      <c r="EWF2026" s="381"/>
      <c r="EWG2026" s="381"/>
      <c r="EWH2026" s="381"/>
      <c r="EWI2026" s="381"/>
      <c r="EWJ2026" s="381"/>
      <c r="EWK2026" s="381"/>
      <c r="EWL2026" s="381"/>
      <c r="EWM2026" s="381"/>
      <c r="EWN2026" s="381"/>
      <c r="EWO2026" s="381"/>
      <c r="EWP2026" s="381"/>
      <c r="EWQ2026" s="381"/>
      <c r="EWR2026" s="381"/>
      <c r="EWS2026" s="381"/>
      <c r="EWT2026" s="381"/>
      <c r="EWU2026" s="381"/>
      <c r="EWV2026" s="381"/>
      <c r="EWW2026" s="381"/>
      <c r="EWX2026" s="381"/>
      <c r="EWY2026" s="381"/>
      <c r="EWZ2026" s="381"/>
      <c r="EXA2026" s="381"/>
      <c r="EXB2026" s="381"/>
      <c r="EXC2026" s="381"/>
      <c r="EXD2026" s="381"/>
      <c r="EXE2026" s="381"/>
      <c r="EXF2026" s="381"/>
      <c r="EXG2026" s="381"/>
      <c r="EXH2026" s="381"/>
      <c r="EXI2026" s="381"/>
      <c r="EXJ2026" s="381"/>
      <c r="EXK2026" s="381"/>
      <c r="EXL2026" s="381"/>
      <c r="EXM2026" s="381"/>
      <c r="EXN2026" s="381"/>
      <c r="EXO2026" s="381"/>
      <c r="EXP2026" s="381"/>
      <c r="EXQ2026" s="381"/>
      <c r="EXR2026" s="381"/>
      <c r="EXS2026" s="381"/>
      <c r="EXT2026" s="381"/>
      <c r="EXU2026" s="381"/>
      <c r="EXV2026" s="381"/>
      <c r="EXW2026" s="381"/>
      <c r="EXX2026" s="381"/>
      <c r="EXY2026" s="381"/>
      <c r="EXZ2026" s="381"/>
      <c r="EYA2026" s="381"/>
      <c r="EYB2026" s="381"/>
      <c r="EYC2026" s="381"/>
      <c r="EYD2026" s="381"/>
      <c r="EYE2026" s="381"/>
      <c r="EYF2026" s="381"/>
      <c r="EYG2026" s="381"/>
      <c r="EYH2026" s="381"/>
      <c r="EYI2026" s="381"/>
      <c r="EYJ2026" s="381"/>
      <c r="EYK2026" s="381"/>
      <c r="EYL2026" s="381"/>
      <c r="EYM2026" s="381"/>
      <c r="EYN2026" s="381"/>
      <c r="EYO2026" s="381"/>
      <c r="EYP2026" s="381"/>
      <c r="EYQ2026" s="381"/>
      <c r="EYR2026" s="381"/>
      <c r="EYS2026" s="381"/>
      <c r="EYT2026" s="381"/>
      <c r="EYU2026" s="381"/>
      <c r="EYV2026" s="381"/>
      <c r="EYW2026" s="381"/>
      <c r="EYX2026" s="381"/>
      <c r="EYY2026" s="381"/>
      <c r="EYZ2026" s="381"/>
      <c r="EZA2026" s="381"/>
      <c r="EZB2026" s="381"/>
      <c r="EZC2026" s="381"/>
      <c r="EZD2026" s="381"/>
      <c r="EZE2026" s="381"/>
      <c r="EZF2026" s="381"/>
      <c r="EZG2026" s="381"/>
      <c r="EZH2026" s="381"/>
      <c r="EZI2026" s="381"/>
      <c r="EZJ2026" s="381"/>
      <c r="EZK2026" s="381"/>
      <c r="EZL2026" s="381"/>
      <c r="EZM2026" s="381"/>
      <c r="EZN2026" s="381"/>
      <c r="EZO2026" s="381"/>
      <c r="EZP2026" s="381"/>
      <c r="EZQ2026" s="381"/>
      <c r="EZR2026" s="381"/>
      <c r="EZS2026" s="381"/>
      <c r="EZT2026" s="381"/>
      <c r="EZU2026" s="381"/>
      <c r="EZV2026" s="381"/>
      <c r="EZW2026" s="381"/>
      <c r="EZX2026" s="381"/>
      <c r="EZY2026" s="381"/>
      <c r="EZZ2026" s="381"/>
      <c r="FAA2026" s="381"/>
      <c r="FAB2026" s="381"/>
      <c r="FAC2026" s="381"/>
      <c r="FAD2026" s="381"/>
      <c r="FAE2026" s="381"/>
      <c r="FAF2026" s="381"/>
      <c r="FAG2026" s="381"/>
      <c r="FAH2026" s="381"/>
      <c r="FAI2026" s="381"/>
      <c r="FAJ2026" s="381"/>
      <c r="FAK2026" s="381"/>
      <c r="FAL2026" s="381"/>
      <c r="FAM2026" s="381"/>
      <c r="FAN2026" s="381"/>
      <c r="FAO2026" s="381"/>
      <c r="FAP2026" s="381"/>
      <c r="FAQ2026" s="381"/>
      <c r="FAR2026" s="381"/>
      <c r="FAS2026" s="381"/>
      <c r="FAT2026" s="381"/>
      <c r="FAU2026" s="381"/>
      <c r="FAV2026" s="381"/>
      <c r="FAW2026" s="381"/>
      <c r="FAX2026" s="381"/>
      <c r="FAY2026" s="381"/>
      <c r="FAZ2026" s="381"/>
      <c r="FBA2026" s="381"/>
      <c r="FBB2026" s="381"/>
      <c r="FBC2026" s="381"/>
      <c r="FBD2026" s="381"/>
      <c r="FBE2026" s="381"/>
      <c r="FBF2026" s="381"/>
      <c r="FBG2026" s="381"/>
      <c r="FBH2026" s="381"/>
      <c r="FBI2026" s="381"/>
      <c r="FBJ2026" s="381"/>
      <c r="FBK2026" s="381"/>
      <c r="FBL2026" s="381"/>
      <c r="FBM2026" s="381"/>
      <c r="FBN2026" s="381"/>
      <c r="FBO2026" s="381"/>
      <c r="FBP2026" s="381"/>
      <c r="FBQ2026" s="381"/>
      <c r="FBR2026" s="381"/>
      <c r="FBS2026" s="381"/>
      <c r="FBT2026" s="381"/>
      <c r="FBU2026" s="381"/>
      <c r="FBV2026" s="381"/>
      <c r="FBW2026" s="381"/>
      <c r="FBX2026" s="381"/>
      <c r="FBY2026" s="381"/>
      <c r="FBZ2026" s="381"/>
      <c r="FCA2026" s="381"/>
      <c r="FCB2026" s="381"/>
      <c r="FCC2026" s="381"/>
      <c r="FCD2026" s="381"/>
      <c r="FCE2026" s="381"/>
      <c r="FCF2026" s="381"/>
      <c r="FCG2026" s="381"/>
      <c r="FCH2026" s="381"/>
      <c r="FCI2026" s="381"/>
      <c r="FCJ2026" s="381"/>
      <c r="FCK2026" s="381"/>
      <c r="FCL2026" s="381"/>
      <c r="FCM2026" s="381"/>
      <c r="FCN2026" s="381"/>
      <c r="FCO2026" s="381"/>
      <c r="FCP2026" s="381"/>
      <c r="FCQ2026" s="381"/>
      <c r="FCR2026" s="381"/>
      <c r="FCS2026" s="381"/>
      <c r="FCT2026" s="381"/>
      <c r="FCU2026" s="381"/>
      <c r="FCV2026" s="381"/>
      <c r="FCW2026" s="381"/>
      <c r="FCX2026" s="381"/>
      <c r="FCY2026" s="381"/>
      <c r="FCZ2026" s="381"/>
      <c r="FDA2026" s="381"/>
      <c r="FDB2026" s="381"/>
      <c r="FDC2026" s="381"/>
      <c r="FDD2026" s="381"/>
      <c r="FDE2026" s="381"/>
      <c r="FDF2026" s="381"/>
      <c r="FDG2026" s="381"/>
      <c r="FDH2026" s="381"/>
      <c r="FDI2026" s="381"/>
      <c r="FDJ2026" s="381"/>
      <c r="FDK2026" s="381"/>
      <c r="FDL2026" s="381"/>
      <c r="FDM2026" s="381"/>
      <c r="FDN2026" s="381"/>
      <c r="FDO2026" s="381"/>
      <c r="FDP2026" s="381"/>
      <c r="FDQ2026" s="381"/>
      <c r="FDR2026" s="381"/>
      <c r="FDS2026" s="381"/>
      <c r="FDT2026" s="381"/>
      <c r="FDU2026" s="381"/>
      <c r="FDV2026" s="381"/>
      <c r="FDW2026" s="381"/>
      <c r="FDX2026" s="381"/>
      <c r="FDY2026" s="381"/>
      <c r="FDZ2026" s="381"/>
      <c r="FEA2026" s="381"/>
      <c r="FEB2026" s="381"/>
      <c r="FEC2026" s="381"/>
      <c r="FED2026" s="381"/>
      <c r="FEE2026" s="381"/>
      <c r="FEF2026" s="381"/>
      <c r="FEG2026" s="381"/>
      <c r="FEH2026" s="381"/>
      <c r="FEI2026" s="381"/>
      <c r="FEJ2026" s="381"/>
      <c r="FEK2026" s="381"/>
      <c r="FEL2026" s="381"/>
      <c r="FEM2026" s="381"/>
      <c r="FEN2026" s="381"/>
      <c r="FEO2026" s="381"/>
      <c r="FEP2026" s="381"/>
      <c r="FEQ2026" s="381"/>
      <c r="FER2026" s="381"/>
      <c r="FES2026" s="381"/>
      <c r="FET2026" s="381"/>
      <c r="FEU2026" s="381"/>
      <c r="FEV2026" s="381"/>
      <c r="FEW2026" s="381"/>
      <c r="FEX2026" s="381"/>
      <c r="FEY2026" s="381"/>
      <c r="FEZ2026" s="381"/>
      <c r="FFA2026" s="381"/>
      <c r="FFB2026" s="381"/>
      <c r="FFC2026" s="381"/>
      <c r="FFD2026" s="381"/>
      <c r="FFE2026" s="381"/>
      <c r="FFF2026" s="381"/>
      <c r="FFG2026" s="381"/>
      <c r="FFH2026" s="381"/>
      <c r="FFI2026" s="381"/>
      <c r="FFJ2026" s="381"/>
      <c r="FFK2026" s="381"/>
      <c r="FFL2026" s="381"/>
      <c r="FFM2026" s="381"/>
      <c r="FFN2026" s="381"/>
      <c r="FFO2026" s="381"/>
      <c r="FFP2026" s="381"/>
      <c r="FFQ2026" s="381"/>
      <c r="FFR2026" s="381"/>
      <c r="FFS2026" s="381"/>
      <c r="FFT2026" s="381"/>
      <c r="FFU2026" s="381"/>
      <c r="FFV2026" s="381"/>
      <c r="FFW2026" s="381"/>
      <c r="FFX2026" s="381"/>
      <c r="FFY2026" s="381"/>
      <c r="FFZ2026" s="381"/>
      <c r="FGA2026" s="381"/>
      <c r="FGB2026" s="381"/>
      <c r="FGC2026" s="381"/>
      <c r="FGD2026" s="381"/>
      <c r="FGE2026" s="381"/>
      <c r="FGF2026" s="381"/>
      <c r="FGG2026" s="381"/>
      <c r="FGH2026" s="381"/>
      <c r="FGI2026" s="381"/>
      <c r="FGJ2026" s="381"/>
      <c r="FGK2026" s="381"/>
      <c r="FGL2026" s="381"/>
      <c r="FGM2026" s="381"/>
      <c r="FGN2026" s="381"/>
      <c r="FGO2026" s="381"/>
      <c r="FGP2026" s="381"/>
      <c r="FGQ2026" s="381"/>
      <c r="FGR2026" s="381"/>
      <c r="FGS2026" s="381"/>
      <c r="FGT2026" s="381"/>
      <c r="FGU2026" s="381"/>
      <c r="FGV2026" s="381"/>
      <c r="FGW2026" s="381"/>
      <c r="FGX2026" s="381"/>
      <c r="FGY2026" s="381"/>
      <c r="FGZ2026" s="381"/>
      <c r="FHA2026" s="381"/>
      <c r="FHB2026" s="381"/>
      <c r="FHC2026" s="381"/>
      <c r="FHD2026" s="381"/>
      <c r="FHE2026" s="381"/>
      <c r="FHF2026" s="381"/>
      <c r="FHG2026" s="381"/>
      <c r="FHH2026" s="381"/>
      <c r="FHI2026" s="381"/>
      <c r="FHJ2026" s="381"/>
      <c r="FHK2026" s="381"/>
      <c r="FHL2026" s="381"/>
      <c r="FHM2026" s="381"/>
      <c r="FHN2026" s="381"/>
      <c r="FHO2026" s="381"/>
      <c r="FHP2026" s="381"/>
      <c r="FHQ2026" s="381"/>
      <c r="FHR2026" s="381"/>
      <c r="FHS2026" s="381"/>
      <c r="FHT2026" s="381"/>
      <c r="FHU2026" s="381"/>
      <c r="FHV2026" s="381"/>
      <c r="FHW2026" s="381"/>
      <c r="FHX2026" s="381"/>
      <c r="FHY2026" s="381"/>
      <c r="FHZ2026" s="381"/>
      <c r="FIA2026" s="381"/>
      <c r="FIB2026" s="381"/>
      <c r="FIC2026" s="381"/>
      <c r="FID2026" s="381"/>
      <c r="FIE2026" s="381"/>
      <c r="FIF2026" s="381"/>
      <c r="FIG2026" s="381"/>
      <c r="FIH2026" s="381"/>
      <c r="FII2026" s="381"/>
      <c r="FIJ2026" s="381"/>
      <c r="FIK2026" s="381"/>
      <c r="FIL2026" s="381"/>
      <c r="FIM2026" s="381"/>
      <c r="FIN2026" s="381"/>
      <c r="FIO2026" s="381"/>
      <c r="FIP2026" s="381"/>
      <c r="FIQ2026" s="381"/>
      <c r="FIR2026" s="381"/>
      <c r="FIS2026" s="381"/>
      <c r="FIT2026" s="381"/>
      <c r="FIU2026" s="381"/>
      <c r="FIV2026" s="381"/>
      <c r="FIW2026" s="381"/>
      <c r="FIX2026" s="381"/>
      <c r="FIY2026" s="381"/>
      <c r="FIZ2026" s="381"/>
      <c r="FJA2026" s="381"/>
      <c r="FJB2026" s="381"/>
      <c r="FJC2026" s="381"/>
      <c r="FJD2026" s="381"/>
      <c r="FJE2026" s="381"/>
      <c r="FJF2026" s="381"/>
      <c r="FJG2026" s="381"/>
      <c r="FJH2026" s="381"/>
      <c r="FJI2026" s="381"/>
      <c r="FJJ2026" s="381"/>
      <c r="FJK2026" s="381"/>
      <c r="FJL2026" s="381"/>
      <c r="FJM2026" s="381"/>
      <c r="FJN2026" s="381"/>
      <c r="FJO2026" s="381"/>
      <c r="FJP2026" s="381"/>
      <c r="FJQ2026" s="381"/>
      <c r="FJR2026" s="381"/>
      <c r="FJS2026" s="381"/>
      <c r="FJT2026" s="381"/>
      <c r="FJU2026" s="381"/>
      <c r="FJV2026" s="381"/>
      <c r="FJW2026" s="381"/>
      <c r="FJX2026" s="381"/>
      <c r="FJY2026" s="381"/>
      <c r="FJZ2026" s="381"/>
      <c r="FKA2026" s="381"/>
      <c r="FKB2026" s="381"/>
      <c r="FKC2026" s="381"/>
      <c r="FKD2026" s="381"/>
      <c r="FKE2026" s="381"/>
      <c r="FKF2026" s="381"/>
      <c r="FKG2026" s="381"/>
      <c r="FKH2026" s="381"/>
      <c r="FKI2026" s="381"/>
      <c r="FKJ2026" s="381"/>
      <c r="FKK2026" s="381"/>
      <c r="FKL2026" s="381"/>
      <c r="FKM2026" s="381"/>
      <c r="FKN2026" s="381"/>
      <c r="FKO2026" s="381"/>
      <c r="FKP2026" s="381"/>
      <c r="FKQ2026" s="381"/>
      <c r="FKR2026" s="381"/>
      <c r="FKS2026" s="381"/>
      <c r="FKT2026" s="381"/>
      <c r="FKU2026" s="381"/>
      <c r="FKV2026" s="381"/>
      <c r="FKW2026" s="381"/>
      <c r="FKX2026" s="381"/>
      <c r="FKY2026" s="381"/>
      <c r="FKZ2026" s="381"/>
      <c r="FLA2026" s="381"/>
      <c r="FLB2026" s="381"/>
      <c r="FLC2026" s="381"/>
      <c r="FLD2026" s="381"/>
      <c r="FLE2026" s="381"/>
      <c r="FLF2026" s="381"/>
      <c r="FLG2026" s="381"/>
      <c r="FLH2026" s="381"/>
      <c r="FLI2026" s="381"/>
      <c r="FLJ2026" s="381"/>
      <c r="FLK2026" s="381"/>
      <c r="FLL2026" s="381"/>
      <c r="FLM2026" s="381"/>
      <c r="FLN2026" s="381"/>
      <c r="FLO2026" s="381"/>
      <c r="FLP2026" s="381"/>
      <c r="FLQ2026" s="381"/>
      <c r="FLR2026" s="381"/>
      <c r="FLS2026" s="381"/>
      <c r="FLT2026" s="381"/>
      <c r="FLU2026" s="381"/>
      <c r="FLV2026" s="381"/>
      <c r="FLW2026" s="381"/>
      <c r="FLX2026" s="381"/>
      <c r="FLY2026" s="381"/>
      <c r="FLZ2026" s="381"/>
      <c r="FMA2026" s="381"/>
      <c r="FMB2026" s="381"/>
      <c r="FMC2026" s="381"/>
      <c r="FMD2026" s="381"/>
      <c r="FME2026" s="381"/>
      <c r="FMF2026" s="381"/>
      <c r="FMG2026" s="381"/>
      <c r="FMH2026" s="381"/>
      <c r="FMI2026" s="381"/>
      <c r="FMJ2026" s="381"/>
      <c r="FMK2026" s="381"/>
      <c r="FML2026" s="381"/>
      <c r="FMM2026" s="381"/>
      <c r="FMN2026" s="381"/>
      <c r="FMO2026" s="381"/>
      <c r="FMP2026" s="381"/>
      <c r="FMQ2026" s="381"/>
      <c r="FMR2026" s="381"/>
      <c r="FMS2026" s="381"/>
      <c r="FMT2026" s="381"/>
      <c r="FMU2026" s="381"/>
      <c r="FMV2026" s="381"/>
      <c r="FMW2026" s="381"/>
      <c r="FMX2026" s="381"/>
      <c r="FMY2026" s="381"/>
      <c r="FMZ2026" s="381"/>
      <c r="FNA2026" s="381"/>
      <c r="FNB2026" s="381"/>
      <c r="FNC2026" s="381"/>
      <c r="FND2026" s="381"/>
      <c r="FNE2026" s="381"/>
      <c r="FNF2026" s="381"/>
      <c r="FNG2026" s="381"/>
      <c r="FNH2026" s="381"/>
      <c r="FNI2026" s="381"/>
      <c r="FNJ2026" s="381"/>
      <c r="FNK2026" s="381"/>
      <c r="FNL2026" s="381"/>
      <c r="FNM2026" s="381"/>
      <c r="FNN2026" s="381"/>
      <c r="FNO2026" s="381"/>
      <c r="FNP2026" s="381"/>
      <c r="FNQ2026" s="381"/>
      <c r="FNR2026" s="381"/>
      <c r="FNS2026" s="381"/>
      <c r="FNT2026" s="381"/>
      <c r="FNU2026" s="381"/>
      <c r="FNV2026" s="381"/>
      <c r="FNW2026" s="381"/>
      <c r="FNX2026" s="381"/>
      <c r="FNY2026" s="381"/>
      <c r="FNZ2026" s="381"/>
      <c r="FOA2026" s="381"/>
      <c r="FOB2026" s="381"/>
      <c r="FOC2026" s="381"/>
      <c r="FOD2026" s="381"/>
      <c r="FOE2026" s="381"/>
      <c r="FOF2026" s="381"/>
      <c r="FOG2026" s="381"/>
      <c r="FOH2026" s="381"/>
      <c r="FOI2026" s="381"/>
      <c r="FOJ2026" s="381"/>
      <c r="FOK2026" s="381"/>
      <c r="FOL2026" s="381"/>
      <c r="FOM2026" s="381"/>
      <c r="FON2026" s="381"/>
      <c r="FOO2026" s="381"/>
      <c r="FOP2026" s="381"/>
      <c r="FOQ2026" s="381"/>
      <c r="FOR2026" s="381"/>
      <c r="FOS2026" s="381"/>
      <c r="FOT2026" s="381"/>
      <c r="FOU2026" s="381"/>
      <c r="FOV2026" s="381"/>
      <c r="FOW2026" s="381"/>
      <c r="FOX2026" s="381"/>
      <c r="FOY2026" s="381"/>
      <c r="FOZ2026" s="381"/>
      <c r="FPA2026" s="381"/>
      <c r="FPB2026" s="381"/>
      <c r="FPC2026" s="381"/>
      <c r="FPD2026" s="381"/>
      <c r="FPE2026" s="381"/>
      <c r="FPF2026" s="381"/>
      <c r="FPG2026" s="381"/>
      <c r="FPH2026" s="381"/>
      <c r="FPI2026" s="381"/>
      <c r="FPJ2026" s="381"/>
      <c r="FPK2026" s="381"/>
      <c r="FPL2026" s="381"/>
      <c r="FPM2026" s="381"/>
      <c r="FPN2026" s="381"/>
      <c r="FPO2026" s="381"/>
      <c r="FPP2026" s="381"/>
      <c r="FPQ2026" s="381"/>
      <c r="FPR2026" s="381"/>
      <c r="FPS2026" s="381"/>
      <c r="FPT2026" s="381"/>
      <c r="FPU2026" s="381"/>
      <c r="FPV2026" s="381"/>
      <c r="FPW2026" s="381"/>
      <c r="FPX2026" s="381"/>
      <c r="FPY2026" s="381"/>
      <c r="FPZ2026" s="381"/>
      <c r="FQA2026" s="381"/>
      <c r="FQB2026" s="381"/>
      <c r="FQC2026" s="381"/>
      <c r="FQD2026" s="381"/>
      <c r="FQE2026" s="381"/>
      <c r="FQF2026" s="381"/>
      <c r="FQG2026" s="381"/>
      <c r="FQH2026" s="381"/>
      <c r="FQI2026" s="381"/>
      <c r="FQJ2026" s="381"/>
      <c r="FQK2026" s="381"/>
      <c r="FQL2026" s="381"/>
      <c r="FQM2026" s="381"/>
      <c r="FQN2026" s="381"/>
      <c r="FQO2026" s="381"/>
      <c r="FQP2026" s="381"/>
      <c r="FQQ2026" s="381"/>
      <c r="FQR2026" s="381"/>
      <c r="FQS2026" s="381"/>
      <c r="FQT2026" s="381"/>
      <c r="FQU2026" s="381"/>
      <c r="FQV2026" s="381"/>
      <c r="FQW2026" s="381"/>
      <c r="FQX2026" s="381"/>
      <c r="FQY2026" s="381"/>
      <c r="FQZ2026" s="381"/>
      <c r="FRA2026" s="381"/>
      <c r="FRB2026" s="381"/>
      <c r="FRC2026" s="381"/>
      <c r="FRD2026" s="381"/>
      <c r="FRE2026" s="381"/>
      <c r="FRF2026" s="381"/>
      <c r="FRG2026" s="381"/>
      <c r="FRH2026" s="381"/>
      <c r="FRI2026" s="381"/>
      <c r="FRJ2026" s="381"/>
      <c r="FRK2026" s="381"/>
      <c r="FRL2026" s="381"/>
      <c r="FRM2026" s="381"/>
      <c r="FRN2026" s="381"/>
      <c r="FRO2026" s="381"/>
      <c r="FRP2026" s="381"/>
      <c r="FRQ2026" s="381"/>
      <c r="FRR2026" s="381"/>
      <c r="FRS2026" s="381"/>
      <c r="FRT2026" s="381"/>
      <c r="FRU2026" s="381"/>
      <c r="FRV2026" s="381"/>
      <c r="FRW2026" s="381"/>
      <c r="FRX2026" s="381"/>
      <c r="FRY2026" s="381"/>
      <c r="FRZ2026" s="381"/>
      <c r="FSA2026" s="381"/>
      <c r="FSB2026" s="381"/>
      <c r="FSC2026" s="381"/>
      <c r="FSD2026" s="381"/>
      <c r="FSE2026" s="381"/>
      <c r="FSF2026" s="381"/>
      <c r="FSG2026" s="381"/>
      <c r="FSH2026" s="381"/>
      <c r="FSI2026" s="381"/>
      <c r="FSJ2026" s="381"/>
      <c r="FSK2026" s="381"/>
      <c r="FSL2026" s="381"/>
      <c r="FSM2026" s="381"/>
      <c r="FSN2026" s="381"/>
      <c r="FSO2026" s="381"/>
      <c r="FSP2026" s="381"/>
      <c r="FSQ2026" s="381"/>
      <c r="FSR2026" s="381"/>
      <c r="FSS2026" s="381"/>
      <c r="FST2026" s="381"/>
      <c r="FSU2026" s="381"/>
      <c r="FSV2026" s="381"/>
      <c r="FSW2026" s="381"/>
      <c r="FSX2026" s="381"/>
      <c r="FSY2026" s="381"/>
      <c r="FSZ2026" s="381"/>
      <c r="FTA2026" s="381"/>
      <c r="FTB2026" s="381"/>
      <c r="FTC2026" s="381"/>
      <c r="FTD2026" s="381"/>
      <c r="FTE2026" s="381"/>
      <c r="FTF2026" s="381"/>
      <c r="FTG2026" s="381"/>
      <c r="FTH2026" s="381"/>
      <c r="FTI2026" s="381"/>
      <c r="FTJ2026" s="381"/>
      <c r="FTK2026" s="381"/>
      <c r="FTL2026" s="381"/>
      <c r="FTM2026" s="381"/>
      <c r="FTN2026" s="381"/>
      <c r="FTO2026" s="381"/>
      <c r="FTP2026" s="381"/>
      <c r="FTQ2026" s="381"/>
      <c r="FTR2026" s="381"/>
      <c r="FTS2026" s="381"/>
      <c r="FTT2026" s="381"/>
      <c r="FTU2026" s="381"/>
      <c r="FTV2026" s="381"/>
      <c r="FTW2026" s="381"/>
      <c r="FTX2026" s="381"/>
      <c r="FTY2026" s="381"/>
      <c r="FTZ2026" s="381"/>
      <c r="FUA2026" s="381"/>
      <c r="FUB2026" s="381"/>
      <c r="FUC2026" s="381"/>
      <c r="FUD2026" s="381"/>
      <c r="FUE2026" s="381"/>
      <c r="FUF2026" s="381"/>
      <c r="FUG2026" s="381"/>
      <c r="FUH2026" s="381"/>
      <c r="FUI2026" s="381"/>
      <c r="FUJ2026" s="381"/>
      <c r="FUK2026" s="381"/>
      <c r="FUL2026" s="381"/>
      <c r="FUM2026" s="381"/>
      <c r="FUN2026" s="381"/>
      <c r="FUO2026" s="381"/>
      <c r="FUP2026" s="381"/>
      <c r="FUQ2026" s="381"/>
      <c r="FUR2026" s="381"/>
      <c r="FUS2026" s="381"/>
      <c r="FUT2026" s="381"/>
      <c r="FUU2026" s="381"/>
      <c r="FUV2026" s="381"/>
      <c r="FUW2026" s="381"/>
      <c r="FUX2026" s="381"/>
      <c r="FUY2026" s="381"/>
      <c r="FUZ2026" s="381"/>
      <c r="FVA2026" s="381"/>
      <c r="FVB2026" s="381"/>
      <c r="FVC2026" s="381"/>
      <c r="FVD2026" s="381"/>
      <c r="FVE2026" s="381"/>
      <c r="FVF2026" s="381"/>
      <c r="FVG2026" s="381"/>
      <c r="FVH2026" s="381"/>
      <c r="FVI2026" s="381"/>
      <c r="FVJ2026" s="381"/>
      <c r="FVK2026" s="381"/>
      <c r="FVL2026" s="381"/>
      <c r="FVM2026" s="381"/>
      <c r="FVN2026" s="381"/>
      <c r="FVO2026" s="381"/>
      <c r="FVP2026" s="381"/>
      <c r="FVQ2026" s="381"/>
      <c r="FVR2026" s="381"/>
      <c r="FVS2026" s="381"/>
      <c r="FVT2026" s="381"/>
      <c r="FVU2026" s="381"/>
      <c r="FVV2026" s="381"/>
      <c r="FVW2026" s="381"/>
      <c r="FVX2026" s="381"/>
      <c r="FVY2026" s="381"/>
      <c r="FVZ2026" s="381"/>
      <c r="FWA2026" s="381"/>
      <c r="FWB2026" s="381"/>
      <c r="FWC2026" s="381"/>
      <c r="FWD2026" s="381"/>
      <c r="FWE2026" s="381"/>
      <c r="FWF2026" s="381"/>
      <c r="FWG2026" s="381"/>
      <c r="FWH2026" s="381"/>
      <c r="FWI2026" s="381"/>
      <c r="FWJ2026" s="381"/>
      <c r="FWK2026" s="381"/>
      <c r="FWL2026" s="381"/>
      <c r="FWM2026" s="381"/>
      <c r="FWN2026" s="381"/>
      <c r="FWO2026" s="381"/>
      <c r="FWP2026" s="381"/>
      <c r="FWQ2026" s="381"/>
      <c r="FWR2026" s="381"/>
      <c r="FWS2026" s="381"/>
      <c r="FWT2026" s="381"/>
      <c r="FWU2026" s="381"/>
      <c r="FWV2026" s="381"/>
      <c r="FWW2026" s="381"/>
      <c r="FWX2026" s="381"/>
      <c r="FWY2026" s="381"/>
      <c r="FWZ2026" s="381"/>
      <c r="FXA2026" s="381"/>
      <c r="FXB2026" s="381"/>
      <c r="FXC2026" s="381"/>
      <c r="FXD2026" s="381"/>
      <c r="FXE2026" s="381"/>
      <c r="FXF2026" s="381"/>
      <c r="FXG2026" s="381"/>
      <c r="FXH2026" s="381"/>
      <c r="FXI2026" s="381"/>
      <c r="FXJ2026" s="381"/>
      <c r="FXK2026" s="381"/>
      <c r="FXL2026" s="381"/>
      <c r="FXM2026" s="381"/>
      <c r="FXN2026" s="381"/>
      <c r="FXO2026" s="381"/>
      <c r="FXP2026" s="381"/>
      <c r="FXQ2026" s="381"/>
      <c r="FXR2026" s="381"/>
      <c r="FXS2026" s="381"/>
      <c r="FXT2026" s="381"/>
      <c r="FXU2026" s="381"/>
      <c r="FXV2026" s="381"/>
      <c r="FXW2026" s="381"/>
      <c r="FXX2026" s="381"/>
      <c r="FXY2026" s="381"/>
      <c r="FXZ2026" s="381"/>
      <c r="FYA2026" s="381"/>
      <c r="FYB2026" s="381"/>
      <c r="FYC2026" s="381"/>
      <c r="FYD2026" s="381"/>
      <c r="FYE2026" s="381"/>
      <c r="FYF2026" s="381"/>
      <c r="FYG2026" s="381"/>
      <c r="FYH2026" s="381"/>
      <c r="FYI2026" s="381"/>
      <c r="FYJ2026" s="381"/>
      <c r="FYK2026" s="381"/>
      <c r="FYL2026" s="381"/>
      <c r="FYM2026" s="381"/>
      <c r="FYN2026" s="381"/>
      <c r="FYO2026" s="381"/>
      <c r="FYP2026" s="381"/>
      <c r="FYQ2026" s="381"/>
      <c r="FYR2026" s="381"/>
      <c r="FYS2026" s="381"/>
      <c r="FYT2026" s="381"/>
      <c r="FYU2026" s="381"/>
      <c r="FYV2026" s="381"/>
      <c r="FYW2026" s="381"/>
      <c r="FYX2026" s="381"/>
      <c r="FYY2026" s="381"/>
      <c r="FYZ2026" s="381"/>
      <c r="FZA2026" s="381"/>
      <c r="FZB2026" s="381"/>
      <c r="FZC2026" s="381"/>
      <c r="FZD2026" s="381"/>
      <c r="FZE2026" s="381"/>
      <c r="FZF2026" s="381"/>
      <c r="FZG2026" s="381"/>
      <c r="FZH2026" s="381"/>
      <c r="FZI2026" s="381"/>
      <c r="FZJ2026" s="381"/>
      <c r="FZK2026" s="381"/>
      <c r="FZL2026" s="381"/>
      <c r="FZM2026" s="381"/>
      <c r="FZN2026" s="381"/>
      <c r="FZO2026" s="381"/>
      <c r="FZP2026" s="381"/>
      <c r="FZQ2026" s="381"/>
      <c r="FZR2026" s="381"/>
      <c r="FZS2026" s="381"/>
      <c r="FZT2026" s="381"/>
      <c r="FZU2026" s="381"/>
      <c r="FZV2026" s="381"/>
      <c r="FZW2026" s="381"/>
      <c r="FZX2026" s="381"/>
      <c r="FZY2026" s="381"/>
      <c r="FZZ2026" s="381"/>
      <c r="GAA2026" s="381"/>
      <c r="GAB2026" s="381"/>
      <c r="GAC2026" s="381"/>
      <c r="GAD2026" s="381"/>
      <c r="GAE2026" s="381"/>
      <c r="GAF2026" s="381"/>
      <c r="GAG2026" s="381"/>
      <c r="GAH2026" s="381"/>
      <c r="GAI2026" s="381"/>
      <c r="GAJ2026" s="381"/>
      <c r="GAK2026" s="381"/>
      <c r="GAL2026" s="381"/>
      <c r="GAM2026" s="381"/>
      <c r="GAN2026" s="381"/>
      <c r="GAO2026" s="381"/>
      <c r="GAP2026" s="381"/>
      <c r="GAQ2026" s="381"/>
      <c r="GAR2026" s="381"/>
      <c r="GAS2026" s="381"/>
      <c r="GAT2026" s="381"/>
      <c r="GAU2026" s="381"/>
      <c r="GAV2026" s="381"/>
      <c r="GAW2026" s="381"/>
      <c r="GAX2026" s="381"/>
      <c r="GAY2026" s="381"/>
      <c r="GAZ2026" s="381"/>
      <c r="GBA2026" s="381"/>
      <c r="GBB2026" s="381"/>
      <c r="GBC2026" s="381"/>
      <c r="GBD2026" s="381"/>
      <c r="GBE2026" s="381"/>
      <c r="GBF2026" s="381"/>
      <c r="GBG2026" s="381"/>
      <c r="GBH2026" s="381"/>
      <c r="GBI2026" s="381"/>
      <c r="GBJ2026" s="381"/>
      <c r="GBK2026" s="381"/>
      <c r="GBL2026" s="381"/>
      <c r="GBM2026" s="381"/>
      <c r="GBN2026" s="381"/>
      <c r="GBO2026" s="381"/>
      <c r="GBP2026" s="381"/>
      <c r="GBQ2026" s="381"/>
      <c r="GBR2026" s="381"/>
      <c r="GBS2026" s="381"/>
      <c r="GBT2026" s="381"/>
      <c r="GBU2026" s="381"/>
      <c r="GBV2026" s="381"/>
      <c r="GBW2026" s="381"/>
      <c r="GBX2026" s="381"/>
      <c r="GBY2026" s="381"/>
      <c r="GBZ2026" s="381"/>
      <c r="GCA2026" s="381"/>
      <c r="GCB2026" s="381"/>
      <c r="GCC2026" s="381"/>
      <c r="GCD2026" s="381"/>
      <c r="GCE2026" s="381"/>
      <c r="GCF2026" s="381"/>
      <c r="GCG2026" s="381"/>
      <c r="GCH2026" s="381"/>
      <c r="GCI2026" s="381"/>
      <c r="GCJ2026" s="381"/>
      <c r="GCK2026" s="381"/>
      <c r="GCL2026" s="381"/>
      <c r="GCM2026" s="381"/>
      <c r="GCN2026" s="381"/>
      <c r="GCO2026" s="381"/>
      <c r="GCP2026" s="381"/>
      <c r="GCQ2026" s="381"/>
      <c r="GCR2026" s="381"/>
      <c r="GCS2026" s="381"/>
      <c r="GCT2026" s="381"/>
      <c r="GCU2026" s="381"/>
      <c r="GCV2026" s="381"/>
      <c r="GCW2026" s="381"/>
      <c r="GCX2026" s="381"/>
      <c r="GCY2026" s="381"/>
      <c r="GCZ2026" s="381"/>
      <c r="GDA2026" s="381"/>
      <c r="GDB2026" s="381"/>
      <c r="GDC2026" s="381"/>
      <c r="GDD2026" s="381"/>
      <c r="GDE2026" s="381"/>
      <c r="GDF2026" s="381"/>
      <c r="GDG2026" s="381"/>
      <c r="GDH2026" s="381"/>
      <c r="GDI2026" s="381"/>
      <c r="GDJ2026" s="381"/>
      <c r="GDK2026" s="381"/>
      <c r="GDL2026" s="381"/>
      <c r="GDM2026" s="381"/>
      <c r="GDN2026" s="381"/>
      <c r="GDO2026" s="381"/>
      <c r="GDP2026" s="381"/>
      <c r="GDQ2026" s="381"/>
      <c r="GDR2026" s="381"/>
      <c r="GDS2026" s="381"/>
      <c r="GDT2026" s="381"/>
      <c r="GDU2026" s="381"/>
      <c r="GDV2026" s="381"/>
      <c r="GDW2026" s="381"/>
      <c r="GDX2026" s="381"/>
      <c r="GDY2026" s="381"/>
      <c r="GDZ2026" s="381"/>
      <c r="GEA2026" s="381"/>
      <c r="GEB2026" s="381"/>
      <c r="GEC2026" s="381"/>
      <c r="GED2026" s="381"/>
      <c r="GEE2026" s="381"/>
      <c r="GEF2026" s="381"/>
      <c r="GEG2026" s="381"/>
      <c r="GEH2026" s="381"/>
      <c r="GEI2026" s="381"/>
      <c r="GEJ2026" s="381"/>
      <c r="GEK2026" s="381"/>
      <c r="GEL2026" s="381"/>
      <c r="GEM2026" s="381"/>
      <c r="GEN2026" s="381"/>
      <c r="GEO2026" s="381"/>
      <c r="GEP2026" s="381"/>
      <c r="GEQ2026" s="381"/>
      <c r="GER2026" s="381"/>
      <c r="GES2026" s="381"/>
      <c r="GET2026" s="381"/>
      <c r="GEU2026" s="381"/>
      <c r="GEV2026" s="381"/>
      <c r="GEW2026" s="381"/>
      <c r="GEX2026" s="381"/>
      <c r="GEY2026" s="381"/>
      <c r="GEZ2026" s="381"/>
      <c r="GFA2026" s="381"/>
      <c r="GFB2026" s="381"/>
      <c r="GFC2026" s="381"/>
      <c r="GFD2026" s="381"/>
      <c r="GFE2026" s="381"/>
      <c r="GFF2026" s="381"/>
      <c r="GFG2026" s="381"/>
      <c r="GFH2026" s="381"/>
      <c r="GFI2026" s="381"/>
      <c r="GFJ2026" s="381"/>
      <c r="GFK2026" s="381"/>
      <c r="GFL2026" s="381"/>
      <c r="GFM2026" s="381"/>
      <c r="GFN2026" s="381"/>
      <c r="GFO2026" s="381"/>
      <c r="GFP2026" s="381"/>
      <c r="GFQ2026" s="381"/>
      <c r="GFR2026" s="381"/>
      <c r="GFS2026" s="381"/>
      <c r="GFT2026" s="381"/>
      <c r="GFU2026" s="381"/>
      <c r="GFV2026" s="381"/>
      <c r="GFW2026" s="381"/>
      <c r="GFX2026" s="381"/>
      <c r="GFY2026" s="381"/>
      <c r="GFZ2026" s="381"/>
      <c r="GGA2026" s="381"/>
      <c r="GGB2026" s="381"/>
      <c r="GGC2026" s="381"/>
      <c r="GGD2026" s="381"/>
      <c r="GGE2026" s="381"/>
      <c r="GGF2026" s="381"/>
      <c r="GGG2026" s="381"/>
      <c r="GGH2026" s="381"/>
      <c r="GGI2026" s="381"/>
      <c r="GGJ2026" s="381"/>
      <c r="GGK2026" s="381"/>
      <c r="GGL2026" s="381"/>
      <c r="GGM2026" s="381"/>
      <c r="GGN2026" s="381"/>
      <c r="GGO2026" s="381"/>
      <c r="GGP2026" s="381"/>
      <c r="GGQ2026" s="381"/>
      <c r="GGR2026" s="381"/>
      <c r="GGS2026" s="381"/>
      <c r="GGT2026" s="381"/>
      <c r="GGU2026" s="381"/>
      <c r="GGV2026" s="381"/>
      <c r="GGW2026" s="381"/>
      <c r="GGX2026" s="381"/>
      <c r="GGY2026" s="381"/>
      <c r="GGZ2026" s="381"/>
      <c r="GHA2026" s="381"/>
      <c r="GHB2026" s="381"/>
      <c r="GHC2026" s="381"/>
      <c r="GHD2026" s="381"/>
      <c r="GHE2026" s="381"/>
      <c r="GHF2026" s="381"/>
      <c r="GHG2026" s="381"/>
      <c r="GHH2026" s="381"/>
      <c r="GHI2026" s="381"/>
      <c r="GHJ2026" s="381"/>
      <c r="GHK2026" s="381"/>
      <c r="GHL2026" s="381"/>
      <c r="GHM2026" s="381"/>
      <c r="GHN2026" s="381"/>
      <c r="GHO2026" s="381"/>
      <c r="GHP2026" s="381"/>
      <c r="GHQ2026" s="381"/>
      <c r="GHR2026" s="381"/>
      <c r="GHS2026" s="381"/>
      <c r="GHT2026" s="381"/>
      <c r="GHU2026" s="381"/>
      <c r="GHV2026" s="381"/>
      <c r="GHW2026" s="381"/>
      <c r="GHX2026" s="381"/>
      <c r="GHY2026" s="381"/>
      <c r="GHZ2026" s="381"/>
      <c r="GIA2026" s="381"/>
      <c r="GIB2026" s="381"/>
      <c r="GIC2026" s="381"/>
      <c r="GID2026" s="381"/>
      <c r="GIE2026" s="381"/>
      <c r="GIF2026" s="381"/>
      <c r="GIG2026" s="381"/>
      <c r="GIH2026" s="381"/>
      <c r="GII2026" s="381"/>
      <c r="GIJ2026" s="381"/>
      <c r="GIK2026" s="381"/>
      <c r="GIL2026" s="381"/>
      <c r="GIM2026" s="381"/>
      <c r="GIN2026" s="381"/>
      <c r="GIO2026" s="381"/>
      <c r="GIP2026" s="381"/>
      <c r="GIQ2026" s="381"/>
      <c r="GIR2026" s="381"/>
      <c r="GIS2026" s="381"/>
      <c r="GIT2026" s="381"/>
      <c r="GIU2026" s="381"/>
      <c r="GIV2026" s="381"/>
      <c r="GIW2026" s="381"/>
      <c r="GIX2026" s="381"/>
      <c r="GIY2026" s="381"/>
      <c r="GIZ2026" s="381"/>
      <c r="GJA2026" s="381"/>
      <c r="GJB2026" s="381"/>
      <c r="GJC2026" s="381"/>
      <c r="GJD2026" s="381"/>
      <c r="GJE2026" s="381"/>
      <c r="GJF2026" s="381"/>
      <c r="GJG2026" s="381"/>
      <c r="GJH2026" s="381"/>
      <c r="GJI2026" s="381"/>
      <c r="GJJ2026" s="381"/>
      <c r="GJK2026" s="381"/>
      <c r="GJL2026" s="381"/>
      <c r="GJM2026" s="381"/>
      <c r="GJN2026" s="381"/>
      <c r="GJO2026" s="381"/>
      <c r="GJP2026" s="381"/>
      <c r="GJQ2026" s="381"/>
      <c r="GJR2026" s="381"/>
      <c r="GJS2026" s="381"/>
      <c r="GJT2026" s="381"/>
      <c r="GJU2026" s="381"/>
      <c r="GJV2026" s="381"/>
      <c r="GJW2026" s="381"/>
      <c r="GJX2026" s="381"/>
      <c r="GJY2026" s="381"/>
      <c r="GJZ2026" s="381"/>
      <c r="GKA2026" s="381"/>
      <c r="GKB2026" s="381"/>
      <c r="GKC2026" s="381"/>
      <c r="GKD2026" s="381"/>
      <c r="GKE2026" s="381"/>
      <c r="GKF2026" s="381"/>
      <c r="GKG2026" s="381"/>
      <c r="GKH2026" s="381"/>
      <c r="GKI2026" s="381"/>
      <c r="GKJ2026" s="381"/>
      <c r="GKK2026" s="381"/>
      <c r="GKL2026" s="381"/>
      <c r="GKM2026" s="381"/>
      <c r="GKN2026" s="381"/>
      <c r="GKO2026" s="381"/>
      <c r="GKP2026" s="381"/>
      <c r="GKQ2026" s="381"/>
      <c r="GKR2026" s="381"/>
      <c r="GKS2026" s="381"/>
      <c r="GKT2026" s="381"/>
      <c r="GKU2026" s="381"/>
      <c r="GKV2026" s="381"/>
      <c r="GKW2026" s="381"/>
      <c r="GKX2026" s="381"/>
      <c r="GKY2026" s="381"/>
      <c r="GKZ2026" s="381"/>
      <c r="GLA2026" s="381"/>
      <c r="GLB2026" s="381"/>
      <c r="GLC2026" s="381"/>
      <c r="GLD2026" s="381"/>
      <c r="GLE2026" s="381"/>
      <c r="GLF2026" s="381"/>
      <c r="GLG2026" s="381"/>
      <c r="GLH2026" s="381"/>
      <c r="GLI2026" s="381"/>
      <c r="GLJ2026" s="381"/>
      <c r="GLK2026" s="381"/>
      <c r="GLL2026" s="381"/>
      <c r="GLM2026" s="381"/>
      <c r="GLN2026" s="381"/>
      <c r="GLO2026" s="381"/>
      <c r="GLP2026" s="381"/>
      <c r="GLQ2026" s="381"/>
      <c r="GLR2026" s="381"/>
      <c r="GLS2026" s="381"/>
      <c r="GLT2026" s="381"/>
      <c r="GLU2026" s="381"/>
      <c r="GLV2026" s="381"/>
      <c r="GLW2026" s="381"/>
      <c r="GLX2026" s="381"/>
      <c r="GLY2026" s="381"/>
      <c r="GLZ2026" s="381"/>
      <c r="GMA2026" s="381"/>
      <c r="GMB2026" s="381"/>
      <c r="GMC2026" s="381"/>
      <c r="GMD2026" s="381"/>
      <c r="GME2026" s="381"/>
      <c r="GMF2026" s="381"/>
      <c r="GMG2026" s="381"/>
      <c r="GMH2026" s="381"/>
      <c r="GMI2026" s="381"/>
      <c r="GMJ2026" s="381"/>
      <c r="GMK2026" s="381"/>
      <c r="GML2026" s="381"/>
      <c r="GMM2026" s="381"/>
      <c r="GMN2026" s="381"/>
      <c r="GMO2026" s="381"/>
      <c r="GMP2026" s="381"/>
      <c r="GMQ2026" s="381"/>
      <c r="GMR2026" s="381"/>
      <c r="GMS2026" s="381"/>
      <c r="GMT2026" s="381"/>
      <c r="GMU2026" s="381"/>
      <c r="GMV2026" s="381"/>
      <c r="GMW2026" s="381"/>
      <c r="GMX2026" s="381"/>
      <c r="GMY2026" s="381"/>
      <c r="GMZ2026" s="381"/>
      <c r="GNA2026" s="381"/>
      <c r="GNB2026" s="381"/>
      <c r="GNC2026" s="381"/>
      <c r="GND2026" s="381"/>
      <c r="GNE2026" s="381"/>
      <c r="GNF2026" s="381"/>
      <c r="GNG2026" s="381"/>
      <c r="GNH2026" s="381"/>
      <c r="GNI2026" s="381"/>
      <c r="GNJ2026" s="381"/>
      <c r="GNK2026" s="381"/>
      <c r="GNL2026" s="381"/>
      <c r="GNM2026" s="381"/>
      <c r="GNN2026" s="381"/>
      <c r="GNO2026" s="381"/>
      <c r="GNP2026" s="381"/>
      <c r="GNQ2026" s="381"/>
      <c r="GNR2026" s="381"/>
      <c r="GNS2026" s="381"/>
      <c r="GNT2026" s="381"/>
      <c r="GNU2026" s="381"/>
      <c r="GNV2026" s="381"/>
      <c r="GNW2026" s="381"/>
      <c r="GNX2026" s="381"/>
      <c r="GNY2026" s="381"/>
      <c r="GNZ2026" s="381"/>
      <c r="GOA2026" s="381"/>
      <c r="GOB2026" s="381"/>
      <c r="GOC2026" s="381"/>
      <c r="GOD2026" s="381"/>
      <c r="GOE2026" s="381"/>
      <c r="GOF2026" s="381"/>
      <c r="GOG2026" s="381"/>
      <c r="GOH2026" s="381"/>
      <c r="GOI2026" s="381"/>
      <c r="GOJ2026" s="381"/>
      <c r="GOK2026" s="381"/>
      <c r="GOL2026" s="381"/>
      <c r="GOM2026" s="381"/>
      <c r="GON2026" s="381"/>
      <c r="GOO2026" s="381"/>
      <c r="GOP2026" s="381"/>
      <c r="GOQ2026" s="381"/>
      <c r="GOR2026" s="381"/>
      <c r="GOS2026" s="381"/>
      <c r="GOT2026" s="381"/>
      <c r="GOU2026" s="381"/>
      <c r="GOV2026" s="381"/>
      <c r="GOW2026" s="381"/>
      <c r="GOX2026" s="381"/>
      <c r="GOY2026" s="381"/>
      <c r="GOZ2026" s="381"/>
      <c r="GPA2026" s="381"/>
      <c r="GPB2026" s="381"/>
      <c r="GPC2026" s="381"/>
      <c r="GPD2026" s="381"/>
      <c r="GPE2026" s="381"/>
      <c r="GPF2026" s="381"/>
      <c r="GPG2026" s="381"/>
      <c r="GPH2026" s="381"/>
      <c r="GPI2026" s="381"/>
      <c r="GPJ2026" s="381"/>
      <c r="GPK2026" s="381"/>
      <c r="GPL2026" s="381"/>
      <c r="GPM2026" s="381"/>
      <c r="GPN2026" s="381"/>
      <c r="GPO2026" s="381"/>
      <c r="GPP2026" s="381"/>
      <c r="GPQ2026" s="381"/>
      <c r="GPR2026" s="381"/>
      <c r="GPS2026" s="381"/>
      <c r="GPT2026" s="381"/>
      <c r="GPU2026" s="381"/>
      <c r="GPV2026" s="381"/>
      <c r="GPW2026" s="381"/>
      <c r="GPX2026" s="381"/>
      <c r="GPY2026" s="381"/>
      <c r="GPZ2026" s="381"/>
      <c r="GQA2026" s="381"/>
      <c r="GQB2026" s="381"/>
      <c r="GQC2026" s="381"/>
      <c r="GQD2026" s="381"/>
      <c r="GQE2026" s="381"/>
      <c r="GQF2026" s="381"/>
      <c r="GQG2026" s="381"/>
      <c r="GQH2026" s="381"/>
      <c r="GQI2026" s="381"/>
      <c r="GQJ2026" s="381"/>
      <c r="GQK2026" s="381"/>
      <c r="GQL2026" s="381"/>
      <c r="GQM2026" s="381"/>
      <c r="GQN2026" s="381"/>
      <c r="GQO2026" s="381"/>
      <c r="GQP2026" s="381"/>
      <c r="GQQ2026" s="381"/>
      <c r="GQR2026" s="381"/>
      <c r="GQS2026" s="381"/>
      <c r="GQT2026" s="381"/>
      <c r="GQU2026" s="381"/>
      <c r="GQV2026" s="381"/>
      <c r="GQW2026" s="381"/>
      <c r="GQX2026" s="381"/>
      <c r="GQY2026" s="381"/>
      <c r="GQZ2026" s="381"/>
      <c r="GRA2026" s="381"/>
      <c r="GRB2026" s="381"/>
      <c r="GRC2026" s="381"/>
      <c r="GRD2026" s="381"/>
      <c r="GRE2026" s="381"/>
      <c r="GRF2026" s="381"/>
      <c r="GRG2026" s="381"/>
      <c r="GRH2026" s="381"/>
      <c r="GRI2026" s="381"/>
      <c r="GRJ2026" s="381"/>
      <c r="GRK2026" s="381"/>
      <c r="GRL2026" s="381"/>
      <c r="GRM2026" s="381"/>
      <c r="GRN2026" s="381"/>
      <c r="GRO2026" s="381"/>
      <c r="GRP2026" s="381"/>
      <c r="GRQ2026" s="381"/>
      <c r="GRR2026" s="381"/>
      <c r="GRS2026" s="381"/>
      <c r="GRT2026" s="381"/>
      <c r="GRU2026" s="381"/>
      <c r="GRV2026" s="381"/>
      <c r="GRW2026" s="381"/>
      <c r="GRX2026" s="381"/>
      <c r="GRY2026" s="381"/>
      <c r="GRZ2026" s="381"/>
      <c r="GSA2026" s="381"/>
      <c r="GSB2026" s="381"/>
      <c r="GSC2026" s="381"/>
      <c r="GSD2026" s="381"/>
      <c r="GSE2026" s="381"/>
      <c r="GSF2026" s="381"/>
      <c r="GSG2026" s="381"/>
      <c r="GSH2026" s="381"/>
      <c r="GSI2026" s="381"/>
      <c r="GSJ2026" s="381"/>
      <c r="GSK2026" s="381"/>
      <c r="GSL2026" s="381"/>
      <c r="GSM2026" s="381"/>
      <c r="GSN2026" s="381"/>
      <c r="GSO2026" s="381"/>
      <c r="GSP2026" s="381"/>
      <c r="GSQ2026" s="381"/>
      <c r="GSR2026" s="381"/>
      <c r="GSS2026" s="381"/>
      <c r="GST2026" s="381"/>
      <c r="GSU2026" s="381"/>
      <c r="GSV2026" s="381"/>
      <c r="GSW2026" s="381"/>
      <c r="GSX2026" s="381"/>
      <c r="GSY2026" s="381"/>
      <c r="GSZ2026" s="381"/>
      <c r="GTA2026" s="381"/>
      <c r="GTB2026" s="381"/>
      <c r="GTC2026" s="381"/>
      <c r="GTD2026" s="381"/>
      <c r="GTE2026" s="381"/>
      <c r="GTF2026" s="381"/>
      <c r="GTG2026" s="381"/>
      <c r="GTH2026" s="381"/>
      <c r="GTI2026" s="381"/>
      <c r="GTJ2026" s="381"/>
      <c r="GTK2026" s="381"/>
      <c r="GTL2026" s="381"/>
      <c r="GTM2026" s="381"/>
      <c r="GTN2026" s="381"/>
      <c r="GTO2026" s="381"/>
      <c r="GTP2026" s="381"/>
      <c r="GTQ2026" s="381"/>
      <c r="GTR2026" s="381"/>
      <c r="GTS2026" s="381"/>
      <c r="GTT2026" s="381"/>
      <c r="GTU2026" s="381"/>
      <c r="GTV2026" s="381"/>
      <c r="GTW2026" s="381"/>
      <c r="GTX2026" s="381"/>
      <c r="GTY2026" s="381"/>
      <c r="GTZ2026" s="381"/>
      <c r="GUA2026" s="381"/>
      <c r="GUB2026" s="381"/>
      <c r="GUC2026" s="381"/>
      <c r="GUD2026" s="381"/>
      <c r="GUE2026" s="381"/>
      <c r="GUF2026" s="381"/>
      <c r="GUG2026" s="381"/>
      <c r="GUH2026" s="381"/>
      <c r="GUI2026" s="381"/>
      <c r="GUJ2026" s="381"/>
      <c r="GUK2026" s="381"/>
      <c r="GUL2026" s="381"/>
      <c r="GUM2026" s="381"/>
      <c r="GUN2026" s="381"/>
      <c r="GUO2026" s="381"/>
      <c r="GUP2026" s="381"/>
      <c r="GUQ2026" s="381"/>
      <c r="GUR2026" s="381"/>
      <c r="GUS2026" s="381"/>
      <c r="GUT2026" s="381"/>
      <c r="GUU2026" s="381"/>
      <c r="GUV2026" s="381"/>
      <c r="GUW2026" s="381"/>
      <c r="GUX2026" s="381"/>
      <c r="GUY2026" s="381"/>
      <c r="GUZ2026" s="381"/>
      <c r="GVA2026" s="381"/>
      <c r="GVB2026" s="381"/>
      <c r="GVC2026" s="381"/>
      <c r="GVD2026" s="381"/>
      <c r="GVE2026" s="381"/>
      <c r="GVF2026" s="381"/>
      <c r="GVG2026" s="381"/>
      <c r="GVH2026" s="381"/>
      <c r="GVI2026" s="381"/>
      <c r="GVJ2026" s="381"/>
      <c r="GVK2026" s="381"/>
      <c r="GVL2026" s="381"/>
      <c r="GVM2026" s="381"/>
      <c r="GVN2026" s="381"/>
      <c r="GVO2026" s="381"/>
      <c r="GVP2026" s="381"/>
      <c r="GVQ2026" s="381"/>
      <c r="GVR2026" s="381"/>
      <c r="GVS2026" s="381"/>
      <c r="GVT2026" s="381"/>
      <c r="GVU2026" s="381"/>
      <c r="GVV2026" s="381"/>
      <c r="GVW2026" s="381"/>
      <c r="GVX2026" s="381"/>
      <c r="GVY2026" s="381"/>
      <c r="GVZ2026" s="381"/>
      <c r="GWA2026" s="381"/>
      <c r="GWB2026" s="381"/>
      <c r="GWC2026" s="381"/>
      <c r="GWD2026" s="381"/>
      <c r="GWE2026" s="381"/>
      <c r="GWF2026" s="381"/>
      <c r="GWG2026" s="381"/>
      <c r="GWH2026" s="381"/>
      <c r="GWI2026" s="381"/>
      <c r="GWJ2026" s="381"/>
      <c r="GWK2026" s="381"/>
      <c r="GWL2026" s="381"/>
      <c r="GWM2026" s="381"/>
      <c r="GWN2026" s="381"/>
      <c r="GWO2026" s="381"/>
      <c r="GWP2026" s="381"/>
      <c r="GWQ2026" s="381"/>
      <c r="GWR2026" s="381"/>
      <c r="GWS2026" s="381"/>
      <c r="GWT2026" s="381"/>
      <c r="GWU2026" s="381"/>
      <c r="GWV2026" s="381"/>
      <c r="GWW2026" s="381"/>
      <c r="GWX2026" s="381"/>
      <c r="GWY2026" s="381"/>
      <c r="GWZ2026" s="381"/>
      <c r="GXA2026" s="381"/>
      <c r="GXB2026" s="381"/>
      <c r="GXC2026" s="381"/>
      <c r="GXD2026" s="381"/>
      <c r="GXE2026" s="381"/>
      <c r="GXF2026" s="381"/>
      <c r="GXG2026" s="381"/>
      <c r="GXH2026" s="381"/>
      <c r="GXI2026" s="381"/>
      <c r="GXJ2026" s="381"/>
      <c r="GXK2026" s="381"/>
      <c r="GXL2026" s="381"/>
      <c r="GXM2026" s="381"/>
      <c r="GXN2026" s="381"/>
      <c r="GXO2026" s="381"/>
      <c r="GXP2026" s="381"/>
      <c r="GXQ2026" s="381"/>
      <c r="GXR2026" s="381"/>
      <c r="GXS2026" s="381"/>
      <c r="GXT2026" s="381"/>
      <c r="GXU2026" s="381"/>
      <c r="GXV2026" s="381"/>
      <c r="GXW2026" s="381"/>
      <c r="GXX2026" s="381"/>
      <c r="GXY2026" s="381"/>
      <c r="GXZ2026" s="381"/>
      <c r="GYA2026" s="381"/>
      <c r="GYB2026" s="381"/>
      <c r="GYC2026" s="381"/>
      <c r="GYD2026" s="381"/>
      <c r="GYE2026" s="381"/>
      <c r="GYF2026" s="381"/>
      <c r="GYG2026" s="381"/>
      <c r="GYH2026" s="381"/>
      <c r="GYI2026" s="381"/>
      <c r="GYJ2026" s="381"/>
      <c r="GYK2026" s="381"/>
      <c r="GYL2026" s="381"/>
      <c r="GYM2026" s="381"/>
      <c r="GYN2026" s="381"/>
      <c r="GYO2026" s="381"/>
      <c r="GYP2026" s="381"/>
      <c r="GYQ2026" s="381"/>
      <c r="GYR2026" s="381"/>
      <c r="GYS2026" s="381"/>
      <c r="GYT2026" s="381"/>
      <c r="GYU2026" s="381"/>
      <c r="GYV2026" s="381"/>
      <c r="GYW2026" s="381"/>
      <c r="GYX2026" s="381"/>
      <c r="GYY2026" s="381"/>
      <c r="GYZ2026" s="381"/>
      <c r="GZA2026" s="381"/>
      <c r="GZB2026" s="381"/>
      <c r="GZC2026" s="381"/>
      <c r="GZD2026" s="381"/>
      <c r="GZE2026" s="381"/>
      <c r="GZF2026" s="381"/>
      <c r="GZG2026" s="381"/>
      <c r="GZH2026" s="381"/>
      <c r="GZI2026" s="381"/>
      <c r="GZJ2026" s="381"/>
      <c r="GZK2026" s="381"/>
      <c r="GZL2026" s="381"/>
      <c r="GZM2026" s="381"/>
      <c r="GZN2026" s="381"/>
      <c r="GZO2026" s="381"/>
      <c r="GZP2026" s="381"/>
      <c r="GZQ2026" s="381"/>
      <c r="GZR2026" s="381"/>
      <c r="GZS2026" s="381"/>
      <c r="GZT2026" s="381"/>
      <c r="GZU2026" s="381"/>
      <c r="GZV2026" s="381"/>
      <c r="GZW2026" s="381"/>
      <c r="GZX2026" s="381"/>
      <c r="GZY2026" s="381"/>
      <c r="GZZ2026" s="381"/>
      <c r="HAA2026" s="381"/>
      <c r="HAB2026" s="381"/>
      <c r="HAC2026" s="381"/>
      <c r="HAD2026" s="381"/>
      <c r="HAE2026" s="381"/>
      <c r="HAF2026" s="381"/>
      <c r="HAG2026" s="381"/>
      <c r="HAH2026" s="381"/>
      <c r="HAI2026" s="381"/>
      <c r="HAJ2026" s="381"/>
      <c r="HAK2026" s="381"/>
      <c r="HAL2026" s="381"/>
      <c r="HAM2026" s="381"/>
      <c r="HAN2026" s="381"/>
      <c r="HAO2026" s="381"/>
      <c r="HAP2026" s="381"/>
      <c r="HAQ2026" s="381"/>
      <c r="HAR2026" s="381"/>
      <c r="HAS2026" s="381"/>
      <c r="HAT2026" s="381"/>
      <c r="HAU2026" s="381"/>
      <c r="HAV2026" s="381"/>
      <c r="HAW2026" s="381"/>
      <c r="HAX2026" s="381"/>
      <c r="HAY2026" s="381"/>
      <c r="HAZ2026" s="381"/>
      <c r="HBA2026" s="381"/>
      <c r="HBB2026" s="381"/>
      <c r="HBC2026" s="381"/>
      <c r="HBD2026" s="381"/>
      <c r="HBE2026" s="381"/>
      <c r="HBF2026" s="381"/>
      <c r="HBG2026" s="381"/>
      <c r="HBH2026" s="381"/>
      <c r="HBI2026" s="381"/>
      <c r="HBJ2026" s="381"/>
      <c r="HBK2026" s="381"/>
      <c r="HBL2026" s="381"/>
      <c r="HBM2026" s="381"/>
      <c r="HBN2026" s="381"/>
      <c r="HBO2026" s="381"/>
      <c r="HBP2026" s="381"/>
      <c r="HBQ2026" s="381"/>
      <c r="HBR2026" s="381"/>
      <c r="HBS2026" s="381"/>
      <c r="HBT2026" s="381"/>
      <c r="HBU2026" s="381"/>
      <c r="HBV2026" s="381"/>
      <c r="HBW2026" s="381"/>
      <c r="HBX2026" s="381"/>
      <c r="HBY2026" s="381"/>
      <c r="HBZ2026" s="381"/>
      <c r="HCA2026" s="381"/>
      <c r="HCB2026" s="381"/>
      <c r="HCC2026" s="381"/>
      <c r="HCD2026" s="381"/>
      <c r="HCE2026" s="381"/>
      <c r="HCF2026" s="381"/>
      <c r="HCG2026" s="381"/>
      <c r="HCH2026" s="381"/>
      <c r="HCI2026" s="381"/>
      <c r="HCJ2026" s="381"/>
      <c r="HCK2026" s="381"/>
      <c r="HCL2026" s="381"/>
      <c r="HCM2026" s="381"/>
      <c r="HCN2026" s="381"/>
      <c r="HCO2026" s="381"/>
      <c r="HCP2026" s="381"/>
      <c r="HCQ2026" s="381"/>
      <c r="HCR2026" s="381"/>
      <c r="HCS2026" s="381"/>
      <c r="HCT2026" s="381"/>
      <c r="HCU2026" s="381"/>
      <c r="HCV2026" s="381"/>
      <c r="HCW2026" s="381"/>
      <c r="HCX2026" s="381"/>
      <c r="HCY2026" s="381"/>
      <c r="HCZ2026" s="381"/>
      <c r="HDA2026" s="381"/>
      <c r="HDB2026" s="381"/>
      <c r="HDC2026" s="381"/>
      <c r="HDD2026" s="381"/>
      <c r="HDE2026" s="381"/>
      <c r="HDF2026" s="381"/>
      <c r="HDG2026" s="381"/>
      <c r="HDH2026" s="381"/>
      <c r="HDI2026" s="381"/>
      <c r="HDJ2026" s="381"/>
      <c r="HDK2026" s="381"/>
      <c r="HDL2026" s="381"/>
      <c r="HDM2026" s="381"/>
      <c r="HDN2026" s="381"/>
      <c r="HDO2026" s="381"/>
      <c r="HDP2026" s="381"/>
      <c r="HDQ2026" s="381"/>
      <c r="HDR2026" s="381"/>
      <c r="HDS2026" s="381"/>
      <c r="HDT2026" s="381"/>
      <c r="HDU2026" s="381"/>
      <c r="HDV2026" s="381"/>
      <c r="HDW2026" s="381"/>
      <c r="HDX2026" s="381"/>
      <c r="HDY2026" s="381"/>
      <c r="HDZ2026" s="381"/>
      <c r="HEA2026" s="381"/>
      <c r="HEB2026" s="381"/>
      <c r="HEC2026" s="381"/>
      <c r="HED2026" s="381"/>
      <c r="HEE2026" s="381"/>
      <c r="HEF2026" s="381"/>
      <c r="HEG2026" s="381"/>
      <c r="HEH2026" s="381"/>
      <c r="HEI2026" s="381"/>
      <c r="HEJ2026" s="381"/>
      <c r="HEK2026" s="381"/>
      <c r="HEL2026" s="381"/>
      <c r="HEM2026" s="381"/>
      <c r="HEN2026" s="381"/>
      <c r="HEO2026" s="381"/>
      <c r="HEP2026" s="381"/>
      <c r="HEQ2026" s="381"/>
      <c r="HER2026" s="381"/>
      <c r="HES2026" s="381"/>
      <c r="HET2026" s="381"/>
      <c r="HEU2026" s="381"/>
      <c r="HEV2026" s="381"/>
      <c r="HEW2026" s="381"/>
      <c r="HEX2026" s="381"/>
      <c r="HEY2026" s="381"/>
      <c r="HEZ2026" s="381"/>
      <c r="HFA2026" s="381"/>
      <c r="HFB2026" s="381"/>
      <c r="HFC2026" s="381"/>
      <c r="HFD2026" s="381"/>
      <c r="HFE2026" s="381"/>
      <c r="HFF2026" s="381"/>
      <c r="HFG2026" s="381"/>
      <c r="HFH2026" s="381"/>
      <c r="HFI2026" s="381"/>
      <c r="HFJ2026" s="381"/>
      <c r="HFK2026" s="381"/>
      <c r="HFL2026" s="381"/>
      <c r="HFM2026" s="381"/>
      <c r="HFN2026" s="381"/>
      <c r="HFO2026" s="381"/>
      <c r="HFP2026" s="381"/>
      <c r="HFQ2026" s="381"/>
      <c r="HFR2026" s="381"/>
      <c r="HFS2026" s="381"/>
      <c r="HFT2026" s="381"/>
      <c r="HFU2026" s="381"/>
      <c r="HFV2026" s="381"/>
      <c r="HFW2026" s="381"/>
      <c r="HFX2026" s="381"/>
      <c r="HFY2026" s="381"/>
      <c r="HFZ2026" s="381"/>
      <c r="HGA2026" s="381"/>
      <c r="HGB2026" s="381"/>
      <c r="HGC2026" s="381"/>
      <c r="HGD2026" s="381"/>
      <c r="HGE2026" s="381"/>
      <c r="HGF2026" s="381"/>
      <c r="HGG2026" s="381"/>
      <c r="HGH2026" s="381"/>
      <c r="HGI2026" s="381"/>
      <c r="HGJ2026" s="381"/>
      <c r="HGK2026" s="381"/>
      <c r="HGL2026" s="381"/>
      <c r="HGM2026" s="381"/>
      <c r="HGN2026" s="381"/>
      <c r="HGO2026" s="381"/>
      <c r="HGP2026" s="381"/>
      <c r="HGQ2026" s="381"/>
      <c r="HGR2026" s="381"/>
      <c r="HGS2026" s="381"/>
      <c r="HGT2026" s="381"/>
      <c r="HGU2026" s="381"/>
      <c r="HGV2026" s="381"/>
      <c r="HGW2026" s="381"/>
      <c r="HGX2026" s="381"/>
      <c r="HGY2026" s="381"/>
      <c r="HGZ2026" s="381"/>
      <c r="HHA2026" s="381"/>
      <c r="HHB2026" s="381"/>
      <c r="HHC2026" s="381"/>
      <c r="HHD2026" s="381"/>
      <c r="HHE2026" s="381"/>
      <c r="HHF2026" s="381"/>
      <c r="HHG2026" s="381"/>
      <c r="HHH2026" s="381"/>
      <c r="HHI2026" s="381"/>
      <c r="HHJ2026" s="381"/>
      <c r="HHK2026" s="381"/>
      <c r="HHL2026" s="381"/>
      <c r="HHM2026" s="381"/>
      <c r="HHN2026" s="381"/>
      <c r="HHO2026" s="381"/>
      <c r="HHP2026" s="381"/>
      <c r="HHQ2026" s="381"/>
      <c r="HHR2026" s="381"/>
      <c r="HHS2026" s="381"/>
      <c r="HHT2026" s="381"/>
      <c r="HHU2026" s="381"/>
      <c r="HHV2026" s="381"/>
      <c r="HHW2026" s="381"/>
      <c r="HHX2026" s="381"/>
      <c r="HHY2026" s="381"/>
      <c r="HHZ2026" s="381"/>
      <c r="HIA2026" s="381"/>
      <c r="HIB2026" s="381"/>
      <c r="HIC2026" s="381"/>
      <c r="HID2026" s="381"/>
      <c r="HIE2026" s="381"/>
      <c r="HIF2026" s="381"/>
      <c r="HIG2026" s="381"/>
      <c r="HIH2026" s="381"/>
      <c r="HII2026" s="381"/>
      <c r="HIJ2026" s="381"/>
      <c r="HIK2026" s="381"/>
      <c r="HIL2026" s="381"/>
      <c r="HIM2026" s="381"/>
      <c r="HIN2026" s="381"/>
      <c r="HIO2026" s="381"/>
      <c r="HIP2026" s="381"/>
      <c r="HIQ2026" s="381"/>
      <c r="HIR2026" s="381"/>
      <c r="HIS2026" s="381"/>
      <c r="HIT2026" s="381"/>
      <c r="HIU2026" s="381"/>
      <c r="HIV2026" s="381"/>
      <c r="HIW2026" s="381"/>
      <c r="HIX2026" s="381"/>
      <c r="HIY2026" s="381"/>
      <c r="HIZ2026" s="381"/>
      <c r="HJA2026" s="381"/>
      <c r="HJB2026" s="381"/>
      <c r="HJC2026" s="381"/>
      <c r="HJD2026" s="381"/>
      <c r="HJE2026" s="381"/>
      <c r="HJF2026" s="381"/>
      <c r="HJG2026" s="381"/>
      <c r="HJH2026" s="381"/>
      <c r="HJI2026" s="381"/>
      <c r="HJJ2026" s="381"/>
      <c r="HJK2026" s="381"/>
      <c r="HJL2026" s="381"/>
      <c r="HJM2026" s="381"/>
      <c r="HJN2026" s="381"/>
      <c r="HJO2026" s="381"/>
      <c r="HJP2026" s="381"/>
      <c r="HJQ2026" s="381"/>
      <c r="HJR2026" s="381"/>
      <c r="HJS2026" s="381"/>
      <c r="HJT2026" s="381"/>
      <c r="HJU2026" s="381"/>
      <c r="HJV2026" s="381"/>
      <c r="HJW2026" s="381"/>
      <c r="HJX2026" s="381"/>
      <c r="HJY2026" s="381"/>
      <c r="HJZ2026" s="381"/>
      <c r="HKA2026" s="381"/>
      <c r="HKB2026" s="381"/>
      <c r="HKC2026" s="381"/>
      <c r="HKD2026" s="381"/>
      <c r="HKE2026" s="381"/>
      <c r="HKF2026" s="381"/>
      <c r="HKG2026" s="381"/>
      <c r="HKH2026" s="381"/>
      <c r="HKI2026" s="381"/>
      <c r="HKJ2026" s="381"/>
      <c r="HKK2026" s="381"/>
      <c r="HKL2026" s="381"/>
      <c r="HKM2026" s="381"/>
      <c r="HKN2026" s="381"/>
      <c r="HKO2026" s="381"/>
      <c r="HKP2026" s="381"/>
      <c r="HKQ2026" s="381"/>
      <c r="HKR2026" s="381"/>
      <c r="HKS2026" s="381"/>
      <c r="HKT2026" s="381"/>
      <c r="HKU2026" s="381"/>
      <c r="HKV2026" s="381"/>
      <c r="HKW2026" s="381"/>
      <c r="HKX2026" s="381"/>
      <c r="HKY2026" s="381"/>
      <c r="HKZ2026" s="381"/>
      <c r="HLA2026" s="381"/>
      <c r="HLB2026" s="381"/>
      <c r="HLC2026" s="381"/>
      <c r="HLD2026" s="381"/>
      <c r="HLE2026" s="381"/>
      <c r="HLF2026" s="381"/>
      <c r="HLG2026" s="381"/>
      <c r="HLH2026" s="381"/>
      <c r="HLI2026" s="381"/>
      <c r="HLJ2026" s="381"/>
      <c r="HLK2026" s="381"/>
      <c r="HLL2026" s="381"/>
      <c r="HLM2026" s="381"/>
      <c r="HLN2026" s="381"/>
      <c r="HLO2026" s="381"/>
      <c r="HLP2026" s="381"/>
      <c r="HLQ2026" s="381"/>
      <c r="HLR2026" s="381"/>
      <c r="HLS2026" s="381"/>
      <c r="HLT2026" s="381"/>
      <c r="HLU2026" s="381"/>
      <c r="HLV2026" s="381"/>
      <c r="HLW2026" s="381"/>
      <c r="HLX2026" s="381"/>
      <c r="HLY2026" s="381"/>
      <c r="HLZ2026" s="381"/>
      <c r="HMA2026" s="381"/>
      <c r="HMB2026" s="381"/>
      <c r="HMC2026" s="381"/>
      <c r="HMD2026" s="381"/>
      <c r="HME2026" s="381"/>
      <c r="HMF2026" s="381"/>
      <c r="HMG2026" s="381"/>
      <c r="HMH2026" s="381"/>
      <c r="HMI2026" s="381"/>
      <c r="HMJ2026" s="381"/>
      <c r="HMK2026" s="381"/>
      <c r="HML2026" s="381"/>
      <c r="HMM2026" s="381"/>
      <c r="HMN2026" s="381"/>
      <c r="HMO2026" s="381"/>
      <c r="HMP2026" s="381"/>
      <c r="HMQ2026" s="381"/>
      <c r="HMR2026" s="381"/>
      <c r="HMS2026" s="381"/>
      <c r="HMT2026" s="381"/>
      <c r="HMU2026" s="381"/>
      <c r="HMV2026" s="381"/>
      <c r="HMW2026" s="381"/>
      <c r="HMX2026" s="381"/>
      <c r="HMY2026" s="381"/>
      <c r="HMZ2026" s="381"/>
      <c r="HNA2026" s="381"/>
      <c r="HNB2026" s="381"/>
      <c r="HNC2026" s="381"/>
      <c r="HND2026" s="381"/>
      <c r="HNE2026" s="381"/>
      <c r="HNF2026" s="381"/>
      <c r="HNG2026" s="381"/>
      <c r="HNH2026" s="381"/>
      <c r="HNI2026" s="381"/>
      <c r="HNJ2026" s="381"/>
      <c r="HNK2026" s="381"/>
      <c r="HNL2026" s="381"/>
      <c r="HNM2026" s="381"/>
      <c r="HNN2026" s="381"/>
      <c r="HNO2026" s="381"/>
      <c r="HNP2026" s="381"/>
      <c r="HNQ2026" s="381"/>
      <c r="HNR2026" s="381"/>
      <c r="HNS2026" s="381"/>
      <c r="HNT2026" s="381"/>
      <c r="HNU2026" s="381"/>
      <c r="HNV2026" s="381"/>
      <c r="HNW2026" s="381"/>
      <c r="HNX2026" s="381"/>
      <c r="HNY2026" s="381"/>
      <c r="HNZ2026" s="381"/>
      <c r="HOA2026" s="381"/>
      <c r="HOB2026" s="381"/>
      <c r="HOC2026" s="381"/>
      <c r="HOD2026" s="381"/>
      <c r="HOE2026" s="381"/>
      <c r="HOF2026" s="381"/>
      <c r="HOG2026" s="381"/>
      <c r="HOH2026" s="381"/>
      <c r="HOI2026" s="381"/>
      <c r="HOJ2026" s="381"/>
      <c r="HOK2026" s="381"/>
      <c r="HOL2026" s="381"/>
      <c r="HOM2026" s="381"/>
      <c r="HON2026" s="381"/>
      <c r="HOO2026" s="381"/>
      <c r="HOP2026" s="381"/>
      <c r="HOQ2026" s="381"/>
      <c r="HOR2026" s="381"/>
      <c r="HOS2026" s="381"/>
      <c r="HOT2026" s="381"/>
      <c r="HOU2026" s="381"/>
      <c r="HOV2026" s="381"/>
      <c r="HOW2026" s="381"/>
      <c r="HOX2026" s="381"/>
      <c r="HOY2026" s="381"/>
      <c r="HOZ2026" s="381"/>
      <c r="HPA2026" s="381"/>
      <c r="HPB2026" s="381"/>
      <c r="HPC2026" s="381"/>
      <c r="HPD2026" s="381"/>
      <c r="HPE2026" s="381"/>
      <c r="HPF2026" s="381"/>
      <c r="HPG2026" s="381"/>
      <c r="HPH2026" s="381"/>
      <c r="HPI2026" s="381"/>
      <c r="HPJ2026" s="381"/>
      <c r="HPK2026" s="381"/>
      <c r="HPL2026" s="381"/>
      <c r="HPM2026" s="381"/>
      <c r="HPN2026" s="381"/>
      <c r="HPO2026" s="381"/>
      <c r="HPP2026" s="381"/>
      <c r="HPQ2026" s="381"/>
      <c r="HPR2026" s="381"/>
      <c r="HPS2026" s="381"/>
      <c r="HPT2026" s="381"/>
      <c r="HPU2026" s="381"/>
      <c r="HPV2026" s="381"/>
      <c r="HPW2026" s="381"/>
      <c r="HPX2026" s="381"/>
      <c r="HPY2026" s="381"/>
      <c r="HPZ2026" s="381"/>
      <c r="HQA2026" s="381"/>
      <c r="HQB2026" s="381"/>
      <c r="HQC2026" s="381"/>
      <c r="HQD2026" s="381"/>
      <c r="HQE2026" s="381"/>
      <c r="HQF2026" s="381"/>
      <c r="HQG2026" s="381"/>
      <c r="HQH2026" s="381"/>
      <c r="HQI2026" s="381"/>
      <c r="HQJ2026" s="381"/>
      <c r="HQK2026" s="381"/>
      <c r="HQL2026" s="381"/>
      <c r="HQM2026" s="381"/>
      <c r="HQN2026" s="381"/>
      <c r="HQO2026" s="381"/>
      <c r="HQP2026" s="381"/>
      <c r="HQQ2026" s="381"/>
      <c r="HQR2026" s="381"/>
      <c r="HQS2026" s="381"/>
      <c r="HQT2026" s="381"/>
      <c r="HQU2026" s="381"/>
      <c r="HQV2026" s="381"/>
      <c r="HQW2026" s="381"/>
      <c r="HQX2026" s="381"/>
      <c r="HQY2026" s="381"/>
      <c r="HQZ2026" s="381"/>
      <c r="HRA2026" s="381"/>
      <c r="HRB2026" s="381"/>
      <c r="HRC2026" s="381"/>
      <c r="HRD2026" s="381"/>
      <c r="HRE2026" s="381"/>
      <c r="HRF2026" s="381"/>
      <c r="HRG2026" s="381"/>
      <c r="HRH2026" s="381"/>
      <c r="HRI2026" s="381"/>
      <c r="HRJ2026" s="381"/>
      <c r="HRK2026" s="381"/>
      <c r="HRL2026" s="381"/>
      <c r="HRM2026" s="381"/>
      <c r="HRN2026" s="381"/>
      <c r="HRO2026" s="381"/>
      <c r="HRP2026" s="381"/>
      <c r="HRQ2026" s="381"/>
      <c r="HRR2026" s="381"/>
      <c r="HRS2026" s="381"/>
      <c r="HRT2026" s="381"/>
      <c r="HRU2026" s="381"/>
      <c r="HRV2026" s="381"/>
      <c r="HRW2026" s="381"/>
      <c r="HRX2026" s="381"/>
      <c r="HRY2026" s="381"/>
      <c r="HRZ2026" s="381"/>
      <c r="HSA2026" s="381"/>
      <c r="HSB2026" s="381"/>
      <c r="HSC2026" s="381"/>
      <c r="HSD2026" s="381"/>
      <c r="HSE2026" s="381"/>
      <c r="HSF2026" s="381"/>
      <c r="HSG2026" s="381"/>
      <c r="HSH2026" s="381"/>
      <c r="HSI2026" s="381"/>
      <c r="HSJ2026" s="381"/>
      <c r="HSK2026" s="381"/>
      <c r="HSL2026" s="381"/>
      <c r="HSM2026" s="381"/>
      <c r="HSN2026" s="381"/>
      <c r="HSO2026" s="381"/>
      <c r="HSP2026" s="381"/>
      <c r="HSQ2026" s="381"/>
      <c r="HSR2026" s="381"/>
      <c r="HSS2026" s="381"/>
      <c r="HST2026" s="381"/>
      <c r="HSU2026" s="381"/>
      <c r="HSV2026" s="381"/>
      <c r="HSW2026" s="381"/>
      <c r="HSX2026" s="381"/>
      <c r="HSY2026" s="381"/>
      <c r="HSZ2026" s="381"/>
      <c r="HTA2026" s="381"/>
      <c r="HTB2026" s="381"/>
      <c r="HTC2026" s="381"/>
      <c r="HTD2026" s="381"/>
      <c r="HTE2026" s="381"/>
      <c r="HTF2026" s="381"/>
      <c r="HTG2026" s="381"/>
      <c r="HTH2026" s="381"/>
      <c r="HTI2026" s="381"/>
      <c r="HTJ2026" s="381"/>
      <c r="HTK2026" s="381"/>
      <c r="HTL2026" s="381"/>
      <c r="HTM2026" s="381"/>
      <c r="HTN2026" s="381"/>
      <c r="HTO2026" s="381"/>
      <c r="HTP2026" s="381"/>
      <c r="HTQ2026" s="381"/>
      <c r="HTR2026" s="381"/>
      <c r="HTS2026" s="381"/>
      <c r="HTT2026" s="381"/>
      <c r="HTU2026" s="381"/>
      <c r="HTV2026" s="381"/>
      <c r="HTW2026" s="381"/>
      <c r="HTX2026" s="381"/>
      <c r="HTY2026" s="381"/>
      <c r="HTZ2026" s="381"/>
      <c r="HUA2026" s="381"/>
      <c r="HUB2026" s="381"/>
      <c r="HUC2026" s="381"/>
      <c r="HUD2026" s="381"/>
      <c r="HUE2026" s="381"/>
      <c r="HUF2026" s="381"/>
      <c r="HUG2026" s="381"/>
      <c r="HUH2026" s="381"/>
      <c r="HUI2026" s="381"/>
      <c r="HUJ2026" s="381"/>
      <c r="HUK2026" s="381"/>
      <c r="HUL2026" s="381"/>
      <c r="HUM2026" s="381"/>
      <c r="HUN2026" s="381"/>
      <c r="HUO2026" s="381"/>
      <c r="HUP2026" s="381"/>
      <c r="HUQ2026" s="381"/>
      <c r="HUR2026" s="381"/>
      <c r="HUS2026" s="381"/>
      <c r="HUT2026" s="381"/>
      <c r="HUU2026" s="381"/>
      <c r="HUV2026" s="381"/>
      <c r="HUW2026" s="381"/>
      <c r="HUX2026" s="381"/>
      <c r="HUY2026" s="381"/>
      <c r="HUZ2026" s="381"/>
      <c r="HVA2026" s="381"/>
      <c r="HVB2026" s="381"/>
      <c r="HVC2026" s="381"/>
      <c r="HVD2026" s="381"/>
      <c r="HVE2026" s="381"/>
      <c r="HVF2026" s="381"/>
      <c r="HVG2026" s="381"/>
      <c r="HVH2026" s="381"/>
      <c r="HVI2026" s="381"/>
      <c r="HVJ2026" s="381"/>
      <c r="HVK2026" s="381"/>
      <c r="HVL2026" s="381"/>
      <c r="HVM2026" s="381"/>
      <c r="HVN2026" s="381"/>
      <c r="HVO2026" s="381"/>
      <c r="HVP2026" s="381"/>
      <c r="HVQ2026" s="381"/>
      <c r="HVR2026" s="381"/>
      <c r="HVS2026" s="381"/>
      <c r="HVT2026" s="381"/>
      <c r="HVU2026" s="381"/>
      <c r="HVV2026" s="381"/>
      <c r="HVW2026" s="381"/>
      <c r="HVX2026" s="381"/>
      <c r="HVY2026" s="381"/>
      <c r="HVZ2026" s="381"/>
      <c r="HWA2026" s="381"/>
      <c r="HWB2026" s="381"/>
      <c r="HWC2026" s="381"/>
      <c r="HWD2026" s="381"/>
      <c r="HWE2026" s="381"/>
      <c r="HWF2026" s="381"/>
      <c r="HWG2026" s="381"/>
      <c r="HWH2026" s="381"/>
      <c r="HWI2026" s="381"/>
      <c r="HWJ2026" s="381"/>
      <c r="HWK2026" s="381"/>
      <c r="HWL2026" s="381"/>
      <c r="HWM2026" s="381"/>
      <c r="HWN2026" s="381"/>
      <c r="HWO2026" s="381"/>
      <c r="HWP2026" s="381"/>
      <c r="HWQ2026" s="381"/>
      <c r="HWR2026" s="381"/>
      <c r="HWS2026" s="381"/>
      <c r="HWT2026" s="381"/>
      <c r="HWU2026" s="381"/>
      <c r="HWV2026" s="381"/>
      <c r="HWW2026" s="381"/>
      <c r="HWX2026" s="381"/>
      <c r="HWY2026" s="381"/>
      <c r="HWZ2026" s="381"/>
      <c r="HXA2026" s="381"/>
      <c r="HXB2026" s="381"/>
      <c r="HXC2026" s="381"/>
      <c r="HXD2026" s="381"/>
      <c r="HXE2026" s="381"/>
      <c r="HXF2026" s="381"/>
      <c r="HXG2026" s="381"/>
      <c r="HXH2026" s="381"/>
      <c r="HXI2026" s="381"/>
      <c r="HXJ2026" s="381"/>
      <c r="HXK2026" s="381"/>
      <c r="HXL2026" s="381"/>
      <c r="HXM2026" s="381"/>
      <c r="HXN2026" s="381"/>
      <c r="HXO2026" s="381"/>
      <c r="HXP2026" s="381"/>
      <c r="HXQ2026" s="381"/>
      <c r="HXR2026" s="381"/>
      <c r="HXS2026" s="381"/>
      <c r="HXT2026" s="381"/>
      <c r="HXU2026" s="381"/>
      <c r="HXV2026" s="381"/>
      <c r="HXW2026" s="381"/>
      <c r="HXX2026" s="381"/>
      <c r="HXY2026" s="381"/>
      <c r="HXZ2026" s="381"/>
      <c r="HYA2026" s="381"/>
      <c r="HYB2026" s="381"/>
      <c r="HYC2026" s="381"/>
      <c r="HYD2026" s="381"/>
      <c r="HYE2026" s="381"/>
      <c r="HYF2026" s="381"/>
      <c r="HYG2026" s="381"/>
      <c r="HYH2026" s="381"/>
      <c r="HYI2026" s="381"/>
      <c r="HYJ2026" s="381"/>
      <c r="HYK2026" s="381"/>
      <c r="HYL2026" s="381"/>
      <c r="HYM2026" s="381"/>
      <c r="HYN2026" s="381"/>
      <c r="HYO2026" s="381"/>
      <c r="HYP2026" s="381"/>
      <c r="HYQ2026" s="381"/>
      <c r="HYR2026" s="381"/>
      <c r="HYS2026" s="381"/>
      <c r="HYT2026" s="381"/>
      <c r="HYU2026" s="381"/>
      <c r="HYV2026" s="381"/>
      <c r="HYW2026" s="381"/>
      <c r="HYX2026" s="381"/>
      <c r="HYY2026" s="381"/>
      <c r="HYZ2026" s="381"/>
      <c r="HZA2026" s="381"/>
      <c r="HZB2026" s="381"/>
      <c r="HZC2026" s="381"/>
      <c r="HZD2026" s="381"/>
      <c r="HZE2026" s="381"/>
      <c r="HZF2026" s="381"/>
      <c r="HZG2026" s="381"/>
      <c r="HZH2026" s="381"/>
      <c r="HZI2026" s="381"/>
      <c r="HZJ2026" s="381"/>
      <c r="HZK2026" s="381"/>
      <c r="HZL2026" s="381"/>
      <c r="HZM2026" s="381"/>
      <c r="HZN2026" s="381"/>
      <c r="HZO2026" s="381"/>
      <c r="HZP2026" s="381"/>
      <c r="HZQ2026" s="381"/>
      <c r="HZR2026" s="381"/>
      <c r="HZS2026" s="381"/>
      <c r="HZT2026" s="381"/>
      <c r="HZU2026" s="381"/>
      <c r="HZV2026" s="381"/>
      <c r="HZW2026" s="381"/>
      <c r="HZX2026" s="381"/>
      <c r="HZY2026" s="381"/>
      <c r="HZZ2026" s="381"/>
      <c r="IAA2026" s="381"/>
      <c r="IAB2026" s="381"/>
      <c r="IAC2026" s="381"/>
      <c r="IAD2026" s="381"/>
      <c r="IAE2026" s="381"/>
      <c r="IAF2026" s="381"/>
      <c r="IAG2026" s="381"/>
      <c r="IAH2026" s="381"/>
      <c r="IAI2026" s="381"/>
      <c r="IAJ2026" s="381"/>
      <c r="IAK2026" s="381"/>
      <c r="IAL2026" s="381"/>
      <c r="IAM2026" s="381"/>
      <c r="IAN2026" s="381"/>
      <c r="IAO2026" s="381"/>
      <c r="IAP2026" s="381"/>
      <c r="IAQ2026" s="381"/>
      <c r="IAR2026" s="381"/>
      <c r="IAS2026" s="381"/>
      <c r="IAT2026" s="381"/>
      <c r="IAU2026" s="381"/>
      <c r="IAV2026" s="381"/>
      <c r="IAW2026" s="381"/>
      <c r="IAX2026" s="381"/>
      <c r="IAY2026" s="381"/>
      <c r="IAZ2026" s="381"/>
      <c r="IBA2026" s="381"/>
      <c r="IBB2026" s="381"/>
      <c r="IBC2026" s="381"/>
      <c r="IBD2026" s="381"/>
      <c r="IBE2026" s="381"/>
      <c r="IBF2026" s="381"/>
      <c r="IBG2026" s="381"/>
      <c r="IBH2026" s="381"/>
      <c r="IBI2026" s="381"/>
      <c r="IBJ2026" s="381"/>
      <c r="IBK2026" s="381"/>
      <c r="IBL2026" s="381"/>
      <c r="IBM2026" s="381"/>
      <c r="IBN2026" s="381"/>
      <c r="IBO2026" s="381"/>
      <c r="IBP2026" s="381"/>
      <c r="IBQ2026" s="381"/>
      <c r="IBR2026" s="381"/>
      <c r="IBS2026" s="381"/>
      <c r="IBT2026" s="381"/>
      <c r="IBU2026" s="381"/>
      <c r="IBV2026" s="381"/>
      <c r="IBW2026" s="381"/>
      <c r="IBX2026" s="381"/>
      <c r="IBY2026" s="381"/>
      <c r="IBZ2026" s="381"/>
      <c r="ICA2026" s="381"/>
      <c r="ICB2026" s="381"/>
      <c r="ICC2026" s="381"/>
      <c r="ICD2026" s="381"/>
      <c r="ICE2026" s="381"/>
      <c r="ICF2026" s="381"/>
      <c r="ICG2026" s="381"/>
      <c r="ICH2026" s="381"/>
      <c r="ICI2026" s="381"/>
      <c r="ICJ2026" s="381"/>
      <c r="ICK2026" s="381"/>
      <c r="ICL2026" s="381"/>
      <c r="ICM2026" s="381"/>
      <c r="ICN2026" s="381"/>
      <c r="ICO2026" s="381"/>
      <c r="ICP2026" s="381"/>
      <c r="ICQ2026" s="381"/>
      <c r="ICR2026" s="381"/>
      <c r="ICS2026" s="381"/>
      <c r="ICT2026" s="381"/>
      <c r="ICU2026" s="381"/>
      <c r="ICV2026" s="381"/>
      <c r="ICW2026" s="381"/>
      <c r="ICX2026" s="381"/>
      <c r="ICY2026" s="381"/>
      <c r="ICZ2026" s="381"/>
      <c r="IDA2026" s="381"/>
      <c r="IDB2026" s="381"/>
      <c r="IDC2026" s="381"/>
      <c r="IDD2026" s="381"/>
      <c r="IDE2026" s="381"/>
      <c r="IDF2026" s="381"/>
      <c r="IDG2026" s="381"/>
      <c r="IDH2026" s="381"/>
      <c r="IDI2026" s="381"/>
      <c r="IDJ2026" s="381"/>
      <c r="IDK2026" s="381"/>
      <c r="IDL2026" s="381"/>
      <c r="IDM2026" s="381"/>
      <c r="IDN2026" s="381"/>
      <c r="IDO2026" s="381"/>
      <c r="IDP2026" s="381"/>
      <c r="IDQ2026" s="381"/>
      <c r="IDR2026" s="381"/>
      <c r="IDS2026" s="381"/>
      <c r="IDT2026" s="381"/>
      <c r="IDU2026" s="381"/>
      <c r="IDV2026" s="381"/>
      <c r="IDW2026" s="381"/>
      <c r="IDX2026" s="381"/>
      <c r="IDY2026" s="381"/>
      <c r="IDZ2026" s="381"/>
      <c r="IEA2026" s="381"/>
      <c r="IEB2026" s="381"/>
      <c r="IEC2026" s="381"/>
      <c r="IED2026" s="381"/>
      <c r="IEE2026" s="381"/>
      <c r="IEF2026" s="381"/>
      <c r="IEG2026" s="381"/>
      <c r="IEH2026" s="381"/>
      <c r="IEI2026" s="381"/>
      <c r="IEJ2026" s="381"/>
      <c r="IEK2026" s="381"/>
      <c r="IEL2026" s="381"/>
      <c r="IEM2026" s="381"/>
      <c r="IEN2026" s="381"/>
      <c r="IEO2026" s="381"/>
      <c r="IEP2026" s="381"/>
      <c r="IEQ2026" s="381"/>
      <c r="IER2026" s="381"/>
      <c r="IES2026" s="381"/>
      <c r="IET2026" s="381"/>
      <c r="IEU2026" s="381"/>
      <c r="IEV2026" s="381"/>
      <c r="IEW2026" s="381"/>
      <c r="IEX2026" s="381"/>
      <c r="IEY2026" s="381"/>
      <c r="IEZ2026" s="381"/>
      <c r="IFA2026" s="381"/>
      <c r="IFB2026" s="381"/>
      <c r="IFC2026" s="381"/>
      <c r="IFD2026" s="381"/>
      <c r="IFE2026" s="381"/>
      <c r="IFF2026" s="381"/>
      <c r="IFG2026" s="381"/>
      <c r="IFH2026" s="381"/>
      <c r="IFI2026" s="381"/>
      <c r="IFJ2026" s="381"/>
      <c r="IFK2026" s="381"/>
      <c r="IFL2026" s="381"/>
      <c r="IFM2026" s="381"/>
      <c r="IFN2026" s="381"/>
      <c r="IFO2026" s="381"/>
      <c r="IFP2026" s="381"/>
      <c r="IFQ2026" s="381"/>
      <c r="IFR2026" s="381"/>
      <c r="IFS2026" s="381"/>
      <c r="IFT2026" s="381"/>
      <c r="IFU2026" s="381"/>
      <c r="IFV2026" s="381"/>
      <c r="IFW2026" s="381"/>
      <c r="IFX2026" s="381"/>
      <c r="IFY2026" s="381"/>
      <c r="IFZ2026" s="381"/>
      <c r="IGA2026" s="381"/>
      <c r="IGB2026" s="381"/>
      <c r="IGC2026" s="381"/>
      <c r="IGD2026" s="381"/>
      <c r="IGE2026" s="381"/>
      <c r="IGF2026" s="381"/>
      <c r="IGG2026" s="381"/>
      <c r="IGH2026" s="381"/>
      <c r="IGI2026" s="381"/>
      <c r="IGJ2026" s="381"/>
      <c r="IGK2026" s="381"/>
      <c r="IGL2026" s="381"/>
      <c r="IGM2026" s="381"/>
      <c r="IGN2026" s="381"/>
      <c r="IGO2026" s="381"/>
      <c r="IGP2026" s="381"/>
      <c r="IGQ2026" s="381"/>
      <c r="IGR2026" s="381"/>
      <c r="IGS2026" s="381"/>
      <c r="IGT2026" s="381"/>
      <c r="IGU2026" s="381"/>
      <c r="IGV2026" s="381"/>
      <c r="IGW2026" s="381"/>
      <c r="IGX2026" s="381"/>
      <c r="IGY2026" s="381"/>
      <c r="IGZ2026" s="381"/>
      <c r="IHA2026" s="381"/>
      <c r="IHB2026" s="381"/>
      <c r="IHC2026" s="381"/>
      <c r="IHD2026" s="381"/>
      <c r="IHE2026" s="381"/>
      <c r="IHF2026" s="381"/>
      <c r="IHG2026" s="381"/>
      <c r="IHH2026" s="381"/>
      <c r="IHI2026" s="381"/>
      <c r="IHJ2026" s="381"/>
      <c r="IHK2026" s="381"/>
      <c r="IHL2026" s="381"/>
      <c r="IHM2026" s="381"/>
      <c r="IHN2026" s="381"/>
      <c r="IHO2026" s="381"/>
      <c r="IHP2026" s="381"/>
      <c r="IHQ2026" s="381"/>
      <c r="IHR2026" s="381"/>
      <c r="IHS2026" s="381"/>
      <c r="IHT2026" s="381"/>
      <c r="IHU2026" s="381"/>
      <c r="IHV2026" s="381"/>
      <c r="IHW2026" s="381"/>
      <c r="IHX2026" s="381"/>
      <c r="IHY2026" s="381"/>
      <c r="IHZ2026" s="381"/>
      <c r="IIA2026" s="381"/>
      <c r="IIB2026" s="381"/>
      <c r="IIC2026" s="381"/>
      <c r="IID2026" s="381"/>
      <c r="IIE2026" s="381"/>
      <c r="IIF2026" s="381"/>
      <c r="IIG2026" s="381"/>
      <c r="IIH2026" s="381"/>
      <c r="III2026" s="381"/>
      <c r="IIJ2026" s="381"/>
      <c r="IIK2026" s="381"/>
      <c r="IIL2026" s="381"/>
      <c r="IIM2026" s="381"/>
      <c r="IIN2026" s="381"/>
      <c r="IIO2026" s="381"/>
      <c r="IIP2026" s="381"/>
      <c r="IIQ2026" s="381"/>
      <c r="IIR2026" s="381"/>
      <c r="IIS2026" s="381"/>
      <c r="IIT2026" s="381"/>
      <c r="IIU2026" s="381"/>
      <c r="IIV2026" s="381"/>
      <c r="IIW2026" s="381"/>
      <c r="IIX2026" s="381"/>
      <c r="IIY2026" s="381"/>
      <c r="IIZ2026" s="381"/>
      <c r="IJA2026" s="381"/>
      <c r="IJB2026" s="381"/>
      <c r="IJC2026" s="381"/>
      <c r="IJD2026" s="381"/>
      <c r="IJE2026" s="381"/>
      <c r="IJF2026" s="381"/>
      <c r="IJG2026" s="381"/>
      <c r="IJH2026" s="381"/>
      <c r="IJI2026" s="381"/>
      <c r="IJJ2026" s="381"/>
      <c r="IJK2026" s="381"/>
      <c r="IJL2026" s="381"/>
      <c r="IJM2026" s="381"/>
      <c r="IJN2026" s="381"/>
      <c r="IJO2026" s="381"/>
      <c r="IJP2026" s="381"/>
      <c r="IJQ2026" s="381"/>
      <c r="IJR2026" s="381"/>
      <c r="IJS2026" s="381"/>
      <c r="IJT2026" s="381"/>
      <c r="IJU2026" s="381"/>
      <c r="IJV2026" s="381"/>
      <c r="IJW2026" s="381"/>
      <c r="IJX2026" s="381"/>
      <c r="IJY2026" s="381"/>
      <c r="IJZ2026" s="381"/>
      <c r="IKA2026" s="381"/>
      <c r="IKB2026" s="381"/>
      <c r="IKC2026" s="381"/>
      <c r="IKD2026" s="381"/>
      <c r="IKE2026" s="381"/>
      <c r="IKF2026" s="381"/>
      <c r="IKG2026" s="381"/>
      <c r="IKH2026" s="381"/>
      <c r="IKI2026" s="381"/>
      <c r="IKJ2026" s="381"/>
      <c r="IKK2026" s="381"/>
      <c r="IKL2026" s="381"/>
      <c r="IKM2026" s="381"/>
      <c r="IKN2026" s="381"/>
      <c r="IKO2026" s="381"/>
      <c r="IKP2026" s="381"/>
      <c r="IKQ2026" s="381"/>
      <c r="IKR2026" s="381"/>
      <c r="IKS2026" s="381"/>
      <c r="IKT2026" s="381"/>
      <c r="IKU2026" s="381"/>
      <c r="IKV2026" s="381"/>
      <c r="IKW2026" s="381"/>
      <c r="IKX2026" s="381"/>
      <c r="IKY2026" s="381"/>
      <c r="IKZ2026" s="381"/>
      <c r="ILA2026" s="381"/>
      <c r="ILB2026" s="381"/>
      <c r="ILC2026" s="381"/>
      <c r="ILD2026" s="381"/>
      <c r="ILE2026" s="381"/>
      <c r="ILF2026" s="381"/>
      <c r="ILG2026" s="381"/>
      <c r="ILH2026" s="381"/>
      <c r="ILI2026" s="381"/>
      <c r="ILJ2026" s="381"/>
      <c r="ILK2026" s="381"/>
      <c r="ILL2026" s="381"/>
      <c r="ILM2026" s="381"/>
      <c r="ILN2026" s="381"/>
      <c r="ILO2026" s="381"/>
      <c r="ILP2026" s="381"/>
      <c r="ILQ2026" s="381"/>
      <c r="ILR2026" s="381"/>
      <c r="ILS2026" s="381"/>
      <c r="ILT2026" s="381"/>
      <c r="ILU2026" s="381"/>
      <c r="ILV2026" s="381"/>
      <c r="ILW2026" s="381"/>
      <c r="ILX2026" s="381"/>
      <c r="ILY2026" s="381"/>
      <c r="ILZ2026" s="381"/>
      <c r="IMA2026" s="381"/>
      <c r="IMB2026" s="381"/>
      <c r="IMC2026" s="381"/>
      <c r="IMD2026" s="381"/>
      <c r="IME2026" s="381"/>
      <c r="IMF2026" s="381"/>
      <c r="IMG2026" s="381"/>
      <c r="IMH2026" s="381"/>
      <c r="IMI2026" s="381"/>
      <c r="IMJ2026" s="381"/>
      <c r="IMK2026" s="381"/>
      <c r="IML2026" s="381"/>
      <c r="IMM2026" s="381"/>
      <c r="IMN2026" s="381"/>
      <c r="IMO2026" s="381"/>
      <c r="IMP2026" s="381"/>
      <c r="IMQ2026" s="381"/>
      <c r="IMR2026" s="381"/>
      <c r="IMS2026" s="381"/>
      <c r="IMT2026" s="381"/>
      <c r="IMU2026" s="381"/>
      <c r="IMV2026" s="381"/>
      <c r="IMW2026" s="381"/>
      <c r="IMX2026" s="381"/>
      <c r="IMY2026" s="381"/>
      <c r="IMZ2026" s="381"/>
      <c r="INA2026" s="381"/>
      <c r="INB2026" s="381"/>
      <c r="INC2026" s="381"/>
      <c r="IND2026" s="381"/>
      <c r="INE2026" s="381"/>
      <c r="INF2026" s="381"/>
      <c r="ING2026" s="381"/>
      <c r="INH2026" s="381"/>
      <c r="INI2026" s="381"/>
      <c r="INJ2026" s="381"/>
      <c r="INK2026" s="381"/>
      <c r="INL2026" s="381"/>
      <c r="INM2026" s="381"/>
      <c r="INN2026" s="381"/>
      <c r="INO2026" s="381"/>
      <c r="INP2026" s="381"/>
      <c r="INQ2026" s="381"/>
      <c r="INR2026" s="381"/>
      <c r="INS2026" s="381"/>
      <c r="INT2026" s="381"/>
      <c r="INU2026" s="381"/>
      <c r="INV2026" s="381"/>
      <c r="INW2026" s="381"/>
      <c r="INX2026" s="381"/>
      <c r="INY2026" s="381"/>
      <c r="INZ2026" s="381"/>
      <c r="IOA2026" s="381"/>
      <c r="IOB2026" s="381"/>
      <c r="IOC2026" s="381"/>
      <c r="IOD2026" s="381"/>
      <c r="IOE2026" s="381"/>
      <c r="IOF2026" s="381"/>
      <c r="IOG2026" s="381"/>
      <c r="IOH2026" s="381"/>
      <c r="IOI2026" s="381"/>
      <c r="IOJ2026" s="381"/>
      <c r="IOK2026" s="381"/>
      <c r="IOL2026" s="381"/>
      <c r="IOM2026" s="381"/>
      <c r="ION2026" s="381"/>
      <c r="IOO2026" s="381"/>
      <c r="IOP2026" s="381"/>
      <c r="IOQ2026" s="381"/>
      <c r="IOR2026" s="381"/>
      <c r="IOS2026" s="381"/>
      <c r="IOT2026" s="381"/>
      <c r="IOU2026" s="381"/>
      <c r="IOV2026" s="381"/>
      <c r="IOW2026" s="381"/>
      <c r="IOX2026" s="381"/>
      <c r="IOY2026" s="381"/>
      <c r="IOZ2026" s="381"/>
      <c r="IPA2026" s="381"/>
      <c r="IPB2026" s="381"/>
      <c r="IPC2026" s="381"/>
      <c r="IPD2026" s="381"/>
      <c r="IPE2026" s="381"/>
      <c r="IPF2026" s="381"/>
      <c r="IPG2026" s="381"/>
      <c r="IPH2026" s="381"/>
      <c r="IPI2026" s="381"/>
      <c r="IPJ2026" s="381"/>
      <c r="IPK2026" s="381"/>
      <c r="IPL2026" s="381"/>
      <c r="IPM2026" s="381"/>
      <c r="IPN2026" s="381"/>
      <c r="IPO2026" s="381"/>
      <c r="IPP2026" s="381"/>
      <c r="IPQ2026" s="381"/>
      <c r="IPR2026" s="381"/>
      <c r="IPS2026" s="381"/>
      <c r="IPT2026" s="381"/>
      <c r="IPU2026" s="381"/>
      <c r="IPV2026" s="381"/>
      <c r="IPW2026" s="381"/>
      <c r="IPX2026" s="381"/>
      <c r="IPY2026" s="381"/>
      <c r="IPZ2026" s="381"/>
      <c r="IQA2026" s="381"/>
      <c r="IQB2026" s="381"/>
      <c r="IQC2026" s="381"/>
      <c r="IQD2026" s="381"/>
      <c r="IQE2026" s="381"/>
      <c r="IQF2026" s="381"/>
      <c r="IQG2026" s="381"/>
      <c r="IQH2026" s="381"/>
      <c r="IQI2026" s="381"/>
      <c r="IQJ2026" s="381"/>
      <c r="IQK2026" s="381"/>
      <c r="IQL2026" s="381"/>
      <c r="IQM2026" s="381"/>
      <c r="IQN2026" s="381"/>
      <c r="IQO2026" s="381"/>
      <c r="IQP2026" s="381"/>
      <c r="IQQ2026" s="381"/>
      <c r="IQR2026" s="381"/>
      <c r="IQS2026" s="381"/>
      <c r="IQT2026" s="381"/>
      <c r="IQU2026" s="381"/>
      <c r="IQV2026" s="381"/>
      <c r="IQW2026" s="381"/>
      <c r="IQX2026" s="381"/>
      <c r="IQY2026" s="381"/>
      <c r="IQZ2026" s="381"/>
      <c r="IRA2026" s="381"/>
      <c r="IRB2026" s="381"/>
      <c r="IRC2026" s="381"/>
      <c r="IRD2026" s="381"/>
      <c r="IRE2026" s="381"/>
      <c r="IRF2026" s="381"/>
      <c r="IRG2026" s="381"/>
      <c r="IRH2026" s="381"/>
      <c r="IRI2026" s="381"/>
      <c r="IRJ2026" s="381"/>
      <c r="IRK2026" s="381"/>
      <c r="IRL2026" s="381"/>
      <c r="IRM2026" s="381"/>
      <c r="IRN2026" s="381"/>
      <c r="IRO2026" s="381"/>
      <c r="IRP2026" s="381"/>
      <c r="IRQ2026" s="381"/>
      <c r="IRR2026" s="381"/>
      <c r="IRS2026" s="381"/>
      <c r="IRT2026" s="381"/>
      <c r="IRU2026" s="381"/>
      <c r="IRV2026" s="381"/>
      <c r="IRW2026" s="381"/>
      <c r="IRX2026" s="381"/>
      <c r="IRY2026" s="381"/>
      <c r="IRZ2026" s="381"/>
      <c r="ISA2026" s="381"/>
      <c r="ISB2026" s="381"/>
      <c r="ISC2026" s="381"/>
      <c r="ISD2026" s="381"/>
      <c r="ISE2026" s="381"/>
      <c r="ISF2026" s="381"/>
      <c r="ISG2026" s="381"/>
      <c r="ISH2026" s="381"/>
      <c r="ISI2026" s="381"/>
      <c r="ISJ2026" s="381"/>
      <c r="ISK2026" s="381"/>
      <c r="ISL2026" s="381"/>
      <c r="ISM2026" s="381"/>
      <c r="ISN2026" s="381"/>
      <c r="ISO2026" s="381"/>
      <c r="ISP2026" s="381"/>
      <c r="ISQ2026" s="381"/>
      <c r="ISR2026" s="381"/>
      <c r="ISS2026" s="381"/>
      <c r="IST2026" s="381"/>
      <c r="ISU2026" s="381"/>
      <c r="ISV2026" s="381"/>
      <c r="ISW2026" s="381"/>
      <c r="ISX2026" s="381"/>
      <c r="ISY2026" s="381"/>
      <c r="ISZ2026" s="381"/>
      <c r="ITA2026" s="381"/>
      <c r="ITB2026" s="381"/>
      <c r="ITC2026" s="381"/>
      <c r="ITD2026" s="381"/>
      <c r="ITE2026" s="381"/>
      <c r="ITF2026" s="381"/>
      <c r="ITG2026" s="381"/>
      <c r="ITH2026" s="381"/>
      <c r="ITI2026" s="381"/>
      <c r="ITJ2026" s="381"/>
      <c r="ITK2026" s="381"/>
      <c r="ITL2026" s="381"/>
      <c r="ITM2026" s="381"/>
      <c r="ITN2026" s="381"/>
      <c r="ITO2026" s="381"/>
      <c r="ITP2026" s="381"/>
      <c r="ITQ2026" s="381"/>
      <c r="ITR2026" s="381"/>
      <c r="ITS2026" s="381"/>
      <c r="ITT2026" s="381"/>
      <c r="ITU2026" s="381"/>
      <c r="ITV2026" s="381"/>
      <c r="ITW2026" s="381"/>
      <c r="ITX2026" s="381"/>
      <c r="ITY2026" s="381"/>
      <c r="ITZ2026" s="381"/>
      <c r="IUA2026" s="381"/>
      <c r="IUB2026" s="381"/>
      <c r="IUC2026" s="381"/>
      <c r="IUD2026" s="381"/>
      <c r="IUE2026" s="381"/>
      <c r="IUF2026" s="381"/>
      <c r="IUG2026" s="381"/>
      <c r="IUH2026" s="381"/>
      <c r="IUI2026" s="381"/>
      <c r="IUJ2026" s="381"/>
      <c r="IUK2026" s="381"/>
      <c r="IUL2026" s="381"/>
      <c r="IUM2026" s="381"/>
      <c r="IUN2026" s="381"/>
      <c r="IUO2026" s="381"/>
      <c r="IUP2026" s="381"/>
      <c r="IUQ2026" s="381"/>
      <c r="IUR2026" s="381"/>
      <c r="IUS2026" s="381"/>
      <c r="IUT2026" s="381"/>
      <c r="IUU2026" s="381"/>
      <c r="IUV2026" s="381"/>
      <c r="IUW2026" s="381"/>
      <c r="IUX2026" s="381"/>
      <c r="IUY2026" s="381"/>
      <c r="IUZ2026" s="381"/>
      <c r="IVA2026" s="381"/>
      <c r="IVB2026" s="381"/>
      <c r="IVC2026" s="381"/>
      <c r="IVD2026" s="381"/>
      <c r="IVE2026" s="381"/>
      <c r="IVF2026" s="381"/>
      <c r="IVG2026" s="381"/>
      <c r="IVH2026" s="381"/>
      <c r="IVI2026" s="381"/>
      <c r="IVJ2026" s="381"/>
      <c r="IVK2026" s="381"/>
      <c r="IVL2026" s="381"/>
      <c r="IVM2026" s="381"/>
      <c r="IVN2026" s="381"/>
      <c r="IVO2026" s="381"/>
      <c r="IVP2026" s="381"/>
      <c r="IVQ2026" s="381"/>
      <c r="IVR2026" s="381"/>
      <c r="IVS2026" s="381"/>
      <c r="IVT2026" s="381"/>
      <c r="IVU2026" s="381"/>
      <c r="IVV2026" s="381"/>
      <c r="IVW2026" s="381"/>
      <c r="IVX2026" s="381"/>
      <c r="IVY2026" s="381"/>
      <c r="IVZ2026" s="381"/>
      <c r="IWA2026" s="381"/>
      <c r="IWB2026" s="381"/>
      <c r="IWC2026" s="381"/>
      <c r="IWD2026" s="381"/>
      <c r="IWE2026" s="381"/>
      <c r="IWF2026" s="381"/>
      <c r="IWG2026" s="381"/>
      <c r="IWH2026" s="381"/>
      <c r="IWI2026" s="381"/>
      <c r="IWJ2026" s="381"/>
      <c r="IWK2026" s="381"/>
      <c r="IWL2026" s="381"/>
      <c r="IWM2026" s="381"/>
      <c r="IWN2026" s="381"/>
      <c r="IWO2026" s="381"/>
      <c r="IWP2026" s="381"/>
      <c r="IWQ2026" s="381"/>
      <c r="IWR2026" s="381"/>
      <c r="IWS2026" s="381"/>
      <c r="IWT2026" s="381"/>
      <c r="IWU2026" s="381"/>
      <c r="IWV2026" s="381"/>
      <c r="IWW2026" s="381"/>
      <c r="IWX2026" s="381"/>
      <c r="IWY2026" s="381"/>
      <c r="IWZ2026" s="381"/>
      <c r="IXA2026" s="381"/>
      <c r="IXB2026" s="381"/>
      <c r="IXC2026" s="381"/>
      <c r="IXD2026" s="381"/>
      <c r="IXE2026" s="381"/>
      <c r="IXF2026" s="381"/>
      <c r="IXG2026" s="381"/>
      <c r="IXH2026" s="381"/>
      <c r="IXI2026" s="381"/>
      <c r="IXJ2026" s="381"/>
      <c r="IXK2026" s="381"/>
      <c r="IXL2026" s="381"/>
      <c r="IXM2026" s="381"/>
      <c r="IXN2026" s="381"/>
      <c r="IXO2026" s="381"/>
      <c r="IXP2026" s="381"/>
      <c r="IXQ2026" s="381"/>
      <c r="IXR2026" s="381"/>
      <c r="IXS2026" s="381"/>
      <c r="IXT2026" s="381"/>
      <c r="IXU2026" s="381"/>
      <c r="IXV2026" s="381"/>
      <c r="IXW2026" s="381"/>
      <c r="IXX2026" s="381"/>
      <c r="IXY2026" s="381"/>
      <c r="IXZ2026" s="381"/>
      <c r="IYA2026" s="381"/>
      <c r="IYB2026" s="381"/>
      <c r="IYC2026" s="381"/>
      <c r="IYD2026" s="381"/>
      <c r="IYE2026" s="381"/>
      <c r="IYF2026" s="381"/>
      <c r="IYG2026" s="381"/>
      <c r="IYH2026" s="381"/>
      <c r="IYI2026" s="381"/>
      <c r="IYJ2026" s="381"/>
      <c r="IYK2026" s="381"/>
      <c r="IYL2026" s="381"/>
      <c r="IYM2026" s="381"/>
      <c r="IYN2026" s="381"/>
      <c r="IYO2026" s="381"/>
      <c r="IYP2026" s="381"/>
      <c r="IYQ2026" s="381"/>
      <c r="IYR2026" s="381"/>
      <c r="IYS2026" s="381"/>
      <c r="IYT2026" s="381"/>
      <c r="IYU2026" s="381"/>
      <c r="IYV2026" s="381"/>
      <c r="IYW2026" s="381"/>
      <c r="IYX2026" s="381"/>
      <c r="IYY2026" s="381"/>
      <c r="IYZ2026" s="381"/>
      <c r="IZA2026" s="381"/>
      <c r="IZB2026" s="381"/>
      <c r="IZC2026" s="381"/>
      <c r="IZD2026" s="381"/>
      <c r="IZE2026" s="381"/>
      <c r="IZF2026" s="381"/>
      <c r="IZG2026" s="381"/>
      <c r="IZH2026" s="381"/>
      <c r="IZI2026" s="381"/>
      <c r="IZJ2026" s="381"/>
      <c r="IZK2026" s="381"/>
      <c r="IZL2026" s="381"/>
      <c r="IZM2026" s="381"/>
      <c r="IZN2026" s="381"/>
      <c r="IZO2026" s="381"/>
      <c r="IZP2026" s="381"/>
      <c r="IZQ2026" s="381"/>
      <c r="IZR2026" s="381"/>
      <c r="IZS2026" s="381"/>
      <c r="IZT2026" s="381"/>
      <c r="IZU2026" s="381"/>
      <c r="IZV2026" s="381"/>
      <c r="IZW2026" s="381"/>
      <c r="IZX2026" s="381"/>
      <c r="IZY2026" s="381"/>
      <c r="IZZ2026" s="381"/>
      <c r="JAA2026" s="381"/>
      <c r="JAB2026" s="381"/>
      <c r="JAC2026" s="381"/>
      <c r="JAD2026" s="381"/>
      <c r="JAE2026" s="381"/>
      <c r="JAF2026" s="381"/>
      <c r="JAG2026" s="381"/>
      <c r="JAH2026" s="381"/>
      <c r="JAI2026" s="381"/>
      <c r="JAJ2026" s="381"/>
      <c r="JAK2026" s="381"/>
      <c r="JAL2026" s="381"/>
      <c r="JAM2026" s="381"/>
      <c r="JAN2026" s="381"/>
      <c r="JAO2026" s="381"/>
      <c r="JAP2026" s="381"/>
      <c r="JAQ2026" s="381"/>
      <c r="JAR2026" s="381"/>
      <c r="JAS2026" s="381"/>
      <c r="JAT2026" s="381"/>
      <c r="JAU2026" s="381"/>
      <c r="JAV2026" s="381"/>
      <c r="JAW2026" s="381"/>
      <c r="JAX2026" s="381"/>
      <c r="JAY2026" s="381"/>
      <c r="JAZ2026" s="381"/>
      <c r="JBA2026" s="381"/>
      <c r="JBB2026" s="381"/>
      <c r="JBC2026" s="381"/>
      <c r="JBD2026" s="381"/>
      <c r="JBE2026" s="381"/>
      <c r="JBF2026" s="381"/>
      <c r="JBG2026" s="381"/>
      <c r="JBH2026" s="381"/>
      <c r="JBI2026" s="381"/>
      <c r="JBJ2026" s="381"/>
      <c r="JBK2026" s="381"/>
      <c r="JBL2026" s="381"/>
      <c r="JBM2026" s="381"/>
      <c r="JBN2026" s="381"/>
      <c r="JBO2026" s="381"/>
      <c r="JBP2026" s="381"/>
      <c r="JBQ2026" s="381"/>
      <c r="JBR2026" s="381"/>
      <c r="JBS2026" s="381"/>
      <c r="JBT2026" s="381"/>
      <c r="JBU2026" s="381"/>
      <c r="JBV2026" s="381"/>
      <c r="JBW2026" s="381"/>
      <c r="JBX2026" s="381"/>
      <c r="JBY2026" s="381"/>
      <c r="JBZ2026" s="381"/>
      <c r="JCA2026" s="381"/>
      <c r="JCB2026" s="381"/>
      <c r="JCC2026" s="381"/>
      <c r="JCD2026" s="381"/>
      <c r="JCE2026" s="381"/>
      <c r="JCF2026" s="381"/>
      <c r="JCG2026" s="381"/>
      <c r="JCH2026" s="381"/>
      <c r="JCI2026" s="381"/>
      <c r="JCJ2026" s="381"/>
      <c r="JCK2026" s="381"/>
      <c r="JCL2026" s="381"/>
      <c r="JCM2026" s="381"/>
      <c r="JCN2026" s="381"/>
      <c r="JCO2026" s="381"/>
      <c r="JCP2026" s="381"/>
      <c r="JCQ2026" s="381"/>
      <c r="JCR2026" s="381"/>
      <c r="JCS2026" s="381"/>
      <c r="JCT2026" s="381"/>
      <c r="JCU2026" s="381"/>
      <c r="JCV2026" s="381"/>
      <c r="JCW2026" s="381"/>
      <c r="JCX2026" s="381"/>
      <c r="JCY2026" s="381"/>
      <c r="JCZ2026" s="381"/>
      <c r="JDA2026" s="381"/>
      <c r="JDB2026" s="381"/>
      <c r="JDC2026" s="381"/>
      <c r="JDD2026" s="381"/>
      <c r="JDE2026" s="381"/>
      <c r="JDF2026" s="381"/>
      <c r="JDG2026" s="381"/>
      <c r="JDH2026" s="381"/>
      <c r="JDI2026" s="381"/>
      <c r="JDJ2026" s="381"/>
      <c r="JDK2026" s="381"/>
      <c r="JDL2026" s="381"/>
      <c r="JDM2026" s="381"/>
      <c r="JDN2026" s="381"/>
      <c r="JDO2026" s="381"/>
      <c r="JDP2026" s="381"/>
      <c r="JDQ2026" s="381"/>
      <c r="JDR2026" s="381"/>
      <c r="JDS2026" s="381"/>
      <c r="JDT2026" s="381"/>
      <c r="JDU2026" s="381"/>
      <c r="JDV2026" s="381"/>
      <c r="JDW2026" s="381"/>
      <c r="JDX2026" s="381"/>
      <c r="JDY2026" s="381"/>
      <c r="JDZ2026" s="381"/>
      <c r="JEA2026" s="381"/>
      <c r="JEB2026" s="381"/>
      <c r="JEC2026" s="381"/>
      <c r="JED2026" s="381"/>
      <c r="JEE2026" s="381"/>
      <c r="JEF2026" s="381"/>
      <c r="JEG2026" s="381"/>
      <c r="JEH2026" s="381"/>
      <c r="JEI2026" s="381"/>
      <c r="JEJ2026" s="381"/>
      <c r="JEK2026" s="381"/>
      <c r="JEL2026" s="381"/>
      <c r="JEM2026" s="381"/>
      <c r="JEN2026" s="381"/>
      <c r="JEO2026" s="381"/>
      <c r="JEP2026" s="381"/>
      <c r="JEQ2026" s="381"/>
      <c r="JER2026" s="381"/>
      <c r="JES2026" s="381"/>
      <c r="JET2026" s="381"/>
      <c r="JEU2026" s="381"/>
      <c r="JEV2026" s="381"/>
      <c r="JEW2026" s="381"/>
      <c r="JEX2026" s="381"/>
      <c r="JEY2026" s="381"/>
      <c r="JEZ2026" s="381"/>
      <c r="JFA2026" s="381"/>
      <c r="JFB2026" s="381"/>
      <c r="JFC2026" s="381"/>
      <c r="JFD2026" s="381"/>
      <c r="JFE2026" s="381"/>
      <c r="JFF2026" s="381"/>
      <c r="JFG2026" s="381"/>
      <c r="JFH2026" s="381"/>
      <c r="JFI2026" s="381"/>
      <c r="JFJ2026" s="381"/>
      <c r="JFK2026" s="381"/>
      <c r="JFL2026" s="381"/>
      <c r="JFM2026" s="381"/>
      <c r="JFN2026" s="381"/>
      <c r="JFO2026" s="381"/>
      <c r="JFP2026" s="381"/>
      <c r="JFQ2026" s="381"/>
      <c r="JFR2026" s="381"/>
      <c r="JFS2026" s="381"/>
      <c r="JFT2026" s="381"/>
      <c r="JFU2026" s="381"/>
      <c r="JFV2026" s="381"/>
      <c r="JFW2026" s="381"/>
      <c r="JFX2026" s="381"/>
      <c r="JFY2026" s="381"/>
      <c r="JFZ2026" s="381"/>
      <c r="JGA2026" s="381"/>
      <c r="JGB2026" s="381"/>
      <c r="JGC2026" s="381"/>
      <c r="JGD2026" s="381"/>
      <c r="JGE2026" s="381"/>
      <c r="JGF2026" s="381"/>
      <c r="JGG2026" s="381"/>
      <c r="JGH2026" s="381"/>
      <c r="JGI2026" s="381"/>
      <c r="JGJ2026" s="381"/>
      <c r="JGK2026" s="381"/>
      <c r="JGL2026" s="381"/>
      <c r="JGM2026" s="381"/>
      <c r="JGN2026" s="381"/>
      <c r="JGO2026" s="381"/>
      <c r="JGP2026" s="381"/>
      <c r="JGQ2026" s="381"/>
      <c r="JGR2026" s="381"/>
      <c r="JGS2026" s="381"/>
      <c r="JGT2026" s="381"/>
      <c r="JGU2026" s="381"/>
      <c r="JGV2026" s="381"/>
      <c r="JGW2026" s="381"/>
      <c r="JGX2026" s="381"/>
      <c r="JGY2026" s="381"/>
      <c r="JGZ2026" s="381"/>
      <c r="JHA2026" s="381"/>
      <c r="JHB2026" s="381"/>
      <c r="JHC2026" s="381"/>
      <c r="JHD2026" s="381"/>
      <c r="JHE2026" s="381"/>
      <c r="JHF2026" s="381"/>
      <c r="JHG2026" s="381"/>
      <c r="JHH2026" s="381"/>
      <c r="JHI2026" s="381"/>
      <c r="JHJ2026" s="381"/>
      <c r="JHK2026" s="381"/>
      <c r="JHL2026" s="381"/>
      <c r="JHM2026" s="381"/>
      <c r="JHN2026" s="381"/>
      <c r="JHO2026" s="381"/>
      <c r="JHP2026" s="381"/>
      <c r="JHQ2026" s="381"/>
      <c r="JHR2026" s="381"/>
      <c r="JHS2026" s="381"/>
      <c r="JHT2026" s="381"/>
      <c r="JHU2026" s="381"/>
      <c r="JHV2026" s="381"/>
      <c r="JHW2026" s="381"/>
      <c r="JHX2026" s="381"/>
      <c r="JHY2026" s="381"/>
      <c r="JHZ2026" s="381"/>
      <c r="JIA2026" s="381"/>
      <c r="JIB2026" s="381"/>
      <c r="JIC2026" s="381"/>
      <c r="JID2026" s="381"/>
      <c r="JIE2026" s="381"/>
      <c r="JIF2026" s="381"/>
      <c r="JIG2026" s="381"/>
      <c r="JIH2026" s="381"/>
      <c r="JII2026" s="381"/>
      <c r="JIJ2026" s="381"/>
      <c r="JIK2026" s="381"/>
      <c r="JIL2026" s="381"/>
      <c r="JIM2026" s="381"/>
      <c r="JIN2026" s="381"/>
      <c r="JIO2026" s="381"/>
      <c r="JIP2026" s="381"/>
      <c r="JIQ2026" s="381"/>
      <c r="JIR2026" s="381"/>
      <c r="JIS2026" s="381"/>
      <c r="JIT2026" s="381"/>
      <c r="JIU2026" s="381"/>
      <c r="JIV2026" s="381"/>
      <c r="JIW2026" s="381"/>
      <c r="JIX2026" s="381"/>
      <c r="JIY2026" s="381"/>
      <c r="JIZ2026" s="381"/>
      <c r="JJA2026" s="381"/>
      <c r="JJB2026" s="381"/>
      <c r="JJC2026" s="381"/>
      <c r="JJD2026" s="381"/>
      <c r="JJE2026" s="381"/>
      <c r="JJF2026" s="381"/>
      <c r="JJG2026" s="381"/>
      <c r="JJH2026" s="381"/>
      <c r="JJI2026" s="381"/>
      <c r="JJJ2026" s="381"/>
      <c r="JJK2026" s="381"/>
      <c r="JJL2026" s="381"/>
      <c r="JJM2026" s="381"/>
      <c r="JJN2026" s="381"/>
      <c r="JJO2026" s="381"/>
      <c r="JJP2026" s="381"/>
      <c r="JJQ2026" s="381"/>
      <c r="JJR2026" s="381"/>
      <c r="JJS2026" s="381"/>
      <c r="JJT2026" s="381"/>
      <c r="JJU2026" s="381"/>
      <c r="JJV2026" s="381"/>
      <c r="JJW2026" s="381"/>
      <c r="JJX2026" s="381"/>
      <c r="JJY2026" s="381"/>
      <c r="JJZ2026" s="381"/>
      <c r="JKA2026" s="381"/>
      <c r="JKB2026" s="381"/>
      <c r="JKC2026" s="381"/>
      <c r="JKD2026" s="381"/>
      <c r="JKE2026" s="381"/>
      <c r="JKF2026" s="381"/>
      <c r="JKG2026" s="381"/>
      <c r="JKH2026" s="381"/>
      <c r="JKI2026" s="381"/>
      <c r="JKJ2026" s="381"/>
      <c r="JKK2026" s="381"/>
      <c r="JKL2026" s="381"/>
      <c r="JKM2026" s="381"/>
      <c r="JKN2026" s="381"/>
      <c r="JKO2026" s="381"/>
      <c r="JKP2026" s="381"/>
      <c r="JKQ2026" s="381"/>
      <c r="JKR2026" s="381"/>
      <c r="JKS2026" s="381"/>
      <c r="JKT2026" s="381"/>
      <c r="JKU2026" s="381"/>
      <c r="JKV2026" s="381"/>
      <c r="JKW2026" s="381"/>
      <c r="JKX2026" s="381"/>
      <c r="JKY2026" s="381"/>
      <c r="JKZ2026" s="381"/>
      <c r="JLA2026" s="381"/>
      <c r="JLB2026" s="381"/>
      <c r="JLC2026" s="381"/>
      <c r="JLD2026" s="381"/>
      <c r="JLE2026" s="381"/>
      <c r="JLF2026" s="381"/>
      <c r="JLG2026" s="381"/>
      <c r="JLH2026" s="381"/>
      <c r="JLI2026" s="381"/>
      <c r="JLJ2026" s="381"/>
      <c r="JLK2026" s="381"/>
      <c r="JLL2026" s="381"/>
      <c r="JLM2026" s="381"/>
      <c r="JLN2026" s="381"/>
      <c r="JLO2026" s="381"/>
      <c r="JLP2026" s="381"/>
      <c r="JLQ2026" s="381"/>
      <c r="JLR2026" s="381"/>
      <c r="JLS2026" s="381"/>
      <c r="JLT2026" s="381"/>
      <c r="JLU2026" s="381"/>
      <c r="JLV2026" s="381"/>
      <c r="JLW2026" s="381"/>
      <c r="JLX2026" s="381"/>
      <c r="JLY2026" s="381"/>
      <c r="JLZ2026" s="381"/>
      <c r="JMA2026" s="381"/>
      <c r="JMB2026" s="381"/>
      <c r="JMC2026" s="381"/>
      <c r="JMD2026" s="381"/>
      <c r="JME2026" s="381"/>
      <c r="JMF2026" s="381"/>
      <c r="JMG2026" s="381"/>
      <c r="JMH2026" s="381"/>
      <c r="JMI2026" s="381"/>
      <c r="JMJ2026" s="381"/>
      <c r="JMK2026" s="381"/>
      <c r="JML2026" s="381"/>
      <c r="JMM2026" s="381"/>
      <c r="JMN2026" s="381"/>
      <c r="JMO2026" s="381"/>
      <c r="JMP2026" s="381"/>
      <c r="JMQ2026" s="381"/>
      <c r="JMR2026" s="381"/>
      <c r="JMS2026" s="381"/>
      <c r="JMT2026" s="381"/>
      <c r="JMU2026" s="381"/>
      <c r="JMV2026" s="381"/>
      <c r="JMW2026" s="381"/>
      <c r="JMX2026" s="381"/>
      <c r="JMY2026" s="381"/>
      <c r="JMZ2026" s="381"/>
      <c r="JNA2026" s="381"/>
      <c r="JNB2026" s="381"/>
      <c r="JNC2026" s="381"/>
      <c r="JND2026" s="381"/>
      <c r="JNE2026" s="381"/>
      <c r="JNF2026" s="381"/>
      <c r="JNG2026" s="381"/>
      <c r="JNH2026" s="381"/>
      <c r="JNI2026" s="381"/>
      <c r="JNJ2026" s="381"/>
      <c r="JNK2026" s="381"/>
      <c r="JNL2026" s="381"/>
      <c r="JNM2026" s="381"/>
      <c r="JNN2026" s="381"/>
      <c r="JNO2026" s="381"/>
      <c r="JNP2026" s="381"/>
      <c r="JNQ2026" s="381"/>
      <c r="JNR2026" s="381"/>
      <c r="JNS2026" s="381"/>
      <c r="JNT2026" s="381"/>
      <c r="JNU2026" s="381"/>
      <c r="JNV2026" s="381"/>
      <c r="JNW2026" s="381"/>
      <c r="JNX2026" s="381"/>
      <c r="JNY2026" s="381"/>
      <c r="JNZ2026" s="381"/>
      <c r="JOA2026" s="381"/>
      <c r="JOB2026" s="381"/>
      <c r="JOC2026" s="381"/>
      <c r="JOD2026" s="381"/>
      <c r="JOE2026" s="381"/>
      <c r="JOF2026" s="381"/>
      <c r="JOG2026" s="381"/>
      <c r="JOH2026" s="381"/>
      <c r="JOI2026" s="381"/>
      <c r="JOJ2026" s="381"/>
      <c r="JOK2026" s="381"/>
      <c r="JOL2026" s="381"/>
      <c r="JOM2026" s="381"/>
      <c r="JON2026" s="381"/>
      <c r="JOO2026" s="381"/>
      <c r="JOP2026" s="381"/>
      <c r="JOQ2026" s="381"/>
      <c r="JOR2026" s="381"/>
      <c r="JOS2026" s="381"/>
      <c r="JOT2026" s="381"/>
      <c r="JOU2026" s="381"/>
      <c r="JOV2026" s="381"/>
      <c r="JOW2026" s="381"/>
      <c r="JOX2026" s="381"/>
      <c r="JOY2026" s="381"/>
      <c r="JOZ2026" s="381"/>
      <c r="JPA2026" s="381"/>
      <c r="JPB2026" s="381"/>
      <c r="JPC2026" s="381"/>
      <c r="JPD2026" s="381"/>
      <c r="JPE2026" s="381"/>
      <c r="JPF2026" s="381"/>
      <c r="JPG2026" s="381"/>
      <c r="JPH2026" s="381"/>
      <c r="JPI2026" s="381"/>
      <c r="JPJ2026" s="381"/>
      <c r="JPK2026" s="381"/>
      <c r="JPL2026" s="381"/>
      <c r="JPM2026" s="381"/>
      <c r="JPN2026" s="381"/>
      <c r="JPO2026" s="381"/>
      <c r="JPP2026" s="381"/>
      <c r="JPQ2026" s="381"/>
      <c r="JPR2026" s="381"/>
      <c r="JPS2026" s="381"/>
      <c r="JPT2026" s="381"/>
      <c r="JPU2026" s="381"/>
      <c r="JPV2026" s="381"/>
      <c r="JPW2026" s="381"/>
      <c r="JPX2026" s="381"/>
      <c r="JPY2026" s="381"/>
      <c r="JPZ2026" s="381"/>
      <c r="JQA2026" s="381"/>
      <c r="JQB2026" s="381"/>
      <c r="JQC2026" s="381"/>
      <c r="JQD2026" s="381"/>
      <c r="JQE2026" s="381"/>
      <c r="JQF2026" s="381"/>
      <c r="JQG2026" s="381"/>
      <c r="JQH2026" s="381"/>
      <c r="JQI2026" s="381"/>
      <c r="JQJ2026" s="381"/>
      <c r="JQK2026" s="381"/>
      <c r="JQL2026" s="381"/>
      <c r="JQM2026" s="381"/>
      <c r="JQN2026" s="381"/>
      <c r="JQO2026" s="381"/>
      <c r="JQP2026" s="381"/>
      <c r="JQQ2026" s="381"/>
      <c r="JQR2026" s="381"/>
      <c r="JQS2026" s="381"/>
      <c r="JQT2026" s="381"/>
      <c r="JQU2026" s="381"/>
      <c r="JQV2026" s="381"/>
      <c r="JQW2026" s="381"/>
      <c r="JQX2026" s="381"/>
      <c r="JQY2026" s="381"/>
      <c r="JQZ2026" s="381"/>
      <c r="JRA2026" s="381"/>
      <c r="JRB2026" s="381"/>
      <c r="JRC2026" s="381"/>
      <c r="JRD2026" s="381"/>
      <c r="JRE2026" s="381"/>
      <c r="JRF2026" s="381"/>
      <c r="JRG2026" s="381"/>
      <c r="JRH2026" s="381"/>
      <c r="JRI2026" s="381"/>
      <c r="JRJ2026" s="381"/>
      <c r="JRK2026" s="381"/>
      <c r="JRL2026" s="381"/>
      <c r="JRM2026" s="381"/>
      <c r="JRN2026" s="381"/>
      <c r="JRO2026" s="381"/>
      <c r="JRP2026" s="381"/>
      <c r="JRQ2026" s="381"/>
      <c r="JRR2026" s="381"/>
      <c r="JRS2026" s="381"/>
      <c r="JRT2026" s="381"/>
      <c r="JRU2026" s="381"/>
      <c r="JRV2026" s="381"/>
      <c r="JRW2026" s="381"/>
      <c r="JRX2026" s="381"/>
      <c r="JRY2026" s="381"/>
      <c r="JRZ2026" s="381"/>
      <c r="JSA2026" s="381"/>
      <c r="JSB2026" s="381"/>
      <c r="JSC2026" s="381"/>
      <c r="JSD2026" s="381"/>
      <c r="JSE2026" s="381"/>
      <c r="JSF2026" s="381"/>
      <c r="JSG2026" s="381"/>
      <c r="JSH2026" s="381"/>
      <c r="JSI2026" s="381"/>
      <c r="JSJ2026" s="381"/>
      <c r="JSK2026" s="381"/>
      <c r="JSL2026" s="381"/>
      <c r="JSM2026" s="381"/>
      <c r="JSN2026" s="381"/>
      <c r="JSO2026" s="381"/>
      <c r="JSP2026" s="381"/>
      <c r="JSQ2026" s="381"/>
      <c r="JSR2026" s="381"/>
      <c r="JSS2026" s="381"/>
      <c r="JST2026" s="381"/>
      <c r="JSU2026" s="381"/>
      <c r="JSV2026" s="381"/>
      <c r="JSW2026" s="381"/>
      <c r="JSX2026" s="381"/>
      <c r="JSY2026" s="381"/>
      <c r="JSZ2026" s="381"/>
      <c r="JTA2026" s="381"/>
      <c r="JTB2026" s="381"/>
      <c r="JTC2026" s="381"/>
      <c r="JTD2026" s="381"/>
      <c r="JTE2026" s="381"/>
      <c r="JTF2026" s="381"/>
      <c r="JTG2026" s="381"/>
      <c r="JTH2026" s="381"/>
      <c r="JTI2026" s="381"/>
      <c r="JTJ2026" s="381"/>
      <c r="JTK2026" s="381"/>
      <c r="JTL2026" s="381"/>
      <c r="JTM2026" s="381"/>
      <c r="JTN2026" s="381"/>
      <c r="JTO2026" s="381"/>
      <c r="JTP2026" s="381"/>
      <c r="JTQ2026" s="381"/>
      <c r="JTR2026" s="381"/>
      <c r="JTS2026" s="381"/>
      <c r="JTT2026" s="381"/>
      <c r="JTU2026" s="381"/>
      <c r="JTV2026" s="381"/>
      <c r="JTW2026" s="381"/>
      <c r="JTX2026" s="381"/>
      <c r="JTY2026" s="381"/>
      <c r="JTZ2026" s="381"/>
      <c r="JUA2026" s="381"/>
      <c r="JUB2026" s="381"/>
      <c r="JUC2026" s="381"/>
      <c r="JUD2026" s="381"/>
      <c r="JUE2026" s="381"/>
      <c r="JUF2026" s="381"/>
      <c r="JUG2026" s="381"/>
      <c r="JUH2026" s="381"/>
      <c r="JUI2026" s="381"/>
      <c r="JUJ2026" s="381"/>
      <c r="JUK2026" s="381"/>
      <c r="JUL2026" s="381"/>
      <c r="JUM2026" s="381"/>
      <c r="JUN2026" s="381"/>
      <c r="JUO2026" s="381"/>
      <c r="JUP2026" s="381"/>
      <c r="JUQ2026" s="381"/>
      <c r="JUR2026" s="381"/>
      <c r="JUS2026" s="381"/>
      <c r="JUT2026" s="381"/>
      <c r="JUU2026" s="381"/>
      <c r="JUV2026" s="381"/>
      <c r="JUW2026" s="381"/>
      <c r="JUX2026" s="381"/>
      <c r="JUY2026" s="381"/>
      <c r="JUZ2026" s="381"/>
      <c r="JVA2026" s="381"/>
      <c r="JVB2026" s="381"/>
      <c r="JVC2026" s="381"/>
      <c r="JVD2026" s="381"/>
      <c r="JVE2026" s="381"/>
      <c r="JVF2026" s="381"/>
      <c r="JVG2026" s="381"/>
      <c r="JVH2026" s="381"/>
      <c r="JVI2026" s="381"/>
      <c r="JVJ2026" s="381"/>
      <c r="JVK2026" s="381"/>
      <c r="JVL2026" s="381"/>
      <c r="JVM2026" s="381"/>
      <c r="JVN2026" s="381"/>
      <c r="JVO2026" s="381"/>
      <c r="JVP2026" s="381"/>
      <c r="JVQ2026" s="381"/>
      <c r="JVR2026" s="381"/>
      <c r="JVS2026" s="381"/>
      <c r="JVT2026" s="381"/>
      <c r="JVU2026" s="381"/>
      <c r="JVV2026" s="381"/>
      <c r="JVW2026" s="381"/>
      <c r="JVX2026" s="381"/>
      <c r="JVY2026" s="381"/>
      <c r="JVZ2026" s="381"/>
      <c r="JWA2026" s="381"/>
      <c r="JWB2026" s="381"/>
      <c r="JWC2026" s="381"/>
      <c r="JWD2026" s="381"/>
      <c r="JWE2026" s="381"/>
      <c r="JWF2026" s="381"/>
      <c r="JWG2026" s="381"/>
      <c r="JWH2026" s="381"/>
      <c r="JWI2026" s="381"/>
      <c r="JWJ2026" s="381"/>
      <c r="JWK2026" s="381"/>
      <c r="JWL2026" s="381"/>
      <c r="JWM2026" s="381"/>
      <c r="JWN2026" s="381"/>
      <c r="JWO2026" s="381"/>
      <c r="JWP2026" s="381"/>
      <c r="JWQ2026" s="381"/>
      <c r="JWR2026" s="381"/>
      <c r="JWS2026" s="381"/>
      <c r="JWT2026" s="381"/>
      <c r="JWU2026" s="381"/>
      <c r="JWV2026" s="381"/>
      <c r="JWW2026" s="381"/>
      <c r="JWX2026" s="381"/>
      <c r="JWY2026" s="381"/>
      <c r="JWZ2026" s="381"/>
      <c r="JXA2026" s="381"/>
      <c r="JXB2026" s="381"/>
      <c r="JXC2026" s="381"/>
      <c r="JXD2026" s="381"/>
      <c r="JXE2026" s="381"/>
      <c r="JXF2026" s="381"/>
      <c r="JXG2026" s="381"/>
      <c r="JXH2026" s="381"/>
      <c r="JXI2026" s="381"/>
      <c r="JXJ2026" s="381"/>
      <c r="JXK2026" s="381"/>
      <c r="JXL2026" s="381"/>
      <c r="JXM2026" s="381"/>
      <c r="JXN2026" s="381"/>
      <c r="JXO2026" s="381"/>
      <c r="JXP2026" s="381"/>
      <c r="JXQ2026" s="381"/>
      <c r="JXR2026" s="381"/>
      <c r="JXS2026" s="381"/>
      <c r="JXT2026" s="381"/>
      <c r="JXU2026" s="381"/>
      <c r="JXV2026" s="381"/>
      <c r="JXW2026" s="381"/>
      <c r="JXX2026" s="381"/>
      <c r="JXY2026" s="381"/>
      <c r="JXZ2026" s="381"/>
      <c r="JYA2026" s="381"/>
      <c r="JYB2026" s="381"/>
      <c r="JYC2026" s="381"/>
      <c r="JYD2026" s="381"/>
      <c r="JYE2026" s="381"/>
      <c r="JYF2026" s="381"/>
      <c r="JYG2026" s="381"/>
      <c r="JYH2026" s="381"/>
      <c r="JYI2026" s="381"/>
      <c r="JYJ2026" s="381"/>
      <c r="JYK2026" s="381"/>
      <c r="JYL2026" s="381"/>
      <c r="JYM2026" s="381"/>
      <c r="JYN2026" s="381"/>
      <c r="JYO2026" s="381"/>
      <c r="JYP2026" s="381"/>
      <c r="JYQ2026" s="381"/>
      <c r="JYR2026" s="381"/>
      <c r="JYS2026" s="381"/>
      <c r="JYT2026" s="381"/>
      <c r="JYU2026" s="381"/>
      <c r="JYV2026" s="381"/>
      <c r="JYW2026" s="381"/>
      <c r="JYX2026" s="381"/>
      <c r="JYY2026" s="381"/>
      <c r="JYZ2026" s="381"/>
      <c r="JZA2026" s="381"/>
      <c r="JZB2026" s="381"/>
      <c r="JZC2026" s="381"/>
      <c r="JZD2026" s="381"/>
      <c r="JZE2026" s="381"/>
      <c r="JZF2026" s="381"/>
      <c r="JZG2026" s="381"/>
      <c r="JZH2026" s="381"/>
      <c r="JZI2026" s="381"/>
      <c r="JZJ2026" s="381"/>
      <c r="JZK2026" s="381"/>
      <c r="JZL2026" s="381"/>
      <c r="JZM2026" s="381"/>
      <c r="JZN2026" s="381"/>
      <c r="JZO2026" s="381"/>
      <c r="JZP2026" s="381"/>
      <c r="JZQ2026" s="381"/>
      <c r="JZR2026" s="381"/>
      <c r="JZS2026" s="381"/>
      <c r="JZT2026" s="381"/>
      <c r="JZU2026" s="381"/>
      <c r="JZV2026" s="381"/>
      <c r="JZW2026" s="381"/>
      <c r="JZX2026" s="381"/>
      <c r="JZY2026" s="381"/>
      <c r="JZZ2026" s="381"/>
      <c r="KAA2026" s="381"/>
      <c r="KAB2026" s="381"/>
      <c r="KAC2026" s="381"/>
      <c r="KAD2026" s="381"/>
      <c r="KAE2026" s="381"/>
      <c r="KAF2026" s="381"/>
      <c r="KAG2026" s="381"/>
      <c r="KAH2026" s="381"/>
      <c r="KAI2026" s="381"/>
      <c r="KAJ2026" s="381"/>
      <c r="KAK2026" s="381"/>
      <c r="KAL2026" s="381"/>
      <c r="KAM2026" s="381"/>
      <c r="KAN2026" s="381"/>
      <c r="KAO2026" s="381"/>
      <c r="KAP2026" s="381"/>
      <c r="KAQ2026" s="381"/>
      <c r="KAR2026" s="381"/>
      <c r="KAS2026" s="381"/>
      <c r="KAT2026" s="381"/>
      <c r="KAU2026" s="381"/>
      <c r="KAV2026" s="381"/>
      <c r="KAW2026" s="381"/>
      <c r="KAX2026" s="381"/>
      <c r="KAY2026" s="381"/>
      <c r="KAZ2026" s="381"/>
      <c r="KBA2026" s="381"/>
      <c r="KBB2026" s="381"/>
      <c r="KBC2026" s="381"/>
      <c r="KBD2026" s="381"/>
      <c r="KBE2026" s="381"/>
      <c r="KBF2026" s="381"/>
      <c r="KBG2026" s="381"/>
      <c r="KBH2026" s="381"/>
      <c r="KBI2026" s="381"/>
      <c r="KBJ2026" s="381"/>
      <c r="KBK2026" s="381"/>
      <c r="KBL2026" s="381"/>
      <c r="KBM2026" s="381"/>
      <c r="KBN2026" s="381"/>
      <c r="KBO2026" s="381"/>
      <c r="KBP2026" s="381"/>
      <c r="KBQ2026" s="381"/>
      <c r="KBR2026" s="381"/>
      <c r="KBS2026" s="381"/>
      <c r="KBT2026" s="381"/>
      <c r="KBU2026" s="381"/>
      <c r="KBV2026" s="381"/>
      <c r="KBW2026" s="381"/>
      <c r="KBX2026" s="381"/>
      <c r="KBY2026" s="381"/>
      <c r="KBZ2026" s="381"/>
      <c r="KCA2026" s="381"/>
      <c r="KCB2026" s="381"/>
      <c r="KCC2026" s="381"/>
      <c r="KCD2026" s="381"/>
      <c r="KCE2026" s="381"/>
      <c r="KCF2026" s="381"/>
      <c r="KCG2026" s="381"/>
      <c r="KCH2026" s="381"/>
      <c r="KCI2026" s="381"/>
      <c r="KCJ2026" s="381"/>
      <c r="KCK2026" s="381"/>
      <c r="KCL2026" s="381"/>
      <c r="KCM2026" s="381"/>
      <c r="KCN2026" s="381"/>
      <c r="KCO2026" s="381"/>
      <c r="KCP2026" s="381"/>
      <c r="KCQ2026" s="381"/>
      <c r="KCR2026" s="381"/>
      <c r="KCS2026" s="381"/>
      <c r="KCT2026" s="381"/>
      <c r="KCU2026" s="381"/>
      <c r="KCV2026" s="381"/>
      <c r="KCW2026" s="381"/>
      <c r="KCX2026" s="381"/>
      <c r="KCY2026" s="381"/>
      <c r="KCZ2026" s="381"/>
      <c r="KDA2026" s="381"/>
      <c r="KDB2026" s="381"/>
      <c r="KDC2026" s="381"/>
      <c r="KDD2026" s="381"/>
      <c r="KDE2026" s="381"/>
      <c r="KDF2026" s="381"/>
      <c r="KDG2026" s="381"/>
      <c r="KDH2026" s="381"/>
      <c r="KDI2026" s="381"/>
      <c r="KDJ2026" s="381"/>
      <c r="KDK2026" s="381"/>
      <c r="KDL2026" s="381"/>
      <c r="KDM2026" s="381"/>
      <c r="KDN2026" s="381"/>
      <c r="KDO2026" s="381"/>
      <c r="KDP2026" s="381"/>
      <c r="KDQ2026" s="381"/>
      <c r="KDR2026" s="381"/>
      <c r="KDS2026" s="381"/>
      <c r="KDT2026" s="381"/>
      <c r="KDU2026" s="381"/>
      <c r="KDV2026" s="381"/>
      <c r="KDW2026" s="381"/>
      <c r="KDX2026" s="381"/>
      <c r="KDY2026" s="381"/>
      <c r="KDZ2026" s="381"/>
      <c r="KEA2026" s="381"/>
      <c r="KEB2026" s="381"/>
      <c r="KEC2026" s="381"/>
      <c r="KED2026" s="381"/>
      <c r="KEE2026" s="381"/>
      <c r="KEF2026" s="381"/>
      <c r="KEG2026" s="381"/>
      <c r="KEH2026" s="381"/>
      <c r="KEI2026" s="381"/>
      <c r="KEJ2026" s="381"/>
      <c r="KEK2026" s="381"/>
      <c r="KEL2026" s="381"/>
      <c r="KEM2026" s="381"/>
      <c r="KEN2026" s="381"/>
      <c r="KEO2026" s="381"/>
      <c r="KEP2026" s="381"/>
      <c r="KEQ2026" s="381"/>
      <c r="KER2026" s="381"/>
      <c r="KES2026" s="381"/>
      <c r="KET2026" s="381"/>
      <c r="KEU2026" s="381"/>
      <c r="KEV2026" s="381"/>
      <c r="KEW2026" s="381"/>
      <c r="KEX2026" s="381"/>
      <c r="KEY2026" s="381"/>
      <c r="KEZ2026" s="381"/>
      <c r="KFA2026" s="381"/>
      <c r="KFB2026" s="381"/>
      <c r="KFC2026" s="381"/>
      <c r="KFD2026" s="381"/>
      <c r="KFE2026" s="381"/>
      <c r="KFF2026" s="381"/>
      <c r="KFG2026" s="381"/>
      <c r="KFH2026" s="381"/>
      <c r="KFI2026" s="381"/>
      <c r="KFJ2026" s="381"/>
      <c r="KFK2026" s="381"/>
      <c r="KFL2026" s="381"/>
      <c r="KFM2026" s="381"/>
      <c r="KFN2026" s="381"/>
      <c r="KFO2026" s="381"/>
      <c r="KFP2026" s="381"/>
      <c r="KFQ2026" s="381"/>
      <c r="KFR2026" s="381"/>
      <c r="KFS2026" s="381"/>
      <c r="KFT2026" s="381"/>
      <c r="KFU2026" s="381"/>
      <c r="KFV2026" s="381"/>
      <c r="KFW2026" s="381"/>
      <c r="KFX2026" s="381"/>
      <c r="KFY2026" s="381"/>
      <c r="KFZ2026" s="381"/>
      <c r="KGA2026" s="381"/>
      <c r="KGB2026" s="381"/>
      <c r="KGC2026" s="381"/>
      <c r="KGD2026" s="381"/>
      <c r="KGE2026" s="381"/>
      <c r="KGF2026" s="381"/>
      <c r="KGG2026" s="381"/>
      <c r="KGH2026" s="381"/>
      <c r="KGI2026" s="381"/>
      <c r="KGJ2026" s="381"/>
      <c r="KGK2026" s="381"/>
      <c r="KGL2026" s="381"/>
      <c r="KGM2026" s="381"/>
      <c r="KGN2026" s="381"/>
      <c r="KGO2026" s="381"/>
      <c r="KGP2026" s="381"/>
      <c r="KGQ2026" s="381"/>
      <c r="KGR2026" s="381"/>
      <c r="KGS2026" s="381"/>
      <c r="KGT2026" s="381"/>
      <c r="KGU2026" s="381"/>
      <c r="KGV2026" s="381"/>
      <c r="KGW2026" s="381"/>
      <c r="KGX2026" s="381"/>
      <c r="KGY2026" s="381"/>
      <c r="KGZ2026" s="381"/>
      <c r="KHA2026" s="381"/>
      <c r="KHB2026" s="381"/>
      <c r="KHC2026" s="381"/>
      <c r="KHD2026" s="381"/>
      <c r="KHE2026" s="381"/>
      <c r="KHF2026" s="381"/>
      <c r="KHG2026" s="381"/>
      <c r="KHH2026" s="381"/>
      <c r="KHI2026" s="381"/>
      <c r="KHJ2026" s="381"/>
      <c r="KHK2026" s="381"/>
      <c r="KHL2026" s="381"/>
      <c r="KHM2026" s="381"/>
      <c r="KHN2026" s="381"/>
      <c r="KHO2026" s="381"/>
      <c r="KHP2026" s="381"/>
      <c r="KHQ2026" s="381"/>
      <c r="KHR2026" s="381"/>
      <c r="KHS2026" s="381"/>
      <c r="KHT2026" s="381"/>
      <c r="KHU2026" s="381"/>
      <c r="KHV2026" s="381"/>
      <c r="KHW2026" s="381"/>
      <c r="KHX2026" s="381"/>
      <c r="KHY2026" s="381"/>
      <c r="KHZ2026" s="381"/>
      <c r="KIA2026" s="381"/>
      <c r="KIB2026" s="381"/>
      <c r="KIC2026" s="381"/>
      <c r="KID2026" s="381"/>
      <c r="KIE2026" s="381"/>
      <c r="KIF2026" s="381"/>
      <c r="KIG2026" s="381"/>
      <c r="KIH2026" s="381"/>
      <c r="KII2026" s="381"/>
      <c r="KIJ2026" s="381"/>
      <c r="KIK2026" s="381"/>
      <c r="KIL2026" s="381"/>
      <c r="KIM2026" s="381"/>
      <c r="KIN2026" s="381"/>
      <c r="KIO2026" s="381"/>
      <c r="KIP2026" s="381"/>
      <c r="KIQ2026" s="381"/>
      <c r="KIR2026" s="381"/>
      <c r="KIS2026" s="381"/>
      <c r="KIT2026" s="381"/>
      <c r="KIU2026" s="381"/>
      <c r="KIV2026" s="381"/>
      <c r="KIW2026" s="381"/>
      <c r="KIX2026" s="381"/>
      <c r="KIY2026" s="381"/>
      <c r="KIZ2026" s="381"/>
      <c r="KJA2026" s="381"/>
      <c r="KJB2026" s="381"/>
      <c r="KJC2026" s="381"/>
      <c r="KJD2026" s="381"/>
      <c r="KJE2026" s="381"/>
      <c r="KJF2026" s="381"/>
      <c r="KJG2026" s="381"/>
      <c r="KJH2026" s="381"/>
      <c r="KJI2026" s="381"/>
      <c r="KJJ2026" s="381"/>
      <c r="KJK2026" s="381"/>
      <c r="KJL2026" s="381"/>
      <c r="KJM2026" s="381"/>
      <c r="KJN2026" s="381"/>
      <c r="KJO2026" s="381"/>
      <c r="KJP2026" s="381"/>
      <c r="KJQ2026" s="381"/>
      <c r="KJR2026" s="381"/>
      <c r="KJS2026" s="381"/>
      <c r="KJT2026" s="381"/>
      <c r="KJU2026" s="381"/>
      <c r="KJV2026" s="381"/>
      <c r="KJW2026" s="381"/>
      <c r="KJX2026" s="381"/>
      <c r="KJY2026" s="381"/>
      <c r="KJZ2026" s="381"/>
      <c r="KKA2026" s="381"/>
      <c r="KKB2026" s="381"/>
      <c r="KKC2026" s="381"/>
      <c r="KKD2026" s="381"/>
      <c r="KKE2026" s="381"/>
      <c r="KKF2026" s="381"/>
      <c r="KKG2026" s="381"/>
      <c r="KKH2026" s="381"/>
      <c r="KKI2026" s="381"/>
      <c r="KKJ2026" s="381"/>
      <c r="KKK2026" s="381"/>
      <c r="KKL2026" s="381"/>
      <c r="KKM2026" s="381"/>
      <c r="KKN2026" s="381"/>
      <c r="KKO2026" s="381"/>
      <c r="KKP2026" s="381"/>
      <c r="KKQ2026" s="381"/>
      <c r="KKR2026" s="381"/>
      <c r="KKS2026" s="381"/>
      <c r="KKT2026" s="381"/>
      <c r="KKU2026" s="381"/>
      <c r="KKV2026" s="381"/>
      <c r="KKW2026" s="381"/>
      <c r="KKX2026" s="381"/>
      <c r="KKY2026" s="381"/>
      <c r="KKZ2026" s="381"/>
      <c r="KLA2026" s="381"/>
      <c r="KLB2026" s="381"/>
      <c r="KLC2026" s="381"/>
      <c r="KLD2026" s="381"/>
      <c r="KLE2026" s="381"/>
      <c r="KLF2026" s="381"/>
      <c r="KLG2026" s="381"/>
      <c r="KLH2026" s="381"/>
      <c r="KLI2026" s="381"/>
      <c r="KLJ2026" s="381"/>
      <c r="KLK2026" s="381"/>
      <c r="KLL2026" s="381"/>
      <c r="KLM2026" s="381"/>
      <c r="KLN2026" s="381"/>
      <c r="KLO2026" s="381"/>
      <c r="KLP2026" s="381"/>
      <c r="KLQ2026" s="381"/>
      <c r="KLR2026" s="381"/>
      <c r="KLS2026" s="381"/>
      <c r="KLT2026" s="381"/>
      <c r="KLU2026" s="381"/>
      <c r="KLV2026" s="381"/>
      <c r="KLW2026" s="381"/>
      <c r="KLX2026" s="381"/>
      <c r="KLY2026" s="381"/>
      <c r="KLZ2026" s="381"/>
      <c r="KMA2026" s="381"/>
      <c r="KMB2026" s="381"/>
      <c r="KMC2026" s="381"/>
      <c r="KMD2026" s="381"/>
      <c r="KME2026" s="381"/>
      <c r="KMF2026" s="381"/>
      <c r="KMG2026" s="381"/>
      <c r="KMH2026" s="381"/>
      <c r="KMI2026" s="381"/>
      <c r="KMJ2026" s="381"/>
      <c r="KMK2026" s="381"/>
      <c r="KML2026" s="381"/>
      <c r="KMM2026" s="381"/>
      <c r="KMN2026" s="381"/>
      <c r="KMO2026" s="381"/>
      <c r="KMP2026" s="381"/>
      <c r="KMQ2026" s="381"/>
      <c r="KMR2026" s="381"/>
      <c r="KMS2026" s="381"/>
      <c r="KMT2026" s="381"/>
      <c r="KMU2026" s="381"/>
      <c r="KMV2026" s="381"/>
      <c r="KMW2026" s="381"/>
      <c r="KMX2026" s="381"/>
      <c r="KMY2026" s="381"/>
      <c r="KMZ2026" s="381"/>
      <c r="KNA2026" s="381"/>
      <c r="KNB2026" s="381"/>
      <c r="KNC2026" s="381"/>
      <c r="KND2026" s="381"/>
      <c r="KNE2026" s="381"/>
      <c r="KNF2026" s="381"/>
      <c r="KNG2026" s="381"/>
      <c r="KNH2026" s="381"/>
      <c r="KNI2026" s="381"/>
      <c r="KNJ2026" s="381"/>
      <c r="KNK2026" s="381"/>
      <c r="KNL2026" s="381"/>
      <c r="KNM2026" s="381"/>
      <c r="KNN2026" s="381"/>
      <c r="KNO2026" s="381"/>
      <c r="KNP2026" s="381"/>
      <c r="KNQ2026" s="381"/>
      <c r="KNR2026" s="381"/>
      <c r="KNS2026" s="381"/>
      <c r="KNT2026" s="381"/>
      <c r="KNU2026" s="381"/>
      <c r="KNV2026" s="381"/>
      <c r="KNW2026" s="381"/>
      <c r="KNX2026" s="381"/>
      <c r="KNY2026" s="381"/>
      <c r="KNZ2026" s="381"/>
      <c r="KOA2026" s="381"/>
      <c r="KOB2026" s="381"/>
      <c r="KOC2026" s="381"/>
      <c r="KOD2026" s="381"/>
      <c r="KOE2026" s="381"/>
      <c r="KOF2026" s="381"/>
      <c r="KOG2026" s="381"/>
      <c r="KOH2026" s="381"/>
      <c r="KOI2026" s="381"/>
      <c r="KOJ2026" s="381"/>
      <c r="KOK2026" s="381"/>
      <c r="KOL2026" s="381"/>
      <c r="KOM2026" s="381"/>
      <c r="KON2026" s="381"/>
      <c r="KOO2026" s="381"/>
      <c r="KOP2026" s="381"/>
      <c r="KOQ2026" s="381"/>
      <c r="KOR2026" s="381"/>
      <c r="KOS2026" s="381"/>
      <c r="KOT2026" s="381"/>
      <c r="KOU2026" s="381"/>
      <c r="KOV2026" s="381"/>
      <c r="KOW2026" s="381"/>
      <c r="KOX2026" s="381"/>
      <c r="KOY2026" s="381"/>
      <c r="KOZ2026" s="381"/>
      <c r="KPA2026" s="381"/>
      <c r="KPB2026" s="381"/>
      <c r="KPC2026" s="381"/>
      <c r="KPD2026" s="381"/>
      <c r="KPE2026" s="381"/>
      <c r="KPF2026" s="381"/>
      <c r="KPG2026" s="381"/>
      <c r="KPH2026" s="381"/>
      <c r="KPI2026" s="381"/>
      <c r="KPJ2026" s="381"/>
      <c r="KPK2026" s="381"/>
      <c r="KPL2026" s="381"/>
      <c r="KPM2026" s="381"/>
      <c r="KPN2026" s="381"/>
      <c r="KPO2026" s="381"/>
      <c r="KPP2026" s="381"/>
      <c r="KPQ2026" s="381"/>
      <c r="KPR2026" s="381"/>
      <c r="KPS2026" s="381"/>
      <c r="KPT2026" s="381"/>
      <c r="KPU2026" s="381"/>
      <c r="KPV2026" s="381"/>
      <c r="KPW2026" s="381"/>
      <c r="KPX2026" s="381"/>
      <c r="KPY2026" s="381"/>
      <c r="KPZ2026" s="381"/>
      <c r="KQA2026" s="381"/>
      <c r="KQB2026" s="381"/>
      <c r="KQC2026" s="381"/>
      <c r="KQD2026" s="381"/>
      <c r="KQE2026" s="381"/>
      <c r="KQF2026" s="381"/>
      <c r="KQG2026" s="381"/>
      <c r="KQH2026" s="381"/>
      <c r="KQI2026" s="381"/>
      <c r="KQJ2026" s="381"/>
      <c r="KQK2026" s="381"/>
      <c r="KQL2026" s="381"/>
      <c r="KQM2026" s="381"/>
      <c r="KQN2026" s="381"/>
      <c r="KQO2026" s="381"/>
      <c r="KQP2026" s="381"/>
      <c r="KQQ2026" s="381"/>
      <c r="KQR2026" s="381"/>
      <c r="KQS2026" s="381"/>
      <c r="KQT2026" s="381"/>
      <c r="KQU2026" s="381"/>
      <c r="KQV2026" s="381"/>
      <c r="KQW2026" s="381"/>
      <c r="KQX2026" s="381"/>
      <c r="KQY2026" s="381"/>
      <c r="KQZ2026" s="381"/>
      <c r="KRA2026" s="381"/>
      <c r="KRB2026" s="381"/>
      <c r="KRC2026" s="381"/>
      <c r="KRD2026" s="381"/>
      <c r="KRE2026" s="381"/>
      <c r="KRF2026" s="381"/>
      <c r="KRG2026" s="381"/>
      <c r="KRH2026" s="381"/>
      <c r="KRI2026" s="381"/>
      <c r="KRJ2026" s="381"/>
      <c r="KRK2026" s="381"/>
      <c r="KRL2026" s="381"/>
      <c r="KRM2026" s="381"/>
      <c r="KRN2026" s="381"/>
      <c r="KRO2026" s="381"/>
      <c r="KRP2026" s="381"/>
      <c r="KRQ2026" s="381"/>
      <c r="KRR2026" s="381"/>
      <c r="KRS2026" s="381"/>
      <c r="KRT2026" s="381"/>
      <c r="KRU2026" s="381"/>
      <c r="KRV2026" s="381"/>
      <c r="KRW2026" s="381"/>
      <c r="KRX2026" s="381"/>
      <c r="KRY2026" s="381"/>
      <c r="KRZ2026" s="381"/>
      <c r="KSA2026" s="381"/>
      <c r="KSB2026" s="381"/>
      <c r="KSC2026" s="381"/>
      <c r="KSD2026" s="381"/>
      <c r="KSE2026" s="381"/>
      <c r="KSF2026" s="381"/>
      <c r="KSG2026" s="381"/>
      <c r="KSH2026" s="381"/>
      <c r="KSI2026" s="381"/>
      <c r="KSJ2026" s="381"/>
      <c r="KSK2026" s="381"/>
      <c r="KSL2026" s="381"/>
      <c r="KSM2026" s="381"/>
      <c r="KSN2026" s="381"/>
      <c r="KSO2026" s="381"/>
      <c r="KSP2026" s="381"/>
      <c r="KSQ2026" s="381"/>
      <c r="KSR2026" s="381"/>
      <c r="KSS2026" s="381"/>
      <c r="KST2026" s="381"/>
      <c r="KSU2026" s="381"/>
      <c r="KSV2026" s="381"/>
      <c r="KSW2026" s="381"/>
      <c r="KSX2026" s="381"/>
      <c r="KSY2026" s="381"/>
      <c r="KSZ2026" s="381"/>
      <c r="KTA2026" s="381"/>
      <c r="KTB2026" s="381"/>
      <c r="KTC2026" s="381"/>
      <c r="KTD2026" s="381"/>
      <c r="KTE2026" s="381"/>
      <c r="KTF2026" s="381"/>
      <c r="KTG2026" s="381"/>
      <c r="KTH2026" s="381"/>
      <c r="KTI2026" s="381"/>
      <c r="KTJ2026" s="381"/>
      <c r="KTK2026" s="381"/>
      <c r="KTL2026" s="381"/>
      <c r="KTM2026" s="381"/>
      <c r="KTN2026" s="381"/>
      <c r="KTO2026" s="381"/>
      <c r="KTP2026" s="381"/>
      <c r="KTQ2026" s="381"/>
      <c r="KTR2026" s="381"/>
      <c r="KTS2026" s="381"/>
      <c r="KTT2026" s="381"/>
      <c r="KTU2026" s="381"/>
      <c r="KTV2026" s="381"/>
      <c r="KTW2026" s="381"/>
      <c r="KTX2026" s="381"/>
      <c r="KTY2026" s="381"/>
      <c r="KTZ2026" s="381"/>
      <c r="KUA2026" s="381"/>
      <c r="KUB2026" s="381"/>
      <c r="KUC2026" s="381"/>
      <c r="KUD2026" s="381"/>
      <c r="KUE2026" s="381"/>
      <c r="KUF2026" s="381"/>
      <c r="KUG2026" s="381"/>
      <c r="KUH2026" s="381"/>
      <c r="KUI2026" s="381"/>
      <c r="KUJ2026" s="381"/>
      <c r="KUK2026" s="381"/>
      <c r="KUL2026" s="381"/>
      <c r="KUM2026" s="381"/>
      <c r="KUN2026" s="381"/>
      <c r="KUO2026" s="381"/>
      <c r="KUP2026" s="381"/>
      <c r="KUQ2026" s="381"/>
      <c r="KUR2026" s="381"/>
      <c r="KUS2026" s="381"/>
      <c r="KUT2026" s="381"/>
      <c r="KUU2026" s="381"/>
      <c r="KUV2026" s="381"/>
      <c r="KUW2026" s="381"/>
      <c r="KUX2026" s="381"/>
      <c r="KUY2026" s="381"/>
      <c r="KUZ2026" s="381"/>
      <c r="KVA2026" s="381"/>
      <c r="KVB2026" s="381"/>
      <c r="KVC2026" s="381"/>
      <c r="KVD2026" s="381"/>
      <c r="KVE2026" s="381"/>
      <c r="KVF2026" s="381"/>
      <c r="KVG2026" s="381"/>
      <c r="KVH2026" s="381"/>
      <c r="KVI2026" s="381"/>
      <c r="KVJ2026" s="381"/>
      <c r="KVK2026" s="381"/>
      <c r="KVL2026" s="381"/>
      <c r="KVM2026" s="381"/>
      <c r="KVN2026" s="381"/>
      <c r="KVO2026" s="381"/>
      <c r="KVP2026" s="381"/>
      <c r="KVQ2026" s="381"/>
      <c r="KVR2026" s="381"/>
      <c r="KVS2026" s="381"/>
      <c r="KVT2026" s="381"/>
      <c r="KVU2026" s="381"/>
      <c r="KVV2026" s="381"/>
      <c r="KVW2026" s="381"/>
      <c r="KVX2026" s="381"/>
      <c r="KVY2026" s="381"/>
      <c r="KVZ2026" s="381"/>
      <c r="KWA2026" s="381"/>
      <c r="KWB2026" s="381"/>
      <c r="KWC2026" s="381"/>
      <c r="KWD2026" s="381"/>
      <c r="KWE2026" s="381"/>
      <c r="KWF2026" s="381"/>
      <c r="KWG2026" s="381"/>
      <c r="KWH2026" s="381"/>
      <c r="KWI2026" s="381"/>
      <c r="KWJ2026" s="381"/>
      <c r="KWK2026" s="381"/>
      <c r="KWL2026" s="381"/>
      <c r="KWM2026" s="381"/>
      <c r="KWN2026" s="381"/>
      <c r="KWO2026" s="381"/>
      <c r="KWP2026" s="381"/>
      <c r="KWQ2026" s="381"/>
      <c r="KWR2026" s="381"/>
      <c r="KWS2026" s="381"/>
      <c r="KWT2026" s="381"/>
      <c r="KWU2026" s="381"/>
      <c r="KWV2026" s="381"/>
      <c r="KWW2026" s="381"/>
      <c r="KWX2026" s="381"/>
      <c r="KWY2026" s="381"/>
      <c r="KWZ2026" s="381"/>
      <c r="KXA2026" s="381"/>
      <c r="KXB2026" s="381"/>
      <c r="KXC2026" s="381"/>
      <c r="KXD2026" s="381"/>
      <c r="KXE2026" s="381"/>
      <c r="KXF2026" s="381"/>
      <c r="KXG2026" s="381"/>
      <c r="KXH2026" s="381"/>
      <c r="KXI2026" s="381"/>
      <c r="KXJ2026" s="381"/>
      <c r="KXK2026" s="381"/>
      <c r="KXL2026" s="381"/>
      <c r="KXM2026" s="381"/>
      <c r="KXN2026" s="381"/>
      <c r="KXO2026" s="381"/>
      <c r="KXP2026" s="381"/>
      <c r="KXQ2026" s="381"/>
      <c r="KXR2026" s="381"/>
      <c r="KXS2026" s="381"/>
      <c r="KXT2026" s="381"/>
      <c r="KXU2026" s="381"/>
      <c r="KXV2026" s="381"/>
      <c r="KXW2026" s="381"/>
      <c r="KXX2026" s="381"/>
      <c r="KXY2026" s="381"/>
      <c r="KXZ2026" s="381"/>
      <c r="KYA2026" s="381"/>
      <c r="KYB2026" s="381"/>
      <c r="KYC2026" s="381"/>
      <c r="KYD2026" s="381"/>
      <c r="KYE2026" s="381"/>
      <c r="KYF2026" s="381"/>
      <c r="KYG2026" s="381"/>
      <c r="KYH2026" s="381"/>
      <c r="KYI2026" s="381"/>
      <c r="KYJ2026" s="381"/>
      <c r="KYK2026" s="381"/>
      <c r="KYL2026" s="381"/>
      <c r="KYM2026" s="381"/>
      <c r="KYN2026" s="381"/>
      <c r="KYO2026" s="381"/>
      <c r="KYP2026" s="381"/>
      <c r="KYQ2026" s="381"/>
      <c r="KYR2026" s="381"/>
      <c r="KYS2026" s="381"/>
      <c r="KYT2026" s="381"/>
      <c r="KYU2026" s="381"/>
      <c r="KYV2026" s="381"/>
      <c r="KYW2026" s="381"/>
      <c r="KYX2026" s="381"/>
      <c r="KYY2026" s="381"/>
      <c r="KYZ2026" s="381"/>
      <c r="KZA2026" s="381"/>
      <c r="KZB2026" s="381"/>
      <c r="KZC2026" s="381"/>
      <c r="KZD2026" s="381"/>
      <c r="KZE2026" s="381"/>
      <c r="KZF2026" s="381"/>
      <c r="KZG2026" s="381"/>
      <c r="KZH2026" s="381"/>
      <c r="KZI2026" s="381"/>
      <c r="KZJ2026" s="381"/>
      <c r="KZK2026" s="381"/>
      <c r="KZL2026" s="381"/>
      <c r="KZM2026" s="381"/>
      <c r="KZN2026" s="381"/>
      <c r="KZO2026" s="381"/>
      <c r="KZP2026" s="381"/>
      <c r="KZQ2026" s="381"/>
      <c r="KZR2026" s="381"/>
      <c r="KZS2026" s="381"/>
      <c r="KZT2026" s="381"/>
      <c r="KZU2026" s="381"/>
      <c r="KZV2026" s="381"/>
      <c r="KZW2026" s="381"/>
      <c r="KZX2026" s="381"/>
      <c r="KZY2026" s="381"/>
      <c r="KZZ2026" s="381"/>
      <c r="LAA2026" s="381"/>
      <c r="LAB2026" s="381"/>
      <c r="LAC2026" s="381"/>
      <c r="LAD2026" s="381"/>
      <c r="LAE2026" s="381"/>
      <c r="LAF2026" s="381"/>
      <c r="LAG2026" s="381"/>
      <c r="LAH2026" s="381"/>
      <c r="LAI2026" s="381"/>
      <c r="LAJ2026" s="381"/>
      <c r="LAK2026" s="381"/>
      <c r="LAL2026" s="381"/>
      <c r="LAM2026" s="381"/>
      <c r="LAN2026" s="381"/>
      <c r="LAO2026" s="381"/>
      <c r="LAP2026" s="381"/>
      <c r="LAQ2026" s="381"/>
      <c r="LAR2026" s="381"/>
      <c r="LAS2026" s="381"/>
      <c r="LAT2026" s="381"/>
      <c r="LAU2026" s="381"/>
      <c r="LAV2026" s="381"/>
      <c r="LAW2026" s="381"/>
      <c r="LAX2026" s="381"/>
      <c r="LAY2026" s="381"/>
      <c r="LAZ2026" s="381"/>
      <c r="LBA2026" s="381"/>
      <c r="LBB2026" s="381"/>
      <c r="LBC2026" s="381"/>
      <c r="LBD2026" s="381"/>
      <c r="LBE2026" s="381"/>
      <c r="LBF2026" s="381"/>
      <c r="LBG2026" s="381"/>
      <c r="LBH2026" s="381"/>
      <c r="LBI2026" s="381"/>
      <c r="LBJ2026" s="381"/>
      <c r="LBK2026" s="381"/>
      <c r="LBL2026" s="381"/>
      <c r="LBM2026" s="381"/>
      <c r="LBN2026" s="381"/>
      <c r="LBO2026" s="381"/>
      <c r="LBP2026" s="381"/>
      <c r="LBQ2026" s="381"/>
      <c r="LBR2026" s="381"/>
      <c r="LBS2026" s="381"/>
      <c r="LBT2026" s="381"/>
      <c r="LBU2026" s="381"/>
      <c r="LBV2026" s="381"/>
      <c r="LBW2026" s="381"/>
      <c r="LBX2026" s="381"/>
      <c r="LBY2026" s="381"/>
      <c r="LBZ2026" s="381"/>
      <c r="LCA2026" s="381"/>
      <c r="LCB2026" s="381"/>
      <c r="LCC2026" s="381"/>
      <c r="LCD2026" s="381"/>
      <c r="LCE2026" s="381"/>
      <c r="LCF2026" s="381"/>
      <c r="LCG2026" s="381"/>
      <c r="LCH2026" s="381"/>
      <c r="LCI2026" s="381"/>
      <c r="LCJ2026" s="381"/>
      <c r="LCK2026" s="381"/>
      <c r="LCL2026" s="381"/>
      <c r="LCM2026" s="381"/>
      <c r="LCN2026" s="381"/>
      <c r="LCO2026" s="381"/>
      <c r="LCP2026" s="381"/>
      <c r="LCQ2026" s="381"/>
      <c r="LCR2026" s="381"/>
      <c r="LCS2026" s="381"/>
      <c r="LCT2026" s="381"/>
      <c r="LCU2026" s="381"/>
      <c r="LCV2026" s="381"/>
      <c r="LCW2026" s="381"/>
      <c r="LCX2026" s="381"/>
      <c r="LCY2026" s="381"/>
      <c r="LCZ2026" s="381"/>
      <c r="LDA2026" s="381"/>
      <c r="LDB2026" s="381"/>
      <c r="LDC2026" s="381"/>
      <c r="LDD2026" s="381"/>
      <c r="LDE2026" s="381"/>
      <c r="LDF2026" s="381"/>
      <c r="LDG2026" s="381"/>
      <c r="LDH2026" s="381"/>
      <c r="LDI2026" s="381"/>
      <c r="LDJ2026" s="381"/>
      <c r="LDK2026" s="381"/>
      <c r="LDL2026" s="381"/>
      <c r="LDM2026" s="381"/>
      <c r="LDN2026" s="381"/>
      <c r="LDO2026" s="381"/>
      <c r="LDP2026" s="381"/>
      <c r="LDQ2026" s="381"/>
      <c r="LDR2026" s="381"/>
      <c r="LDS2026" s="381"/>
      <c r="LDT2026" s="381"/>
      <c r="LDU2026" s="381"/>
      <c r="LDV2026" s="381"/>
      <c r="LDW2026" s="381"/>
      <c r="LDX2026" s="381"/>
      <c r="LDY2026" s="381"/>
      <c r="LDZ2026" s="381"/>
      <c r="LEA2026" s="381"/>
      <c r="LEB2026" s="381"/>
      <c r="LEC2026" s="381"/>
      <c r="LED2026" s="381"/>
      <c r="LEE2026" s="381"/>
      <c r="LEF2026" s="381"/>
      <c r="LEG2026" s="381"/>
      <c r="LEH2026" s="381"/>
      <c r="LEI2026" s="381"/>
      <c r="LEJ2026" s="381"/>
      <c r="LEK2026" s="381"/>
      <c r="LEL2026" s="381"/>
      <c r="LEM2026" s="381"/>
      <c r="LEN2026" s="381"/>
      <c r="LEO2026" s="381"/>
      <c r="LEP2026" s="381"/>
      <c r="LEQ2026" s="381"/>
      <c r="LER2026" s="381"/>
      <c r="LES2026" s="381"/>
      <c r="LET2026" s="381"/>
      <c r="LEU2026" s="381"/>
      <c r="LEV2026" s="381"/>
      <c r="LEW2026" s="381"/>
      <c r="LEX2026" s="381"/>
      <c r="LEY2026" s="381"/>
      <c r="LEZ2026" s="381"/>
      <c r="LFA2026" s="381"/>
      <c r="LFB2026" s="381"/>
      <c r="LFC2026" s="381"/>
      <c r="LFD2026" s="381"/>
      <c r="LFE2026" s="381"/>
      <c r="LFF2026" s="381"/>
      <c r="LFG2026" s="381"/>
      <c r="LFH2026" s="381"/>
      <c r="LFI2026" s="381"/>
      <c r="LFJ2026" s="381"/>
      <c r="LFK2026" s="381"/>
      <c r="LFL2026" s="381"/>
      <c r="LFM2026" s="381"/>
      <c r="LFN2026" s="381"/>
      <c r="LFO2026" s="381"/>
      <c r="LFP2026" s="381"/>
      <c r="LFQ2026" s="381"/>
      <c r="LFR2026" s="381"/>
      <c r="LFS2026" s="381"/>
      <c r="LFT2026" s="381"/>
      <c r="LFU2026" s="381"/>
      <c r="LFV2026" s="381"/>
      <c r="LFW2026" s="381"/>
      <c r="LFX2026" s="381"/>
      <c r="LFY2026" s="381"/>
      <c r="LFZ2026" s="381"/>
      <c r="LGA2026" s="381"/>
      <c r="LGB2026" s="381"/>
      <c r="LGC2026" s="381"/>
      <c r="LGD2026" s="381"/>
      <c r="LGE2026" s="381"/>
      <c r="LGF2026" s="381"/>
      <c r="LGG2026" s="381"/>
      <c r="LGH2026" s="381"/>
      <c r="LGI2026" s="381"/>
      <c r="LGJ2026" s="381"/>
      <c r="LGK2026" s="381"/>
      <c r="LGL2026" s="381"/>
      <c r="LGM2026" s="381"/>
      <c r="LGN2026" s="381"/>
      <c r="LGO2026" s="381"/>
      <c r="LGP2026" s="381"/>
      <c r="LGQ2026" s="381"/>
      <c r="LGR2026" s="381"/>
      <c r="LGS2026" s="381"/>
      <c r="LGT2026" s="381"/>
      <c r="LGU2026" s="381"/>
      <c r="LGV2026" s="381"/>
      <c r="LGW2026" s="381"/>
      <c r="LGX2026" s="381"/>
      <c r="LGY2026" s="381"/>
      <c r="LGZ2026" s="381"/>
      <c r="LHA2026" s="381"/>
      <c r="LHB2026" s="381"/>
      <c r="LHC2026" s="381"/>
      <c r="LHD2026" s="381"/>
      <c r="LHE2026" s="381"/>
      <c r="LHF2026" s="381"/>
      <c r="LHG2026" s="381"/>
      <c r="LHH2026" s="381"/>
      <c r="LHI2026" s="381"/>
      <c r="LHJ2026" s="381"/>
      <c r="LHK2026" s="381"/>
      <c r="LHL2026" s="381"/>
      <c r="LHM2026" s="381"/>
      <c r="LHN2026" s="381"/>
      <c r="LHO2026" s="381"/>
      <c r="LHP2026" s="381"/>
      <c r="LHQ2026" s="381"/>
      <c r="LHR2026" s="381"/>
      <c r="LHS2026" s="381"/>
      <c r="LHT2026" s="381"/>
      <c r="LHU2026" s="381"/>
      <c r="LHV2026" s="381"/>
      <c r="LHW2026" s="381"/>
      <c r="LHX2026" s="381"/>
      <c r="LHY2026" s="381"/>
      <c r="LHZ2026" s="381"/>
      <c r="LIA2026" s="381"/>
      <c r="LIB2026" s="381"/>
      <c r="LIC2026" s="381"/>
      <c r="LID2026" s="381"/>
      <c r="LIE2026" s="381"/>
      <c r="LIF2026" s="381"/>
      <c r="LIG2026" s="381"/>
      <c r="LIH2026" s="381"/>
      <c r="LII2026" s="381"/>
      <c r="LIJ2026" s="381"/>
      <c r="LIK2026" s="381"/>
      <c r="LIL2026" s="381"/>
      <c r="LIM2026" s="381"/>
      <c r="LIN2026" s="381"/>
      <c r="LIO2026" s="381"/>
      <c r="LIP2026" s="381"/>
      <c r="LIQ2026" s="381"/>
      <c r="LIR2026" s="381"/>
      <c r="LIS2026" s="381"/>
      <c r="LIT2026" s="381"/>
      <c r="LIU2026" s="381"/>
      <c r="LIV2026" s="381"/>
      <c r="LIW2026" s="381"/>
      <c r="LIX2026" s="381"/>
      <c r="LIY2026" s="381"/>
      <c r="LIZ2026" s="381"/>
      <c r="LJA2026" s="381"/>
      <c r="LJB2026" s="381"/>
      <c r="LJC2026" s="381"/>
      <c r="LJD2026" s="381"/>
      <c r="LJE2026" s="381"/>
      <c r="LJF2026" s="381"/>
      <c r="LJG2026" s="381"/>
      <c r="LJH2026" s="381"/>
      <c r="LJI2026" s="381"/>
      <c r="LJJ2026" s="381"/>
      <c r="LJK2026" s="381"/>
      <c r="LJL2026" s="381"/>
      <c r="LJM2026" s="381"/>
      <c r="LJN2026" s="381"/>
      <c r="LJO2026" s="381"/>
      <c r="LJP2026" s="381"/>
      <c r="LJQ2026" s="381"/>
      <c r="LJR2026" s="381"/>
      <c r="LJS2026" s="381"/>
      <c r="LJT2026" s="381"/>
      <c r="LJU2026" s="381"/>
      <c r="LJV2026" s="381"/>
      <c r="LJW2026" s="381"/>
      <c r="LJX2026" s="381"/>
      <c r="LJY2026" s="381"/>
      <c r="LJZ2026" s="381"/>
      <c r="LKA2026" s="381"/>
      <c r="LKB2026" s="381"/>
      <c r="LKC2026" s="381"/>
      <c r="LKD2026" s="381"/>
      <c r="LKE2026" s="381"/>
      <c r="LKF2026" s="381"/>
      <c r="LKG2026" s="381"/>
      <c r="LKH2026" s="381"/>
      <c r="LKI2026" s="381"/>
      <c r="LKJ2026" s="381"/>
      <c r="LKK2026" s="381"/>
      <c r="LKL2026" s="381"/>
      <c r="LKM2026" s="381"/>
      <c r="LKN2026" s="381"/>
      <c r="LKO2026" s="381"/>
      <c r="LKP2026" s="381"/>
      <c r="LKQ2026" s="381"/>
      <c r="LKR2026" s="381"/>
      <c r="LKS2026" s="381"/>
      <c r="LKT2026" s="381"/>
      <c r="LKU2026" s="381"/>
      <c r="LKV2026" s="381"/>
      <c r="LKW2026" s="381"/>
      <c r="LKX2026" s="381"/>
      <c r="LKY2026" s="381"/>
      <c r="LKZ2026" s="381"/>
      <c r="LLA2026" s="381"/>
      <c r="LLB2026" s="381"/>
      <c r="LLC2026" s="381"/>
      <c r="LLD2026" s="381"/>
      <c r="LLE2026" s="381"/>
      <c r="LLF2026" s="381"/>
      <c r="LLG2026" s="381"/>
      <c r="LLH2026" s="381"/>
      <c r="LLI2026" s="381"/>
      <c r="LLJ2026" s="381"/>
      <c r="LLK2026" s="381"/>
      <c r="LLL2026" s="381"/>
      <c r="LLM2026" s="381"/>
      <c r="LLN2026" s="381"/>
      <c r="LLO2026" s="381"/>
      <c r="LLP2026" s="381"/>
      <c r="LLQ2026" s="381"/>
      <c r="LLR2026" s="381"/>
      <c r="LLS2026" s="381"/>
      <c r="LLT2026" s="381"/>
      <c r="LLU2026" s="381"/>
      <c r="LLV2026" s="381"/>
      <c r="LLW2026" s="381"/>
      <c r="LLX2026" s="381"/>
      <c r="LLY2026" s="381"/>
      <c r="LLZ2026" s="381"/>
      <c r="LMA2026" s="381"/>
      <c r="LMB2026" s="381"/>
      <c r="LMC2026" s="381"/>
      <c r="LMD2026" s="381"/>
      <c r="LME2026" s="381"/>
      <c r="LMF2026" s="381"/>
      <c r="LMG2026" s="381"/>
      <c r="LMH2026" s="381"/>
      <c r="LMI2026" s="381"/>
      <c r="LMJ2026" s="381"/>
      <c r="LMK2026" s="381"/>
      <c r="LML2026" s="381"/>
      <c r="LMM2026" s="381"/>
      <c r="LMN2026" s="381"/>
      <c r="LMO2026" s="381"/>
      <c r="LMP2026" s="381"/>
      <c r="LMQ2026" s="381"/>
      <c r="LMR2026" s="381"/>
      <c r="LMS2026" s="381"/>
      <c r="LMT2026" s="381"/>
      <c r="LMU2026" s="381"/>
      <c r="LMV2026" s="381"/>
      <c r="LMW2026" s="381"/>
      <c r="LMX2026" s="381"/>
      <c r="LMY2026" s="381"/>
      <c r="LMZ2026" s="381"/>
      <c r="LNA2026" s="381"/>
      <c r="LNB2026" s="381"/>
      <c r="LNC2026" s="381"/>
      <c r="LND2026" s="381"/>
      <c r="LNE2026" s="381"/>
      <c r="LNF2026" s="381"/>
      <c r="LNG2026" s="381"/>
      <c r="LNH2026" s="381"/>
      <c r="LNI2026" s="381"/>
      <c r="LNJ2026" s="381"/>
      <c r="LNK2026" s="381"/>
      <c r="LNL2026" s="381"/>
      <c r="LNM2026" s="381"/>
      <c r="LNN2026" s="381"/>
      <c r="LNO2026" s="381"/>
      <c r="LNP2026" s="381"/>
      <c r="LNQ2026" s="381"/>
      <c r="LNR2026" s="381"/>
      <c r="LNS2026" s="381"/>
      <c r="LNT2026" s="381"/>
      <c r="LNU2026" s="381"/>
      <c r="LNV2026" s="381"/>
      <c r="LNW2026" s="381"/>
      <c r="LNX2026" s="381"/>
      <c r="LNY2026" s="381"/>
      <c r="LNZ2026" s="381"/>
      <c r="LOA2026" s="381"/>
      <c r="LOB2026" s="381"/>
      <c r="LOC2026" s="381"/>
      <c r="LOD2026" s="381"/>
      <c r="LOE2026" s="381"/>
      <c r="LOF2026" s="381"/>
      <c r="LOG2026" s="381"/>
      <c r="LOH2026" s="381"/>
      <c r="LOI2026" s="381"/>
      <c r="LOJ2026" s="381"/>
      <c r="LOK2026" s="381"/>
      <c r="LOL2026" s="381"/>
      <c r="LOM2026" s="381"/>
      <c r="LON2026" s="381"/>
      <c r="LOO2026" s="381"/>
      <c r="LOP2026" s="381"/>
      <c r="LOQ2026" s="381"/>
      <c r="LOR2026" s="381"/>
      <c r="LOS2026" s="381"/>
      <c r="LOT2026" s="381"/>
      <c r="LOU2026" s="381"/>
      <c r="LOV2026" s="381"/>
      <c r="LOW2026" s="381"/>
      <c r="LOX2026" s="381"/>
      <c r="LOY2026" s="381"/>
      <c r="LOZ2026" s="381"/>
      <c r="LPA2026" s="381"/>
      <c r="LPB2026" s="381"/>
      <c r="LPC2026" s="381"/>
      <c r="LPD2026" s="381"/>
      <c r="LPE2026" s="381"/>
      <c r="LPF2026" s="381"/>
      <c r="LPG2026" s="381"/>
      <c r="LPH2026" s="381"/>
      <c r="LPI2026" s="381"/>
      <c r="LPJ2026" s="381"/>
      <c r="LPK2026" s="381"/>
      <c r="LPL2026" s="381"/>
      <c r="LPM2026" s="381"/>
      <c r="LPN2026" s="381"/>
      <c r="LPO2026" s="381"/>
      <c r="LPP2026" s="381"/>
      <c r="LPQ2026" s="381"/>
      <c r="LPR2026" s="381"/>
      <c r="LPS2026" s="381"/>
      <c r="LPT2026" s="381"/>
      <c r="LPU2026" s="381"/>
      <c r="LPV2026" s="381"/>
      <c r="LPW2026" s="381"/>
      <c r="LPX2026" s="381"/>
      <c r="LPY2026" s="381"/>
      <c r="LPZ2026" s="381"/>
      <c r="LQA2026" s="381"/>
      <c r="LQB2026" s="381"/>
      <c r="LQC2026" s="381"/>
      <c r="LQD2026" s="381"/>
      <c r="LQE2026" s="381"/>
      <c r="LQF2026" s="381"/>
      <c r="LQG2026" s="381"/>
      <c r="LQH2026" s="381"/>
      <c r="LQI2026" s="381"/>
      <c r="LQJ2026" s="381"/>
      <c r="LQK2026" s="381"/>
      <c r="LQL2026" s="381"/>
      <c r="LQM2026" s="381"/>
      <c r="LQN2026" s="381"/>
      <c r="LQO2026" s="381"/>
      <c r="LQP2026" s="381"/>
      <c r="LQQ2026" s="381"/>
      <c r="LQR2026" s="381"/>
      <c r="LQS2026" s="381"/>
      <c r="LQT2026" s="381"/>
      <c r="LQU2026" s="381"/>
      <c r="LQV2026" s="381"/>
      <c r="LQW2026" s="381"/>
      <c r="LQX2026" s="381"/>
      <c r="LQY2026" s="381"/>
      <c r="LQZ2026" s="381"/>
      <c r="LRA2026" s="381"/>
      <c r="LRB2026" s="381"/>
      <c r="LRC2026" s="381"/>
      <c r="LRD2026" s="381"/>
      <c r="LRE2026" s="381"/>
      <c r="LRF2026" s="381"/>
      <c r="LRG2026" s="381"/>
      <c r="LRH2026" s="381"/>
      <c r="LRI2026" s="381"/>
      <c r="LRJ2026" s="381"/>
      <c r="LRK2026" s="381"/>
      <c r="LRL2026" s="381"/>
      <c r="LRM2026" s="381"/>
      <c r="LRN2026" s="381"/>
      <c r="LRO2026" s="381"/>
      <c r="LRP2026" s="381"/>
      <c r="LRQ2026" s="381"/>
      <c r="LRR2026" s="381"/>
      <c r="LRS2026" s="381"/>
      <c r="LRT2026" s="381"/>
      <c r="LRU2026" s="381"/>
      <c r="LRV2026" s="381"/>
      <c r="LRW2026" s="381"/>
      <c r="LRX2026" s="381"/>
      <c r="LRY2026" s="381"/>
      <c r="LRZ2026" s="381"/>
      <c r="LSA2026" s="381"/>
      <c r="LSB2026" s="381"/>
      <c r="LSC2026" s="381"/>
      <c r="LSD2026" s="381"/>
      <c r="LSE2026" s="381"/>
      <c r="LSF2026" s="381"/>
      <c r="LSG2026" s="381"/>
      <c r="LSH2026" s="381"/>
      <c r="LSI2026" s="381"/>
      <c r="LSJ2026" s="381"/>
      <c r="LSK2026" s="381"/>
      <c r="LSL2026" s="381"/>
      <c r="LSM2026" s="381"/>
      <c r="LSN2026" s="381"/>
      <c r="LSO2026" s="381"/>
      <c r="LSP2026" s="381"/>
      <c r="LSQ2026" s="381"/>
      <c r="LSR2026" s="381"/>
      <c r="LSS2026" s="381"/>
      <c r="LST2026" s="381"/>
      <c r="LSU2026" s="381"/>
      <c r="LSV2026" s="381"/>
      <c r="LSW2026" s="381"/>
      <c r="LSX2026" s="381"/>
      <c r="LSY2026" s="381"/>
      <c r="LSZ2026" s="381"/>
      <c r="LTA2026" s="381"/>
      <c r="LTB2026" s="381"/>
      <c r="LTC2026" s="381"/>
      <c r="LTD2026" s="381"/>
      <c r="LTE2026" s="381"/>
      <c r="LTF2026" s="381"/>
      <c r="LTG2026" s="381"/>
      <c r="LTH2026" s="381"/>
      <c r="LTI2026" s="381"/>
      <c r="LTJ2026" s="381"/>
      <c r="LTK2026" s="381"/>
      <c r="LTL2026" s="381"/>
      <c r="LTM2026" s="381"/>
      <c r="LTN2026" s="381"/>
      <c r="LTO2026" s="381"/>
      <c r="LTP2026" s="381"/>
      <c r="LTQ2026" s="381"/>
      <c r="LTR2026" s="381"/>
      <c r="LTS2026" s="381"/>
      <c r="LTT2026" s="381"/>
      <c r="LTU2026" s="381"/>
      <c r="LTV2026" s="381"/>
      <c r="LTW2026" s="381"/>
      <c r="LTX2026" s="381"/>
      <c r="LTY2026" s="381"/>
      <c r="LTZ2026" s="381"/>
      <c r="LUA2026" s="381"/>
      <c r="LUB2026" s="381"/>
      <c r="LUC2026" s="381"/>
      <c r="LUD2026" s="381"/>
      <c r="LUE2026" s="381"/>
      <c r="LUF2026" s="381"/>
      <c r="LUG2026" s="381"/>
      <c r="LUH2026" s="381"/>
      <c r="LUI2026" s="381"/>
      <c r="LUJ2026" s="381"/>
      <c r="LUK2026" s="381"/>
      <c r="LUL2026" s="381"/>
      <c r="LUM2026" s="381"/>
      <c r="LUN2026" s="381"/>
      <c r="LUO2026" s="381"/>
      <c r="LUP2026" s="381"/>
      <c r="LUQ2026" s="381"/>
      <c r="LUR2026" s="381"/>
      <c r="LUS2026" s="381"/>
      <c r="LUT2026" s="381"/>
      <c r="LUU2026" s="381"/>
      <c r="LUV2026" s="381"/>
      <c r="LUW2026" s="381"/>
      <c r="LUX2026" s="381"/>
      <c r="LUY2026" s="381"/>
      <c r="LUZ2026" s="381"/>
      <c r="LVA2026" s="381"/>
      <c r="LVB2026" s="381"/>
      <c r="LVC2026" s="381"/>
      <c r="LVD2026" s="381"/>
      <c r="LVE2026" s="381"/>
      <c r="LVF2026" s="381"/>
      <c r="LVG2026" s="381"/>
      <c r="LVH2026" s="381"/>
      <c r="LVI2026" s="381"/>
      <c r="LVJ2026" s="381"/>
      <c r="LVK2026" s="381"/>
      <c r="LVL2026" s="381"/>
      <c r="LVM2026" s="381"/>
      <c r="LVN2026" s="381"/>
      <c r="LVO2026" s="381"/>
      <c r="LVP2026" s="381"/>
      <c r="LVQ2026" s="381"/>
      <c r="LVR2026" s="381"/>
      <c r="LVS2026" s="381"/>
      <c r="LVT2026" s="381"/>
      <c r="LVU2026" s="381"/>
      <c r="LVV2026" s="381"/>
      <c r="LVW2026" s="381"/>
      <c r="LVX2026" s="381"/>
      <c r="LVY2026" s="381"/>
      <c r="LVZ2026" s="381"/>
      <c r="LWA2026" s="381"/>
      <c r="LWB2026" s="381"/>
      <c r="LWC2026" s="381"/>
      <c r="LWD2026" s="381"/>
      <c r="LWE2026" s="381"/>
      <c r="LWF2026" s="381"/>
      <c r="LWG2026" s="381"/>
      <c r="LWH2026" s="381"/>
      <c r="LWI2026" s="381"/>
      <c r="LWJ2026" s="381"/>
      <c r="LWK2026" s="381"/>
      <c r="LWL2026" s="381"/>
      <c r="LWM2026" s="381"/>
      <c r="LWN2026" s="381"/>
      <c r="LWO2026" s="381"/>
      <c r="LWP2026" s="381"/>
      <c r="LWQ2026" s="381"/>
      <c r="LWR2026" s="381"/>
      <c r="LWS2026" s="381"/>
      <c r="LWT2026" s="381"/>
      <c r="LWU2026" s="381"/>
      <c r="LWV2026" s="381"/>
      <c r="LWW2026" s="381"/>
      <c r="LWX2026" s="381"/>
      <c r="LWY2026" s="381"/>
      <c r="LWZ2026" s="381"/>
      <c r="LXA2026" s="381"/>
      <c r="LXB2026" s="381"/>
      <c r="LXC2026" s="381"/>
      <c r="LXD2026" s="381"/>
      <c r="LXE2026" s="381"/>
      <c r="LXF2026" s="381"/>
      <c r="LXG2026" s="381"/>
      <c r="LXH2026" s="381"/>
      <c r="LXI2026" s="381"/>
      <c r="LXJ2026" s="381"/>
      <c r="LXK2026" s="381"/>
      <c r="LXL2026" s="381"/>
      <c r="LXM2026" s="381"/>
      <c r="LXN2026" s="381"/>
      <c r="LXO2026" s="381"/>
      <c r="LXP2026" s="381"/>
      <c r="LXQ2026" s="381"/>
      <c r="LXR2026" s="381"/>
      <c r="LXS2026" s="381"/>
      <c r="LXT2026" s="381"/>
      <c r="LXU2026" s="381"/>
      <c r="LXV2026" s="381"/>
      <c r="LXW2026" s="381"/>
      <c r="LXX2026" s="381"/>
      <c r="LXY2026" s="381"/>
      <c r="LXZ2026" s="381"/>
      <c r="LYA2026" s="381"/>
      <c r="LYB2026" s="381"/>
      <c r="LYC2026" s="381"/>
      <c r="LYD2026" s="381"/>
      <c r="LYE2026" s="381"/>
      <c r="LYF2026" s="381"/>
      <c r="LYG2026" s="381"/>
      <c r="LYH2026" s="381"/>
      <c r="LYI2026" s="381"/>
      <c r="LYJ2026" s="381"/>
      <c r="LYK2026" s="381"/>
      <c r="LYL2026" s="381"/>
      <c r="LYM2026" s="381"/>
      <c r="LYN2026" s="381"/>
      <c r="LYO2026" s="381"/>
      <c r="LYP2026" s="381"/>
      <c r="LYQ2026" s="381"/>
      <c r="LYR2026" s="381"/>
      <c r="LYS2026" s="381"/>
      <c r="LYT2026" s="381"/>
      <c r="LYU2026" s="381"/>
      <c r="LYV2026" s="381"/>
      <c r="LYW2026" s="381"/>
      <c r="LYX2026" s="381"/>
      <c r="LYY2026" s="381"/>
      <c r="LYZ2026" s="381"/>
      <c r="LZA2026" s="381"/>
      <c r="LZB2026" s="381"/>
      <c r="LZC2026" s="381"/>
      <c r="LZD2026" s="381"/>
      <c r="LZE2026" s="381"/>
      <c r="LZF2026" s="381"/>
      <c r="LZG2026" s="381"/>
      <c r="LZH2026" s="381"/>
      <c r="LZI2026" s="381"/>
      <c r="LZJ2026" s="381"/>
      <c r="LZK2026" s="381"/>
      <c r="LZL2026" s="381"/>
      <c r="LZM2026" s="381"/>
      <c r="LZN2026" s="381"/>
      <c r="LZO2026" s="381"/>
      <c r="LZP2026" s="381"/>
      <c r="LZQ2026" s="381"/>
      <c r="LZR2026" s="381"/>
      <c r="LZS2026" s="381"/>
      <c r="LZT2026" s="381"/>
      <c r="LZU2026" s="381"/>
      <c r="LZV2026" s="381"/>
      <c r="LZW2026" s="381"/>
      <c r="LZX2026" s="381"/>
      <c r="LZY2026" s="381"/>
      <c r="LZZ2026" s="381"/>
      <c r="MAA2026" s="381"/>
      <c r="MAB2026" s="381"/>
      <c r="MAC2026" s="381"/>
      <c r="MAD2026" s="381"/>
      <c r="MAE2026" s="381"/>
      <c r="MAF2026" s="381"/>
      <c r="MAG2026" s="381"/>
      <c r="MAH2026" s="381"/>
      <c r="MAI2026" s="381"/>
      <c r="MAJ2026" s="381"/>
      <c r="MAK2026" s="381"/>
      <c r="MAL2026" s="381"/>
      <c r="MAM2026" s="381"/>
      <c r="MAN2026" s="381"/>
      <c r="MAO2026" s="381"/>
      <c r="MAP2026" s="381"/>
      <c r="MAQ2026" s="381"/>
      <c r="MAR2026" s="381"/>
      <c r="MAS2026" s="381"/>
      <c r="MAT2026" s="381"/>
      <c r="MAU2026" s="381"/>
      <c r="MAV2026" s="381"/>
      <c r="MAW2026" s="381"/>
      <c r="MAX2026" s="381"/>
      <c r="MAY2026" s="381"/>
      <c r="MAZ2026" s="381"/>
      <c r="MBA2026" s="381"/>
      <c r="MBB2026" s="381"/>
      <c r="MBC2026" s="381"/>
      <c r="MBD2026" s="381"/>
      <c r="MBE2026" s="381"/>
      <c r="MBF2026" s="381"/>
      <c r="MBG2026" s="381"/>
      <c r="MBH2026" s="381"/>
      <c r="MBI2026" s="381"/>
      <c r="MBJ2026" s="381"/>
      <c r="MBK2026" s="381"/>
      <c r="MBL2026" s="381"/>
      <c r="MBM2026" s="381"/>
      <c r="MBN2026" s="381"/>
      <c r="MBO2026" s="381"/>
      <c r="MBP2026" s="381"/>
      <c r="MBQ2026" s="381"/>
      <c r="MBR2026" s="381"/>
      <c r="MBS2026" s="381"/>
      <c r="MBT2026" s="381"/>
      <c r="MBU2026" s="381"/>
      <c r="MBV2026" s="381"/>
      <c r="MBW2026" s="381"/>
      <c r="MBX2026" s="381"/>
      <c r="MBY2026" s="381"/>
      <c r="MBZ2026" s="381"/>
      <c r="MCA2026" s="381"/>
      <c r="MCB2026" s="381"/>
      <c r="MCC2026" s="381"/>
      <c r="MCD2026" s="381"/>
      <c r="MCE2026" s="381"/>
      <c r="MCF2026" s="381"/>
      <c r="MCG2026" s="381"/>
      <c r="MCH2026" s="381"/>
      <c r="MCI2026" s="381"/>
      <c r="MCJ2026" s="381"/>
      <c r="MCK2026" s="381"/>
      <c r="MCL2026" s="381"/>
      <c r="MCM2026" s="381"/>
      <c r="MCN2026" s="381"/>
      <c r="MCO2026" s="381"/>
      <c r="MCP2026" s="381"/>
      <c r="MCQ2026" s="381"/>
      <c r="MCR2026" s="381"/>
      <c r="MCS2026" s="381"/>
      <c r="MCT2026" s="381"/>
      <c r="MCU2026" s="381"/>
      <c r="MCV2026" s="381"/>
      <c r="MCW2026" s="381"/>
      <c r="MCX2026" s="381"/>
      <c r="MCY2026" s="381"/>
      <c r="MCZ2026" s="381"/>
      <c r="MDA2026" s="381"/>
      <c r="MDB2026" s="381"/>
      <c r="MDC2026" s="381"/>
      <c r="MDD2026" s="381"/>
      <c r="MDE2026" s="381"/>
      <c r="MDF2026" s="381"/>
      <c r="MDG2026" s="381"/>
      <c r="MDH2026" s="381"/>
      <c r="MDI2026" s="381"/>
      <c r="MDJ2026" s="381"/>
      <c r="MDK2026" s="381"/>
      <c r="MDL2026" s="381"/>
      <c r="MDM2026" s="381"/>
      <c r="MDN2026" s="381"/>
      <c r="MDO2026" s="381"/>
      <c r="MDP2026" s="381"/>
      <c r="MDQ2026" s="381"/>
      <c r="MDR2026" s="381"/>
      <c r="MDS2026" s="381"/>
      <c r="MDT2026" s="381"/>
      <c r="MDU2026" s="381"/>
      <c r="MDV2026" s="381"/>
      <c r="MDW2026" s="381"/>
      <c r="MDX2026" s="381"/>
      <c r="MDY2026" s="381"/>
      <c r="MDZ2026" s="381"/>
      <c r="MEA2026" s="381"/>
      <c r="MEB2026" s="381"/>
      <c r="MEC2026" s="381"/>
      <c r="MED2026" s="381"/>
      <c r="MEE2026" s="381"/>
      <c r="MEF2026" s="381"/>
      <c r="MEG2026" s="381"/>
      <c r="MEH2026" s="381"/>
      <c r="MEI2026" s="381"/>
      <c r="MEJ2026" s="381"/>
      <c r="MEK2026" s="381"/>
      <c r="MEL2026" s="381"/>
      <c r="MEM2026" s="381"/>
      <c r="MEN2026" s="381"/>
      <c r="MEO2026" s="381"/>
      <c r="MEP2026" s="381"/>
      <c r="MEQ2026" s="381"/>
      <c r="MER2026" s="381"/>
      <c r="MES2026" s="381"/>
      <c r="MET2026" s="381"/>
      <c r="MEU2026" s="381"/>
      <c r="MEV2026" s="381"/>
      <c r="MEW2026" s="381"/>
      <c r="MEX2026" s="381"/>
      <c r="MEY2026" s="381"/>
      <c r="MEZ2026" s="381"/>
      <c r="MFA2026" s="381"/>
      <c r="MFB2026" s="381"/>
      <c r="MFC2026" s="381"/>
      <c r="MFD2026" s="381"/>
      <c r="MFE2026" s="381"/>
      <c r="MFF2026" s="381"/>
      <c r="MFG2026" s="381"/>
      <c r="MFH2026" s="381"/>
      <c r="MFI2026" s="381"/>
      <c r="MFJ2026" s="381"/>
      <c r="MFK2026" s="381"/>
      <c r="MFL2026" s="381"/>
      <c r="MFM2026" s="381"/>
      <c r="MFN2026" s="381"/>
      <c r="MFO2026" s="381"/>
      <c r="MFP2026" s="381"/>
      <c r="MFQ2026" s="381"/>
      <c r="MFR2026" s="381"/>
      <c r="MFS2026" s="381"/>
      <c r="MFT2026" s="381"/>
      <c r="MFU2026" s="381"/>
      <c r="MFV2026" s="381"/>
      <c r="MFW2026" s="381"/>
      <c r="MFX2026" s="381"/>
      <c r="MFY2026" s="381"/>
      <c r="MFZ2026" s="381"/>
      <c r="MGA2026" s="381"/>
      <c r="MGB2026" s="381"/>
      <c r="MGC2026" s="381"/>
      <c r="MGD2026" s="381"/>
      <c r="MGE2026" s="381"/>
      <c r="MGF2026" s="381"/>
      <c r="MGG2026" s="381"/>
      <c r="MGH2026" s="381"/>
      <c r="MGI2026" s="381"/>
      <c r="MGJ2026" s="381"/>
      <c r="MGK2026" s="381"/>
      <c r="MGL2026" s="381"/>
      <c r="MGM2026" s="381"/>
      <c r="MGN2026" s="381"/>
      <c r="MGO2026" s="381"/>
      <c r="MGP2026" s="381"/>
      <c r="MGQ2026" s="381"/>
      <c r="MGR2026" s="381"/>
      <c r="MGS2026" s="381"/>
      <c r="MGT2026" s="381"/>
      <c r="MGU2026" s="381"/>
      <c r="MGV2026" s="381"/>
      <c r="MGW2026" s="381"/>
      <c r="MGX2026" s="381"/>
      <c r="MGY2026" s="381"/>
      <c r="MGZ2026" s="381"/>
      <c r="MHA2026" s="381"/>
      <c r="MHB2026" s="381"/>
      <c r="MHC2026" s="381"/>
      <c r="MHD2026" s="381"/>
      <c r="MHE2026" s="381"/>
      <c r="MHF2026" s="381"/>
      <c r="MHG2026" s="381"/>
      <c r="MHH2026" s="381"/>
      <c r="MHI2026" s="381"/>
      <c r="MHJ2026" s="381"/>
      <c r="MHK2026" s="381"/>
      <c r="MHL2026" s="381"/>
      <c r="MHM2026" s="381"/>
      <c r="MHN2026" s="381"/>
      <c r="MHO2026" s="381"/>
      <c r="MHP2026" s="381"/>
      <c r="MHQ2026" s="381"/>
      <c r="MHR2026" s="381"/>
      <c r="MHS2026" s="381"/>
      <c r="MHT2026" s="381"/>
      <c r="MHU2026" s="381"/>
      <c r="MHV2026" s="381"/>
      <c r="MHW2026" s="381"/>
      <c r="MHX2026" s="381"/>
      <c r="MHY2026" s="381"/>
      <c r="MHZ2026" s="381"/>
      <c r="MIA2026" s="381"/>
      <c r="MIB2026" s="381"/>
      <c r="MIC2026" s="381"/>
      <c r="MID2026" s="381"/>
      <c r="MIE2026" s="381"/>
      <c r="MIF2026" s="381"/>
      <c r="MIG2026" s="381"/>
      <c r="MIH2026" s="381"/>
      <c r="MII2026" s="381"/>
      <c r="MIJ2026" s="381"/>
      <c r="MIK2026" s="381"/>
      <c r="MIL2026" s="381"/>
      <c r="MIM2026" s="381"/>
      <c r="MIN2026" s="381"/>
      <c r="MIO2026" s="381"/>
      <c r="MIP2026" s="381"/>
      <c r="MIQ2026" s="381"/>
      <c r="MIR2026" s="381"/>
      <c r="MIS2026" s="381"/>
      <c r="MIT2026" s="381"/>
      <c r="MIU2026" s="381"/>
      <c r="MIV2026" s="381"/>
      <c r="MIW2026" s="381"/>
      <c r="MIX2026" s="381"/>
      <c r="MIY2026" s="381"/>
      <c r="MIZ2026" s="381"/>
      <c r="MJA2026" s="381"/>
      <c r="MJB2026" s="381"/>
      <c r="MJC2026" s="381"/>
      <c r="MJD2026" s="381"/>
      <c r="MJE2026" s="381"/>
      <c r="MJF2026" s="381"/>
      <c r="MJG2026" s="381"/>
      <c r="MJH2026" s="381"/>
      <c r="MJI2026" s="381"/>
      <c r="MJJ2026" s="381"/>
      <c r="MJK2026" s="381"/>
      <c r="MJL2026" s="381"/>
      <c r="MJM2026" s="381"/>
      <c r="MJN2026" s="381"/>
      <c r="MJO2026" s="381"/>
      <c r="MJP2026" s="381"/>
      <c r="MJQ2026" s="381"/>
      <c r="MJR2026" s="381"/>
      <c r="MJS2026" s="381"/>
      <c r="MJT2026" s="381"/>
      <c r="MJU2026" s="381"/>
      <c r="MJV2026" s="381"/>
      <c r="MJW2026" s="381"/>
      <c r="MJX2026" s="381"/>
      <c r="MJY2026" s="381"/>
      <c r="MJZ2026" s="381"/>
      <c r="MKA2026" s="381"/>
      <c r="MKB2026" s="381"/>
      <c r="MKC2026" s="381"/>
      <c r="MKD2026" s="381"/>
      <c r="MKE2026" s="381"/>
      <c r="MKF2026" s="381"/>
      <c r="MKG2026" s="381"/>
      <c r="MKH2026" s="381"/>
      <c r="MKI2026" s="381"/>
      <c r="MKJ2026" s="381"/>
      <c r="MKK2026" s="381"/>
      <c r="MKL2026" s="381"/>
      <c r="MKM2026" s="381"/>
      <c r="MKN2026" s="381"/>
      <c r="MKO2026" s="381"/>
      <c r="MKP2026" s="381"/>
      <c r="MKQ2026" s="381"/>
      <c r="MKR2026" s="381"/>
      <c r="MKS2026" s="381"/>
      <c r="MKT2026" s="381"/>
      <c r="MKU2026" s="381"/>
      <c r="MKV2026" s="381"/>
      <c r="MKW2026" s="381"/>
      <c r="MKX2026" s="381"/>
      <c r="MKY2026" s="381"/>
      <c r="MKZ2026" s="381"/>
      <c r="MLA2026" s="381"/>
      <c r="MLB2026" s="381"/>
      <c r="MLC2026" s="381"/>
      <c r="MLD2026" s="381"/>
      <c r="MLE2026" s="381"/>
      <c r="MLF2026" s="381"/>
      <c r="MLG2026" s="381"/>
      <c r="MLH2026" s="381"/>
      <c r="MLI2026" s="381"/>
      <c r="MLJ2026" s="381"/>
      <c r="MLK2026" s="381"/>
      <c r="MLL2026" s="381"/>
      <c r="MLM2026" s="381"/>
      <c r="MLN2026" s="381"/>
      <c r="MLO2026" s="381"/>
      <c r="MLP2026" s="381"/>
      <c r="MLQ2026" s="381"/>
      <c r="MLR2026" s="381"/>
      <c r="MLS2026" s="381"/>
      <c r="MLT2026" s="381"/>
      <c r="MLU2026" s="381"/>
      <c r="MLV2026" s="381"/>
      <c r="MLW2026" s="381"/>
      <c r="MLX2026" s="381"/>
      <c r="MLY2026" s="381"/>
      <c r="MLZ2026" s="381"/>
      <c r="MMA2026" s="381"/>
      <c r="MMB2026" s="381"/>
      <c r="MMC2026" s="381"/>
      <c r="MMD2026" s="381"/>
      <c r="MME2026" s="381"/>
      <c r="MMF2026" s="381"/>
      <c r="MMG2026" s="381"/>
      <c r="MMH2026" s="381"/>
      <c r="MMI2026" s="381"/>
      <c r="MMJ2026" s="381"/>
      <c r="MMK2026" s="381"/>
      <c r="MML2026" s="381"/>
      <c r="MMM2026" s="381"/>
      <c r="MMN2026" s="381"/>
      <c r="MMO2026" s="381"/>
      <c r="MMP2026" s="381"/>
      <c r="MMQ2026" s="381"/>
      <c r="MMR2026" s="381"/>
      <c r="MMS2026" s="381"/>
      <c r="MMT2026" s="381"/>
      <c r="MMU2026" s="381"/>
      <c r="MMV2026" s="381"/>
      <c r="MMW2026" s="381"/>
      <c r="MMX2026" s="381"/>
      <c r="MMY2026" s="381"/>
      <c r="MMZ2026" s="381"/>
      <c r="MNA2026" s="381"/>
      <c r="MNB2026" s="381"/>
      <c r="MNC2026" s="381"/>
      <c r="MND2026" s="381"/>
      <c r="MNE2026" s="381"/>
      <c r="MNF2026" s="381"/>
      <c r="MNG2026" s="381"/>
      <c r="MNH2026" s="381"/>
      <c r="MNI2026" s="381"/>
      <c r="MNJ2026" s="381"/>
      <c r="MNK2026" s="381"/>
      <c r="MNL2026" s="381"/>
      <c r="MNM2026" s="381"/>
      <c r="MNN2026" s="381"/>
      <c r="MNO2026" s="381"/>
      <c r="MNP2026" s="381"/>
      <c r="MNQ2026" s="381"/>
      <c r="MNR2026" s="381"/>
      <c r="MNS2026" s="381"/>
      <c r="MNT2026" s="381"/>
      <c r="MNU2026" s="381"/>
      <c r="MNV2026" s="381"/>
      <c r="MNW2026" s="381"/>
      <c r="MNX2026" s="381"/>
      <c r="MNY2026" s="381"/>
      <c r="MNZ2026" s="381"/>
      <c r="MOA2026" s="381"/>
      <c r="MOB2026" s="381"/>
      <c r="MOC2026" s="381"/>
      <c r="MOD2026" s="381"/>
      <c r="MOE2026" s="381"/>
      <c r="MOF2026" s="381"/>
      <c r="MOG2026" s="381"/>
      <c r="MOH2026" s="381"/>
      <c r="MOI2026" s="381"/>
      <c r="MOJ2026" s="381"/>
      <c r="MOK2026" s="381"/>
      <c r="MOL2026" s="381"/>
      <c r="MOM2026" s="381"/>
      <c r="MON2026" s="381"/>
      <c r="MOO2026" s="381"/>
      <c r="MOP2026" s="381"/>
      <c r="MOQ2026" s="381"/>
      <c r="MOR2026" s="381"/>
      <c r="MOS2026" s="381"/>
      <c r="MOT2026" s="381"/>
      <c r="MOU2026" s="381"/>
      <c r="MOV2026" s="381"/>
      <c r="MOW2026" s="381"/>
      <c r="MOX2026" s="381"/>
      <c r="MOY2026" s="381"/>
      <c r="MOZ2026" s="381"/>
      <c r="MPA2026" s="381"/>
      <c r="MPB2026" s="381"/>
      <c r="MPC2026" s="381"/>
      <c r="MPD2026" s="381"/>
      <c r="MPE2026" s="381"/>
      <c r="MPF2026" s="381"/>
      <c r="MPG2026" s="381"/>
      <c r="MPH2026" s="381"/>
      <c r="MPI2026" s="381"/>
      <c r="MPJ2026" s="381"/>
      <c r="MPK2026" s="381"/>
      <c r="MPL2026" s="381"/>
      <c r="MPM2026" s="381"/>
      <c r="MPN2026" s="381"/>
      <c r="MPO2026" s="381"/>
      <c r="MPP2026" s="381"/>
      <c r="MPQ2026" s="381"/>
      <c r="MPR2026" s="381"/>
      <c r="MPS2026" s="381"/>
      <c r="MPT2026" s="381"/>
      <c r="MPU2026" s="381"/>
      <c r="MPV2026" s="381"/>
      <c r="MPW2026" s="381"/>
      <c r="MPX2026" s="381"/>
      <c r="MPY2026" s="381"/>
      <c r="MPZ2026" s="381"/>
      <c r="MQA2026" s="381"/>
      <c r="MQB2026" s="381"/>
      <c r="MQC2026" s="381"/>
      <c r="MQD2026" s="381"/>
      <c r="MQE2026" s="381"/>
      <c r="MQF2026" s="381"/>
      <c r="MQG2026" s="381"/>
      <c r="MQH2026" s="381"/>
      <c r="MQI2026" s="381"/>
      <c r="MQJ2026" s="381"/>
      <c r="MQK2026" s="381"/>
      <c r="MQL2026" s="381"/>
      <c r="MQM2026" s="381"/>
      <c r="MQN2026" s="381"/>
      <c r="MQO2026" s="381"/>
      <c r="MQP2026" s="381"/>
      <c r="MQQ2026" s="381"/>
      <c r="MQR2026" s="381"/>
      <c r="MQS2026" s="381"/>
      <c r="MQT2026" s="381"/>
      <c r="MQU2026" s="381"/>
      <c r="MQV2026" s="381"/>
      <c r="MQW2026" s="381"/>
      <c r="MQX2026" s="381"/>
      <c r="MQY2026" s="381"/>
      <c r="MQZ2026" s="381"/>
      <c r="MRA2026" s="381"/>
      <c r="MRB2026" s="381"/>
      <c r="MRC2026" s="381"/>
      <c r="MRD2026" s="381"/>
      <c r="MRE2026" s="381"/>
      <c r="MRF2026" s="381"/>
      <c r="MRG2026" s="381"/>
      <c r="MRH2026" s="381"/>
      <c r="MRI2026" s="381"/>
      <c r="MRJ2026" s="381"/>
      <c r="MRK2026" s="381"/>
      <c r="MRL2026" s="381"/>
      <c r="MRM2026" s="381"/>
      <c r="MRN2026" s="381"/>
      <c r="MRO2026" s="381"/>
      <c r="MRP2026" s="381"/>
      <c r="MRQ2026" s="381"/>
      <c r="MRR2026" s="381"/>
      <c r="MRS2026" s="381"/>
      <c r="MRT2026" s="381"/>
      <c r="MRU2026" s="381"/>
      <c r="MRV2026" s="381"/>
      <c r="MRW2026" s="381"/>
      <c r="MRX2026" s="381"/>
      <c r="MRY2026" s="381"/>
      <c r="MRZ2026" s="381"/>
      <c r="MSA2026" s="381"/>
      <c r="MSB2026" s="381"/>
      <c r="MSC2026" s="381"/>
      <c r="MSD2026" s="381"/>
      <c r="MSE2026" s="381"/>
      <c r="MSF2026" s="381"/>
      <c r="MSG2026" s="381"/>
      <c r="MSH2026" s="381"/>
      <c r="MSI2026" s="381"/>
      <c r="MSJ2026" s="381"/>
      <c r="MSK2026" s="381"/>
      <c r="MSL2026" s="381"/>
      <c r="MSM2026" s="381"/>
      <c r="MSN2026" s="381"/>
      <c r="MSO2026" s="381"/>
      <c r="MSP2026" s="381"/>
      <c r="MSQ2026" s="381"/>
      <c r="MSR2026" s="381"/>
      <c r="MSS2026" s="381"/>
      <c r="MST2026" s="381"/>
      <c r="MSU2026" s="381"/>
      <c r="MSV2026" s="381"/>
      <c r="MSW2026" s="381"/>
      <c r="MSX2026" s="381"/>
      <c r="MSY2026" s="381"/>
      <c r="MSZ2026" s="381"/>
      <c r="MTA2026" s="381"/>
      <c r="MTB2026" s="381"/>
      <c r="MTC2026" s="381"/>
      <c r="MTD2026" s="381"/>
      <c r="MTE2026" s="381"/>
      <c r="MTF2026" s="381"/>
      <c r="MTG2026" s="381"/>
      <c r="MTH2026" s="381"/>
      <c r="MTI2026" s="381"/>
      <c r="MTJ2026" s="381"/>
      <c r="MTK2026" s="381"/>
      <c r="MTL2026" s="381"/>
      <c r="MTM2026" s="381"/>
      <c r="MTN2026" s="381"/>
      <c r="MTO2026" s="381"/>
      <c r="MTP2026" s="381"/>
      <c r="MTQ2026" s="381"/>
      <c r="MTR2026" s="381"/>
      <c r="MTS2026" s="381"/>
      <c r="MTT2026" s="381"/>
      <c r="MTU2026" s="381"/>
      <c r="MTV2026" s="381"/>
      <c r="MTW2026" s="381"/>
      <c r="MTX2026" s="381"/>
      <c r="MTY2026" s="381"/>
      <c r="MTZ2026" s="381"/>
      <c r="MUA2026" s="381"/>
      <c r="MUB2026" s="381"/>
      <c r="MUC2026" s="381"/>
      <c r="MUD2026" s="381"/>
      <c r="MUE2026" s="381"/>
      <c r="MUF2026" s="381"/>
      <c r="MUG2026" s="381"/>
      <c r="MUH2026" s="381"/>
      <c r="MUI2026" s="381"/>
      <c r="MUJ2026" s="381"/>
      <c r="MUK2026" s="381"/>
      <c r="MUL2026" s="381"/>
      <c r="MUM2026" s="381"/>
      <c r="MUN2026" s="381"/>
      <c r="MUO2026" s="381"/>
      <c r="MUP2026" s="381"/>
      <c r="MUQ2026" s="381"/>
      <c r="MUR2026" s="381"/>
      <c r="MUS2026" s="381"/>
      <c r="MUT2026" s="381"/>
      <c r="MUU2026" s="381"/>
      <c r="MUV2026" s="381"/>
      <c r="MUW2026" s="381"/>
      <c r="MUX2026" s="381"/>
      <c r="MUY2026" s="381"/>
      <c r="MUZ2026" s="381"/>
      <c r="MVA2026" s="381"/>
      <c r="MVB2026" s="381"/>
      <c r="MVC2026" s="381"/>
      <c r="MVD2026" s="381"/>
      <c r="MVE2026" s="381"/>
      <c r="MVF2026" s="381"/>
      <c r="MVG2026" s="381"/>
      <c r="MVH2026" s="381"/>
      <c r="MVI2026" s="381"/>
      <c r="MVJ2026" s="381"/>
      <c r="MVK2026" s="381"/>
      <c r="MVL2026" s="381"/>
      <c r="MVM2026" s="381"/>
      <c r="MVN2026" s="381"/>
      <c r="MVO2026" s="381"/>
      <c r="MVP2026" s="381"/>
      <c r="MVQ2026" s="381"/>
      <c r="MVR2026" s="381"/>
      <c r="MVS2026" s="381"/>
      <c r="MVT2026" s="381"/>
      <c r="MVU2026" s="381"/>
      <c r="MVV2026" s="381"/>
      <c r="MVW2026" s="381"/>
      <c r="MVX2026" s="381"/>
      <c r="MVY2026" s="381"/>
      <c r="MVZ2026" s="381"/>
      <c r="MWA2026" s="381"/>
      <c r="MWB2026" s="381"/>
      <c r="MWC2026" s="381"/>
      <c r="MWD2026" s="381"/>
      <c r="MWE2026" s="381"/>
      <c r="MWF2026" s="381"/>
      <c r="MWG2026" s="381"/>
      <c r="MWH2026" s="381"/>
      <c r="MWI2026" s="381"/>
      <c r="MWJ2026" s="381"/>
      <c r="MWK2026" s="381"/>
      <c r="MWL2026" s="381"/>
      <c r="MWM2026" s="381"/>
      <c r="MWN2026" s="381"/>
      <c r="MWO2026" s="381"/>
      <c r="MWP2026" s="381"/>
      <c r="MWQ2026" s="381"/>
      <c r="MWR2026" s="381"/>
      <c r="MWS2026" s="381"/>
      <c r="MWT2026" s="381"/>
      <c r="MWU2026" s="381"/>
      <c r="MWV2026" s="381"/>
      <c r="MWW2026" s="381"/>
      <c r="MWX2026" s="381"/>
      <c r="MWY2026" s="381"/>
      <c r="MWZ2026" s="381"/>
      <c r="MXA2026" s="381"/>
      <c r="MXB2026" s="381"/>
      <c r="MXC2026" s="381"/>
      <c r="MXD2026" s="381"/>
      <c r="MXE2026" s="381"/>
      <c r="MXF2026" s="381"/>
      <c r="MXG2026" s="381"/>
      <c r="MXH2026" s="381"/>
      <c r="MXI2026" s="381"/>
      <c r="MXJ2026" s="381"/>
      <c r="MXK2026" s="381"/>
      <c r="MXL2026" s="381"/>
      <c r="MXM2026" s="381"/>
      <c r="MXN2026" s="381"/>
      <c r="MXO2026" s="381"/>
      <c r="MXP2026" s="381"/>
      <c r="MXQ2026" s="381"/>
      <c r="MXR2026" s="381"/>
      <c r="MXS2026" s="381"/>
      <c r="MXT2026" s="381"/>
      <c r="MXU2026" s="381"/>
      <c r="MXV2026" s="381"/>
      <c r="MXW2026" s="381"/>
      <c r="MXX2026" s="381"/>
      <c r="MXY2026" s="381"/>
      <c r="MXZ2026" s="381"/>
      <c r="MYA2026" s="381"/>
      <c r="MYB2026" s="381"/>
      <c r="MYC2026" s="381"/>
      <c r="MYD2026" s="381"/>
      <c r="MYE2026" s="381"/>
      <c r="MYF2026" s="381"/>
      <c r="MYG2026" s="381"/>
      <c r="MYH2026" s="381"/>
      <c r="MYI2026" s="381"/>
      <c r="MYJ2026" s="381"/>
      <c r="MYK2026" s="381"/>
      <c r="MYL2026" s="381"/>
      <c r="MYM2026" s="381"/>
      <c r="MYN2026" s="381"/>
      <c r="MYO2026" s="381"/>
      <c r="MYP2026" s="381"/>
      <c r="MYQ2026" s="381"/>
      <c r="MYR2026" s="381"/>
      <c r="MYS2026" s="381"/>
      <c r="MYT2026" s="381"/>
      <c r="MYU2026" s="381"/>
      <c r="MYV2026" s="381"/>
      <c r="MYW2026" s="381"/>
      <c r="MYX2026" s="381"/>
      <c r="MYY2026" s="381"/>
      <c r="MYZ2026" s="381"/>
      <c r="MZA2026" s="381"/>
      <c r="MZB2026" s="381"/>
      <c r="MZC2026" s="381"/>
      <c r="MZD2026" s="381"/>
      <c r="MZE2026" s="381"/>
      <c r="MZF2026" s="381"/>
      <c r="MZG2026" s="381"/>
      <c r="MZH2026" s="381"/>
      <c r="MZI2026" s="381"/>
      <c r="MZJ2026" s="381"/>
      <c r="MZK2026" s="381"/>
      <c r="MZL2026" s="381"/>
      <c r="MZM2026" s="381"/>
      <c r="MZN2026" s="381"/>
      <c r="MZO2026" s="381"/>
      <c r="MZP2026" s="381"/>
      <c r="MZQ2026" s="381"/>
      <c r="MZR2026" s="381"/>
      <c r="MZS2026" s="381"/>
      <c r="MZT2026" s="381"/>
      <c r="MZU2026" s="381"/>
      <c r="MZV2026" s="381"/>
      <c r="MZW2026" s="381"/>
      <c r="MZX2026" s="381"/>
      <c r="MZY2026" s="381"/>
      <c r="MZZ2026" s="381"/>
      <c r="NAA2026" s="381"/>
      <c r="NAB2026" s="381"/>
      <c r="NAC2026" s="381"/>
      <c r="NAD2026" s="381"/>
      <c r="NAE2026" s="381"/>
      <c r="NAF2026" s="381"/>
      <c r="NAG2026" s="381"/>
      <c r="NAH2026" s="381"/>
      <c r="NAI2026" s="381"/>
      <c r="NAJ2026" s="381"/>
      <c r="NAK2026" s="381"/>
      <c r="NAL2026" s="381"/>
      <c r="NAM2026" s="381"/>
      <c r="NAN2026" s="381"/>
      <c r="NAO2026" s="381"/>
      <c r="NAP2026" s="381"/>
      <c r="NAQ2026" s="381"/>
      <c r="NAR2026" s="381"/>
      <c r="NAS2026" s="381"/>
      <c r="NAT2026" s="381"/>
      <c r="NAU2026" s="381"/>
      <c r="NAV2026" s="381"/>
      <c r="NAW2026" s="381"/>
      <c r="NAX2026" s="381"/>
      <c r="NAY2026" s="381"/>
      <c r="NAZ2026" s="381"/>
      <c r="NBA2026" s="381"/>
      <c r="NBB2026" s="381"/>
      <c r="NBC2026" s="381"/>
      <c r="NBD2026" s="381"/>
      <c r="NBE2026" s="381"/>
      <c r="NBF2026" s="381"/>
      <c r="NBG2026" s="381"/>
      <c r="NBH2026" s="381"/>
      <c r="NBI2026" s="381"/>
      <c r="NBJ2026" s="381"/>
      <c r="NBK2026" s="381"/>
      <c r="NBL2026" s="381"/>
      <c r="NBM2026" s="381"/>
      <c r="NBN2026" s="381"/>
      <c r="NBO2026" s="381"/>
      <c r="NBP2026" s="381"/>
      <c r="NBQ2026" s="381"/>
      <c r="NBR2026" s="381"/>
      <c r="NBS2026" s="381"/>
      <c r="NBT2026" s="381"/>
      <c r="NBU2026" s="381"/>
      <c r="NBV2026" s="381"/>
      <c r="NBW2026" s="381"/>
      <c r="NBX2026" s="381"/>
      <c r="NBY2026" s="381"/>
      <c r="NBZ2026" s="381"/>
      <c r="NCA2026" s="381"/>
      <c r="NCB2026" s="381"/>
      <c r="NCC2026" s="381"/>
      <c r="NCD2026" s="381"/>
      <c r="NCE2026" s="381"/>
      <c r="NCF2026" s="381"/>
      <c r="NCG2026" s="381"/>
      <c r="NCH2026" s="381"/>
      <c r="NCI2026" s="381"/>
      <c r="NCJ2026" s="381"/>
      <c r="NCK2026" s="381"/>
      <c r="NCL2026" s="381"/>
      <c r="NCM2026" s="381"/>
      <c r="NCN2026" s="381"/>
      <c r="NCO2026" s="381"/>
      <c r="NCP2026" s="381"/>
      <c r="NCQ2026" s="381"/>
      <c r="NCR2026" s="381"/>
      <c r="NCS2026" s="381"/>
      <c r="NCT2026" s="381"/>
      <c r="NCU2026" s="381"/>
      <c r="NCV2026" s="381"/>
      <c r="NCW2026" s="381"/>
      <c r="NCX2026" s="381"/>
      <c r="NCY2026" s="381"/>
      <c r="NCZ2026" s="381"/>
      <c r="NDA2026" s="381"/>
      <c r="NDB2026" s="381"/>
      <c r="NDC2026" s="381"/>
      <c r="NDD2026" s="381"/>
      <c r="NDE2026" s="381"/>
      <c r="NDF2026" s="381"/>
      <c r="NDG2026" s="381"/>
      <c r="NDH2026" s="381"/>
      <c r="NDI2026" s="381"/>
      <c r="NDJ2026" s="381"/>
      <c r="NDK2026" s="381"/>
      <c r="NDL2026" s="381"/>
      <c r="NDM2026" s="381"/>
      <c r="NDN2026" s="381"/>
      <c r="NDO2026" s="381"/>
      <c r="NDP2026" s="381"/>
      <c r="NDQ2026" s="381"/>
      <c r="NDR2026" s="381"/>
      <c r="NDS2026" s="381"/>
      <c r="NDT2026" s="381"/>
      <c r="NDU2026" s="381"/>
      <c r="NDV2026" s="381"/>
      <c r="NDW2026" s="381"/>
      <c r="NDX2026" s="381"/>
      <c r="NDY2026" s="381"/>
      <c r="NDZ2026" s="381"/>
      <c r="NEA2026" s="381"/>
      <c r="NEB2026" s="381"/>
      <c r="NEC2026" s="381"/>
      <c r="NED2026" s="381"/>
      <c r="NEE2026" s="381"/>
      <c r="NEF2026" s="381"/>
      <c r="NEG2026" s="381"/>
      <c r="NEH2026" s="381"/>
      <c r="NEI2026" s="381"/>
      <c r="NEJ2026" s="381"/>
      <c r="NEK2026" s="381"/>
      <c r="NEL2026" s="381"/>
      <c r="NEM2026" s="381"/>
      <c r="NEN2026" s="381"/>
      <c r="NEO2026" s="381"/>
      <c r="NEP2026" s="381"/>
      <c r="NEQ2026" s="381"/>
      <c r="NER2026" s="381"/>
      <c r="NES2026" s="381"/>
      <c r="NET2026" s="381"/>
      <c r="NEU2026" s="381"/>
      <c r="NEV2026" s="381"/>
      <c r="NEW2026" s="381"/>
      <c r="NEX2026" s="381"/>
      <c r="NEY2026" s="381"/>
      <c r="NEZ2026" s="381"/>
      <c r="NFA2026" s="381"/>
      <c r="NFB2026" s="381"/>
      <c r="NFC2026" s="381"/>
      <c r="NFD2026" s="381"/>
      <c r="NFE2026" s="381"/>
      <c r="NFF2026" s="381"/>
      <c r="NFG2026" s="381"/>
      <c r="NFH2026" s="381"/>
      <c r="NFI2026" s="381"/>
      <c r="NFJ2026" s="381"/>
      <c r="NFK2026" s="381"/>
      <c r="NFL2026" s="381"/>
      <c r="NFM2026" s="381"/>
      <c r="NFN2026" s="381"/>
      <c r="NFO2026" s="381"/>
      <c r="NFP2026" s="381"/>
      <c r="NFQ2026" s="381"/>
      <c r="NFR2026" s="381"/>
      <c r="NFS2026" s="381"/>
      <c r="NFT2026" s="381"/>
      <c r="NFU2026" s="381"/>
      <c r="NFV2026" s="381"/>
      <c r="NFW2026" s="381"/>
      <c r="NFX2026" s="381"/>
      <c r="NFY2026" s="381"/>
      <c r="NFZ2026" s="381"/>
      <c r="NGA2026" s="381"/>
      <c r="NGB2026" s="381"/>
      <c r="NGC2026" s="381"/>
      <c r="NGD2026" s="381"/>
      <c r="NGE2026" s="381"/>
      <c r="NGF2026" s="381"/>
      <c r="NGG2026" s="381"/>
      <c r="NGH2026" s="381"/>
      <c r="NGI2026" s="381"/>
      <c r="NGJ2026" s="381"/>
      <c r="NGK2026" s="381"/>
      <c r="NGL2026" s="381"/>
      <c r="NGM2026" s="381"/>
      <c r="NGN2026" s="381"/>
      <c r="NGO2026" s="381"/>
      <c r="NGP2026" s="381"/>
      <c r="NGQ2026" s="381"/>
      <c r="NGR2026" s="381"/>
      <c r="NGS2026" s="381"/>
      <c r="NGT2026" s="381"/>
      <c r="NGU2026" s="381"/>
      <c r="NGV2026" s="381"/>
      <c r="NGW2026" s="381"/>
      <c r="NGX2026" s="381"/>
      <c r="NGY2026" s="381"/>
      <c r="NGZ2026" s="381"/>
      <c r="NHA2026" s="381"/>
      <c r="NHB2026" s="381"/>
      <c r="NHC2026" s="381"/>
      <c r="NHD2026" s="381"/>
      <c r="NHE2026" s="381"/>
      <c r="NHF2026" s="381"/>
      <c r="NHG2026" s="381"/>
      <c r="NHH2026" s="381"/>
      <c r="NHI2026" s="381"/>
      <c r="NHJ2026" s="381"/>
      <c r="NHK2026" s="381"/>
      <c r="NHL2026" s="381"/>
      <c r="NHM2026" s="381"/>
      <c r="NHN2026" s="381"/>
      <c r="NHO2026" s="381"/>
      <c r="NHP2026" s="381"/>
      <c r="NHQ2026" s="381"/>
      <c r="NHR2026" s="381"/>
      <c r="NHS2026" s="381"/>
      <c r="NHT2026" s="381"/>
      <c r="NHU2026" s="381"/>
      <c r="NHV2026" s="381"/>
      <c r="NHW2026" s="381"/>
      <c r="NHX2026" s="381"/>
      <c r="NHY2026" s="381"/>
      <c r="NHZ2026" s="381"/>
      <c r="NIA2026" s="381"/>
      <c r="NIB2026" s="381"/>
      <c r="NIC2026" s="381"/>
      <c r="NID2026" s="381"/>
      <c r="NIE2026" s="381"/>
      <c r="NIF2026" s="381"/>
      <c r="NIG2026" s="381"/>
      <c r="NIH2026" s="381"/>
      <c r="NII2026" s="381"/>
      <c r="NIJ2026" s="381"/>
      <c r="NIK2026" s="381"/>
      <c r="NIL2026" s="381"/>
      <c r="NIM2026" s="381"/>
      <c r="NIN2026" s="381"/>
      <c r="NIO2026" s="381"/>
      <c r="NIP2026" s="381"/>
      <c r="NIQ2026" s="381"/>
      <c r="NIR2026" s="381"/>
      <c r="NIS2026" s="381"/>
      <c r="NIT2026" s="381"/>
      <c r="NIU2026" s="381"/>
      <c r="NIV2026" s="381"/>
      <c r="NIW2026" s="381"/>
      <c r="NIX2026" s="381"/>
      <c r="NIY2026" s="381"/>
      <c r="NIZ2026" s="381"/>
      <c r="NJA2026" s="381"/>
      <c r="NJB2026" s="381"/>
      <c r="NJC2026" s="381"/>
      <c r="NJD2026" s="381"/>
      <c r="NJE2026" s="381"/>
      <c r="NJF2026" s="381"/>
      <c r="NJG2026" s="381"/>
      <c r="NJH2026" s="381"/>
      <c r="NJI2026" s="381"/>
      <c r="NJJ2026" s="381"/>
      <c r="NJK2026" s="381"/>
      <c r="NJL2026" s="381"/>
      <c r="NJM2026" s="381"/>
      <c r="NJN2026" s="381"/>
      <c r="NJO2026" s="381"/>
      <c r="NJP2026" s="381"/>
      <c r="NJQ2026" s="381"/>
      <c r="NJR2026" s="381"/>
      <c r="NJS2026" s="381"/>
      <c r="NJT2026" s="381"/>
      <c r="NJU2026" s="381"/>
      <c r="NJV2026" s="381"/>
      <c r="NJW2026" s="381"/>
      <c r="NJX2026" s="381"/>
      <c r="NJY2026" s="381"/>
      <c r="NJZ2026" s="381"/>
      <c r="NKA2026" s="381"/>
      <c r="NKB2026" s="381"/>
      <c r="NKC2026" s="381"/>
      <c r="NKD2026" s="381"/>
      <c r="NKE2026" s="381"/>
      <c r="NKF2026" s="381"/>
      <c r="NKG2026" s="381"/>
      <c r="NKH2026" s="381"/>
      <c r="NKI2026" s="381"/>
      <c r="NKJ2026" s="381"/>
      <c r="NKK2026" s="381"/>
      <c r="NKL2026" s="381"/>
      <c r="NKM2026" s="381"/>
      <c r="NKN2026" s="381"/>
      <c r="NKO2026" s="381"/>
      <c r="NKP2026" s="381"/>
      <c r="NKQ2026" s="381"/>
      <c r="NKR2026" s="381"/>
      <c r="NKS2026" s="381"/>
      <c r="NKT2026" s="381"/>
      <c r="NKU2026" s="381"/>
      <c r="NKV2026" s="381"/>
      <c r="NKW2026" s="381"/>
      <c r="NKX2026" s="381"/>
      <c r="NKY2026" s="381"/>
      <c r="NKZ2026" s="381"/>
      <c r="NLA2026" s="381"/>
      <c r="NLB2026" s="381"/>
      <c r="NLC2026" s="381"/>
      <c r="NLD2026" s="381"/>
      <c r="NLE2026" s="381"/>
      <c r="NLF2026" s="381"/>
      <c r="NLG2026" s="381"/>
      <c r="NLH2026" s="381"/>
      <c r="NLI2026" s="381"/>
      <c r="NLJ2026" s="381"/>
      <c r="NLK2026" s="381"/>
      <c r="NLL2026" s="381"/>
      <c r="NLM2026" s="381"/>
      <c r="NLN2026" s="381"/>
      <c r="NLO2026" s="381"/>
      <c r="NLP2026" s="381"/>
      <c r="NLQ2026" s="381"/>
      <c r="NLR2026" s="381"/>
      <c r="NLS2026" s="381"/>
      <c r="NLT2026" s="381"/>
      <c r="NLU2026" s="381"/>
      <c r="NLV2026" s="381"/>
      <c r="NLW2026" s="381"/>
      <c r="NLX2026" s="381"/>
      <c r="NLY2026" s="381"/>
      <c r="NLZ2026" s="381"/>
      <c r="NMA2026" s="381"/>
      <c r="NMB2026" s="381"/>
      <c r="NMC2026" s="381"/>
      <c r="NMD2026" s="381"/>
      <c r="NME2026" s="381"/>
      <c r="NMF2026" s="381"/>
      <c r="NMG2026" s="381"/>
      <c r="NMH2026" s="381"/>
      <c r="NMI2026" s="381"/>
      <c r="NMJ2026" s="381"/>
      <c r="NMK2026" s="381"/>
      <c r="NML2026" s="381"/>
      <c r="NMM2026" s="381"/>
      <c r="NMN2026" s="381"/>
      <c r="NMO2026" s="381"/>
      <c r="NMP2026" s="381"/>
      <c r="NMQ2026" s="381"/>
      <c r="NMR2026" s="381"/>
      <c r="NMS2026" s="381"/>
      <c r="NMT2026" s="381"/>
      <c r="NMU2026" s="381"/>
      <c r="NMV2026" s="381"/>
      <c r="NMW2026" s="381"/>
      <c r="NMX2026" s="381"/>
      <c r="NMY2026" s="381"/>
      <c r="NMZ2026" s="381"/>
      <c r="NNA2026" s="381"/>
      <c r="NNB2026" s="381"/>
      <c r="NNC2026" s="381"/>
      <c r="NND2026" s="381"/>
      <c r="NNE2026" s="381"/>
      <c r="NNF2026" s="381"/>
      <c r="NNG2026" s="381"/>
      <c r="NNH2026" s="381"/>
      <c r="NNI2026" s="381"/>
      <c r="NNJ2026" s="381"/>
      <c r="NNK2026" s="381"/>
      <c r="NNL2026" s="381"/>
      <c r="NNM2026" s="381"/>
      <c r="NNN2026" s="381"/>
      <c r="NNO2026" s="381"/>
      <c r="NNP2026" s="381"/>
      <c r="NNQ2026" s="381"/>
      <c r="NNR2026" s="381"/>
      <c r="NNS2026" s="381"/>
      <c r="NNT2026" s="381"/>
      <c r="NNU2026" s="381"/>
      <c r="NNV2026" s="381"/>
      <c r="NNW2026" s="381"/>
      <c r="NNX2026" s="381"/>
      <c r="NNY2026" s="381"/>
      <c r="NNZ2026" s="381"/>
      <c r="NOA2026" s="381"/>
      <c r="NOB2026" s="381"/>
      <c r="NOC2026" s="381"/>
      <c r="NOD2026" s="381"/>
      <c r="NOE2026" s="381"/>
      <c r="NOF2026" s="381"/>
      <c r="NOG2026" s="381"/>
      <c r="NOH2026" s="381"/>
      <c r="NOI2026" s="381"/>
      <c r="NOJ2026" s="381"/>
      <c r="NOK2026" s="381"/>
      <c r="NOL2026" s="381"/>
      <c r="NOM2026" s="381"/>
      <c r="NON2026" s="381"/>
      <c r="NOO2026" s="381"/>
      <c r="NOP2026" s="381"/>
      <c r="NOQ2026" s="381"/>
      <c r="NOR2026" s="381"/>
      <c r="NOS2026" s="381"/>
      <c r="NOT2026" s="381"/>
      <c r="NOU2026" s="381"/>
      <c r="NOV2026" s="381"/>
      <c r="NOW2026" s="381"/>
      <c r="NOX2026" s="381"/>
      <c r="NOY2026" s="381"/>
      <c r="NOZ2026" s="381"/>
      <c r="NPA2026" s="381"/>
      <c r="NPB2026" s="381"/>
      <c r="NPC2026" s="381"/>
      <c r="NPD2026" s="381"/>
      <c r="NPE2026" s="381"/>
      <c r="NPF2026" s="381"/>
      <c r="NPG2026" s="381"/>
      <c r="NPH2026" s="381"/>
      <c r="NPI2026" s="381"/>
      <c r="NPJ2026" s="381"/>
      <c r="NPK2026" s="381"/>
      <c r="NPL2026" s="381"/>
      <c r="NPM2026" s="381"/>
      <c r="NPN2026" s="381"/>
      <c r="NPO2026" s="381"/>
      <c r="NPP2026" s="381"/>
      <c r="NPQ2026" s="381"/>
      <c r="NPR2026" s="381"/>
      <c r="NPS2026" s="381"/>
      <c r="NPT2026" s="381"/>
      <c r="NPU2026" s="381"/>
      <c r="NPV2026" s="381"/>
      <c r="NPW2026" s="381"/>
      <c r="NPX2026" s="381"/>
      <c r="NPY2026" s="381"/>
      <c r="NPZ2026" s="381"/>
      <c r="NQA2026" s="381"/>
      <c r="NQB2026" s="381"/>
      <c r="NQC2026" s="381"/>
      <c r="NQD2026" s="381"/>
      <c r="NQE2026" s="381"/>
      <c r="NQF2026" s="381"/>
      <c r="NQG2026" s="381"/>
      <c r="NQH2026" s="381"/>
      <c r="NQI2026" s="381"/>
      <c r="NQJ2026" s="381"/>
      <c r="NQK2026" s="381"/>
      <c r="NQL2026" s="381"/>
      <c r="NQM2026" s="381"/>
      <c r="NQN2026" s="381"/>
      <c r="NQO2026" s="381"/>
      <c r="NQP2026" s="381"/>
      <c r="NQQ2026" s="381"/>
      <c r="NQR2026" s="381"/>
      <c r="NQS2026" s="381"/>
      <c r="NQT2026" s="381"/>
      <c r="NQU2026" s="381"/>
      <c r="NQV2026" s="381"/>
      <c r="NQW2026" s="381"/>
      <c r="NQX2026" s="381"/>
      <c r="NQY2026" s="381"/>
      <c r="NQZ2026" s="381"/>
      <c r="NRA2026" s="381"/>
      <c r="NRB2026" s="381"/>
      <c r="NRC2026" s="381"/>
      <c r="NRD2026" s="381"/>
      <c r="NRE2026" s="381"/>
      <c r="NRF2026" s="381"/>
      <c r="NRG2026" s="381"/>
      <c r="NRH2026" s="381"/>
      <c r="NRI2026" s="381"/>
      <c r="NRJ2026" s="381"/>
      <c r="NRK2026" s="381"/>
      <c r="NRL2026" s="381"/>
      <c r="NRM2026" s="381"/>
      <c r="NRN2026" s="381"/>
      <c r="NRO2026" s="381"/>
      <c r="NRP2026" s="381"/>
      <c r="NRQ2026" s="381"/>
      <c r="NRR2026" s="381"/>
      <c r="NRS2026" s="381"/>
      <c r="NRT2026" s="381"/>
      <c r="NRU2026" s="381"/>
      <c r="NRV2026" s="381"/>
      <c r="NRW2026" s="381"/>
      <c r="NRX2026" s="381"/>
      <c r="NRY2026" s="381"/>
      <c r="NRZ2026" s="381"/>
      <c r="NSA2026" s="381"/>
      <c r="NSB2026" s="381"/>
      <c r="NSC2026" s="381"/>
      <c r="NSD2026" s="381"/>
      <c r="NSE2026" s="381"/>
      <c r="NSF2026" s="381"/>
      <c r="NSG2026" s="381"/>
      <c r="NSH2026" s="381"/>
      <c r="NSI2026" s="381"/>
      <c r="NSJ2026" s="381"/>
      <c r="NSK2026" s="381"/>
      <c r="NSL2026" s="381"/>
      <c r="NSM2026" s="381"/>
      <c r="NSN2026" s="381"/>
      <c r="NSO2026" s="381"/>
      <c r="NSP2026" s="381"/>
      <c r="NSQ2026" s="381"/>
      <c r="NSR2026" s="381"/>
      <c r="NSS2026" s="381"/>
      <c r="NST2026" s="381"/>
      <c r="NSU2026" s="381"/>
      <c r="NSV2026" s="381"/>
      <c r="NSW2026" s="381"/>
      <c r="NSX2026" s="381"/>
      <c r="NSY2026" s="381"/>
      <c r="NSZ2026" s="381"/>
      <c r="NTA2026" s="381"/>
      <c r="NTB2026" s="381"/>
      <c r="NTC2026" s="381"/>
      <c r="NTD2026" s="381"/>
      <c r="NTE2026" s="381"/>
      <c r="NTF2026" s="381"/>
      <c r="NTG2026" s="381"/>
      <c r="NTH2026" s="381"/>
      <c r="NTI2026" s="381"/>
      <c r="NTJ2026" s="381"/>
      <c r="NTK2026" s="381"/>
      <c r="NTL2026" s="381"/>
      <c r="NTM2026" s="381"/>
      <c r="NTN2026" s="381"/>
      <c r="NTO2026" s="381"/>
      <c r="NTP2026" s="381"/>
      <c r="NTQ2026" s="381"/>
      <c r="NTR2026" s="381"/>
      <c r="NTS2026" s="381"/>
      <c r="NTT2026" s="381"/>
      <c r="NTU2026" s="381"/>
      <c r="NTV2026" s="381"/>
      <c r="NTW2026" s="381"/>
      <c r="NTX2026" s="381"/>
      <c r="NTY2026" s="381"/>
      <c r="NTZ2026" s="381"/>
      <c r="NUA2026" s="381"/>
      <c r="NUB2026" s="381"/>
      <c r="NUC2026" s="381"/>
      <c r="NUD2026" s="381"/>
      <c r="NUE2026" s="381"/>
      <c r="NUF2026" s="381"/>
      <c r="NUG2026" s="381"/>
      <c r="NUH2026" s="381"/>
      <c r="NUI2026" s="381"/>
      <c r="NUJ2026" s="381"/>
      <c r="NUK2026" s="381"/>
      <c r="NUL2026" s="381"/>
      <c r="NUM2026" s="381"/>
      <c r="NUN2026" s="381"/>
      <c r="NUO2026" s="381"/>
      <c r="NUP2026" s="381"/>
      <c r="NUQ2026" s="381"/>
      <c r="NUR2026" s="381"/>
      <c r="NUS2026" s="381"/>
      <c r="NUT2026" s="381"/>
      <c r="NUU2026" s="381"/>
      <c r="NUV2026" s="381"/>
      <c r="NUW2026" s="381"/>
      <c r="NUX2026" s="381"/>
      <c r="NUY2026" s="381"/>
      <c r="NUZ2026" s="381"/>
      <c r="NVA2026" s="381"/>
      <c r="NVB2026" s="381"/>
      <c r="NVC2026" s="381"/>
      <c r="NVD2026" s="381"/>
      <c r="NVE2026" s="381"/>
      <c r="NVF2026" s="381"/>
      <c r="NVG2026" s="381"/>
      <c r="NVH2026" s="381"/>
      <c r="NVI2026" s="381"/>
      <c r="NVJ2026" s="381"/>
      <c r="NVK2026" s="381"/>
      <c r="NVL2026" s="381"/>
      <c r="NVM2026" s="381"/>
      <c r="NVN2026" s="381"/>
      <c r="NVO2026" s="381"/>
      <c r="NVP2026" s="381"/>
      <c r="NVQ2026" s="381"/>
      <c r="NVR2026" s="381"/>
      <c r="NVS2026" s="381"/>
      <c r="NVT2026" s="381"/>
      <c r="NVU2026" s="381"/>
      <c r="NVV2026" s="381"/>
      <c r="NVW2026" s="381"/>
      <c r="NVX2026" s="381"/>
      <c r="NVY2026" s="381"/>
      <c r="NVZ2026" s="381"/>
      <c r="NWA2026" s="381"/>
      <c r="NWB2026" s="381"/>
      <c r="NWC2026" s="381"/>
      <c r="NWD2026" s="381"/>
      <c r="NWE2026" s="381"/>
      <c r="NWF2026" s="381"/>
      <c r="NWG2026" s="381"/>
      <c r="NWH2026" s="381"/>
      <c r="NWI2026" s="381"/>
      <c r="NWJ2026" s="381"/>
      <c r="NWK2026" s="381"/>
      <c r="NWL2026" s="381"/>
      <c r="NWM2026" s="381"/>
      <c r="NWN2026" s="381"/>
      <c r="NWO2026" s="381"/>
      <c r="NWP2026" s="381"/>
      <c r="NWQ2026" s="381"/>
      <c r="NWR2026" s="381"/>
      <c r="NWS2026" s="381"/>
      <c r="NWT2026" s="381"/>
      <c r="NWU2026" s="381"/>
      <c r="NWV2026" s="381"/>
      <c r="NWW2026" s="381"/>
      <c r="NWX2026" s="381"/>
      <c r="NWY2026" s="381"/>
      <c r="NWZ2026" s="381"/>
      <c r="NXA2026" s="381"/>
      <c r="NXB2026" s="381"/>
      <c r="NXC2026" s="381"/>
      <c r="NXD2026" s="381"/>
      <c r="NXE2026" s="381"/>
      <c r="NXF2026" s="381"/>
      <c r="NXG2026" s="381"/>
      <c r="NXH2026" s="381"/>
      <c r="NXI2026" s="381"/>
      <c r="NXJ2026" s="381"/>
      <c r="NXK2026" s="381"/>
      <c r="NXL2026" s="381"/>
      <c r="NXM2026" s="381"/>
      <c r="NXN2026" s="381"/>
      <c r="NXO2026" s="381"/>
      <c r="NXP2026" s="381"/>
      <c r="NXQ2026" s="381"/>
      <c r="NXR2026" s="381"/>
      <c r="NXS2026" s="381"/>
      <c r="NXT2026" s="381"/>
      <c r="NXU2026" s="381"/>
      <c r="NXV2026" s="381"/>
      <c r="NXW2026" s="381"/>
      <c r="NXX2026" s="381"/>
      <c r="NXY2026" s="381"/>
      <c r="NXZ2026" s="381"/>
      <c r="NYA2026" s="381"/>
      <c r="NYB2026" s="381"/>
      <c r="NYC2026" s="381"/>
      <c r="NYD2026" s="381"/>
      <c r="NYE2026" s="381"/>
      <c r="NYF2026" s="381"/>
      <c r="NYG2026" s="381"/>
      <c r="NYH2026" s="381"/>
      <c r="NYI2026" s="381"/>
      <c r="NYJ2026" s="381"/>
      <c r="NYK2026" s="381"/>
      <c r="NYL2026" s="381"/>
      <c r="NYM2026" s="381"/>
      <c r="NYN2026" s="381"/>
      <c r="NYO2026" s="381"/>
      <c r="NYP2026" s="381"/>
      <c r="NYQ2026" s="381"/>
      <c r="NYR2026" s="381"/>
      <c r="NYS2026" s="381"/>
      <c r="NYT2026" s="381"/>
      <c r="NYU2026" s="381"/>
      <c r="NYV2026" s="381"/>
      <c r="NYW2026" s="381"/>
      <c r="NYX2026" s="381"/>
      <c r="NYY2026" s="381"/>
      <c r="NYZ2026" s="381"/>
      <c r="NZA2026" s="381"/>
      <c r="NZB2026" s="381"/>
      <c r="NZC2026" s="381"/>
      <c r="NZD2026" s="381"/>
      <c r="NZE2026" s="381"/>
      <c r="NZF2026" s="381"/>
      <c r="NZG2026" s="381"/>
      <c r="NZH2026" s="381"/>
      <c r="NZI2026" s="381"/>
      <c r="NZJ2026" s="381"/>
      <c r="NZK2026" s="381"/>
      <c r="NZL2026" s="381"/>
      <c r="NZM2026" s="381"/>
      <c r="NZN2026" s="381"/>
      <c r="NZO2026" s="381"/>
      <c r="NZP2026" s="381"/>
      <c r="NZQ2026" s="381"/>
      <c r="NZR2026" s="381"/>
      <c r="NZS2026" s="381"/>
      <c r="NZT2026" s="381"/>
      <c r="NZU2026" s="381"/>
      <c r="NZV2026" s="381"/>
      <c r="NZW2026" s="381"/>
      <c r="NZX2026" s="381"/>
      <c r="NZY2026" s="381"/>
      <c r="NZZ2026" s="381"/>
      <c r="OAA2026" s="381"/>
      <c r="OAB2026" s="381"/>
      <c r="OAC2026" s="381"/>
      <c r="OAD2026" s="381"/>
      <c r="OAE2026" s="381"/>
      <c r="OAF2026" s="381"/>
      <c r="OAG2026" s="381"/>
      <c r="OAH2026" s="381"/>
      <c r="OAI2026" s="381"/>
      <c r="OAJ2026" s="381"/>
      <c r="OAK2026" s="381"/>
      <c r="OAL2026" s="381"/>
      <c r="OAM2026" s="381"/>
      <c r="OAN2026" s="381"/>
      <c r="OAO2026" s="381"/>
      <c r="OAP2026" s="381"/>
      <c r="OAQ2026" s="381"/>
      <c r="OAR2026" s="381"/>
      <c r="OAS2026" s="381"/>
      <c r="OAT2026" s="381"/>
      <c r="OAU2026" s="381"/>
      <c r="OAV2026" s="381"/>
      <c r="OAW2026" s="381"/>
      <c r="OAX2026" s="381"/>
      <c r="OAY2026" s="381"/>
      <c r="OAZ2026" s="381"/>
      <c r="OBA2026" s="381"/>
      <c r="OBB2026" s="381"/>
      <c r="OBC2026" s="381"/>
      <c r="OBD2026" s="381"/>
      <c r="OBE2026" s="381"/>
      <c r="OBF2026" s="381"/>
      <c r="OBG2026" s="381"/>
      <c r="OBH2026" s="381"/>
      <c r="OBI2026" s="381"/>
      <c r="OBJ2026" s="381"/>
      <c r="OBK2026" s="381"/>
      <c r="OBL2026" s="381"/>
      <c r="OBM2026" s="381"/>
      <c r="OBN2026" s="381"/>
      <c r="OBO2026" s="381"/>
      <c r="OBP2026" s="381"/>
      <c r="OBQ2026" s="381"/>
      <c r="OBR2026" s="381"/>
      <c r="OBS2026" s="381"/>
      <c r="OBT2026" s="381"/>
      <c r="OBU2026" s="381"/>
      <c r="OBV2026" s="381"/>
      <c r="OBW2026" s="381"/>
      <c r="OBX2026" s="381"/>
      <c r="OBY2026" s="381"/>
      <c r="OBZ2026" s="381"/>
      <c r="OCA2026" s="381"/>
      <c r="OCB2026" s="381"/>
      <c r="OCC2026" s="381"/>
      <c r="OCD2026" s="381"/>
      <c r="OCE2026" s="381"/>
      <c r="OCF2026" s="381"/>
      <c r="OCG2026" s="381"/>
      <c r="OCH2026" s="381"/>
      <c r="OCI2026" s="381"/>
      <c r="OCJ2026" s="381"/>
      <c r="OCK2026" s="381"/>
      <c r="OCL2026" s="381"/>
      <c r="OCM2026" s="381"/>
      <c r="OCN2026" s="381"/>
      <c r="OCO2026" s="381"/>
      <c r="OCP2026" s="381"/>
      <c r="OCQ2026" s="381"/>
      <c r="OCR2026" s="381"/>
      <c r="OCS2026" s="381"/>
      <c r="OCT2026" s="381"/>
      <c r="OCU2026" s="381"/>
      <c r="OCV2026" s="381"/>
      <c r="OCW2026" s="381"/>
      <c r="OCX2026" s="381"/>
      <c r="OCY2026" s="381"/>
      <c r="OCZ2026" s="381"/>
      <c r="ODA2026" s="381"/>
      <c r="ODB2026" s="381"/>
      <c r="ODC2026" s="381"/>
      <c r="ODD2026" s="381"/>
      <c r="ODE2026" s="381"/>
      <c r="ODF2026" s="381"/>
      <c r="ODG2026" s="381"/>
      <c r="ODH2026" s="381"/>
      <c r="ODI2026" s="381"/>
      <c r="ODJ2026" s="381"/>
      <c r="ODK2026" s="381"/>
      <c r="ODL2026" s="381"/>
      <c r="ODM2026" s="381"/>
      <c r="ODN2026" s="381"/>
      <c r="ODO2026" s="381"/>
      <c r="ODP2026" s="381"/>
      <c r="ODQ2026" s="381"/>
      <c r="ODR2026" s="381"/>
      <c r="ODS2026" s="381"/>
      <c r="ODT2026" s="381"/>
      <c r="ODU2026" s="381"/>
      <c r="ODV2026" s="381"/>
      <c r="ODW2026" s="381"/>
      <c r="ODX2026" s="381"/>
      <c r="ODY2026" s="381"/>
      <c r="ODZ2026" s="381"/>
      <c r="OEA2026" s="381"/>
      <c r="OEB2026" s="381"/>
      <c r="OEC2026" s="381"/>
      <c r="OED2026" s="381"/>
      <c r="OEE2026" s="381"/>
      <c r="OEF2026" s="381"/>
      <c r="OEG2026" s="381"/>
      <c r="OEH2026" s="381"/>
      <c r="OEI2026" s="381"/>
      <c r="OEJ2026" s="381"/>
      <c r="OEK2026" s="381"/>
      <c r="OEL2026" s="381"/>
      <c r="OEM2026" s="381"/>
      <c r="OEN2026" s="381"/>
      <c r="OEO2026" s="381"/>
      <c r="OEP2026" s="381"/>
      <c r="OEQ2026" s="381"/>
      <c r="OER2026" s="381"/>
      <c r="OES2026" s="381"/>
      <c r="OET2026" s="381"/>
      <c r="OEU2026" s="381"/>
      <c r="OEV2026" s="381"/>
      <c r="OEW2026" s="381"/>
      <c r="OEX2026" s="381"/>
      <c r="OEY2026" s="381"/>
      <c r="OEZ2026" s="381"/>
      <c r="OFA2026" s="381"/>
      <c r="OFB2026" s="381"/>
      <c r="OFC2026" s="381"/>
      <c r="OFD2026" s="381"/>
      <c r="OFE2026" s="381"/>
      <c r="OFF2026" s="381"/>
      <c r="OFG2026" s="381"/>
      <c r="OFH2026" s="381"/>
      <c r="OFI2026" s="381"/>
      <c r="OFJ2026" s="381"/>
      <c r="OFK2026" s="381"/>
      <c r="OFL2026" s="381"/>
      <c r="OFM2026" s="381"/>
      <c r="OFN2026" s="381"/>
      <c r="OFO2026" s="381"/>
      <c r="OFP2026" s="381"/>
      <c r="OFQ2026" s="381"/>
      <c r="OFR2026" s="381"/>
      <c r="OFS2026" s="381"/>
      <c r="OFT2026" s="381"/>
      <c r="OFU2026" s="381"/>
      <c r="OFV2026" s="381"/>
      <c r="OFW2026" s="381"/>
      <c r="OFX2026" s="381"/>
      <c r="OFY2026" s="381"/>
      <c r="OFZ2026" s="381"/>
      <c r="OGA2026" s="381"/>
      <c r="OGB2026" s="381"/>
      <c r="OGC2026" s="381"/>
      <c r="OGD2026" s="381"/>
      <c r="OGE2026" s="381"/>
      <c r="OGF2026" s="381"/>
      <c r="OGG2026" s="381"/>
      <c r="OGH2026" s="381"/>
      <c r="OGI2026" s="381"/>
      <c r="OGJ2026" s="381"/>
      <c r="OGK2026" s="381"/>
      <c r="OGL2026" s="381"/>
      <c r="OGM2026" s="381"/>
      <c r="OGN2026" s="381"/>
      <c r="OGO2026" s="381"/>
      <c r="OGP2026" s="381"/>
      <c r="OGQ2026" s="381"/>
      <c r="OGR2026" s="381"/>
      <c r="OGS2026" s="381"/>
      <c r="OGT2026" s="381"/>
      <c r="OGU2026" s="381"/>
      <c r="OGV2026" s="381"/>
      <c r="OGW2026" s="381"/>
      <c r="OGX2026" s="381"/>
      <c r="OGY2026" s="381"/>
      <c r="OGZ2026" s="381"/>
      <c r="OHA2026" s="381"/>
      <c r="OHB2026" s="381"/>
      <c r="OHC2026" s="381"/>
      <c r="OHD2026" s="381"/>
      <c r="OHE2026" s="381"/>
      <c r="OHF2026" s="381"/>
      <c r="OHG2026" s="381"/>
      <c r="OHH2026" s="381"/>
      <c r="OHI2026" s="381"/>
      <c r="OHJ2026" s="381"/>
      <c r="OHK2026" s="381"/>
      <c r="OHL2026" s="381"/>
      <c r="OHM2026" s="381"/>
      <c r="OHN2026" s="381"/>
      <c r="OHO2026" s="381"/>
      <c r="OHP2026" s="381"/>
      <c r="OHQ2026" s="381"/>
      <c r="OHR2026" s="381"/>
      <c r="OHS2026" s="381"/>
      <c r="OHT2026" s="381"/>
      <c r="OHU2026" s="381"/>
      <c r="OHV2026" s="381"/>
      <c r="OHW2026" s="381"/>
      <c r="OHX2026" s="381"/>
      <c r="OHY2026" s="381"/>
      <c r="OHZ2026" s="381"/>
      <c r="OIA2026" s="381"/>
      <c r="OIB2026" s="381"/>
      <c r="OIC2026" s="381"/>
      <c r="OID2026" s="381"/>
      <c r="OIE2026" s="381"/>
      <c r="OIF2026" s="381"/>
      <c r="OIG2026" s="381"/>
      <c r="OIH2026" s="381"/>
      <c r="OII2026" s="381"/>
      <c r="OIJ2026" s="381"/>
      <c r="OIK2026" s="381"/>
      <c r="OIL2026" s="381"/>
      <c r="OIM2026" s="381"/>
      <c r="OIN2026" s="381"/>
      <c r="OIO2026" s="381"/>
      <c r="OIP2026" s="381"/>
      <c r="OIQ2026" s="381"/>
      <c r="OIR2026" s="381"/>
      <c r="OIS2026" s="381"/>
      <c r="OIT2026" s="381"/>
      <c r="OIU2026" s="381"/>
      <c r="OIV2026" s="381"/>
      <c r="OIW2026" s="381"/>
      <c r="OIX2026" s="381"/>
      <c r="OIY2026" s="381"/>
      <c r="OIZ2026" s="381"/>
      <c r="OJA2026" s="381"/>
      <c r="OJB2026" s="381"/>
      <c r="OJC2026" s="381"/>
      <c r="OJD2026" s="381"/>
      <c r="OJE2026" s="381"/>
      <c r="OJF2026" s="381"/>
      <c r="OJG2026" s="381"/>
      <c r="OJH2026" s="381"/>
      <c r="OJI2026" s="381"/>
      <c r="OJJ2026" s="381"/>
      <c r="OJK2026" s="381"/>
      <c r="OJL2026" s="381"/>
      <c r="OJM2026" s="381"/>
      <c r="OJN2026" s="381"/>
      <c r="OJO2026" s="381"/>
      <c r="OJP2026" s="381"/>
      <c r="OJQ2026" s="381"/>
      <c r="OJR2026" s="381"/>
      <c r="OJS2026" s="381"/>
      <c r="OJT2026" s="381"/>
      <c r="OJU2026" s="381"/>
      <c r="OJV2026" s="381"/>
      <c r="OJW2026" s="381"/>
      <c r="OJX2026" s="381"/>
      <c r="OJY2026" s="381"/>
      <c r="OJZ2026" s="381"/>
      <c r="OKA2026" s="381"/>
      <c r="OKB2026" s="381"/>
      <c r="OKC2026" s="381"/>
      <c r="OKD2026" s="381"/>
      <c r="OKE2026" s="381"/>
      <c r="OKF2026" s="381"/>
      <c r="OKG2026" s="381"/>
      <c r="OKH2026" s="381"/>
      <c r="OKI2026" s="381"/>
      <c r="OKJ2026" s="381"/>
      <c r="OKK2026" s="381"/>
      <c r="OKL2026" s="381"/>
      <c r="OKM2026" s="381"/>
      <c r="OKN2026" s="381"/>
      <c r="OKO2026" s="381"/>
      <c r="OKP2026" s="381"/>
      <c r="OKQ2026" s="381"/>
      <c r="OKR2026" s="381"/>
      <c r="OKS2026" s="381"/>
      <c r="OKT2026" s="381"/>
      <c r="OKU2026" s="381"/>
      <c r="OKV2026" s="381"/>
      <c r="OKW2026" s="381"/>
      <c r="OKX2026" s="381"/>
      <c r="OKY2026" s="381"/>
      <c r="OKZ2026" s="381"/>
      <c r="OLA2026" s="381"/>
      <c r="OLB2026" s="381"/>
      <c r="OLC2026" s="381"/>
      <c r="OLD2026" s="381"/>
      <c r="OLE2026" s="381"/>
      <c r="OLF2026" s="381"/>
      <c r="OLG2026" s="381"/>
      <c r="OLH2026" s="381"/>
      <c r="OLI2026" s="381"/>
      <c r="OLJ2026" s="381"/>
      <c r="OLK2026" s="381"/>
      <c r="OLL2026" s="381"/>
      <c r="OLM2026" s="381"/>
      <c r="OLN2026" s="381"/>
      <c r="OLO2026" s="381"/>
      <c r="OLP2026" s="381"/>
      <c r="OLQ2026" s="381"/>
      <c r="OLR2026" s="381"/>
      <c r="OLS2026" s="381"/>
      <c r="OLT2026" s="381"/>
      <c r="OLU2026" s="381"/>
      <c r="OLV2026" s="381"/>
      <c r="OLW2026" s="381"/>
      <c r="OLX2026" s="381"/>
      <c r="OLY2026" s="381"/>
      <c r="OLZ2026" s="381"/>
      <c r="OMA2026" s="381"/>
      <c r="OMB2026" s="381"/>
      <c r="OMC2026" s="381"/>
      <c r="OMD2026" s="381"/>
      <c r="OME2026" s="381"/>
      <c r="OMF2026" s="381"/>
      <c r="OMG2026" s="381"/>
      <c r="OMH2026" s="381"/>
      <c r="OMI2026" s="381"/>
      <c r="OMJ2026" s="381"/>
      <c r="OMK2026" s="381"/>
      <c r="OML2026" s="381"/>
      <c r="OMM2026" s="381"/>
      <c r="OMN2026" s="381"/>
      <c r="OMO2026" s="381"/>
      <c r="OMP2026" s="381"/>
      <c r="OMQ2026" s="381"/>
      <c r="OMR2026" s="381"/>
      <c r="OMS2026" s="381"/>
      <c r="OMT2026" s="381"/>
      <c r="OMU2026" s="381"/>
      <c r="OMV2026" s="381"/>
      <c r="OMW2026" s="381"/>
      <c r="OMX2026" s="381"/>
      <c r="OMY2026" s="381"/>
      <c r="OMZ2026" s="381"/>
      <c r="ONA2026" s="381"/>
      <c r="ONB2026" s="381"/>
      <c r="ONC2026" s="381"/>
      <c r="OND2026" s="381"/>
      <c r="ONE2026" s="381"/>
      <c r="ONF2026" s="381"/>
      <c r="ONG2026" s="381"/>
      <c r="ONH2026" s="381"/>
      <c r="ONI2026" s="381"/>
      <c r="ONJ2026" s="381"/>
      <c r="ONK2026" s="381"/>
      <c r="ONL2026" s="381"/>
      <c r="ONM2026" s="381"/>
      <c r="ONN2026" s="381"/>
      <c r="ONO2026" s="381"/>
      <c r="ONP2026" s="381"/>
      <c r="ONQ2026" s="381"/>
      <c r="ONR2026" s="381"/>
      <c r="ONS2026" s="381"/>
      <c r="ONT2026" s="381"/>
      <c r="ONU2026" s="381"/>
      <c r="ONV2026" s="381"/>
      <c r="ONW2026" s="381"/>
      <c r="ONX2026" s="381"/>
      <c r="ONY2026" s="381"/>
      <c r="ONZ2026" s="381"/>
      <c r="OOA2026" s="381"/>
      <c r="OOB2026" s="381"/>
      <c r="OOC2026" s="381"/>
      <c r="OOD2026" s="381"/>
      <c r="OOE2026" s="381"/>
      <c r="OOF2026" s="381"/>
      <c r="OOG2026" s="381"/>
      <c r="OOH2026" s="381"/>
      <c r="OOI2026" s="381"/>
      <c r="OOJ2026" s="381"/>
      <c r="OOK2026" s="381"/>
      <c r="OOL2026" s="381"/>
      <c r="OOM2026" s="381"/>
      <c r="OON2026" s="381"/>
      <c r="OOO2026" s="381"/>
      <c r="OOP2026" s="381"/>
      <c r="OOQ2026" s="381"/>
      <c r="OOR2026" s="381"/>
      <c r="OOS2026" s="381"/>
      <c r="OOT2026" s="381"/>
      <c r="OOU2026" s="381"/>
      <c r="OOV2026" s="381"/>
      <c r="OOW2026" s="381"/>
      <c r="OOX2026" s="381"/>
      <c r="OOY2026" s="381"/>
      <c r="OOZ2026" s="381"/>
      <c r="OPA2026" s="381"/>
      <c r="OPB2026" s="381"/>
      <c r="OPC2026" s="381"/>
      <c r="OPD2026" s="381"/>
      <c r="OPE2026" s="381"/>
      <c r="OPF2026" s="381"/>
      <c r="OPG2026" s="381"/>
      <c r="OPH2026" s="381"/>
      <c r="OPI2026" s="381"/>
      <c r="OPJ2026" s="381"/>
      <c r="OPK2026" s="381"/>
      <c r="OPL2026" s="381"/>
      <c r="OPM2026" s="381"/>
      <c r="OPN2026" s="381"/>
      <c r="OPO2026" s="381"/>
      <c r="OPP2026" s="381"/>
      <c r="OPQ2026" s="381"/>
      <c r="OPR2026" s="381"/>
      <c r="OPS2026" s="381"/>
      <c r="OPT2026" s="381"/>
      <c r="OPU2026" s="381"/>
      <c r="OPV2026" s="381"/>
      <c r="OPW2026" s="381"/>
      <c r="OPX2026" s="381"/>
      <c r="OPY2026" s="381"/>
      <c r="OPZ2026" s="381"/>
      <c r="OQA2026" s="381"/>
      <c r="OQB2026" s="381"/>
      <c r="OQC2026" s="381"/>
      <c r="OQD2026" s="381"/>
      <c r="OQE2026" s="381"/>
      <c r="OQF2026" s="381"/>
      <c r="OQG2026" s="381"/>
      <c r="OQH2026" s="381"/>
      <c r="OQI2026" s="381"/>
      <c r="OQJ2026" s="381"/>
      <c r="OQK2026" s="381"/>
      <c r="OQL2026" s="381"/>
      <c r="OQM2026" s="381"/>
      <c r="OQN2026" s="381"/>
      <c r="OQO2026" s="381"/>
      <c r="OQP2026" s="381"/>
      <c r="OQQ2026" s="381"/>
      <c r="OQR2026" s="381"/>
      <c r="OQS2026" s="381"/>
      <c r="OQT2026" s="381"/>
      <c r="OQU2026" s="381"/>
      <c r="OQV2026" s="381"/>
      <c r="OQW2026" s="381"/>
      <c r="OQX2026" s="381"/>
      <c r="OQY2026" s="381"/>
      <c r="OQZ2026" s="381"/>
      <c r="ORA2026" s="381"/>
      <c r="ORB2026" s="381"/>
      <c r="ORC2026" s="381"/>
      <c r="ORD2026" s="381"/>
      <c r="ORE2026" s="381"/>
      <c r="ORF2026" s="381"/>
      <c r="ORG2026" s="381"/>
      <c r="ORH2026" s="381"/>
      <c r="ORI2026" s="381"/>
      <c r="ORJ2026" s="381"/>
      <c r="ORK2026" s="381"/>
      <c r="ORL2026" s="381"/>
      <c r="ORM2026" s="381"/>
      <c r="ORN2026" s="381"/>
      <c r="ORO2026" s="381"/>
      <c r="ORP2026" s="381"/>
      <c r="ORQ2026" s="381"/>
      <c r="ORR2026" s="381"/>
      <c r="ORS2026" s="381"/>
      <c r="ORT2026" s="381"/>
      <c r="ORU2026" s="381"/>
      <c r="ORV2026" s="381"/>
      <c r="ORW2026" s="381"/>
      <c r="ORX2026" s="381"/>
      <c r="ORY2026" s="381"/>
      <c r="ORZ2026" s="381"/>
      <c r="OSA2026" s="381"/>
      <c r="OSB2026" s="381"/>
      <c r="OSC2026" s="381"/>
      <c r="OSD2026" s="381"/>
      <c r="OSE2026" s="381"/>
      <c r="OSF2026" s="381"/>
      <c r="OSG2026" s="381"/>
      <c r="OSH2026" s="381"/>
      <c r="OSI2026" s="381"/>
      <c r="OSJ2026" s="381"/>
      <c r="OSK2026" s="381"/>
      <c r="OSL2026" s="381"/>
      <c r="OSM2026" s="381"/>
      <c r="OSN2026" s="381"/>
      <c r="OSO2026" s="381"/>
      <c r="OSP2026" s="381"/>
      <c r="OSQ2026" s="381"/>
      <c r="OSR2026" s="381"/>
      <c r="OSS2026" s="381"/>
      <c r="OST2026" s="381"/>
      <c r="OSU2026" s="381"/>
      <c r="OSV2026" s="381"/>
      <c r="OSW2026" s="381"/>
      <c r="OSX2026" s="381"/>
      <c r="OSY2026" s="381"/>
      <c r="OSZ2026" s="381"/>
      <c r="OTA2026" s="381"/>
      <c r="OTB2026" s="381"/>
      <c r="OTC2026" s="381"/>
      <c r="OTD2026" s="381"/>
      <c r="OTE2026" s="381"/>
      <c r="OTF2026" s="381"/>
      <c r="OTG2026" s="381"/>
      <c r="OTH2026" s="381"/>
      <c r="OTI2026" s="381"/>
      <c r="OTJ2026" s="381"/>
      <c r="OTK2026" s="381"/>
      <c r="OTL2026" s="381"/>
      <c r="OTM2026" s="381"/>
      <c r="OTN2026" s="381"/>
      <c r="OTO2026" s="381"/>
      <c r="OTP2026" s="381"/>
      <c r="OTQ2026" s="381"/>
      <c r="OTR2026" s="381"/>
      <c r="OTS2026" s="381"/>
      <c r="OTT2026" s="381"/>
      <c r="OTU2026" s="381"/>
      <c r="OTV2026" s="381"/>
      <c r="OTW2026" s="381"/>
      <c r="OTX2026" s="381"/>
      <c r="OTY2026" s="381"/>
      <c r="OTZ2026" s="381"/>
      <c r="OUA2026" s="381"/>
      <c r="OUB2026" s="381"/>
      <c r="OUC2026" s="381"/>
      <c r="OUD2026" s="381"/>
      <c r="OUE2026" s="381"/>
      <c r="OUF2026" s="381"/>
      <c r="OUG2026" s="381"/>
      <c r="OUH2026" s="381"/>
      <c r="OUI2026" s="381"/>
      <c r="OUJ2026" s="381"/>
      <c r="OUK2026" s="381"/>
      <c r="OUL2026" s="381"/>
      <c r="OUM2026" s="381"/>
      <c r="OUN2026" s="381"/>
      <c r="OUO2026" s="381"/>
      <c r="OUP2026" s="381"/>
      <c r="OUQ2026" s="381"/>
      <c r="OUR2026" s="381"/>
      <c r="OUS2026" s="381"/>
      <c r="OUT2026" s="381"/>
      <c r="OUU2026" s="381"/>
      <c r="OUV2026" s="381"/>
      <c r="OUW2026" s="381"/>
      <c r="OUX2026" s="381"/>
      <c r="OUY2026" s="381"/>
      <c r="OUZ2026" s="381"/>
      <c r="OVA2026" s="381"/>
      <c r="OVB2026" s="381"/>
      <c r="OVC2026" s="381"/>
      <c r="OVD2026" s="381"/>
      <c r="OVE2026" s="381"/>
      <c r="OVF2026" s="381"/>
      <c r="OVG2026" s="381"/>
      <c r="OVH2026" s="381"/>
      <c r="OVI2026" s="381"/>
      <c r="OVJ2026" s="381"/>
      <c r="OVK2026" s="381"/>
      <c r="OVL2026" s="381"/>
      <c r="OVM2026" s="381"/>
      <c r="OVN2026" s="381"/>
      <c r="OVO2026" s="381"/>
      <c r="OVP2026" s="381"/>
      <c r="OVQ2026" s="381"/>
      <c r="OVR2026" s="381"/>
      <c r="OVS2026" s="381"/>
      <c r="OVT2026" s="381"/>
      <c r="OVU2026" s="381"/>
      <c r="OVV2026" s="381"/>
      <c r="OVW2026" s="381"/>
      <c r="OVX2026" s="381"/>
      <c r="OVY2026" s="381"/>
      <c r="OVZ2026" s="381"/>
      <c r="OWA2026" s="381"/>
      <c r="OWB2026" s="381"/>
      <c r="OWC2026" s="381"/>
      <c r="OWD2026" s="381"/>
      <c r="OWE2026" s="381"/>
      <c r="OWF2026" s="381"/>
      <c r="OWG2026" s="381"/>
      <c r="OWH2026" s="381"/>
      <c r="OWI2026" s="381"/>
      <c r="OWJ2026" s="381"/>
      <c r="OWK2026" s="381"/>
      <c r="OWL2026" s="381"/>
      <c r="OWM2026" s="381"/>
      <c r="OWN2026" s="381"/>
      <c r="OWO2026" s="381"/>
      <c r="OWP2026" s="381"/>
      <c r="OWQ2026" s="381"/>
      <c r="OWR2026" s="381"/>
      <c r="OWS2026" s="381"/>
      <c r="OWT2026" s="381"/>
      <c r="OWU2026" s="381"/>
      <c r="OWV2026" s="381"/>
      <c r="OWW2026" s="381"/>
      <c r="OWX2026" s="381"/>
      <c r="OWY2026" s="381"/>
      <c r="OWZ2026" s="381"/>
      <c r="OXA2026" s="381"/>
      <c r="OXB2026" s="381"/>
      <c r="OXC2026" s="381"/>
      <c r="OXD2026" s="381"/>
      <c r="OXE2026" s="381"/>
      <c r="OXF2026" s="381"/>
      <c r="OXG2026" s="381"/>
      <c r="OXH2026" s="381"/>
      <c r="OXI2026" s="381"/>
      <c r="OXJ2026" s="381"/>
      <c r="OXK2026" s="381"/>
      <c r="OXL2026" s="381"/>
      <c r="OXM2026" s="381"/>
      <c r="OXN2026" s="381"/>
      <c r="OXO2026" s="381"/>
      <c r="OXP2026" s="381"/>
      <c r="OXQ2026" s="381"/>
      <c r="OXR2026" s="381"/>
      <c r="OXS2026" s="381"/>
      <c r="OXT2026" s="381"/>
      <c r="OXU2026" s="381"/>
      <c r="OXV2026" s="381"/>
      <c r="OXW2026" s="381"/>
      <c r="OXX2026" s="381"/>
      <c r="OXY2026" s="381"/>
      <c r="OXZ2026" s="381"/>
      <c r="OYA2026" s="381"/>
      <c r="OYB2026" s="381"/>
      <c r="OYC2026" s="381"/>
      <c r="OYD2026" s="381"/>
      <c r="OYE2026" s="381"/>
      <c r="OYF2026" s="381"/>
      <c r="OYG2026" s="381"/>
      <c r="OYH2026" s="381"/>
      <c r="OYI2026" s="381"/>
      <c r="OYJ2026" s="381"/>
      <c r="OYK2026" s="381"/>
      <c r="OYL2026" s="381"/>
      <c r="OYM2026" s="381"/>
      <c r="OYN2026" s="381"/>
      <c r="OYO2026" s="381"/>
      <c r="OYP2026" s="381"/>
      <c r="OYQ2026" s="381"/>
      <c r="OYR2026" s="381"/>
      <c r="OYS2026" s="381"/>
      <c r="OYT2026" s="381"/>
      <c r="OYU2026" s="381"/>
      <c r="OYV2026" s="381"/>
      <c r="OYW2026" s="381"/>
      <c r="OYX2026" s="381"/>
      <c r="OYY2026" s="381"/>
      <c r="OYZ2026" s="381"/>
      <c r="OZA2026" s="381"/>
      <c r="OZB2026" s="381"/>
      <c r="OZC2026" s="381"/>
      <c r="OZD2026" s="381"/>
      <c r="OZE2026" s="381"/>
      <c r="OZF2026" s="381"/>
      <c r="OZG2026" s="381"/>
      <c r="OZH2026" s="381"/>
      <c r="OZI2026" s="381"/>
      <c r="OZJ2026" s="381"/>
      <c r="OZK2026" s="381"/>
      <c r="OZL2026" s="381"/>
      <c r="OZM2026" s="381"/>
      <c r="OZN2026" s="381"/>
      <c r="OZO2026" s="381"/>
      <c r="OZP2026" s="381"/>
      <c r="OZQ2026" s="381"/>
      <c r="OZR2026" s="381"/>
      <c r="OZS2026" s="381"/>
      <c r="OZT2026" s="381"/>
      <c r="OZU2026" s="381"/>
      <c r="OZV2026" s="381"/>
      <c r="OZW2026" s="381"/>
      <c r="OZX2026" s="381"/>
      <c r="OZY2026" s="381"/>
      <c r="OZZ2026" s="381"/>
      <c r="PAA2026" s="381"/>
      <c r="PAB2026" s="381"/>
      <c r="PAC2026" s="381"/>
      <c r="PAD2026" s="381"/>
      <c r="PAE2026" s="381"/>
      <c r="PAF2026" s="381"/>
      <c r="PAG2026" s="381"/>
      <c r="PAH2026" s="381"/>
      <c r="PAI2026" s="381"/>
      <c r="PAJ2026" s="381"/>
      <c r="PAK2026" s="381"/>
      <c r="PAL2026" s="381"/>
      <c r="PAM2026" s="381"/>
      <c r="PAN2026" s="381"/>
      <c r="PAO2026" s="381"/>
      <c r="PAP2026" s="381"/>
      <c r="PAQ2026" s="381"/>
      <c r="PAR2026" s="381"/>
      <c r="PAS2026" s="381"/>
      <c r="PAT2026" s="381"/>
      <c r="PAU2026" s="381"/>
      <c r="PAV2026" s="381"/>
      <c r="PAW2026" s="381"/>
      <c r="PAX2026" s="381"/>
      <c r="PAY2026" s="381"/>
      <c r="PAZ2026" s="381"/>
      <c r="PBA2026" s="381"/>
      <c r="PBB2026" s="381"/>
      <c r="PBC2026" s="381"/>
      <c r="PBD2026" s="381"/>
      <c r="PBE2026" s="381"/>
      <c r="PBF2026" s="381"/>
      <c r="PBG2026" s="381"/>
      <c r="PBH2026" s="381"/>
      <c r="PBI2026" s="381"/>
      <c r="PBJ2026" s="381"/>
      <c r="PBK2026" s="381"/>
      <c r="PBL2026" s="381"/>
      <c r="PBM2026" s="381"/>
      <c r="PBN2026" s="381"/>
      <c r="PBO2026" s="381"/>
      <c r="PBP2026" s="381"/>
      <c r="PBQ2026" s="381"/>
      <c r="PBR2026" s="381"/>
      <c r="PBS2026" s="381"/>
      <c r="PBT2026" s="381"/>
      <c r="PBU2026" s="381"/>
      <c r="PBV2026" s="381"/>
      <c r="PBW2026" s="381"/>
      <c r="PBX2026" s="381"/>
      <c r="PBY2026" s="381"/>
      <c r="PBZ2026" s="381"/>
      <c r="PCA2026" s="381"/>
      <c r="PCB2026" s="381"/>
      <c r="PCC2026" s="381"/>
      <c r="PCD2026" s="381"/>
      <c r="PCE2026" s="381"/>
      <c r="PCF2026" s="381"/>
      <c r="PCG2026" s="381"/>
      <c r="PCH2026" s="381"/>
      <c r="PCI2026" s="381"/>
      <c r="PCJ2026" s="381"/>
      <c r="PCK2026" s="381"/>
      <c r="PCL2026" s="381"/>
      <c r="PCM2026" s="381"/>
      <c r="PCN2026" s="381"/>
      <c r="PCO2026" s="381"/>
      <c r="PCP2026" s="381"/>
      <c r="PCQ2026" s="381"/>
      <c r="PCR2026" s="381"/>
      <c r="PCS2026" s="381"/>
      <c r="PCT2026" s="381"/>
      <c r="PCU2026" s="381"/>
      <c r="PCV2026" s="381"/>
      <c r="PCW2026" s="381"/>
      <c r="PCX2026" s="381"/>
      <c r="PCY2026" s="381"/>
      <c r="PCZ2026" s="381"/>
      <c r="PDA2026" s="381"/>
      <c r="PDB2026" s="381"/>
      <c r="PDC2026" s="381"/>
      <c r="PDD2026" s="381"/>
      <c r="PDE2026" s="381"/>
      <c r="PDF2026" s="381"/>
      <c r="PDG2026" s="381"/>
      <c r="PDH2026" s="381"/>
      <c r="PDI2026" s="381"/>
      <c r="PDJ2026" s="381"/>
      <c r="PDK2026" s="381"/>
      <c r="PDL2026" s="381"/>
      <c r="PDM2026" s="381"/>
      <c r="PDN2026" s="381"/>
      <c r="PDO2026" s="381"/>
      <c r="PDP2026" s="381"/>
      <c r="PDQ2026" s="381"/>
      <c r="PDR2026" s="381"/>
      <c r="PDS2026" s="381"/>
      <c r="PDT2026" s="381"/>
      <c r="PDU2026" s="381"/>
      <c r="PDV2026" s="381"/>
      <c r="PDW2026" s="381"/>
      <c r="PDX2026" s="381"/>
      <c r="PDY2026" s="381"/>
      <c r="PDZ2026" s="381"/>
      <c r="PEA2026" s="381"/>
      <c r="PEB2026" s="381"/>
      <c r="PEC2026" s="381"/>
      <c r="PED2026" s="381"/>
      <c r="PEE2026" s="381"/>
      <c r="PEF2026" s="381"/>
      <c r="PEG2026" s="381"/>
      <c r="PEH2026" s="381"/>
      <c r="PEI2026" s="381"/>
      <c r="PEJ2026" s="381"/>
      <c r="PEK2026" s="381"/>
      <c r="PEL2026" s="381"/>
      <c r="PEM2026" s="381"/>
      <c r="PEN2026" s="381"/>
      <c r="PEO2026" s="381"/>
      <c r="PEP2026" s="381"/>
      <c r="PEQ2026" s="381"/>
      <c r="PER2026" s="381"/>
      <c r="PES2026" s="381"/>
      <c r="PET2026" s="381"/>
      <c r="PEU2026" s="381"/>
      <c r="PEV2026" s="381"/>
      <c r="PEW2026" s="381"/>
      <c r="PEX2026" s="381"/>
      <c r="PEY2026" s="381"/>
      <c r="PEZ2026" s="381"/>
      <c r="PFA2026" s="381"/>
      <c r="PFB2026" s="381"/>
      <c r="PFC2026" s="381"/>
      <c r="PFD2026" s="381"/>
      <c r="PFE2026" s="381"/>
      <c r="PFF2026" s="381"/>
      <c r="PFG2026" s="381"/>
      <c r="PFH2026" s="381"/>
      <c r="PFI2026" s="381"/>
      <c r="PFJ2026" s="381"/>
      <c r="PFK2026" s="381"/>
      <c r="PFL2026" s="381"/>
      <c r="PFM2026" s="381"/>
      <c r="PFN2026" s="381"/>
      <c r="PFO2026" s="381"/>
      <c r="PFP2026" s="381"/>
      <c r="PFQ2026" s="381"/>
      <c r="PFR2026" s="381"/>
      <c r="PFS2026" s="381"/>
      <c r="PFT2026" s="381"/>
      <c r="PFU2026" s="381"/>
      <c r="PFV2026" s="381"/>
      <c r="PFW2026" s="381"/>
      <c r="PFX2026" s="381"/>
      <c r="PFY2026" s="381"/>
      <c r="PFZ2026" s="381"/>
      <c r="PGA2026" s="381"/>
      <c r="PGB2026" s="381"/>
      <c r="PGC2026" s="381"/>
      <c r="PGD2026" s="381"/>
      <c r="PGE2026" s="381"/>
      <c r="PGF2026" s="381"/>
      <c r="PGG2026" s="381"/>
      <c r="PGH2026" s="381"/>
      <c r="PGI2026" s="381"/>
      <c r="PGJ2026" s="381"/>
      <c r="PGK2026" s="381"/>
      <c r="PGL2026" s="381"/>
      <c r="PGM2026" s="381"/>
      <c r="PGN2026" s="381"/>
      <c r="PGO2026" s="381"/>
      <c r="PGP2026" s="381"/>
      <c r="PGQ2026" s="381"/>
      <c r="PGR2026" s="381"/>
      <c r="PGS2026" s="381"/>
      <c r="PGT2026" s="381"/>
      <c r="PGU2026" s="381"/>
      <c r="PGV2026" s="381"/>
      <c r="PGW2026" s="381"/>
      <c r="PGX2026" s="381"/>
      <c r="PGY2026" s="381"/>
      <c r="PGZ2026" s="381"/>
      <c r="PHA2026" s="381"/>
      <c r="PHB2026" s="381"/>
      <c r="PHC2026" s="381"/>
      <c r="PHD2026" s="381"/>
      <c r="PHE2026" s="381"/>
      <c r="PHF2026" s="381"/>
      <c r="PHG2026" s="381"/>
      <c r="PHH2026" s="381"/>
      <c r="PHI2026" s="381"/>
      <c r="PHJ2026" s="381"/>
      <c r="PHK2026" s="381"/>
      <c r="PHL2026" s="381"/>
      <c r="PHM2026" s="381"/>
      <c r="PHN2026" s="381"/>
      <c r="PHO2026" s="381"/>
      <c r="PHP2026" s="381"/>
      <c r="PHQ2026" s="381"/>
      <c r="PHR2026" s="381"/>
      <c r="PHS2026" s="381"/>
      <c r="PHT2026" s="381"/>
      <c r="PHU2026" s="381"/>
      <c r="PHV2026" s="381"/>
      <c r="PHW2026" s="381"/>
      <c r="PHX2026" s="381"/>
      <c r="PHY2026" s="381"/>
      <c r="PHZ2026" s="381"/>
      <c r="PIA2026" s="381"/>
      <c r="PIB2026" s="381"/>
      <c r="PIC2026" s="381"/>
      <c r="PID2026" s="381"/>
      <c r="PIE2026" s="381"/>
      <c r="PIF2026" s="381"/>
      <c r="PIG2026" s="381"/>
      <c r="PIH2026" s="381"/>
      <c r="PII2026" s="381"/>
      <c r="PIJ2026" s="381"/>
      <c r="PIK2026" s="381"/>
      <c r="PIL2026" s="381"/>
      <c r="PIM2026" s="381"/>
      <c r="PIN2026" s="381"/>
      <c r="PIO2026" s="381"/>
      <c r="PIP2026" s="381"/>
      <c r="PIQ2026" s="381"/>
      <c r="PIR2026" s="381"/>
      <c r="PIS2026" s="381"/>
      <c r="PIT2026" s="381"/>
      <c r="PIU2026" s="381"/>
      <c r="PIV2026" s="381"/>
      <c r="PIW2026" s="381"/>
      <c r="PIX2026" s="381"/>
      <c r="PIY2026" s="381"/>
      <c r="PIZ2026" s="381"/>
      <c r="PJA2026" s="381"/>
      <c r="PJB2026" s="381"/>
      <c r="PJC2026" s="381"/>
      <c r="PJD2026" s="381"/>
      <c r="PJE2026" s="381"/>
      <c r="PJF2026" s="381"/>
      <c r="PJG2026" s="381"/>
      <c r="PJH2026" s="381"/>
      <c r="PJI2026" s="381"/>
      <c r="PJJ2026" s="381"/>
      <c r="PJK2026" s="381"/>
      <c r="PJL2026" s="381"/>
      <c r="PJM2026" s="381"/>
      <c r="PJN2026" s="381"/>
      <c r="PJO2026" s="381"/>
      <c r="PJP2026" s="381"/>
      <c r="PJQ2026" s="381"/>
      <c r="PJR2026" s="381"/>
      <c r="PJS2026" s="381"/>
      <c r="PJT2026" s="381"/>
      <c r="PJU2026" s="381"/>
      <c r="PJV2026" s="381"/>
      <c r="PJW2026" s="381"/>
      <c r="PJX2026" s="381"/>
      <c r="PJY2026" s="381"/>
      <c r="PJZ2026" s="381"/>
      <c r="PKA2026" s="381"/>
      <c r="PKB2026" s="381"/>
      <c r="PKC2026" s="381"/>
      <c r="PKD2026" s="381"/>
      <c r="PKE2026" s="381"/>
      <c r="PKF2026" s="381"/>
      <c r="PKG2026" s="381"/>
      <c r="PKH2026" s="381"/>
      <c r="PKI2026" s="381"/>
      <c r="PKJ2026" s="381"/>
      <c r="PKK2026" s="381"/>
      <c r="PKL2026" s="381"/>
      <c r="PKM2026" s="381"/>
      <c r="PKN2026" s="381"/>
      <c r="PKO2026" s="381"/>
      <c r="PKP2026" s="381"/>
      <c r="PKQ2026" s="381"/>
      <c r="PKR2026" s="381"/>
      <c r="PKS2026" s="381"/>
      <c r="PKT2026" s="381"/>
      <c r="PKU2026" s="381"/>
      <c r="PKV2026" s="381"/>
      <c r="PKW2026" s="381"/>
      <c r="PKX2026" s="381"/>
      <c r="PKY2026" s="381"/>
      <c r="PKZ2026" s="381"/>
      <c r="PLA2026" s="381"/>
      <c r="PLB2026" s="381"/>
      <c r="PLC2026" s="381"/>
      <c r="PLD2026" s="381"/>
      <c r="PLE2026" s="381"/>
      <c r="PLF2026" s="381"/>
      <c r="PLG2026" s="381"/>
      <c r="PLH2026" s="381"/>
      <c r="PLI2026" s="381"/>
      <c r="PLJ2026" s="381"/>
      <c r="PLK2026" s="381"/>
      <c r="PLL2026" s="381"/>
      <c r="PLM2026" s="381"/>
      <c r="PLN2026" s="381"/>
      <c r="PLO2026" s="381"/>
      <c r="PLP2026" s="381"/>
      <c r="PLQ2026" s="381"/>
      <c r="PLR2026" s="381"/>
      <c r="PLS2026" s="381"/>
      <c r="PLT2026" s="381"/>
      <c r="PLU2026" s="381"/>
      <c r="PLV2026" s="381"/>
      <c r="PLW2026" s="381"/>
      <c r="PLX2026" s="381"/>
      <c r="PLY2026" s="381"/>
      <c r="PLZ2026" s="381"/>
      <c r="PMA2026" s="381"/>
      <c r="PMB2026" s="381"/>
      <c r="PMC2026" s="381"/>
      <c r="PMD2026" s="381"/>
      <c r="PME2026" s="381"/>
      <c r="PMF2026" s="381"/>
      <c r="PMG2026" s="381"/>
      <c r="PMH2026" s="381"/>
      <c r="PMI2026" s="381"/>
      <c r="PMJ2026" s="381"/>
      <c r="PMK2026" s="381"/>
      <c r="PML2026" s="381"/>
      <c r="PMM2026" s="381"/>
      <c r="PMN2026" s="381"/>
      <c r="PMO2026" s="381"/>
      <c r="PMP2026" s="381"/>
      <c r="PMQ2026" s="381"/>
      <c r="PMR2026" s="381"/>
      <c r="PMS2026" s="381"/>
      <c r="PMT2026" s="381"/>
      <c r="PMU2026" s="381"/>
      <c r="PMV2026" s="381"/>
      <c r="PMW2026" s="381"/>
      <c r="PMX2026" s="381"/>
      <c r="PMY2026" s="381"/>
      <c r="PMZ2026" s="381"/>
      <c r="PNA2026" s="381"/>
      <c r="PNB2026" s="381"/>
      <c r="PNC2026" s="381"/>
      <c r="PND2026" s="381"/>
      <c r="PNE2026" s="381"/>
      <c r="PNF2026" s="381"/>
      <c r="PNG2026" s="381"/>
      <c r="PNH2026" s="381"/>
      <c r="PNI2026" s="381"/>
      <c r="PNJ2026" s="381"/>
      <c r="PNK2026" s="381"/>
      <c r="PNL2026" s="381"/>
      <c r="PNM2026" s="381"/>
      <c r="PNN2026" s="381"/>
      <c r="PNO2026" s="381"/>
      <c r="PNP2026" s="381"/>
      <c r="PNQ2026" s="381"/>
      <c r="PNR2026" s="381"/>
      <c r="PNS2026" s="381"/>
      <c r="PNT2026" s="381"/>
      <c r="PNU2026" s="381"/>
      <c r="PNV2026" s="381"/>
      <c r="PNW2026" s="381"/>
      <c r="PNX2026" s="381"/>
      <c r="PNY2026" s="381"/>
      <c r="PNZ2026" s="381"/>
      <c r="POA2026" s="381"/>
      <c r="POB2026" s="381"/>
      <c r="POC2026" s="381"/>
      <c r="POD2026" s="381"/>
      <c r="POE2026" s="381"/>
      <c r="POF2026" s="381"/>
      <c r="POG2026" s="381"/>
      <c r="POH2026" s="381"/>
      <c r="POI2026" s="381"/>
      <c r="POJ2026" s="381"/>
      <c r="POK2026" s="381"/>
      <c r="POL2026" s="381"/>
      <c r="POM2026" s="381"/>
      <c r="PON2026" s="381"/>
      <c r="POO2026" s="381"/>
      <c r="POP2026" s="381"/>
      <c r="POQ2026" s="381"/>
      <c r="POR2026" s="381"/>
      <c r="POS2026" s="381"/>
      <c r="POT2026" s="381"/>
      <c r="POU2026" s="381"/>
      <c r="POV2026" s="381"/>
      <c r="POW2026" s="381"/>
      <c r="POX2026" s="381"/>
      <c r="POY2026" s="381"/>
      <c r="POZ2026" s="381"/>
      <c r="PPA2026" s="381"/>
      <c r="PPB2026" s="381"/>
      <c r="PPC2026" s="381"/>
      <c r="PPD2026" s="381"/>
      <c r="PPE2026" s="381"/>
      <c r="PPF2026" s="381"/>
      <c r="PPG2026" s="381"/>
      <c r="PPH2026" s="381"/>
      <c r="PPI2026" s="381"/>
      <c r="PPJ2026" s="381"/>
      <c r="PPK2026" s="381"/>
      <c r="PPL2026" s="381"/>
      <c r="PPM2026" s="381"/>
      <c r="PPN2026" s="381"/>
      <c r="PPO2026" s="381"/>
      <c r="PPP2026" s="381"/>
      <c r="PPQ2026" s="381"/>
      <c r="PPR2026" s="381"/>
      <c r="PPS2026" s="381"/>
      <c r="PPT2026" s="381"/>
      <c r="PPU2026" s="381"/>
      <c r="PPV2026" s="381"/>
      <c r="PPW2026" s="381"/>
      <c r="PPX2026" s="381"/>
      <c r="PPY2026" s="381"/>
      <c r="PPZ2026" s="381"/>
      <c r="PQA2026" s="381"/>
      <c r="PQB2026" s="381"/>
      <c r="PQC2026" s="381"/>
      <c r="PQD2026" s="381"/>
      <c r="PQE2026" s="381"/>
      <c r="PQF2026" s="381"/>
      <c r="PQG2026" s="381"/>
      <c r="PQH2026" s="381"/>
      <c r="PQI2026" s="381"/>
      <c r="PQJ2026" s="381"/>
      <c r="PQK2026" s="381"/>
      <c r="PQL2026" s="381"/>
      <c r="PQM2026" s="381"/>
      <c r="PQN2026" s="381"/>
      <c r="PQO2026" s="381"/>
      <c r="PQP2026" s="381"/>
      <c r="PQQ2026" s="381"/>
      <c r="PQR2026" s="381"/>
      <c r="PQS2026" s="381"/>
      <c r="PQT2026" s="381"/>
      <c r="PQU2026" s="381"/>
      <c r="PQV2026" s="381"/>
      <c r="PQW2026" s="381"/>
      <c r="PQX2026" s="381"/>
      <c r="PQY2026" s="381"/>
      <c r="PQZ2026" s="381"/>
      <c r="PRA2026" s="381"/>
      <c r="PRB2026" s="381"/>
      <c r="PRC2026" s="381"/>
      <c r="PRD2026" s="381"/>
      <c r="PRE2026" s="381"/>
      <c r="PRF2026" s="381"/>
      <c r="PRG2026" s="381"/>
      <c r="PRH2026" s="381"/>
      <c r="PRI2026" s="381"/>
      <c r="PRJ2026" s="381"/>
      <c r="PRK2026" s="381"/>
      <c r="PRL2026" s="381"/>
      <c r="PRM2026" s="381"/>
      <c r="PRN2026" s="381"/>
      <c r="PRO2026" s="381"/>
      <c r="PRP2026" s="381"/>
      <c r="PRQ2026" s="381"/>
      <c r="PRR2026" s="381"/>
      <c r="PRS2026" s="381"/>
      <c r="PRT2026" s="381"/>
      <c r="PRU2026" s="381"/>
      <c r="PRV2026" s="381"/>
      <c r="PRW2026" s="381"/>
      <c r="PRX2026" s="381"/>
      <c r="PRY2026" s="381"/>
      <c r="PRZ2026" s="381"/>
      <c r="PSA2026" s="381"/>
      <c r="PSB2026" s="381"/>
      <c r="PSC2026" s="381"/>
      <c r="PSD2026" s="381"/>
      <c r="PSE2026" s="381"/>
      <c r="PSF2026" s="381"/>
      <c r="PSG2026" s="381"/>
      <c r="PSH2026" s="381"/>
      <c r="PSI2026" s="381"/>
      <c r="PSJ2026" s="381"/>
      <c r="PSK2026" s="381"/>
      <c r="PSL2026" s="381"/>
      <c r="PSM2026" s="381"/>
      <c r="PSN2026" s="381"/>
      <c r="PSO2026" s="381"/>
      <c r="PSP2026" s="381"/>
      <c r="PSQ2026" s="381"/>
      <c r="PSR2026" s="381"/>
      <c r="PSS2026" s="381"/>
      <c r="PST2026" s="381"/>
      <c r="PSU2026" s="381"/>
      <c r="PSV2026" s="381"/>
      <c r="PSW2026" s="381"/>
      <c r="PSX2026" s="381"/>
      <c r="PSY2026" s="381"/>
      <c r="PSZ2026" s="381"/>
      <c r="PTA2026" s="381"/>
      <c r="PTB2026" s="381"/>
      <c r="PTC2026" s="381"/>
      <c r="PTD2026" s="381"/>
      <c r="PTE2026" s="381"/>
      <c r="PTF2026" s="381"/>
      <c r="PTG2026" s="381"/>
      <c r="PTH2026" s="381"/>
      <c r="PTI2026" s="381"/>
      <c r="PTJ2026" s="381"/>
      <c r="PTK2026" s="381"/>
      <c r="PTL2026" s="381"/>
      <c r="PTM2026" s="381"/>
      <c r="PTN2026" s="381"/>
      <c r="PTO2026" s="381"/>
      <c r="PTP2026" s="381"/>
      <c r="PTQ2026" s="381"/>
      <c r="PTR2026" s="381"/>
      <c r="PTS2026" s="381"/>
      <c r="PTT2026" s="381"/>
      <c r="PTU2026" s="381"/>
      <c r="PTV2026" s="381"/>
      <c r="PTW2026" s="381"/>
      <c r="PTX2026" s="381"/>
      <c r="PTY2026" s="381"/>
      <c r="PTZ2026" s="381"/>
      <c r="PUA2026" s="381"/>
      <c r="PUB2026" s="381"/>
      <c r="PUC2026" s="381"/>
      <c r="PUD2026" s="381"/>
      <c r="PUE2026" s="381"/>
      <c r="PUF2026" s="381"/>
      <c r="PUG2026" s="381"/>
      <c r="PUH2026" s="381"/>
      <c r="PUI2026" s="381"/>
      <c r="PUJ2026" s="381"/>
      <c r="PUK2026" s="381"/>
      <c r="PUL2026" s="381"/>
      <c r="PUM2026" s="381"/>
      <c r="PUN2026" s="381"/>
      <c r="PUO2026" s="381"/>
      <c r="PUP2026" s="381"/>
      <c r="PUQ2026" s="381"/>
      <c r="PUR2026" s="381"/>
      <c r="PUS2026" s="381"/>
      <c r="PUT2026" s="381"/>
      <c r="PUU2026" s="381"/>
      <c r="PUV2026" s="381"/>
      <c r="PUW2026" s="381"/>
      <c r="PUX2026" s="381"/>
      <c r="PUY2026" s="381"/>
      <c r="PUZ2026" s="381"/>
      <c r="PVA2026" s="381"/>
      <c r="PVB2026" s="381"/>
      <c r="PVC2026" s="381"/>
      <c r="PVD2026" s="381"/>
      <c r="PVE2026" s="381"/>
      <c r="PVF2026" s="381"/>
      <c r="PVG2026" s="381"/>
      <c r="PVH2026" s="381"/>
      <c r="PVI2026" s="381"/>
      <c r="PVJ2026" s="381"/>
      <c r="PVK2026" s="381"/>
      <c r="PVL2026" s="381"/>
      <c r="PVM2026" s="381"/>
      <c r="PVN2026" s="381"/>
      <c r="PVO2026" s="381"/>
      <c r="PVP2026" s="381"/>
      <c r="PVQ2026" s="381"/>
      <c r="PVR2026" s="381"/>
      <c r="PVS2026" s="381"/>
      <c r="PVT2026" s="381"/>
      <c r="PVU2026" s="381"/>
      <c r="PVV2026" s="381"/>
      <c r="PVW2026" s="381"/>
      <c r="PVX2026" s="381"/>
      <c r="PVY2026" s="381"/>
      <c r="PVZ2026" s="381"/>
      <c r="PWA2026" s="381"/>
      <c r="PWB2026" s="381"/>
      <c r="PWC2026" s="381"/>
      <c r="PWD2026" s="381"/>
      <c r="PWE2026" s="381"/>
      <c r="PWF2026" s="381"/>
      <c r="PWG2026" s="381"/>
      <c r="PWH2026" s="381"/>
      <c r="PWI2026" s="381"/>
      <c r="PWJ2026" s="381"/>
      <c r="PWK2026" s="381"/>
      <c r="PWL2026" s="381"/>
      <c r="PWM2026" s="381"/>
      <c r="PWN2026" s="381"/>
      <c r="PWO2026" s="381"/>
      <c r="PWP2026" s="381"/>
      <c r="PWQ2026" s="381"/>
      <c r="PWR2026" s="381"/>
      <c r="PWS2026" s="381"/>
      <c r="PWT2026" s="381"/>
      <c r="PWU2026" s="381"/>
      <c r="PWV2026" s="381"/>
      <c r="PWW2026" s="381"/>
      <c r="PWX2026" s="381"/>
      <c r="PWY2026" s="381"/>
      <c r="PWZ2026" s="381"/>
      <c r="PXA2026" s="381"/>
      <c r="PXB2026" s="381"/>
      <c r="PXC2026" s="381"/>
      <c r="PXD2026" s="381"/>
      <c r="PXE2026" s="381"/>
      <c r="PXF2026" s="381"/>
      <c r="PXG2026" s="381"/>
      <c r="PXH2026" s="381"/>
      <c r="PXI2026" s="381"/>
      <c r="PXJ2026" s="381"/>
      <c r="PXK2026" s="381"/>
      <c r="PXL2026" s="381"/>
      <c r="PXM2026" s="381"/>
      <c r="PXN2026" s="381"/>
      <c r="PXO2026" s="381"/>
      <c r="PXP2026" s="381"/>
      <c r="PXQ2026" s="381"/>
      <c r="PXR2026" s="381"/>
      <c r="PXS2026" s="381"/>
      <c r="PXT2026" s="381"/>
      <c r="PXU2026" s="381"/>
      <c r="PXV2026" s="381"/>
      <c r="PXW2026" s="381"/>
      <c r="PXX2026" s="381"/>
      <c r="PXY2026" s="381"/>
      <c r="PXZ2026" s="381"/>
      <c r="PYA2026" s="381"/>
      <c r="PYB2026" s="381"/>
      <c r="PYC2026" s="381"/>
      <c r="PYD2026" s="381"/>
      <c r="PYE2026" s="381"/>
      <c r="PYF2026" s="381"/>
      <c r="PYG2026" s="381"/>
      <c r="PYH2026" s="381"/>
      <c r="PYI2026" s="381"/>
      <c r="PYJ2026" s="381"/>
      <c r="PYK2026" s="381"/>
      <c r="PYL2026" s="381"/>
      <c r="PYM2026" s="381"/>
      <c r="PYN2026" s="381"/>
      <c r="PYO2026" s="381"/>
      <c r="PYP2026" s="381"/>
      <c r="PYQ2026" s="381"/>
      <c r="PYR2026" s="381"/>
      <c r="PYS2026" s="381"/>
      <c r="PYT2026" s="381"/>
      <c r="PYU2026" s="381"/>
      <c r="PYV2026" s="381"/>
      <c r="PYW2026" s="381"/>
      <c r="PYX2026" s="381"/>
      <c r="PYY2026" s="381"/>
      <c r="PYZ2026" s="381"/>
      <c r="PZA2026" s="381"/>
      <c r="PZB2026" s="381"/>
      <c r="PZC2026" s="381"/>
      <c r="PZD2026" s="381"/>
      <c r="PZE2026" s="381"/>
      <c r="PZF2026" s="381"/>
      <c r="PZG2026" s="381"/>
      <c r="PZH2026" s="381"/>
      <c r="PZI2026" s="381"/>
      <c r="PZJ2026" s="381"/>
      <c r="PZK2026" s="381"/>
      <c r="PZL2026" s="381"/>
      <c r="PZM2026" s="381"/>
      <c r="PZN2026" s="381"/>
      <c r="PZO2026" s="381"/>
      <c r="PZP2026" s="381"/>
      <c r="PZQ2026" s="381"/>
      <c r="PZR2026" s="381"/>
      <c r="PZS2026" s="381"/>
      <c r="PZT2026" s="381"/>
      <c r="PZU2026" s="381"/>
      <c r="PZV2026" s="381"/>
      <c r="PZW2026" s="381"/>
      <c r="PZX2026" s="381"/>
      <c r="PZY2026" s="381"/>
      <c r="PZZ2026" s="381"/>
      <c r="QAA2026" s="381"/>
      <c r="QAB2026" s="381"/>
      <c r="QAC2026" s="381"/>
      <c r="QAD2026" s="381"/>
      <c r="QAE2026" s="381"/>
      <c r="QAF2026" s="381"/>
      <c r="QAG2026" s="381"/>
      <c r="QAH2026" s="381"/>
      <c r="QAI2026" s="381"/>
      <c r="QAJ2026" s="381"/>
      <c r="QAK2026" s="381"/>
      <c r="QAL2026" s="381"/>
      <c r="QAM2026" s="381"/>
      <c r="QAN2026" s="381"/>
      <c r="QAO2026" s="381"/>
      <c r="QAP2026" s="381"/>
      <c r="QAQ2026" s="381"/>
      <c r="QAR2026" s="381"/>
      <c r="QAS2026" s="381"/>
      <c r="QAT2026" s="381"/>
      <c r="QAU2026" s="381"/>
      <c r="QAV2026" s="381"/>
      <c r="QAW2026" s="381"/>
      <c r="QAX2026" s="381"/>
      <c r="QAY2026" s="381"/>
      <c r="QAZ2026" s="381"/>
      <c r="QBA2026" s="381"/>
      <c r="QBB2026" s="381"/>
      <c r="QBC2026" s="381"/>
      <c r="QBD2026" s="381"/>
      <c r="QBE2026" s="381"/>
      <c r="QBF2026" s="381"/>
      <c r="QBG2026" s="381"/>
      <c r="QBH2026" s="381"/>
      <c r="QBI2026" s="381"/>
      <c r="QBJ2026" s="381"/>
      <c r="QBK2026" s="381"/>
      <c r="QBL2026" s="381"/>
      <c r="QBM2026" s="381"/>
      <c r="QBN2026" s="381"/>
      <c r="QBO2026" s="381"/>
      <c r="QBP2026" s="381"/>
      <c r="QBQ2026" s="381"/>
      <c r="QBR2026" s="381"/>
      <c r="QBS2026" s="381"/>
      <c r="QBT2026" s="381"/>
      <c r="QBU2026" s="381"/>
      <c r="QBV2026" s="381"/>
      <c r="QBW2026" s="381"/>
      <c r="QBX2026" s="381"/>
      <c r="QBY2026" s="381"/>
      <c r="QBZ2026" s="381"/>
      <c r="QCA2026" s="381"/>
      <c r="QCB2026" s="381"/>
      <c r="QCC2026" s="381"/>
      <c r="QCD2026" s="381"/>
      <c r="QCE2026" s="381"/>
      <c r="QCF2026" s="381"/>
      <c r="QCG2026" s="381"/>
      <c r="QCH2026" s="381"/>
      <c r="QCI2026" s="381"/>
      <c r="QCJ2026" s="381"/>
      <c r="QCK2026" s="381"/>
      <c r="QCL2026" s="381"/>
      <c r="QCM2026" s="381"/>
      <c r="QCN2026" s="381"/>
      <c r="QCO2026" s="381"/>
      <c r="QCP2026" s="381"/>
      <c r="QCQ2026" s="381"/>
      <c r="QCR2026" s="381"/>
      <c r="QCS2026" s="381"/>
      <c r="QCT2026" s="381"/>
      <c r="QCU2026" s="381"/>
      <c r="QCV2026" s="381"/>
      <c r="QCW2026" s="381"/>
      <c r="QCX2026" s="381"/>
      <c r="QCY2026" s="381"/>
      <c r="QCZ2026" s="381"/>
      <c r="QDA2026" s="381"/>
      <c r="QDB2026" s="381"/>
      <c r="QDC2026" s="381"/>
      <c r="QDD2026" s="381"/>
      <c r="QDE2026" s="381"/>
      <c r="QDF2026" s="381"/>
      <c r="QDG2026" s="381"/>
      <c r="QDH2026" s="381"/>
      <c r="QDI2026" s="381"/>
      <c r="QDJ2026" s="381"/>
      <c r="QDK2026" s="381"/>
      <c r="QDL2026" s="381"/>
      <c r="QDM2026" s="381"/>
      <c r="QDN2026" s="381"/>
      <c r="QDO2026" s="381"/>
      <c r="QDP2026" s="381"/>
      <c r="QDQ2026" s="381"/>
      <c r="QDR2026" s="381"/>
      <c r="QDS2026" s="381"/>
      <c r="QDT2026" s="381"/>
      <c r="QDU2026" s="381"/>
      <c r="QDV2026" s="381"/>
      <c r="QDW2026" s="381"/>
      <c r="QDX2026" s="381"/>
      <c r="QDY2026" s="381"/>
      <c r="QDZ2026" s="381"/>
      <c r="QEA2026" s="381"/>
      <c r="QEB2026" s="381"/>
      <c r="QEC2026" s="381"/>
      <c r="QED2026" s="381"/>
      <c r="QEE2026" s="381"/>
      <c r="QEF2026" s="381"/>
      <c r="QEG2026" s="381"/>
      <c r="QEH2026" s="381"/>
      <c r="QEI2026" s="381"/>
      <c r="QEJ2026" s="381"/>
      <c r="QEK2026" s="381"/>
      <c r="QEL2026" s="381"/>
      <c r="QEM2026" s="381"/>
      <c r="QEN2026" s="381"/>
      <c r="QEO2026" s="381"/>
      <c r="QEP2026" s="381"/>
      <c r="QEQ2026" s="381"/>
      <c r="QER2026" s="381"/>
      <c r="QES2026" s="381"/>
      <c r="QET2026" s="381"/>
      <c r="QEU2026" s="381"/>
      <c r="QEV2026" s="381"/>
      <c r="QEW2026" s="381"/>
      <c r="QEX2026" s="381"/>
      <c r="QEY2026" s="381"/>
      <c r="QEZ2026" s="381"/>
      <c r="QFA2026" s="381"/>
      <c r="QFB2026" s="381"/>
      <c r="QFC2026" s="381"/>
      <c r="QFD2026" s="381"/>
      <c r="QFE2026" s="381"/>
      <c r="QFF2026" s="381"/>
      <c r="QFG2026" s="381"/>
      <c r="QFH2026" s="381"/>
      <c r="QFI2026" s="381"/>
      <c r="QFJ2026" s="381"/>
      <c r="QFK2026" s="381"/>
      <c r="QFL2026" s="381"/>
      <c r="QFM2026" s="381"/>
      <c r="QFN2026" s="381"/>
      <c r="QFO2026" s="381"/>
      <c r="QFP2026" s="381"/>
      <c r="QFQ2026" s="381"/>
      <c r="QFR2026" s="381"/>
      <c r="QFS2026" s="381"/>
      <c r="QFT2026" s="381"/>
      <c r="QFU2026" s="381"/>
      <c r="QFV2026" s="381"/>
      <c r="QFW2026" s="381"/>
      <c r="QFX2026" s="381"/>
      <c r="QFY2026" s="381"/>
      <c r="QFZ2026" s="381"/>
      <c r="QGA2026" s="381"/>
      <c r="QGB2026" s="381"/>
      <c r="QGC2026" s="381"/>
      <c r="QGD2026" s="381"/>
      <c r="QGE2026" s="381"/>
      <c r="QGF2026" s="381"/>
      <c r="QGG2026" s="381"/>
      <c r="QGH2026" s="381"/>
      <c r="QGI2026" s="381"/>
      <c r="QGJ2026" s="381"/>
      <c r="QGK2026" s="381"/>
      <c r="QGL2026" s="381"/>
      <c r="QGM2026" s="381"/>
      <c r="QGN2026" s="381"/>
      <c r="QGO2026" s="381"/>
      <c r="QGP2026" s="381"/>
      <c r="QGQ2026" s="381"/>
      <c r="QGR2026" s="381"/>
      <c r="QGS2026" s="381"/>
      <c r="QGT2026" s="381"/>
      <c r="QGU2026" s="381"/>
      <c r="QGV2026" s="381"/>
      <c r="QGW2026" s="381"/>
      <c r="QGX2026" s="381"/>
      <c r="QGY2026" s="381"/>
      <c r="QGZ2026" s="381"/>
      <c r="QHA2026" s="381"/>
      <c r="QHB2026" s="381"/>
      <c r="QHC2026" s="381"/>
      <c r="QHD2026" s="381"/>
      <c r="QHE2026" s="381"/>
      <c r="QHF2026" s="381"/>
      <c r="QHG2026" s="381"/>
      <c r="QHH2026" s="381"/>
      <c r="QHI2026" s="381"/>
      <c r="QHJ2026" s="381"/>
      <c r="QHK2026" s="381"/>
      <c r="QHL2026" s="381"/>
      <c r="QHM2026" s="381"/>
      <c r="QHN2026" s="381"/>
      <c r="QHO2026" s="381"/>
      <c r="QHP2026" s="381"/>
      <c r="QHQ2026" s="381"/>
      <c r="QHR2026" s="381"/>
      <c r="QHS2026" s="381"/>
      <c r="QHT2026" s="381"/>
      <c r="QHU2026" s="381"/>
      <c r="QHV2026" s="381"/>
      <c r="QHW2026" s="381"/>
      <c r="QHX2026" s="381"/>
      <c r="QHY2026" s="381"/>
      <c r="QHZ2026" s="381"/>
      <c r="QIA2026" s="381"/>
      <c r="QIB2026" s="381"/>
      <c r="QIC2026" s="381"/>
      <c r="QID2026" s="381"/>
      <c r="QIE2026" s="381"/>
      <c r="QIF2026" s="381"/>
      <c r="QIG2026" s="381"/>
      <c r="QIH2026" s="381"/>
      <c r="QII2026" s="381"/>
      <c r="QIJ2026" s="381"/>
      <c r="QIK2026" s="381"/>
      <c r="QIL2026" s="381"/>
      <c r="QIM2026" s="381"/>
      <c r="QIN2026" s="381"/>
      <c r="QIO2026" s="381"/>
      <c r="QIP2026" s="381"/>
      <c r="QIQ2026" s="381"/>
      <c r="QIR2026" s="381"/>
      <c r="QIS2026" s="381"/>
      <c r="QIT2026" s="381"/>
      <c r="QIU2026" s="381"/>
      <c r="QIV2026" s="381"/>
      <c r="QIW2026" s="381"/>
      <c r="QIX2026" s="381"/>
      <c r="QIY2026" s="381"/>
      <c r="QIZ2026" s="381"/>
      <c r="QJA2026" s="381"/>
      <c r="QJB2026" s="381"/>
      <c r="QJC2026" s="381"/>
      <c r="QJD2026" s="381"/>
      <c r="QJE2026" s="381"/>
      <c r="QJF2026" s="381"/>
      <c r="QJG2026" s="381"/>
      <c r="QJH2026" s="381"/>
      <c r="QJI2026" s="381"/>
      <c r="QJJ2026" s="381"/>
      <c r="QJK2026" s="381"/>
      <c r="QJL2026" s="381"/>
      <c r="QJM2026" s="381"/>
      <c r="QJN2026" s="381"/>
      <c r="QJO2026" s="381"/>
      <c r="QJP2026" s="381"/>
      <c r="QJQ2026" s="381"/>
      <c r="QJR2026" s="381"/>
      <c r="QJS2026" s="381"/>
      <c r="QJT2026" s="381"/>
      <c r="QJU2026" s="381"/>
      <c r="QJV2026" s="381"/>
      <c r="QJW2026" s="381"/>
      <c r="QJX2026" s="381"/>
      <c r="QJY2026" s="381"/>
      <c r="QJZ2026" s="381"/>
      <c r="QKA2026" s="381"/>
      <c r="QKB2026" s="381"/>
      <c r="QKC2026" s="381"/>
      <c r="QKD2026" s="381"/>
      <c r="QKE2026" s="381"/>
      <c r="QKF2026" s="381"/>
      <c r="QKG2026" s="381"/>
      <c r="QKH2026" s="381"/>
      <c r="QKI2026" s="381"/>
      <c r="QKJ2026" s="381"/>
      <c r="QKK2026" s="381"/>
      <c r="QKL2026" s="381"/>
      <c r="QKM2026" s="381"/>
      <c r="QKN2026" s="381"/>
      <c r="QKO2026" s="381"/>
      <c r="QKP2026" s="381"/>
      <c r="QKQ2026" s="381"/>
      <c r="QKR2026" s="381"/>
      <c r="QKS2026" s="381"/>
      <c r="QKT2026" s="381"/>
      <c r="QKU2026" s="381"/>
      <c r="QKV2026" s="381"/>
      <c r="QKW2026" s="381"/>
      <c r="QKX2026" s="381"/>
      <c r="QKY2026" s="381"/>
      <c r="QKZ2026" s="381"/>
      <c r="QLA2026" s="381"/>
      <c r="QLB2026" s="381"/>
      <c r="QLC2026" s="381"/>
      <c r="QLD2026" s="381"/>
      <c r="QLE2026" s="381"/>
      <c r="QLF2026" s="381"/>
      <c r="QLG2026" s="381"/>
      <c r="QLH2026" s="381"/>
      <c r="QLI2026" s="381"/>
      <c r="QLJ2026" s="381"/>
      <c r="QLK2026" s="381"/>
      <c r="QLL2026" s="381"/>
      <c r="QLM2026" s="381"/>
      <c r="QLN2026" s="381"/>
      <c r="QLO2026" s="381"/>
      <c r="QLP2026" s="381"/>
      <c r="QLQ2026" s="381"/>
      <c r="QLR2026" s="381"/>
      <c r="QLS2026" s="381"/>
      <c r="QLT2026" s="381"/>
      <c r="QLU2026" s="381"/>
      <c r="QLV2026" s="381"/>
      <c r="QLW2026" s="381"/>
      <c r="QLX2026" s="381"/>
      <c r="QLY2026" s="381"/>
      <c r="QLZ2026" s="381"/>
      <c r="QMA2026" s="381"/>
      <c r="QMB2026" s="381"/>
      <c r="QMC2026" s="381"/>
      <c r="QMD2026" s="381"/>
      <c r="QME2026" s="381"/>
      <c r="QMF2026" s="381"/>
      <c r="QMG2026" s="381"/>
      <c r="QMH2026" s="381"/>
      <c r="QMI2026" s="381"/>
      <c r="QMJ2026" s="381"/>
      <c r="QMK2026" s="381"/>
      <c r="QML2026" s="381"/>
      <c r="QMM2026" s="381"/>
      <c r="QMN2026" s="381"/>
      <c r="QMO2026" s="381"/>
      <c r="QMP2026" s="381"/>
      <c r="QMQ2026" s="381"/>
      <c r="QMR2026" s="381"/>
      <c r="QMS2026" s="381"/>
      <c r="QMT2026" s="381"/>
      <c r="QMU2026" s="381"/>
      <c r="QMV2026" s="381"/>
      <c r="QMW2026" s="381"/>
      <c r="QMX2026" s="381"/>
      <c r="QMY2026" s="381"/>
      <c r="QMZ2026" s="381"/>
      <c r="QNA2026" s="381"/>
      <c r="QNB2026" s="381"/>
      <c r="QNC2026" s="381"/>
      <c r="QND2026" s="381"/>
      <c r="QNE2026" s="381"/>
      <c r="QNF2026" s="381"/>
      <c r="QNG2026" s="381"/>
      <c r="QNH2026" s="381"/>
      <c r="QNI2026" s="381"/>
      <c r="QNJ2026" s="381"/>
      <c r="QNK2026" s="381"/>
      <c r="QNL2026" s="381"/>
      <c r="QNM2026" s="381"/>
      <c r="QNN2026" s="381"/>
      <c r="QNO2026" s="381"/>
      <c r="QNP2026" s="381"/>
      <c r="QNQ2026" s="381"/>
      <c r="QNR2026" s="381"/>
      <c r="QNS2026" s="381"/>
      <c r="QNT2026" s="381"/>
      <c r="QNU2026" s="381"/>
      <c r="QNV2026" s="381"/>
      <c r="QNW2026" s="381"/>
      <c r="QNX2026" s="381"/>
      <c r="QNY2026" s="381"/>
      <c r="QNZ2026" s="381"/>
      <c r="QOA2026" s="381"/>
      <c r="QOB2026" s="381"/>
      <c r="QOC2026" s="381"/>
      <c r="QOD2026" s="381"/>
      <c r="QOE2026" s="381"/>
      <c r="QOF2026" s="381"/>
      <c r="QOG2026" s="381"/>
      <c r="QOH2026" s="381"/>
      <c r="QOI2026" s="381"/>
      <c r="QOJ2026" s="381"/>
      <c r="QOK2026" s="381"/>
      <c r="QOL2026" s="381"/>
      <c r="QOM2026" s="381"/>
      <c r="QON2026" s="381"/>
      <c r="QOO2026" s="381"/>
      <c r="QOP2026" s="381"/>
      <c r="QOQ2026" s="381"/>
      <c r="QOR2026" s="381"/>
      <c r="QOS2026" s="381"/>
      <c r="QOT2026" s="381"/>
      <c r="QOU2026" s="381"/>
      <c r="QOV2026" s="381"/>
      <c r="QOW2026" s="381"/>
      <c r="QOX2026" s="381"/>
      <c r="QOY2026" s="381"/>
      <c r="QOZ2026" s="381"/>
      <c r="QPA2026" s="381"/>
      <c r="QPB2026" s="381"/>
      <c r="QPC2026" s="381"/>
      <c r="QPD2026" s="381"/>
      <c r="QPE2026" s="381"/>
      <c r="QPF2026" s="381"/>
      <c r="QPG2026" s="381"/>
      <c r="QPH2026" s="381"/>
      <c r="QPI2026" s="381"/>
      <c r="QPJ2026" s="381"/>
      <c r="QPK2026" s="381"/>
      <c r="QPL2026" s="381"/>
      <c r="QPM2026" s="381"/>
      <c r="QPN2026" s="381"/>
      <c r="QPO2026" s="381"/>
      <c r="QPP2026" s="381"/>
      <c r="QPQ2026" s="381"/>
      <c r="QPR2026" s="381"/>
      <c r="QPS2026" s="381"/>
      <c r="QPT2026" s="381"/>
      <c r="QPU2026" s="381"/>
      <c r="QPV2026" s="381"/>
      <c r="QPW2026" s="381"/>
      <c r="QPX2026" s="381"/>
      <c r="QPY2026" s="381"/>
      <c r="QPZ2026" s="381"/>
      <c r="QQA2026" s="381"/>
      <c r="QQB2026" s="381"/>
      <c r="QQC2026" s="381"/>
      <c r="QQD2026" s="381"/>
      <c r="QQE2026" s="381"/>
      <c r="QQF2026" s="381"/>
      <c r="QQG2026" s="381"/>
      <c r="QQH2026" s="381"/>
      <c r="QQI2026" s="381"/>
      <c r="QQJ2026" s="381"/>
      <c r="QQK2026" s="381"/>
      <c r="QQL2026" s="381"/>
      <c r="QQM2026" s="381"/>
      <c r="QQN2026" s="381"/>
      <c r="QQO2026" s="381"/>
      <c r="QQP2026" s="381"/>
      <c r="QQQ2026" s="381"/>
      <c r="QQR2026" s="381"/>
      <c r="QQS2026" s="381"/>
      <c r="QQT2026" s="381"/>
      <c r="QQU2026" s="381"/>
      <c r="QQV2026" s="381"/>
      <c r="QQW2026" s="381"/>
      <c r="QQX2026" s="381"/>
      <c r="QQY2026" s="381"/>
      <c r="QQZ2026" s="381"/>
      <c r="QRA2026" s="381"/>
      <c r="QRB2026" s="381"/>
      <c r="QRC2026" s="381"/>
      <c r="QRD2026" s="381"/>
      <c r="QRE2026" s="381"/>
      <c r="QRF2026" s="381"/>
      <c r="QRG2026" s="381"/>
      <c r="QRH2026" s="381"/>
      <c r="QRI2026" s="381"/>
      <c r="QRJ2026" s="381"/>
      <c r="QRK2026" s="381"/>
      <c r="QRL2026" s="381"/>
      <c r="QRM2026" s="381"/>
      <c r="QRN2026" s="381"/>
      <c r="QRO2026" s="381"/>
      <c r="QRP2026" s="381"/>
      <c r="QRQ2026" s="381"/>
      <c r="QRR2026" s="381"/>
      <c r="QRS2026" s="381"/>
      <c r="QRT2026" s="381"/>
      <c r="QRU2026" s="381"/>
      <c r="QRV2026" s="381"/>
      <c r="QRW2026" s="381"/>
      <c r="QRX2026" s="381"/>
      <c r="QRY2026" s="381"/>
      <c r="QRZ2026" s="381"/>
      <c r="QSA2026" s="381"/>
      <c r="QSB2026" s="381"/>
      <c r="QSC2026" s="381"/>
      <c r="QSD2026" s="381"/>
      <c r="QSE2026" s="381"/>
      <c r="QSF2026" s="381"/>
      <c r="QSG2026" s="381"/>
      <c r="QSH2026" s="381"/>
      <c r="QSI2026" s="381"/>
      <c r="QSJ2026" s="381"/>
      <c r="QSK2026" s="381"/>
      <c r="QSL2026" s="381"/>
      <c r="QSM2026" s="381"/>
      <c r="QSN2026" s="381"/>
      <c r="QSO2026" s="381"/>
      <c r="QSP2026" s="381"/>
      <c r="QSQ2026" s="381"/>
      <c r="QSR2026" s="381"/>
      <c r="QSS2026" s="381"/>
      <c r="QST2026" s="381"/>
      <c r="QSU2026" s="381"/>
      <c r="QSV2026" s="381"/>
      <c r="QSW2026" s="381"/>
      <c r="QSX2026" s="381"/>
      <c r="QSY2026" s="381"/>
      <c r="QSZ2026" s="381"/>
      <c r="QTA2026" s="381"/>
      <c r="QTB2026" s="381"/>
      <c r="QTC2026" s="381"/>
      <c r="QTD2026" s="381"/>
      <c r="QTE2026" s="381"/>
      <c r="QTF2026" s="381"/>
      <c r="QTG2026" s="381"/>
      <c r="QTH2026" s="381"/>
      <c r="QTI2026" s="381"/>
      <c r="QTJ2026" s="381"/>
      <c r="QTK2026" s="381"/>
      <c r="QTL2026" s="381"/>
      <c r="QTM2026" s="381"/>
      <c r="QTN2026" s="381"/>
      <c r="QTO2026" s="381"/>
      <c r="QTP2026" s="381"/>
      <c r="QTQ2026" s="381"/>
      <c r="QTR2026" s="381"/>
      <c r="QTS2026" s="381"/>
      <c r="QTT2026" s="381"/>
      <c r="QTU2026" s="381"/>
      <c r="QTV2026" s="381"/>
      <c r="QTW2026" s="381"/>
      <c r="QTX2026" s="381"/>
      <c r="QTY2026" s="381"/>
      <c r="QTZ2026" s="381"/>
      <c r="QUA2026" s="381"/>
      <c r="QUB2026" s="381"/>
      <c r="QUC2026" s="381"/>
      <c r="QUD2026" s="381"/>
      <c r="QUE2026" s="381"/>
      <c r="QUF2026" s="381"/>
      <c r="QUG2026" s="381"/>
      <c r="QUH2026" s="381"/>
      <c r="QUI2026" s="381"/>
      <c r="QUJ2026" s="381"/>
      <c r="QUK2026" s="381"/>
      <c r="QUL2026" s="381"/>
      <c r="QUM2026" s="381"/>
      <c r="QUN2026" s="381"/>
      <c r="QUO2026" s="381"/>
      <c r="QUP2026" s="381"/>
      <c r="QUQ2026" s="381"/>
      <c r="QUR2026" s="381"/>
      <c r="QUS2026" s="381"/>
      <c r="QUT2026" s="381"/>
      <c r="QUU2026" s="381"/>
      <c r="QUV2026" s="381"/>
      <c r="QUW2026" s="381"/>
      <c r="QUX2026" s="381"/>
      <c r="QUY2026" s="381"/>
      <c r="QUZ2026" s="381"/>
      <c r="QVA2026" s="381"/>
      <c r="QVB2026" s="381"/>
      <c r="QVC2026" s="381"/>
      <c r="QVD2026" s="381"/>
      <c r="QVE2026" s="381"/>
      <c r="QVF2026" s="381"/>
      <c r="QVG2026" s="381"/>
      <c r="QVH2026" s="381"/>
      <c r="QVI2026" s="381"/>
      <c r="QVJ2026" s="381"/>
      <c r="QVK2026" s="381"/>
      <c r="QVL2026" s="381"/>
      <c r="QVM2026" s="381"/>
      <c r="QVN2026" s="381"/>
      <c r="QVO2026" s="381"/>
      <c r="QVP2026" s="381"/>
      <c r="QVQ2026" s="381"/>
      <c r="QVR2026" s="381"/>
      <c r="QVS2026" s="381"/>
      <c r="QVT2026" s="381"/>
      <c r="QVU2026" s="381"/>
      <c r="QVV2026" s="381"/>
      <c r="QVW2026" s="381"/>
      <c r="QVX2026" s="381"/>
      <c r="QVY2026" s="381"/>
      <c r="QVZ2026" s="381"/>
      <c r="QWA2026" s="381"/>
      <c r="QWB2026" s="381"/>
      <c r="QWC2026" s="381"/>
      <c r="QWD2026" s="381"/>
      <c r="QWE2026" s="381"/>
      <c r="QWF2026" s="381"/>
      <c r="QWG2026" s="381"/>
      <c r="QWH2026" s="381"/>
      <c r="QWI2026" s="381"/>
      <c r="QWJ2026" s="381"/>
      <c r="QWK2026" s="381"/>
      <c r="QWL2026" s="381"/>
      <c r="QWM2026" s="381"/>
      <c r="QWN2026" s="381"/>
      <c r="QWO2026" s="381"/>
      <c r="QWP2026" s="381"/>
      <c r="QWQ2026" s="381"/>
      <c r="QWR2026" s="381"/>
      <c r="QWS2026" s="381"/>
      <c r="QWT2026" s="381"/>
      <c r="QWU2026" s="381"/>
      <c r="QWV2026" s="381"/>
      <c r="QWW2026" s="381"/>
      <c r="QWX2026" s="381"/>
      <c r="QWY2026" s="381"/>
      <c r="QWZ2026" s="381"/>
      <c r="QXA2026" s="381"/>
      <c r="QXB2026" s="381"/>
      <c r="QXC2026" s="381"/>
      <c r="QXD2026" s="381"/>
      <c r="QXE2026" s="381"/>
      <c r="QXF2026" s="381"/>
      <c r="QXG2026" s="381"/>
      <c r="QXH2026" s="381"/>
      <c r="QXI2026" s="381"/>
      <c r="QXJ2026" s="381"/>
      <c r="QXK2026" s="381"/>
      <c r="QXL2026" s="381"/>
      <c r="QXM2026" s="381"/>
      <c r="QXN2026" s="381"/>
      <c r="QXO2026" s="381"/>
      <c r="QXP2026" s="381"/>
      <c r="QXQ2026" s="381"/>
      <c r="QXR2026" s="381"/>
      <c r="QXS2026" s="381"/>
      <c r="QXT2026" s="381"/>
      <c r="QXU2026" s="381"/>
      <c r="QXV2026" s="381"/>
      <c r="QXW2026" s="381"/>
      <c r="QXX2026" s="381"/>
      <c r="QXY2026" s="381"/>
      <c r="QXZ2026" s="381"/>
      <c r="QYA2026" s="381"/>
      <c r="QYB2026" s="381"/>
      <c r="QYC2026" s="381"/>
      <c r="QYD2026" s="381"/>
      <c r="QYE2026" s="381"/>
      <c r="QYF2026" s="381"/>
      <c r="QYG2026" s="381"/>
      <c r="QYH2026" s="381"/>
      <c r="QYI2026" s="381"/>
      <c r="QYJ2026" s="381"/>
      <c r="QYK2026" s="381"/>
      <c r="QYL2026" s="381"/>
      <c r="QYM2026" s="381"/>
      <c r="QYN2026" s="381"/>
      <c r="QYO2026" s="381"/>
      <c r="QYP2026" s="381"/>
      <c r="QYQ2026" s="381"/>
      <c r="QYR2026" s="381"/>
      <c r="QYS2026" s="381"/>
      <c r="QYT2026" s="381"/>
      <c r="QYU2026" s="381"/>
      <c r="QYV2026" s="381"/>
      <c r="QYW2026" s="381"/>
      <c r="QYX2026" s="381"/>
      <c r="QYY2026" s="381"/>
      <c r="QYZ2026" s="381"/>
      <c r="QZA2026" s="381"/>
      <c r="QZB2026" s="381"/>
      <c r="QZC2026" s="381"/>
      <c r="QZD2026" s="381"/>
      <c r="QZE2026" s="381"/>
      <c r="QZF2026" s="381"/>
      <c r="QZG2026" s="381"/>
      <c r="QZH2026" s="381"/>
      <c r="QZI2026" s="381"/>
      <c r="QZJ2026" s="381"/>
      <c r="QZK2026" s="381"/>
      <c r="QZL2026" s="381"/>
      <c r="QZM2026" s="381"/>
      <c r="QZN2026" s="381"/>
      <c r="QZO2026" s="381"/>
      <c r="QZP2026" s="381"/>
      <c r="QZQ2026" s="381"/>
      <c r="QZR2026" s="381"/>
      <c r="QZS2026" s="381"/>
      <c r="QZT2026" s="381"/>
      <c r="QZU2026" s="381"/>
      <c r="QZV2026" s="381"/>
      <c r="QZW2026" s="381"/>
      <c r="QZX2026" s="381"/>
      <c r="QZY2026" s="381"/>
      <c r="QZZ2026" s="381"/>
      <c r="RAA2026" s="381"/>
      <c r="RAB2026" s="381"/>
      <c r="RAC2026" s="381"/>
      <c r="RAD2026" s="381"/>
      <c r="RAE2026" s="381"/>
      <c r="RAF2026" s="381"/>
      <c r="RAG2026" s="381"/>
      <c r="RAH2026" s="381"/>
      <c r="RAI2026" s="381"/>
      <c r="RAJ2026" s="381"/>
      <c r="RAK2026" s="381"/>
      <c r="RAL2026" s="381"/>
      <c r="RAM2026" s="381"/>
      <c r="RAN2026" s="381"/>
      <c r="RAO2026" s="381"/>
      <c r="RAP2026" s="381"/>
      <c r="RAQ2026" s="381"/>
      <c r="RAR2026" s="381"/>
      <c r="RAS2026" s="381"/>
      <c r="RAT2026" s="381"/>
      <c r="RAU2026" s="381"/>
      <c r="RAV2026" s="381"/>
      <c r="RAW2026" s="381"/>
      <c r="RAX2026" s="381"/>
      <c r="RAY2026" s="381"/>
      <c r="RAZ2026" s="381"/>
      <c r="RBA2026" s="381"/>
      <c r="RBB2026" s="381"/>
      <c r="RBC2026" s="381"/>
      <c r="RBD2026" s="381"/>
      <c r="RBE2026" s="381"/>
      <c r="RBF2026" s="381"/>
      <c r="RBG2026" s="381"/>
      <c r="RBH2026" s="381"/>
      <c r="RBI2026" s="381"/>
      <c r="RBJ2026" s="381"/>
      <c r="RBK2026" s="381"/>
      <c r="RBL2026" s="381"/>
      <c r="RBM2026" s="381"/>
      <c r="RBN2026" s="381"/>
      <c r="RBO2026" s="381"/>
      <c r="RBP2026" s="381"/>
      <c r="RBQ2026" s="381"/>
      <c r="RBR2026" s="381"/>
      <c r="RBS2026" s="381"/>
      <c r="RBT2026" s="381"/>
      <c r="RBU2026" s="381"/>
      <c r="RBV2026" s="381"/>
      <c r="RBW2026" s="381"/>
      <c r="RBX2026" s="381"/>
      <c r="RBY2026" s="381"/>
      <c r="RBZ2026" s="381"/>
      <c r="RCA2026" s="381"/>
      <c r="RCB2026" s="381"/>
      <c r="RCC2026" s="381"/>
      <c r="RCD2026" s="381"/>
      <c r="RCE2026" s="381"/>
      <c r="RCF2026" s="381"/>
      <c r="RCG2026" s="381"/>
      <c r="RCH2026" s="381"/>
      <c r="RCI2026" s="381"/>
      <c r="RCJ2026" s="381"/>
      <c r="RCK2026" s="381"/>
      <c r="RCL2026" s="381"/>
      <c r="RCM2026" s="381"/>
      <c r="RCN2026" s="381"/>
      <c r="RCO2026" s="381"/>
      <c r="RCP2026" s="381"/>
      <c r="RCQ2026" s="381"/>
      <c r="RCR2026" s="381"/>
      <c r="RCS2026" s="381"/>
      <c r="RCT2026" s="381"/>
      <c r="RCU2026" s="381"/>
      <c r="RCV2026" s="381"/>
      <c r="RCW2026" s="381"/>
      <c r="RCX2026" s="381"/>
      <c r="RCY2026" s="381"/>
      <c r="RCZ2026" s="381"/>
      <c r="RDA2026" s="381"/>
      <c r="RDB2026" s="381"/>
      <c r="RDC2026" s="381"/>
      <c r="RDD2026" s="381"/>
      <c r="RDE2026" s="381"/>
      <c r="RDF2026" s="381"/>
      <c r="RDG2026" s="381"/>
      <c r="RDH2026" s="381"/>
      <c r="RDI2026" s="381"/>
      <c r="RDJ2026" s="381"/>
      <c r="RDK2026" s="381"/>
      <c r="RDL2026" s="381"/>
      <c r="RDM2026" s="381"/>
      <c r="RDN2026" s="381"/>
      <c r="RDO2026" s="381"/>
      <c r="RDP2026" s="381"/>
      <c r="RDQ2026" s="381"/>
      <c r="RDR2026" s="381"/>
      <c r="RDS2026" s="381"/>
      <c r="RDT2026" s="381"/>
      <c r="RDU2026" s="381"/>
      <c r="RDV2026" s="381"/>
      <c r="RDW2026" s="381"/>
      <c r="RDX2026" s="381"/>
      <c r="RDY2026" s="381"/>
      <c r="RDZ2026" s="381"/>
      <c r="REA2026" s="381"/>
      <c r="REB2026" s="381"/>
      <c r="REC2026" s="381"/>
      <c r="RED2026" s="381"/>
      <c r="REE2026" s="381"/>
      <c r="REF2026" s="381"/>
      <c r="REG2026" s="381"/>
      <c r="REH2026" s="381"/>
      <c r="REI2026" s="381"/>
      <c r="REJ2026" s="381"/>
      <c r="REK2026" s="381"/>
      <c r="REL2026" s="381"/>
      <c r="REM2026" s="381"/>
      <c r="REN2026" s="381"/>
      <c r="REO2026" s="381"/>
      <c r="REP2026" s="381"/>
      <c r="REQ2026" s="381"/>
      <c r="RER2026" s="381"/>
      <c r="RES2026" s="381"/>
      <c r="RET2026" s="381"/>
      <c r="REU2026" s="381"/>
      <c r="REV2026" s="381"/>
      <c r="REW2026" s="381"/>
      <c r="REX2026" s="381"/>
      <c r="REY2026" s="381"/>
      <c r="REZ2026" s="381"/>
      <c r="RFA2026" s="381"/>
      <c r="RFB2026" s="381"/>
      <c r="RFC2026" s="381"/>
      <c r="RFD2026" s="381"/>
      <c r="RFE2026" s="381"/>
      <c r="RFF2026" s="381"/>
      <c r="RFG2026" s="381"/>
      <c r="RFH2026" s="381"/>
      <c r="RFI2026" s="381"/>
      <c r="RFJ2026" s="381"/>
      <c r="RFK2026" s="381"/>
      <c r="RFL2026" s="381"/>
      <c r="RFM2026" s="381"/>
      <c r="RFN2026" s="381"/>
      <c r="RFO2026" s="381"/>
      <c r="RFP2026" s="381"/>
      <c r="RFQ2026" s="381"/>
      <c r="RFR2026" s="381"/>
      <c r="RFS2026" s="381"/>
      <c r="RFT2026" s="381"/>
      <c r="RFU2026" s="381"/>
      <c r="RFV2026" s="381"/>
      <c r="RFW2026" s="381"/>
      <c r="RFX2026" s="381"/>
      <c r="RFY2026" s="381"/>
      <c r="RFZ2026" s="381"/>
      <c r="RGA2026" s="381"/>
      <c r="RGB2026" s="381"/>
      <c r="RGC2026" s="381"/>
      <c r="RGD2026" s="381"/>
      <c r="RGE2026" s="381"/>
      <c r="RGF2026" s="381"/>
      <c r="RGG2026" s="381"/>
      <c r="RGH2026" s="381"/>
      <c r="RGI2026" s="381"/>
      <c r="RGJ2026" s="381"/>
      <c r="RGK2026" s="381"/>
      <c r="RGL2026" s="381"/>
      <c r="RGM2026" s="381"/>
      <c r="RGN2026" s="381"/>
      <c r="RGO2026" s="381"/>
      <c r="RGP2026" s="381"/>
      <c r="RGQ2026" s="381"/>
      <c r="RGR2026" s="381"/>
      <c r="RGS2026" s="381"/>
      <c r="RGT2026" s="381"/>
      <c r="RGU2026" s="381"/>
      <c r="RGV2026" s="381"/>
      <c r="RGW2026" s="381"/>
      <c r="RGX2026" s="381"/>
      <c r="RGY2026" s="381"/>
      <c r="RGZ2026" s="381"/>
      <c r="RHA2026" s="381"/>
      <c r="RHB2026" s="381"/>
      <c r="RHC2026" s="381"/>
      <c r="RHD2026" s="381"/>
      <c r="RHE2026" s="381"/>
      <c r="RHF2026" s="381"/>
      <c r="RHG2026" s="381"/>
      <c r="RHH2026" s="381"/>
      <c r="RHI2026" s="381"/>
      <c r="RHJ2026" s="381"/>
      <c r="RHK2026" s="381"/>
      <c r="RHL2026" s="381"/>
      <c r="RHM2026" s="381"/>
      <c r="RHN2026" s="381"/>
      <c r="RHO2026" s="381"/>
      <c r="RHP2026" s="381"/>
      <c r="RHQ2026" s="381"/>
      <c r="RHR2026" s="381"/>
      <c r="RHS2026" s="381"/>
      <c r="RHT2026" s="381"/>
      <c r="RHU2026" s="381"/>
      <c r="RHV2026" s="381"/>
      <c r="RHW2026" s="381"/>
      <c r="RHX2026" s="381"/>
      <c r="RHY2026" s="381"/>
      <c r="RHZ2026" s="381"/>
      <c r="RIA2026" s="381"/>
      <c r="RIB2026" s="381"/>
      <c r="RIC2026" s="381"/>
      <c r="RID2026" s="381"/>
      <c r="RIE2026" s="381"/>
      <c r="RIF2026" s="381"/>
      <c r="RIG2026" s="381"/>
      <c r="RIH2026" s="381"/>
      <c r="RII2026" s="381"/>
      <c r="RIJ2026" s="381"/>
      <c r="RIK2026" s="381"/>
      <c r="RIL2026" s="381"/>
      <c r="RIM2026" s="381"/>
      <c r="RIN2026" s="381"/>
      <c r="RIO2026" s="381"/>
      <c r="RIP2026" s="381"/>
      <c r="RIQ2026" s="381"/>
      <c r="RIR2026" s="381"/>
      <c r="RIS2026" s="381"/>
      <c r="RIT2026" s="381"/>
      <c r="RIU2026" s="381"/>
      <c r="RIV2026" s="381"/>
      <c r="RIW2026" s="381"/>
      <c r="RIX2026" s="381"/>
      <c r="RIY2026" s="381"/>
      <c r="RIZ2026" s="381"/>
      <c r="RJA2026" s="381"/>
      <c r="RJB2026" s="381"/>
      <c r="RJC2026" s="381"/>
      <c r="RJD2026" s="381"/>
      <c r="RJE2026" s="381"/>
      <c r="RJF2026" s="381"/>
      <c r="RJG2026" s="381"/>
      <c r="RJH2026" s="381"/>
      <c r="RJI2026" s="381"/>
      <c r="RJJ2026" s="381"/>
      <c r="RJK2026" s="381"/>
      <c r="RJL2026" s="381"/>
      <c r="RJM2026" s="381"/>
      <c r="RJN2026" s="381"/>
      <c r="RJO2026" s="381"/>
      <c r="RJP2026" s="381"/>
      <c r="RJQ2026" s="381"/>
      <c r="RJR2026" s="381"/>
      <c r="RJS2026" s="381"/>
      <c r="RJT2026" s="381"/>
      <c r="RJU2026" s="381"/>
      <c r="RJV2026" s="381"/>
      <c r="RJW2026" s="381"/>
      <c r="RJX2026" s="381"/>
      <c r="RJY2026" s="381"/>
      <c r="RJZ2026" s="381"/>
      <c r="RKA2026" s="381"/>
      <c r="RKB2026" s="381"/>
      <c r="RKC2026" s="381"/>
      <c r="RKD2026" s="381"/>
      <c r="RKE2026" s="381"/>
      <c r="RKF2026" s="381"/>
      <c r="RKG2026" s="381"/>
      <c r="RKH2026" s="381"/>
      <c r="RKI2026" s="381"/>
      <c r="RKJ2026" s="381"/>
      <c r="RKK2026" s="381"/>
      <c r="RKL2026" s="381"/>
      <c r="RKM2026" s="381"/>
      <c r="RKN2026" s="381"/>
      <c r="RKO2026" s="381"/>
      <c r="RKP2026" s="381"/>
      <c r="RKQ2026" s="381"/>
      <c r="RKR2026" s="381"/>
      <c r="RKS2026" s="381"/>
      <c r="RKT2026" s="381"/>
      <c r="RKU2026" s="381"/>
      <c r="RKV2026" s="381"/>
      <c r="RKW2026" s="381"/>
      <c r="RKX2026" s="381"/>
      <c r="RKY2026" s="381"/>
      <c r="RKZ2026" s="381"/>
      <c r="RLA2026" s="381"/>
      <c r="RLB2026" s="381"/>
      <c r="RLC2026" s="381"/>
      <c r="RLD2026" s="381"/>
      <c r="RLE2026" s="381"/>
      <c r="RLF2026" s="381"/>
      <c r="RLG2026" s="381"/>
      <c r="RLH2026" s="381"/>
      <c r="RLI2026" s="381"/>
      <c r="RLJ2026" s="381"/>
      <c r="RLK2026" s="381"/>
      <c r="RLL2026" s="381"/>
      <c r="RLM2026" s="381"/>
      <c r="RLN2026" s="381"/>
      <c r="RLO2026" s="381"/>
      <c r="RLP2026" s="381"/>
      <c r="RLQ2026" s="381"/>
      <c r="RLR2026" s="381"/>
      <c r="RLS2026" s="381"/>
      <c r="RLT2026" s="381"/>
      <c r="RLU2026" s="381"/>
      <c r="RLV2026" s="381"/>
      <c r="RLW2026" s="381"/>
      <c r="RLX2026" s="381"/>
      <c r="RLY2026" s="381"/>
      <c r="RLZ2026" s="381"/>
      <c r="RMA2026" s="381"/>
      <c r="RMB2026" s="381"/>
      <c r="RMC2026" s="381"/>
      <c r="RMD2026" s="381"/>
      <c r="RME2026" s="381"/>
      <c r="RMF2026" s="381"/>
      <c r="RMG2026" s="381"/>
      <c r="RMH2026" s="381"/>
      <c r="RMI2026" s="381"/>
      <c r="RMJ2026" s="381"/>
      <c r="RMK2026" s="381"/>
      <c r="RML2026" s="381"/>
      <c r="RMM2026" s="381"/>
      <c r="RMN2026" s="381"/>
      <c r="RMO2026" s="381"/>
      <c r="RMP2026" s="381"/>
      <c r="RMQ2026" s="381"/>
      <c r="RMR2026" s="381"/>
      <c r="RMS2026" s="381"/>
      <c r="RMT2026" s="381"/>
      <c r="RMU2026" s="381"/>
      <c r="RMV2026" s="381"/>
      <c r="RMW2026" s="381"/>
      <c r="RMX2026" s="381"/>
      <c r="RMY2026" s="381"/>
      <c r="RMZ2026" s="381"/>
      <c r="RNA2026" s="381"/>
      <c r="RNB2026" s="381"/>
      <c r="RNC2026" s="381"/>
      <c r="RND2026" s="381"/>
      <c r="RNE2026" s="381"/>
      <c r="RNF2026" s="381"/>
      <c r="RNG2026" s="381"/>
      <c r="RNH2026" s="381"/>
      <c r="RNI2026" s="381"/>
      <c r="RNJ2026" s="381"/>
      <c r="RNK2026" s="381"/>
      <c r="RNL2026" s="381"/>
      <c r="RNM2026" s="381"/>
      <c r="RNN2026" s="381"/>
      <c r="RNO2026" s="381"/>
      <c r="RNP2026" s="381"/>
      <c r="RNQ2026" s="381"/>
      <c r="RNR2026" s="381"/>
      <c r="RNS2026" s="381"/>
      <c r="RNT2026" s="381"/>
      <c r="RNU2026" s="381"/>
      <c r="RNV2026" s="381"/>
      <c r="RNW2026" s="381"/>
      <c r="RNX2026" s="381"/>
      <c r="RNY2026" s="381"/>
      <c r="RNZ2026" s="381"/>
      <c r="ROA2026" s="381"/>
      <c r="ROB2026" s="381"/>
      <c r="ROC2026" s="381"/>
      <c r="ROD2026" s="381"/>
      <c r="ROE2026" s="381"/>
      <c r="ROF2026" s="381"/>
      <c r="ROG2026" s="381"/>
      <c r="ROH2026" s="381"/>
      <c r="ROI2026" s="381"/>
      <c r="ROJ2026" s="381"/>
      <c r="ROK2026" s="381"/>
      <c r="ROL2026" s="381"/>
      <c r="ROM2026" s="381"/>
      <c r="RON2026" s="381"/>
      <c r="ROO2026" s="381"/>
      <c r="ROP2026" s="381"/>
      <c r="ROQ2026" s="381"/>
      <c r="ROR2026" s="381"/>
      <c r="ROS2026" s="381"/>
      <c r="ROT2026" s="381"/>
      <c r="ROU2026" s="381"/>
      <c r="ROV2026" s="381"/>
      <c r="ROW2026" s="381"/>
      <c r="ROX2026" s="381"/>
      <c r="ROY2026" s="381"/>
      <c r="ROZ2026" s="381"/>
      <c r="RPA2026" s="381"/>
      <c r="RPB2026" s="381"/>
      <c r="RPC2026" s="381"/>
      <c r="RPD2026" s="381"/>
      <c r="RPE2026" s="381"/>
      <c r="RPF2026" s="381"/>
      <c r="RPG2026" s="381"/>
      <c r="RPH2026" s="381"/>
      <c r="RPI2026" s="381"/>
      <c r="RPJ2026" s="381"/>
      <c r="RPK2026" s="381"/>
      <c r="RPL2026" s="381"/>
      <c r="RPM2026" s="381"/>
      <c r="RPN2026" s="381"/>
      <c r="RPO2026" s="381"/>
      <c r="RPP2026" s="381"/>
      <c r="RPQ2026" s="381"/>
      <c r="RPR2026" s="381"/>
      <c r="RPS2026" s="381"/>
      <c r="RPT2026" s="381"/>
      <c r="RPU2026" s="381"/>
      <c r="RPV2026" s="381"/>
      <c r="RPW2026" s="381"/>
      <c r="RPX2026" s="381"/>
      <c r="RPY2026" s="381"/>
      <c r="RPZ2026" s="381"/>
      <c r="RQA2026" s="381"/>
      <c r="RQB2026" s="381"/>
      <c r="RQC2026" s="381"/>
      <c r="RQD2026" s="381"/>
      <c r="RQE2026" s="381"/>
      <c r="RQF2026" s="381"/>
      <c r="RQG2026" s="381"/>
      <c r="RQH2026" s="381"/>
      <c r="RQI2026" s="381"/>
      <c r="RQJ2026" s="381"/>
      <c r="RQK2026" s="381"/>
      <c r="RQL2026" s="381"/>
      <c r="RQM2026" s="381"/>
      <c r="RQN2026" s="381"/>
      <c r="RQO2026" s="381"/>
      <c r="RQP2026" s="381"/>
      <c r="RQQ2026" s="381"/>
      <c r="RQR2026" s="381"/>
      <c r="RQS2026" s="381"/>
      <c r="RQT2026" s="381"/>
      <c r="RQU2026" s="381"/>
      <c r="RQV2026" s="381"/>
      <c r="RQW2026" s="381"/>
      <c r="RQX2026" s="381"/>
      <c r="RQY2026" s="381"/>
      <c r="RQZ2026" s="381"/>
      <c r="RRA2026" s="381"/>
      <c r="RRB2026" s="381"/>
      <c r="RRC2026" s="381"/>
      <c r="RRD2026" s="381"/>
      <c r="RRE2026" s="381"/>
      <c r="RRF2026" s="381"/>
      <c r="RRG2026" s="381"/>
      <c r="RRH2026" s="381"/>
      <c r="RRI2026" s="381"/>
      <c r="RRJ2026" s="381"/>
      <c r="RRK2026" s="381"/>
      <c r="RRL2026" s="381"/>
      <c r="RRM2026" s="381"/>
      <c r="RRN2026" s="381"/>
      <c r="RRO2026" s="381"/>
      <c r="RRP2026" s="381"/>
      <c r="RRQ2026" s="381"/>
      <c r="RRR2026" s="381"/>
      <c r="RRS2026" s="381"/>
      <c r="RRT2026" s="381"/>
      <c r="RRU2026" s="381"/>
      <c r="RRV2026" s="381"/>
      <c r="RRW2026" s="381"/>
      <c r="RRX2026" s="381"/>
      <c r="RRY2026" s="381"/>
      <c r="RRZ2026" s="381"/>
      <c r="RSA2026" s="381"/>
      <c r="RSB2026" s="381"/>
      <c r="RSC2026" s="381"/>
      <c r="RSD2026" s="381"/>
      <c r="RSE2026" s="381"/>
      <c r="RSF2026" s="381"/>
      <c r="RSG2026" s="381"/>
      <c r="RSH2026" s="381"/>
      <c r="RSI2026" s="381"/>
      <c r="RSJ2026" s="381"/>
      <c r="RSK2026" s="381"/>
      <c r="RSL2026" s="381"/>
      <c r="RSM2026" s="381"/>
      <c r="RSN2026" s="381"/>
      <c r="RSO2026" s="381"/>
      <c r="RSP2026" s="381"/>
      <c r="RSQ2026" s="381"/>
      <c r="RSR2026" s="381"/>
      <c r="RSS2026" s="381"/>
      <c r="RST2026" s="381"/>
      <c r="RSU2026" s="381"/>
      <c r="RSV2026" s="381"/>
      <c r="RSW2026" s="381"/>
      <c r="RSX2026" s="381"/>
      <c r="RSY2026" s="381"/>
      <c r="RSZ2026" s="381"/>
      <c r="RTA2026" s="381"/>
      <c r="RTB2026" s="381"/>
      <c r="RTC2026" s="381"/>
      <c r="RTD2026" s="381"/>
      <c r="RTE2026" s="381"/>
      <c r="RTF2026" s="381"/>
      <c r="RTG2026" s="381"/>
      <c r="RTH2026" s="381"/>
      <c r="RTI2026" s="381"/>
      <c r="RTJ2026" s="381"/>
      <c r="RTK2026" s="381"/>
      <c r="RTL2026" s="381"/>
      <c r="RTM2026" s="381"/>
      <c r="RTN2026" s="381"/>
      <c r="RTO2026" s="381"/>
      <c r="RTP2026" s="381"/>
      <c r="RTQ2026" s="381"/>
      <c r="RTR2026" s="381"/>
      <c r="RTS2026" s="381"/>
      <c r="RTT2026" s="381"/>
      <c r="RTU2026" s="381"/>
      <c r="RTV2026" s="381"/>
      <c r="RTW2026" s="381"/>
      <c r="RTX2026" s="381"/>
      <c r="RTY2026" s="381"/>
      <c r="RTZ2026" s="381"/>
      <c r="RUA2026" s="381"/>
      <c r="RUB2026" s="381"/>
      <c r="RUC2026" s="381"/>
      <c r="RUD2026" s="381"/>
      <c r="RUE2026" s="381"/>
      <c r="RUF2026" s="381"/>
      <c r="RUG2026" s="381"/>
      <c r="RUH2026" s="381"/>
      <c r="RUI2026" s="381"/>
      <c r="RUJ2026" s="381"/>
      <c r="RUK2026" s="381"/>
      <c r="RUL2026" s="381"/>
      <c r="RUM2026" s="381"/>
      <c r="RUN2026" s="381"/>
      <c r="RUO2026" s="381"/>
      <c r="RUP2026" s="381"/>
      <c r="RUQ2026" s="381"/>
      <c r="RUR2026" s="381"/>
      <c r="RUS2026" s="381"/>
      <c r="RUT2026" s="381"/>
      <c r="RUU2026" s="381"/>
      <c r="RUV2026" s="381"/>
      <c r="RUW2026" s="381"/>
      <c r="RUX2026" s="381"/>
      <c r="RUY2026" s="381"/>
      <c r="RUZ2026" s="381"/>
      <c r="RVA2026" s="381"/>
      <c r="RVB2026" s="381"/>
      <c r="RVC2026" s="381"/>
      <c r="RVD2026" s="381"/>
      <c r="RVE2026" s="381"/>
      <c r="RVF2026" s="381"/>
      <c r="RVG2026" s="381"/>
      <c r="RVH2026" s="381"/>
      <c r="RVI2026" s="381"/>
      <c r="RVJ2026" s="381"/>
      <c r="RVK2026" s="381"/>
      <c r="RVL2026" s="381"/>
      <c r="RVM2026" s="381"/>
      <c r="RVN2026" s="381"/>
      <c r="RVO2026" s="381"/>
      <c r="RVP2026" s="381"/>
      <c r="RVQ2026" s="381"/>
      <c r="RVR2026" s="381"/>
      <c r="RVS2026" s="381"/>
      <c r="RVT2026" s="381"/>
      <c r="RVU2026" s="381"/>
      <c r="RVV2026" s="381"/>
      <c r="RVW2026" s="381"/>
      <c r="RVX2026" s="381"/>
      <c r="RVY2026" s="381"/>
      <c r="RVZ2026" s="381"/>
      <c r="RWA2026" s="381"/>
      <c r="RWB2026" s="381"/>
      <c r="RWC2026" s="381"/>
      <c r="RWD2026" s="381"/>
      <c r="RWE2026" s="381"/>
      <c r="RWF2026" s="381"/>
      <c r="RWG2026" s="381"/>
      <c r="RWH2026" s="381"/>
      <c r="RWI2026" s="381"/>
      <c r="RWJ2026" s="381"/>
      <c r="RWK2026" s="381"/>
      <c r="RWL2026" s="381"/>
      <c r="RWM2026" s="381"/>
      <c r="RWN2026" s="381"/>
      <c r="RWO2026" s="381"/>
      <c r="RWP2026" s="381"/>
      <c r="RWQ2026" s="381"/>
      <c r="RWR2026" s="381"/>
      <c r="RWS2026" s="381"/>
      <c r="RWT2026" s="381"/>
      <c r="RWU2026" s="381"/>
      <c r="RWV2026" s="381"/>
      <c r="RWW2026" s="381"/>
      <c r="RWX2026" s="381"/>
      <c r="RWY2026" s="381"/>
      <c r="RWZ2026" s="381"/>
      <c r="RXA2026" s="381"/>
      <c r="RXB2026" s="381"/>
      <c r="RXC2026" s="381"/>
      <c r="RXD2026" s="381"/>
      <c r="RXE2026" s="381"/>
      <c r="RXF2026" s="381"/>
      <c r="RXG2026" s="381"/>
      <c r="RXH2026" s="381"/>
      <c r="RXI2026" s="381"/>
      <c r="RXJ2026" s="381"/>
      <c r="RXK2026" s="381"/>
      <c r="RXL2026" s="381"/>
      <c r="RXM2026" s="381"/>
      <c r="RXN2026" s="381"/>
      <c r="RXO2026" s="381"/>
      <c r="RXP2026" s="381"/>
      <c r="RXQ2026" s="381"/>
      <c r="RXR2026" s="381"/>
      <c r="RXS2026" s="381"/>
      <c r="RXT2026" s="381"/>
      <c r="RXU2026" s="381"/>
      <c r="RXV2026" s="381"/>
      <c r="RXW2026" s="381"/>
      <c r="RXX2026" s="381"/>
      <c r="RXY2026" s="381"/>
      <c r="RXZ2026" s="381"/>
      <c r="RYA2026" s="381"/>
      <c r="RYB2026" s="381"/>
      <c r="RYC2026" s="381"/>
      <c r="RYD2026" s="381"/>
      <c r="RYE2026" s="381"/>
      <c r="RYF2026" s="381"/>
      <c r="RYG2026" s="381"/>
      <c r="RYH2026" s="381"/>
      <c r="RYI2026" s="381"/>
      <c r="RYJ2026" s="381"/>
      <c r="RYK2026" s="381"/>
      <c r="RYL2026" s="381"/>
      <c r="RYM2026" s="381"/>
      <c r="RYN2026" s="381"/>
      <c r="RYO2026" s="381"/>
      <c r="RYP2026" s="381"/>
      <c r="RYQ2026" s="381"/>
      <c r="RYR2026" s="381"/>
      <c r="RYS2026" s="381"/>
      <c r="RYT2026" s="381"/>
      <c r="RYU2026" s="381"/>
      <c r="RYV2026" s="381"/>
      <c r="RYW2026" s="381"/>
      <c r="RYX2026" s="381"/>
      <c r="RYY2026" s="381"/>
      <c r="RYZ2026" s="381"/>
      <c r="RZA2026" s="381"/>
      <c r="RZB2026" s="381"/>
      <c r="RZC2026" s="381"/>
      <c r="RZD2026" s="381"/>
      <c r="RZE2026" s="381"/>
      <c r="RZF2026" s="381"/>
      <c r="RZG2026" s="381"/>
      <c r="RZH2026" s="381"/>
      <c r="RZI2026" s="381"/>
      <c r="RZJ2026" s="381"/>
      <c r="RZK2026" s="381"/>
      <c r="RZL2026" s="381"/>
      <c r="RZM2026" s="381"/>
      <c r="RZN2026" s="381"/>
      <c r="RZO2026" s="381"/>
      <c r="RZP2026" s="381"/>
      <c r="RZQ2026" s="381"/>
      <c r="RZR2026" s="381"/>
      <c r="RZS2026" s="381"/>
      <c r="RZT2026" s="381"/>
      <c r="RZU2026" s="381"/>
      <c r="RZV2026" s="381"/>
      <c r="RZW2026" s="381"/>
      <c r="RZX2026" s="381"/>
      <c r="RZY2026" s="381"/>
      <c r="RZZ2026" s="381"/>
      <c r="SAA2026" s="381"/>
      <c r="SAB2026" s="381"/>
      <c r="SAC2026" s="381"/>
      <c r="SAD2026" s="381"/>
      <c r="SAE2026" s="381"/>
      <c r="SAF2026" s="381"/>
      <c r="SAG2026" s="381"/>
      <c r="SAH2026" s="381"/>
      <c r="SAI2026" s="381"/>
      <c r="SAJ2026" s="381"/>
      <c r="SAK2026" s="381"/>
      <c r="SAL2026" s="381"/>
      <c r="SAM2026" s="381"/>
      <c r="SAN2026" s="381"/>
      <c r="SAO2026" s="381"/>
      <c r="SAP2026" s="381"/>
      <c r="SAQ2026" s="381"/>
      <c r="SAR2026" s="381"/>
      <c r="SAS2026" s="381"/>
      <c r="SAT2026" s="381"/>
      <c r="SAU2026" s="381"/>
      <c r="SAV2026" s="381"/>
      <c r="SAW2026" s="381"/>
      <c r="SAX2026" s="381"/>
      <c r="SAY2026" s="381"/>
      <c r="SAZ2026" s="381"/>
      <c r="SBA2026" s="381"/>
      <c r="SBB2026" s="381"/>
      <c r="SBC2026" s="381"/>
      <c r="SBD2026" s="381"/>
      <c r="SBE2026" s="381"/>
      <c r="SBF2026" s="381"/>
      <c r="SBG2026" s="381"/>
      <c r="SBH2026" s="381"/>
      <c r="SBI2026" s="381"/>
      <c r="SBJ2026" s="381"/>
      <c r="SBK2026" s="381"/>
      <c r="SBL2026" s="381"/>
      <c r="SBM2026" s="381"/>
      <c r="SBN2026" s="381"/>
      <c r="SBO2026" s="381"/>
      <c r="SBP2026" s="381"/>
      <c r="SBQ2026" s="381"/>
      <c r="SBR2026" s="381"/>
      <c r="SBS2026" s="381"/>
      <c r="SBT2026" s="381"/>
      <c r="SBU2026" s="381"/>
      <c r="SBV2026" s="381"/>
      <c r="SBW2026" s="381"/>
      <c r="SBX2026" s="381"/>
      <c r="SBY2026" s="381"/>
      <c r="SBZ2026" s="381"/>
      <c r="SCA2026" s="381"/>
      <c r="SCB2026" s="381"/>
      <c r="SCC2026" s="381"/>
      <c r="SCD2026" s="381"/>
      <c r="SCE2026" s="381"/>
      <c r="SCF2026" s="381"/>
      <c r="SCG2026" s="381"/>
      <c r="SCH2026" s="381"/>
      <c r="SCI2026" s="381"/>
      <c r="SCJ2026" s="381"/>
      <c r="SCK2026" s="381"/>
      <c r="SCL2026" s="381"/>
      <c r="SCM2026" s="381"/>
      <c r="SCN2026" s="381"/>
      <c r="SCO2026" s="381"/>
      <c r="SCP2026" s="381"/>
      <c r="SCQ2026" s="381"/>
      <c r="SCR2026" s="381"/>
      <c r="SCS2026" s="381"/>
      <c r="SCT2026" s="381"/>
      <c r="SCU2026" s="381"/>
      <c r="SCV2026" s="381"/>
      <c r="SCW2026" s="381"/>
      <c r="SCX2026" s="381"/>
      <c r="SCY2026" s="381"/>
      <c r="SCZ2026" s="381"/>
      <c r="SDA2026" s="381"/>
      <c r="SDB2026" s="381"/>
      <c r="SDC2026" s="381"/>
      <c r="SDD2026" s="381"/>
      <c r="SDE2026" s="381"/>
      <c r="SDF2026" s="381"/>
      <c r="SDG2026" s="381"/>
      <c r="SDH2026" s="381"/>
      <c r="SDI2026" s="381"/>
      <c r="SDJ2026" s="381"/>
      <c r="SDK2026" s="381"/>
      <c r="SDL2026" s="381"/>
      <c r="SDM2026" s="381"/>
      <c r="SDN2026" s="381"/>
      <c r="SDO2026" s="381"/>
      <c r="SDP2026" s="381"/>
      <c r="SDQ2026" s="381"/>
      <c r="SDR2026" s="381"/>
      <c r="SDS2026" s="381"/>
      <c r="SDT2026" s="381"/>
      <c r="SDU2026" s="381"/>
      <c r="SDV2026" s="381"/>
      <c r="SDW2026" s="381"/>
      <c r="SDX2026" s="381"/>
      <c r="SDY2026" s="381"/>
      <c r="SDZ2026" s="381"/>
      <c r="SEA2026" s="381"/>
      <c r="SEB2026" s="381"/>
      <c r="SEC2026" s="381"/>
      <c r="SED2026" s="381"/>
      <c r="SEE2026" s="381"/>
      <c r="SEF2026" s="381"/>
      <c r="SEG2026" s="381"/>
      <c r="SEH2026" s="381"/>
      <c r="SEI2026" s="381"/>
      <c r="SEJ2026" s="381"/>
      <c r="SEK2026" s="381"/>
      <c r="SEL2026" s="381"/>
      <c r="SEM2026" s="381"/>
      <c r="SEN2026" s="381"/>
      <c r="SEO2026" s="381"/>
      <c r="SEP2026" s="381"/>
      <c r="SEQ2026" s="381"/>
      <c r="SER2026" s="381"/>
      <c r="SES2026" s="381"/>
      <c r="SET2026" s="381"/>
      <c r="SEU2026" s="381"/>
      <c r="SEV2026" s="381"/>
      <c r="SEW2026" s="381"/>
      <c r="SEX2026" s="381"/>
      <c r="SEY2026" s="381"/>
      <c r="SEZ2026" s="381"/>
      <c r="SFA2026" s="381"/>
      <c r="SFB2026" s="381"/>
      <c r="SFC2026" s="381"/>
      <c r="SFD2026" s="381"/>
      <c r="SFE2026" s="381"/>
      <c r="SFF2026" s="381"/>
      <c r="SFG2026" s="381"/>
      <c r="SFH2026" s="381"/>
      <c r="SFI2026" s="381"/>
      <c r="SFJ2026" s="381"/>
      <c r="SFK2026" s="381"/>
      <c r="SFL2026" s="381"/>
      <c r="SFM2026" s="381"/>
      <c r="SFN2026" s="381"/>
      <c r="SFO2026" s="381"/>
      <c r="SFP2026" s="381"/>
      <c r="SFQ2026" s="381"/>
      <c r="SFR2026" s="381"/>
      <c r="SFS2026" s="381"/>
      <c r="SFT2026" s="381"/>
      <c r="SFU2026" s="381"/>
      <c r="SFV2026" s="381"/>
      <c r="SFW2026" s="381"/>
      <c r="SFX2026" s="381"/>
      <c r="SFY2026" s="381"/>
      <c r="SFZ2026" s="381"/>
      <c r="SGA2026" s="381"/>
      <c r="SGB2026" s="381"/>
      <c r="SGC2026" s="381"/>
      <c r="SGD2026" s="381"/>
      <c r="SGE2026" s="381"/>
      <c r="SGF2026" s="381"/>
      <c r="SGG2026" s="381"/>
      <c r="SGH2026" s="381"/>
      <c r="SGI2026" s="381"/>
      <c r="SGJ2026" s="381"/>
      <c r="SGK2026" s="381"/>
      <c r="SGL2026" s="381"/>
      <c r="SGM2026" s="381"/>
      <c r="SGN2026" s="381"/>
      <c r="SGO2026" s="381"/>
      <c r="SGP2026" s="381"/>
      <c r="SGQ2026" s="381"/>
      <c r="SGR2026" s="381"/>
      <c r="SGS2026" s="381"/>
      <c r="SGT2026" s="381"/>
      <c r="SGU2026" s="381"/>
      <c r="SGV2026" s="381"/>
      <c r="SGW2026" s="381"/>
      <c r="SGX2026" s="381"/>
      <c r="SGY2026" s="381"/>
      <c r="SGZ2026" s="381"/>
      <c r="SHA2026" s="381"/>
      <c r="SHB2026" s="381"/>
      <c r="SHC2026" s="381"/>
      <c r="SHD2026" s="381"/>
      <c r="SHE2026" s="381"/>
      <c r="SHF2026" s="381"/>
      <c r="SHG2026" s="381"/>
      <c r="SHH2026" s="381"/>
      <c r="SHI2026" s="381"/>
      <c r="SHJ2026" s="381"/>
      <c r="SHK2026" s="381"/>
      <c r="SHL2026" s="381"/>
      <c r="SHM2026" s="381"/>
      <c r="SHN2026" s="381"/>
      <c r="SHO2026" s="381"/>
      <c r="SHP2026" s="381"/>
      <c r="SHQ2026" s="381"/>
      <c r="SHR2026" s="381"/>
      <c r="SHS2026" s="381"/>
      <c r="SHT2026" s="381"/>
      <c r="SHU2026" s="381"/>
      <c r="SHV2026" s="381"/>
      <c r="SHW2026" s="381"/>
      <c r="SHX2026" s="381"/>
      <c r="SHY2026" s="381"/>
      <c r="SHZ2026" s="381"/>
      <c r="SIA2026" s="381"/>
      <c r="SIB2026" s="381"/>
      <c r="SIC2026" s="381"/>
      <c r="SID2026" s="381"/>
      <c r="SIE2026" s="381"/>
      <c r="SIF2026" s="381"/>
      <c r="SIG2026" s="381"/>
      <c r="SIH2026" s="381"/>
      <c r="SII2026" s="381"/>
      <c r="SIJ2026" s="381"/>
      <c r="SIK2026" s="381"/>
      <c r="SIL2026" s="381"/>
      <c r="SIM2026" s="381"/>
      <c r="SIN2026" s="381"/>
      <c r="SIO2026" s="381"/>
      <c r="SIP2026" s="381"/>
      <c r="SIQ2026" s="381"/>
      <c r="SIR2026" s="381"/>
      <c r="SIS2026" s="381"/>
      <c r="SIT2026" s="381"/>
      <c r="SIU2026" s="381"/>
      <c r="SIV2026" s="381"/>
      <c r="SIW2026" s="381"/>
      <c r="SIX2026" s="381"/>
      <c r="SIY2026" s="381"/>
      <c r="SIZ2026" s="381"/>
      <c r="SJA2026" s="381"/>
      <c r="SJB2026" s="381"/>
      <c r="SJC2026" s="381"/>
      <c r="SJD2026" s="381"/>
      <c r="SJE2026" s="381"/>
      <c r="SJF2026" s="381"/>
      <c r="SJG2026" s="381"/>
      <c r="SJH2026" s="381"/>
      <c r="SJI2026" s="381"/>
      <c r="SJJ2026" s="381"/>
      <c r="SJK2026" s="381"/>
      <c r="SJL2026" s="381"/>
      <c r="SJM2026" s="381"/>
      <c r="SJN2026" s="381"/>
      <c r="SJO2026" s="381"/>
      <c r="SJP2026" s="381"/>
      <c r="SJQ2026" s="381"/>
      <c r="SJR2026" s="381"/>
      <c r="SJS2026" s="381"/>
      <c r="SJT2026" s="381"/>
      <c r="SJU2026" s="381"/>
      <c r="SJV2026" s="381"/>
      <c r="SJW2026" s="381"/>
      <c r="SJX2026" s="381"/>
      <c r="SJY2026" s="381"/>
      <c r="SJZ2026" s="381"/>
      <c r="SKA2026" s="381"/>
      <c r="SKB2026" s="381"/>
      <c r="SKC2026" s="381"/>
      <c r="SKD2026" s="381"/>
      <c r="SKE2026" s="381"/>
      <c r="SKF2026" s="381"/>
      <c r="SKG2026" s="381"/>
      <c r="SKH2026" s="381"/>
      <c r="SKI2026" s="381"/>
      <c r="SKJ2026" s="381"/>
      <c r="SKK2026" s="381"/>
      <c r="SKL2026" s="381"/>
      <c r="SKM2026" s="381"/>
      <c r="SKN2026" s="381"/>
      <c r="SKO2026" s="381"/>
      <c r="SKP2026" s="381"/>
      <c r="SKQ2026" s="381"/>
      <c r="SKR2026" s="381"/>
      <c r="SKS2026" s="381"/>
      <c r="SKT2026" s="381"/>
      <c r="SKU2026" s="381"/>
      <c r="SKV2026" s="381"/>
      <c r="SKW2026" s="381"/>
      <c r="SKX2026" s="381"/>
      <c r="SKY2026" s="381"/>
      <c r="SKZ2026" s="381"/>
      <c r="SLA2026" s="381"/>
      <c r="SLB2026" s="381"/>
      <c r="SLC2026" s="381"/>
      <c r="SLD2026" s="381"/>
      <c r="SLE2026" s="381"/>
      <c r="SLF2026" s="381"/>
      <c r="SLG2026" s="381"/>
      <c r="SLH2026" s="381"/>
      <c r="SLI2026" s="381"/>
      <c r="SLJ2026" s="381"/>
      <c r="SLK2026" s="381"/>
      <c r="SLL2026" s="381"/>
      <c r="SLM2026" s="381"/>
      <c r="SLN2026" s="381"/>
      <c r="SLO2026" s="381"/>
      <c r="SLP2026" s="381"/>
      <c r="SLQ2026" s="381"/>
      <c r="SLR2026" s="381"/>
      <c r="SLS2026" s="381"/>
      <c r="SLT2026" s="381"/>
      <c r="SLU2026" s="381"/>
      <c r="SLV2026" s="381"/>
      <c r="SLW2026" s="381"/>
      <c r="SLX2026" s="381"/>
      <c r="SLY2026" s="381"/>
      <c r="SLZ2026" s="381"/>
      <c r="SMA2026" s="381"/>
      <c r="SMB2026" s="381"/>
      <c r="SMC2026" s="381"/>
      <c r="SMD2026" s="381"/>
      <c r="SME2026" s="381"/>
      <c r="SMF2026" s="381"/>
      <c r="SMG2026" s="381"/>
      <c r="SMH2026" s="381"/>
      <c r="SMI2026" s="381"/>
      <c r="SMJ2026" s="381"/>
      <c r="SMK2026" s="381"/>
      <c r="SML2026" s="381"/>
      <c r="SMM2026" s="381"/>
      <c r="SMN2026" s="381"/>
      <c r="SMO2026" s="381"/>
      <c r="SMP2026" s="381"/>
      <c r="SMQ2026" s="381"/>
      <c r="SMR2026" s="381"/>
      <c r="SMS2026" s="381"/>
      <c r="SMT2026" s="381"/>
      <c r="SMU2026" s="381"/>
      <c r="SMV2026" s="381"/>
      <c r="SMW2026" s="381"/>
      <c r="SMX2026" s="381"/>
      <c r="SMY2026" s="381"/>
      <c r="SMZ2026" s="381"/>
      <c r="SNA2026" s="381"/>
      <c r="SNB2026" s="381"/>
      <c r="SNC2026" s="381"/>
      <c r="SND2026" s="381"/>
      <c r="SNE2026" s="381"/>
      <c r="SNF2026" s="381"/>
      <c r="SNG2026" s="381"/>
      <c r="SNH2026" s="381"/>
      <c r="SNI2026" s="381"/>
      <c r="SNJ2026" s="381"/>
      <c r="SNK2026" s="381"/>
      <c r="SNL2026" s="381"/>
      <c r="SNM2026" s="381"/>
      <c r="SNN2026" s="381"/>
      <c r="SNO2026" s="381"/>
      <c r="SNP2026" s="381"/>
      <c r="SNQ2026" s="381"/>
      <c r="SNR2026" s="381"/>
      <c r="SNS2026" s="381"/>
      <c r="SNT2026" s="381"/>
      <c r="SNU2026" s="381"/>
      <c r="SNV2026" s="381"/>
      <c r="SNW2026" s="381"/>
      <c r="SNX2026" s="381"/>
      <c r="SNY2026" s="381"/>
      <c r="SNZ2026" s="381"/>
      <c r="SOA2026" s="381"/>
      <c r="SOB2026" s="381"/>
      <c r="SOC2026" s="381"/>
      <c r="SOD2026" s="381"/>
      <c r="SOE2026" s="381"/>
      <c r="SOF2026" s="381"/>
      <c r="SOG2026" s="381"/>
      <c r="SOH2026" s="381"/>
      <c r="SOI2026" s="381"/>
      <c r="SOJ2026" s="381"/>
      <c r="SOK2026" s="381"/>
      <c r="SOL2026" s="381"/>
      <c r="SOM2026" s="381"/>
      <c r="SON2026" s="381"/>
      <c r="SOO2026" s="381"/>
      <c r="SOP2026" s="381"/>
      <c r="SOQ2026" s="381"/>
      <c r="SOR2026" s="381"/>
      <c r="SOS2026" s="381"/>
      <c r="SOT2026" s="381"/>
      <c r="SOU2026" s="381"/>
      <c r="SOV2026" s="381"/>
      <c r="SOW2026" s="381"/>
      <c r="SOX2026" s="381"/>
      <c r="SOY2026" s="381"/>
      <c r="SOZ2026" s="381"/>
      <c r="SPA2026" s="381"/>
      <c r="SPB2026" s="381"/>
      <c r="SPC2026" s="381"/>
      <c r="SPD2026" s="381"/>
      <c r="SPE2026" s="381"/>
      <c r="SPF2026" s="381"/>
      <c r="SPG2026" s="381"/>
      <c r="SPH2026" s="381"/>
      <c r="SPI2026" s="381"/>
      <c r="SPJ2026" s="381"/>
      <c r="SPK2026" s="381"/>
      <c r="SPL2026" s="381"/>
      <c r="SPM2026" s="381"/>
      <c r="SPN2026" s="381"/>
      <c r="SPO2026" s="381"/>
      <c r="SPP2026" s="381"/>
      <c r="SPQ2026" s="381"/>
      <c r="SPR2026" s="381"/>
      <c r="SPS2026" s="381"/>
      <c r="SPT2026" s="381"/>
      <c r="SPU2026" s="381"/>
      <c r="SPV2026" s="381"/>
      <c r="SPW2026" s="381"/>
      <c r="SPX2026" s="381"/>
      <c r="SPY2026" s="381"/>
      <c r="SPZ2026" s="381"/>
      <c r="SQA2026" s="381"/>
      <c r="SQB2026" s="381"/>
      <c r="SQC2026" s="381"/>
      <c r="SQD2026" s="381"/>
      <c r="SQE2026" s="381"/>
      <c r="SQF2026" s="381"/>
      <c r="SQG2026" s="381"/>
      <c r="SQH2026" s="381"/>
      <c r="SQI2026" s="381"/>
      <c r="SQJ2026" s="381"/>
      <c r="SQK2026" s="381"/>
      <c r="SQL2026" s="381"/>
      <c r="SQM2026" s="381"/>
      <c r="SQN2026" s="381"/>
      <c r="SQO2026" s="381"/>
      <c r="SQP2026" s="381"/>
      <c r="SQQ2026" s="381"/>
      <c r="SQR2026" s="381"/>
      <c r="SQS2026" s="381"/>
      <c r="SQT2026" s="381"/>
      <c r="SQU2026" s="381"/>
      <c r="SQV2026" s="381"/>
      <c r="SQW2026" s="381"/>
      <c r="SQX2026" s="381"/>
      <c r="SQY2026" s="381"/>
      <c r="SQZ2026" s="381"/>
      <c r="SRA2026" s="381"/>
      <c r="SRB2026" s="381"/>
      <c r="SRC2026" s="381"/>
      <c r="SRD2026" s="381"/>
      <c r="SRE2026" s="381"/>
      <c r="SRF2026" s="381"/>
      <c r="SRG2026" s="381"/>
      <c r="SRH2026" s="381"/>
      <c r="SRI2026" s="381"/>
      <c r="SRJ2026" s="381"/>
      <c r="SRK2026" s="381"/>
      <c r="SRL2026" s="381"/>
      <c r="SRM2026" s="381"/>
      <c r="SRN2026" s="381"/>
      <c r="SRO2026" s="381"/>
      <c r="SRP2026" s="381"/>
      <c r="SRQ2026" s="381"/>
      <c r="SRR2026" s="381"/>
      <c r="SRS2026" s="381"/>
      <c r="SRT2026" s="381"/>
      <c r="SRU2026" s="381"/>
      <c r="SRV2026" s="381"/>
      <c r="SRW2026" s="381"/>
      <c r="SRX2026" s="381"/>
      <c r="SRY2026" s="381"/>
      <c r="SRZ2026" s="381"/>
      <c r="SSA2026" s="381"/>
      <c r="SSB2026" s="381"/>
      <c r="SSC2026" s="381"/>
      <c r="SSD2026" s="381"/>
      <c r="SSE2026" s="381"/>
      <c r="SSF2026" s="381"/>
      <c r="SSG2026" s="381"/>
      <c r="SSH2026" s="381"/>
      <c r="SSI2026" s="381"/>
      <c r="SSJ2026" s="381"/>
      <c r="SSK2026" s="381"/>
      <c r="SSL2026" s="381"/>
      <c r="SSM2026" s="381"/>
      <c r="SSN2026" s="381"/>
      <c r="SSO2026" s="381"/>
      <c r="SSP2026" s="381"/>
      <c r="SSQ2026" s="381"/>
      <c r="SSR2026" s="381"/>
      <c r="SSS2026" s="381"/>
      <c r="SST2026" s="381"/>
      <c r="SSU2026" s="381"/>
      <c r="SSV2026" s="381"/>
      <c r="SSW2026" s="381"/>
      <c r="SSX2026" s="381"/>
      <c r="SSY2026" s="381"/>
      <c r="SSZ2026" s="381"/>
      <c r="STA2026" s="381"/>
      <c r="STB2026" s="381"/>
      <c r="STC2026" s="381"/>
      <c r="STD2026" s="381"/>
      <c r="STE2026" s="381"/>
      <c r="STF2026" s="381"/>
      <c r="STG2026" s="381"/>
      <c r="STH2026" s="381"/>
      <c r="STI2026" s="381"/>
      <c r="STJ2026" s="381"/>
      <c r="STK2026" s="381"/>
      <c r="STL2026" s="381"/>
      <c r="STM2026" s="381"/>
      <c r="STN2026" s="381"/>
      <c r="STO2026" s="381"/>
      <c r="STP2026" s="381"/>
      <c r="STQ2026" s="381"/>
      <c r="STR2026" s="381"/>
      <c r="STS2026" s="381"/>
      <c r="STT2026" s="381"/>
      <c r="STU2026" s="381"/>
      <c r="STV2026" s="381"/>
      <c r="STW2026" s="381"/>
      <c r="STX2026" s="381"/>
      <c r="STY2026" s="381"/>
      <c r="STZ2026" s="381"/>
      <c r="SUA2026" s="381"/>
      <c r="SUB2026" s="381"/>
      <c r="SUC2026" s="381"/>
      <c r="SUD2026" s="381"/>
      <c r="SUE2026" s="381"/>
      <c r="SUF2026" s="381"/>
      <c r="SUG2026" s="381"/>
      <c r="SUH2026" s="381"/>
      <c r="SUI2026" s="381"/>
      <c r="SUJ2026" s="381"/>
      <c r="SUK2026" s="381"/>
      <c r="SUL2026" s="381"/>
      <c r="SUM2026" s="381"/>
      <c r="SUN2026" s="381"/>
      <c r="SUO2026" s="381"/>
      <c r="SUP2026" s="381"/>
      <c r="SUQ2026" s="381"/>
      <c r="SUR2026" s="381"/>
      <c r="SUS2026" s="381"/>
      <c r="SUT2026" s="381"/>
      <c r="SUU2026" s="381"/>
      <c r="SUV2026" s="381"/>
      <c r="SUW2026" s="381"/>
      <c r="SUX2026" s="381"/>
      <c r="SUY2026" s="381"/>
      <c r="SUZ2026" s="381"/>
      <c r="SVA2026" s="381"/>
      <c r="SVB2026" s="381"/>
      <c r="SVC2026" s="381"/>
      <c r="SVD2026" s="381"/>
      <c r="SVE2026" s="381"/>
      <c r="SVF2026" s="381"/>
      <c r="SVG2026" s="381"/>
      <c r="SVH2026" s="381"/>
      <c r="SVI2026" s="381"/>
      <c r="SVJ2026" s="381"/>
      <c r="SVK2026" s="381"/>
      <c r="SVL2026" s="381"/>
      <c r="SVM2026" s="381"/>
      <c r="SVN2026" s="381"/>
      <c r="SVO2026" s="381"/>
      <c r="SVP2026" s="381"/>
      <c r="SVQ2026" s="381"/>
      <c r="SVR2026" s="381"/>
      <c r="SVS2026" s="381"/>
      <c r="SVT2026" s="381"/>
      <c r="SVU2026" s="381"/>
      <c r="SVV2026" s="381"/>
      <c r="SVW2026" s="381"/>
      <c r="SVX2026" s="381"/>
      <c r="SVY2026" s="381"/>
      <c r="SVZ2026" s="381"/>
      <c r="SWA2026" s="381"/>
      <c r="SWB2026" s="381"/>
      <c r="SWC2026" s="381"/>
      <c r="SWD2026" s="381"/>
      <c r="SWE2026" s="381"/>
      <c r="SWF2026" s="381"/>
      <c r="SWG2026" s="381"/>
      <c r="SWH2026" s="381"/>
      <c r="SWI2026" s="381"/>
      <c r="SWJ2026" s="381"/>
      <c r="SWK2026" s="381"/>
      <c r="SWL2026" s="381"/>
      <c r="SWM2026" s="381"/>
      <c r="SWN2026" s="381"/>
      <c r="SWO2026" s="381"/>
      <c r="SWP2026" s="381"/>
      <c r="SWQ2026" s="381"/>
      <c r="SWR2026" s="381"/>
      <c r="SWS2026" s="381"/>
      <c r="SWT2026" s="381"/>
      <c r="SWU2026" s="381"/>
      <c r="SWV2026" s="381"/>
      <c r="SWW2026" s="381"/>
      <c r="SWX2026" s="381"/>
      <c r="SWY2026" s="381"/>
      <c r="SWZ2026" s="381"/>
      <c r="SXA2026" s="381"/>
      <c r="SXB2026" s="381"/>
      <c r="SXC2026" s="381"/>
      <c r="SXD2026" s="381"/>
      <c r="SXE2026" s="381"/>
      <c r="SXF2026" s="381"/>
      <c r="SXG2026" s="381"/>
      <c r="SXH2026" s="381"/>
      <c r="SXI2026" s="381"/>
      <c r="SXJ2026" s="381"/>
      <c r="SXK2026" s="381"/>
      <c r="SXL2026" s="381"/>
      <c r="SXM2026" s="381"/>
      <c r="SXN2026" s="381"/>
      <c r="SXO2026" s="381"/>
      <c r="SXP2026" s="381"/>
      <c r="SXQ2026" s="381"/>
      <c r="SXR2026" s="381"/>
      <c r="SXS2026" s="381"/>
      <c r="SXT2026" s="381"/>
      <c r="SXU2026" s="381"/>
      <c r="SXV2026" s="381"/>
      <c r="SXW2026" s="381"/>
      <c r="SXX2026" s="381"/>
      <c r="SXY2026" s="381"/>
      <c r="SXZ2026" s="381"/>
      <c r="SYA2026" s="381"/>
      <c r="SYB2026" s="381"/>
      <c r="SYC2026" s="381"/>
      <c r="SYD2026" s="381"/>
      <c r="SYE2026" s="381"/>
      <c r="SYF2026" s="381"/>
      <c r="SYG2026" s="381"/>
      <c r="SYH2026" s="381"/>
      <c r="SYI2026" s="381"/>
      <c r="SYJ2026" s="381"/>
      <c r="SYK2026" s="381"/>
      <c r="SYL2026" s="381"/>
      <c r="SYM2026" s="381"/>
      <c r="SYN2026" s="381"/>
      <c r="SYO2026" s="381"/>
      <c r="SYP2026" s="381"/>
      <c r="SYQ2026" s="381"/>
      <c r="SYR2026" s="381"/>
      <c r="SYS2026" s="381"/>
      <c r="SYT2026" s="381"/>
      <c r="SYU2026" s="381"/>
      <c r="SYV2026" s="381"/>
      <c r="SYW2026" s="381"/>
      <c r="SYX2026" s="381"/>
      <c r="SYY2026" s="381"/>
      <c r="SYZ2026" s="381"/>
      <c r="SZA2026" s="381"/>
      <c r="SZB2026" s="381"/>
      <c r="SZC2026" s="381"/>
      <c r="SZD2026" s="381"/>
      <c r="SZE2026" s="381"/>
      <c r="SZF2026" s="381"/>
      <c r="SZG2026" s="381"/>
      <c r="SZH2026" s="381"/>
      <c r="SZI2026" s="381"/>
      <c r="SZJ2026" s="381"/>
      <c r="SZK2026" s="381"/>
      <c r="SZL2026" s="381"/>
      <c r="SZM2026" s="381"/>
      <c r="SZN2026" s="381"/>
      <c r="SZO2026" s="381"/>
      <c r="SZP2026" s="381"/>
      <c r="SZQ2026" s="381"/>
      <c r="SZR2026" s="381"/>
      <c r="SZS2026" s="381"/>
      <c r="SZT2026" s="381"/>
      <c r="SZU2026" s="381"/>
      <c r="SZV2026" s="381"/>
      <c r="SZW2026" s="381"/>
      <c r="SZX2026" s="381"/>
      <c r="SZY2026" s="381"/>
      <c r="SZZ2026" s="381"/>
      <c r="TAA2026" s="381"/>
      <c r="TAB2026" s="381"/>
      <c r="TAC2026" s="381"/>
      <c r="TAD2026" s="381"/>
      <c r="TAE2026" s="381"/>
      <c r="TAF2026" s="381"/>
      <c r="TAG2026" s="381"/>
      <c r="TAH2026" s="381"/>
      <c r="TAI2026" s="381"/>
      <c r="TAJ2026" s="381"/>
      <c r="TAK2026" s="381"/>
      <c r="TAL2026" s="381"/>
      <c r="TAM2026" s="381"/>
      <c r="TAN2026" s="381"/>
      <c r="TAO2026" s="381"/>
      <c r="TAP2026" s="381"/>
      <c r="TAQ2026" s="381"/>
      <c r="TAR2026" s="381"/>
      <c r="TAS2026" s="381"/>
      <c r="TAT2026" s="381"/>
      <c r="TAU2026" s="381"/>
      <c r="TAV2026" s="381"/>
      <c r="TAW2026" s="381"/>
      <c r="TAX2026" s="381"/>
      <c r="TAY2026" s="381"/>
      <c r="TAZ2026" s="381"/>
      <c r="TBA2026" s="381"/>
      <c r="TBB2026" s="381"/>
      <c r="TBC2026" s="381"/>
      <c r="TBD2026" s="381"/>
      <c r="TBE2026" s="381"/>
      <c r="TBF2026" s="381"/>
      <c r="TBG2026" s="381"/>
      <c r="TBH2026" s="381"/>
      <c r="TBI2026" s="381"/>
      <c r="TBJ2026" s="381"/>
      <c r="TBK2026" s="381"/>
      <c r="TBL2026" s="381"/>
      <c r="TBM2026" s="381"/>
      <c r="TBN2026" s="381"/>
      <c r="TBO2026" s="381"/>
      <c r="TBP2026" s="381"/>
      <c r="TBQ2026" s="381"/>
      <c r="TBR2026" s="381"/>
      <c r="TBS2026" s="381"/>
      <c r="TBT2026" s="381"/>
      <c r="TBU2026" s="381"/>
      <c r="TBV2026" s="381"/>
      <c r="TBW2026" s="381"/>
      <c r="TBX2026" s="381"/>
      <c r="TBY2026" s="381"/>
      <c r="TBZ2026" s="381"/>
      <c r="TCA2026" s="381"/>
      <c r="TCB2026" s="381"/>
      <c r="TCC2026" s="381"/>
      <c r="TCD2026" s="381"/>
      <c r="TCE2026" s="381"/>
      <c r="TCF2026" s="381"/>
      <c r="TCG2026" s="381"/>
      <c r="TCH2026" s="381"/>
      <c r="TCI2026" s="381"/>
      <c r="TCJ2026" s="381"/>
      <c r="TCK2026" s="381"/>
      <c r="TCL2026" s="381"/>
      <c r="TCM2026" s="381"/>
      <c r="TCN2026" s="381"/>
      <c r="TCO2026" s="381"/>
      <c r="TCP2026" s="381"/>
      <c r="TCQ2026" s="381"/>
      <c r="TCR2026" s="381"/>
      <c r="TCS2026" s="381"/>
      <c r="TCT2026" s="381"/>
      <c r="TCU2026" s="381"/>
      <c r="TCV2026" s="381"/>
      <c r="TCW2026" s="381"/>
      <c r="TCX2026" s="381"/>
      <c r="TCY2026" s="381"/>
      <c r="TCZ2026" s="381"/>
      <c r="TDA2026" s="381"/>
      <c r="TDB2026" s="381"/>
      <c r="TDC2026" s="381"/>
      <c r="TDD2026" s="381"/>
      <c r="TDE2026" s="381"/>
      <c r="TDF2026" s="381"/>
      <c r="TDG2026" s="381"/>
      <c r="TDH2026" s="381"/>
      <c r="TDI2026" s="381"/>
      <c r="TDJ2026" s="381"/>
      <c r="TDK2026" s="381"/>
      <c r="TDL2026" s="381"/>
      <c r="TDM2026" s="381"/>
      <c r="TDN2026" s="381"/>
      <c r="TDO2026" s="381"/>
      <c r="TDP2026" s="381"/>
      <c r="TDQ2026" s="381"/>
      <c r="TDR2026" s="381"/>
      <c r="TDS2026" s="381"/>
      <c r="TDT2026" s="381"/>
      <c r="TDU2026" s="381"/>
      <c r="TDV2026" s="381"/>
      <c r="TDW2026" s="381"/>
      <c r="TDX2026" s="381"/>
      <c r="TDY2026" s="381"/>
      <c r="TDZ2026" s="381"/>
      <c r="TEA2026" s="381"/>
      <c r="TEB2026" s="381"/>
      <c r="TEC2026" s="381"/>
      <c r="TED2026" s="381"/>
      <c r="TEE2026" s="381"/>
      <c r="TEF2026" s="381"/>
      <c r="TEG2026" s="381"/>
      <c r="TEH2026" s="381"/>
      <c r="TEI2026" s="381"/>
      <c r="TEJ2026" s="381"/>
      <c r="TEK2026" s="381"/>
      <c r="TEL2026" s="381"/>
      <c r="TEM2026" s="381"/>
      <c r="TEN2026" s="381"/>
      <c r="TEO2026" s="381"/>
      <c r="TEP2026" s="381"/>
      <c r="TEQ2026" s="381"/>
      <c r="TER2026" s="381"/>
      <c r="TES2026" s="381"/>
      <c r="TET2026" s="381"/>
      <c r="TEU2026" s="381"/>
      <c r="TEV2026" s="381"/>
      <c r="TEW2026" s="381"/>
      <c r="TEX2026" s="381"/>
      <c r="TEY2026" s="381"/>
      <c r="TEZ2026" s="381"/>
      <c r="TFA2026" s="381"/>
      <c r="TFB2026" s="381"/>
      <c r="TFC2026" s="381"/>
      <c r="TFD2026" s="381"/>
      <c r="TFE2026" s="381"/>
      <c r="TFF2026" s="381"/>
      <c r="TFG2026" s="381"/>
      <c r="TFH2026" s="381"/>
      <c r="TFI2026" s="381"/>
      <c r="TFJ2026" s="381"/>
      <c r="TFK2026" s="381"/>
      <c r="TFL2026" s="381"/>
      <c r="TFM2026" s="381"/>
      <c r="TFN2026" s="381"/>
      <c r="TFO2026" s="381"/>
      <c r="TFP2026" s="381"/>
      <c r="TFQ2026" s="381"/>
      <c r="TFR2026" s="381"/>
      <c r="TFS2026" s="381"/>
      <c r="TFT2026" s="381"/>
      <c r="TFU2026" s="381"/>
      <c r="TFV2026" s="381"/>
      <c r="TFW2026" s="381"/>
      <c r="TFX2026" s="381"/>
      <c r="TFY2026" s="381"/>
      <c r="TFZ2026" s="381"/>
      <c r="TGA2026" s="381"/>
      <c r="TGB2026" s="381"/>
      <c r="TGC2026" s="381"/>
      <c r="TGD2026" s="381"/>
      <c r="TGE2026" s="381"/>
      <c r="TGF2026" s="381"/>
      <c r="TGG2026" s="381"/>
      <c r="TGH2026" s="381"/>
      <c r="TGI2026" s="381"/>
      <c r="TGJ2026" s="381"/>
      <c r="TGK2026" s="381"/>
      <c r="TGL2026" s="381"/>
      <c r="TGM2026" s="381"/>
      <c r="TGN2026" s="381"/>
      <c r="TGO2026" s="381"/>
      <c r="TGP2026" s="381"/>
      <c r="TGQ2026" s="381"/>
      <c r="TGR2026" s="381"/>
      <c r="TGS2026" s="381"/>
      <c r="TGT2026" s="381"/>
      <c r="TGU2026" s="381"/>
      <c r="TGV2026" s="381"/>
      <c r="TGW2026" s="381"/>
      <c r="TGX2026" s="381"/>
      <c r="TGY2026" s="381"/>
      <c r="TGZ2026" s="381"/>
      <c r="THA2026" s="381"/>
      <c r="THB2026" s="381"/>
      <c r="THC2026" s="381"/>
      <c r="THD2026" s="381"/>
      <c r="THE2026" s="381"/>
      <c r="THF2026" s="381"/>
      <c r="THG2026" s="381"/>
      <c r="THH2026" s="381"/>
      <c r="THI2026" s="381"/>
      <c r="THJ2026" s="381"/>
      <c r="THK2026" s="381"/>
      <c r="THL2026" s="381"/>
      <c r="THM2026" s="381"/>
      <c r="THN2026" s="381"/>
      <c r="THO2026" s="381"/>
      <c r="THP2026" s="381"/>
      <c r="THQ2026" s="381"/>
      <c r="THR2026" s="381"/>
      <c r="THS2026" s="381"/>
      <c r="THT2026" s="381"/>
      <c r="THU2026" s="381"/>
      <c r="THV2026" s="381"/>
      <c r="THW2026" s="381"/>
      <c r="THX2026" s="381"/>
      <c r="THY2026" s="381"/>
      <c r="THZ2026" s="381"/>
      <c r="TIA2026" s="381"/>
      <c r="TIB2026" s="381"/>
      <c r="TIC2026" s="381"/>
      <c r="TID2026" s="381"/>
      <c r="TIE2026" s="381"/>
      <c r="TIF2026" s="381"/>
      <c r="TIG2026" s="381"/>
      <c r="TIH2026" s="381"/>
      <c r="TII2026" s="381"/>
      <c r="TIJ2026" s="381"/>
      <c r="TIK2026" s="381"/>
      <c r="TIL2026" s="381"/>
      <c r="TIM2026" s="381"/>
      <c r="TIN2026" s="381"/>
      <c r="TIO2026" s="381"/>
      <c r="TIP2026" s="381"/>
      <c r="TIQ2026" s="381"/>
      <c r="TIR2026" s="381"/>
      <c r="TIS2026" s="381"/>
      <c r="TIT2026" s="381"/>
      <c r="TIU2026" s="381"/>
      <c r="TIV2026" s="381"/>
      <c r="TIW2026" s="381"/>
      <c r="TIX2026" s="381"/>
      <c r="TIY2026" s="381"/>
      <c r="TIZ2026" s="381"/>
      <c r="TJA2026" s="381"/>
      <c r="TJB2026" s="381"/>
      <c r="TJC2026" s="381"/>
      <c r="TJD2026" s="381"/>
      <c r="TJE2026" s="381"/>
      <c r="TJF2026" s="381"/>
      <c r="TJG2026" s="381"/>
      <c r="TJH2026" s="381"/>
      <c r="TJI2026" s="381"/>
      <c r="TJJ2026" s="381"/>
      <c r="TJK2026" s="381"/>
      <c r="TJL2026" s="381"/>
      <c r="TJM2026" s="381"/>
      <c r="TJN2026" s="381"/>
      <c r="TJO2026" s="381"/>
      <c r="TJP2026" s="381"/>
      <c r="TJQ2026" s="381"/>
      <c r="TJR2026" s="381"/>
      <c r="TJS2026" s="381"/>
      <c r="TJT2026" s="381"/>
      <c r="TJU2026" s="381"/>
      <c r="TJV2026" s="381"/>
      <c r="TJW2026" s="381"/>
      <c r="TJX2026" s="381"/>
      <c r="TJY2026" s="381"/>
      <c r="TJZ2026" s="381"/>
      <c r="TKA2026" s="381"/>
      <c r="TKB2026" s="381"/>
      <c r="TKC2026" s="381"/>
      <c r="TKD2026" s="381"/>
      <c r="TKE2026" s="381"/>
      <c r="TKF2026" s="381"/>
      <c r="TKG2026" s="381"/>
      <c r="TKH2026" s="381"/>
      <c r="TKI2026" s="381"/>
      <c r="TKJ2026" s="381"/>
      <c r="TKK2026" s="381"/>
      <c r="TKL2026" s="381"/>
      <c r="TKM2026" s="381"/>
      <c r="TKN2026" s="381"/>
      <c r="TKO2026" s="381"/>
      <c r="TKP2026" s="381"/>
      <c r="TKQ2026" s="381"/>
      <c r="TKR2026" s="381"/>
      <c r="TKS2026" s="381"/>
      <c r="TKT2026" s="381"/>
      <c r="TKU2026" s="381"/>
      <c r="TKV2026" s="381"/>
      <c r="TKW2026" s="381"/>
      <c r="TKX2026" s="381"/>
      <c r="TKY2026" s="381"/>
      <c r="TKZ2026" s="381"/>
      <c r="TLA2026" s="381"/>
      <c r="TLB2026" s="381"/>
      <c r="TLC2026" s="381"/>
      <c r="TLD2026" s="381"/>
      <c r="TLE2026" s="381"/>
      <c r="TLF2026" s="381"/>
      <c r="TLG2026" s="381"/>
      <c r="TLH2026" s="381"/>
      <c r="TLI2026" s="381"/>
      <c r="TLJ2026" s="381"/>
      <c r="TLK2026" s="381"/>
      <c r="TLL2026" s="381"/>
      <c r="TLM2026" s="381"/>
      <c r="TLN2026" s="381"/>
      <c r="TLO2026" s="381"/>
      <c r="TLP2026" s="381"/>
      <c r="TLQ2026" s="381"/>
      <c r="TLR2026" s="381"/>
      <c r="TLS2026" s="381"/>
      <c r="TLT2026" s="381"/>
      <c r="TLU2026" s="381"/>
      <c r="TLV2026" s="381"/>
      <c r="TLW2026" s="381"/>
      <c r="TLX2026" s="381"/>
      <c r="TLY2026" s="381"/>
      <c r="TLZ2026" s="381"/>
      <c r="TMA2026" s="381"/>
      <c r="TMB2026" s="381"/>
      <c r="TMC2026" s="381"/>
      <c r="TMD2026" s="381"/>
      <c r="TME2026" s="381"/>
      <c r="TMF2026" s="381"/>
      <c r="TMG2026" s="381"/>
      <c r="TMH2026" s="381"/>
      <c r="TMI2026" s="381"/>
      <c r="TMJ2026" s="381"/>
      <c r="TMK2026" s="381"/>
      <c r="TML2026" s="381"/>
      <c r="TMM2026" s="381"/>
      <c r="TMN2026" s="381"/>
      <c r="TMO2026" s="381"/>
      <c r="TMP2026" s="381"/>
      <c r="TMQ2026" s="381"/>
      <c r="TMR2026" s="381"/>
      <c r="TMS2026" s="381"/>
      <c r="TMT2026" s="381"/>
      <c r="TMU2026" s="381"/>
      <c r="TMV2026" s="381"/>
      <c r="TMW2026" s="381"/>
      <c r="TMX2026" s="381"/>
      <c r="TMY2026" s="381"/>
      <c r="TMZ2026" s="381"/>
      <c r="TNA2026" s="381"/>
      <c r="TNB2026" s="381"/>
      <c r="TNC2026" s="381"/>
      <c r="TND2026" s="381"/>
      <c r="TNE2026" s="381"/>
      <c r="TNF2026" s="381"/>
      <c r="TNG2026" s="381"/>
      <c r="TNH2026" s="381"/>
      <c r="TNI2026" s="381"/>
      <c r="TNJ2026" s="381"/>
      <c r="TNK2026" s="381"/>
      <c r="TNL2026" s="381"/>
      <c r="TNM2026" s="381"/>
      <c r="TNN2026" s="381"/>
      <c r="TNO2026" s="381"/>
      <c r="TNP2026" s="381"/>
      <c r="TNQ2026" s="381"/>
      <c r="TNR2026" s="381"/>
      <c r="TNS2026" s="381"/>
      <c r="TNT2026" s="381"/>
      <c r="TNU2026" s="381"/>
      <c r="TNV2026" s="381"/>
      <c r="TNW2026" s="381"/>
      <c r="TNX2026" s="381"/>
      <c r="TNY2026" s="381"/>
      <c r="TNZ2026" s="381"/>
      <c r="TOA2026" s="381"/>
      <c r="TOB2026" s="381"/>
      <c r="TOC2026" s="381"/>
      <c r="TOD2026" s="381"/>
      <c r="TOE2026" s="381"/>
      <c r="TOF2026" s="381"/>
      <c r="TOG2026" s="381"/>
      <c r="TOH2026" s="381"/>
      <c r="TOI2026" s="381"/>
      <c r="TOJ2026" s="381"/>
      <c r="TOK2026" s="381"/>
      <c r="TOL2026" s="381"/>
      <c r="TOM2026" s="381"/>
      <c r="TON2026" s="381"/>
      <c r="TOO2026" s="381"/>
      <c r="TOP2026" s="381"/>
      <c r="TOQ2026" s="381"/>
      <c r="TOR2026" s="381"/>
      <c r="TOS2026" s="381"/>
      <c r="TOT2026" s="381"/>
      <c r="TOU2026" s="381"/>
      <c r="TOV2026" s="381"/>
      <c r="TOW2026" s="381"/>
      <c r="TOX2026" s="381"/>
      <c r="TOY2026" s="381"/>
      <c r="TOZ2026" s="381"/>
      <c r="TPA2026" s="381"/>
      <c r="TPB2026" s="381"/>
      <c r="TPC2026" s="381"/>
      <c r="TPD2026" s="381"/>
      <c r="TPE2026" s="381"/>
      <c r="TPF2026" s="381"/>
      <c r="TPG2026" s="381"/>
      <c r="TPH2026" s="381"/>
      <c r="TPI2026" s="381"/>
      <c r="TPJ2026" s="381"/>
      <c r="TPK2026" s="381"/>
      <c r="TPL2026" s="381"/>
      <c r="TPM2026" s="381"/>
      <c r="TPN2026" s="381"/>
      <c r="TPO2026" s="381"/>
      <c r="TPP2026" s="381"/>
      <c r="TPQ2026" s="381"/>
      <c r="TPR2026" s="381"/>
      <c r="TPS2026" s="381"/>
      <c r="TPT2026" s="381"/>
      <c r="TPU2026" s="381"/>
      <c r="TPV2026" s="381"/>
      <c r="TPW2026" s="381"/>
      <c r="TPX2026" s="381"/>
      <c r="TPY2026" s="381"/>
      <c r="TPZ2026" s="381"/>
      <c r="TQA2026" s="381"/>
      <c r="TQB2026" s="381"/>
      <c r="TQC2026" s="381"/>
      <c r="TQD2026" s="381"/>
      <c r="TQE2026" s="381"/>
      <c r="TQF2026" s="381"/>
      <c r="TQG2026" s="381"/>
      <c r="TQH2026" s="381"/>
      <c r="TQI2026" s="381"/>
      <c r="TQJ2026" s="381"/>
      <c r="TQK2026" s="381"/>
      <c r="TQL2026" s="381"/>
      <c r="TQM2026" s="381"/>
      <c r="TQN2026" s="381"/>
      <c r="TQO2026" s="381"/>
      <c r="TQP2026" s="381"/>
      <c r="TQQ2026" s="381"/>
      <c r="TQR2026" s="381"/>
      <c r="TQS2026" s="381"/>
      <c r="TQT2026" s="381"/>
      <c r="TQU2026" s="381"/>
      <c r="TQV2026" s="381"/>
      <c r="TQW2026" s="381"/>
      <c r="TQX2026" s="381"/>
      <c r="TQY2026" s="381"/>
      <c r="TQZ2026" s="381"/>
      <c r="TRA2026" s="381"/>
      <c r="TRB2026" s="381"/>
      <c r="TRC2026" s="381"/>
      <c r="TRD2026" s="381"/>
      <c r="TRE2026" s="381"/>
      <c r="TRF2026" s="381"/>
      <c r="TRG2026" s="381"/>
      <c r="TRH2026" s="381"/>
      <c r="TRI2026" s="381"/>
      <c r="TRJ2026" s="381"/>
      <c r="TRK2026" s="381"/>
      <c r="TRL2026" s="381"/>
      <c r="TRM2026" s="381"/>
      <c r="TRN2026" s="381"/>
      <c r="TRO2026" s="381"/>
      <c r="TRP2026" s="381"/>
      <c r="TRQ2026" s="381"/>
      <c r="TRR2026" s="381"/>
      <c r="TRS2026" s="381"/>
      <c r="TRT2026" s="381"/>
      <c r="TRU2026" s="381"/>
      <c r="TRV2026" s="381"/>
      <c r="TRW2026" s="381"/>
      <c r="TRX2026" s="381"/>
      <c r="TRY2026" s="381"/>
      <c r="TRZ2026" s="381"/>
      <c r="TSA2026" s="381"/>
      <c r="TSB2026" s="381"/>
      <c r="TSC2026" s="381"/>
      <c r="TSD2026" s="381"/>
      <c r="TSE2026" s="381"/>
      <c r="TSF2026" s="381"/>
      <c r="TSG2026" s="381"/>
      <c r="TSH2026" s="381"/>
      <c r="TSI2026" s="381"/>
      <c r="TSJ2026" s="381"/>
      <c r="TSK2026" s="381"/>
      <c r="TSL2026" s="381"/>
      <c r="TSM2026" s="381"/>
      <c r="TSN2026" s="381"/>
      <c r="TSO2026" s="381"/>
      <c r="TSP2026" s="381"/>
      <c r="TSQ2026" s="381"/>
      <c r="TSR2026" s="381"/>
      <c r="TSS2026" s="381"/>
      <c r="TST2026" s="381"/>
      <c r="TSU2026" s="381"/>
      <c r="TSV2026" s="381"/>
      <c r="TSW2026" s="381"/>
      <c r="TSX2026" s="381"/>
      <c r="TSY2026" s="381"/>
      <c r="TSZ2026" s="381"/>
      <c r="TTA2026" s="381"/>
      <c r="TTB2026" s="381"/>
      <c r="TTC2026" s="381"/>
      <c r="TTD2026" s="381"/>
      <c r="TTE2026" s="381"/>
      <c r="TTF2026" s="381"/>
      <c r="TTG2026" s="381"/>
      <c r="TTH2026" s="381"/>
      <c r="TTI2026" s="381"/>
      <c r="TTJ2026" s="381"/>
      <c r="TTK2026" s="381"/>
      <c r="TTL2026" s="381"/>
      <c r="TTM2026" s="381"/>
      <c r="TTN2026" s="381"/>
      <c r="TTO2026" s="381"/>
      <c r="TTP2026" s="381"/>
      <c r="TTQ2026" s="381"/>
      <c r="TTR2026" s="381"/>
      <c r="TTS2026" s="381"/>
      <c r="TTT2026" s="381"/>
      <c r="TTU2026" s="381"/>
      <c r="TTV2026" s="381"/>
      <c r="TTW2026" s="381"/>
      <c r="TTX2026" s="381"/>
      <c r="TTY2026" s="381"/>
      <c r="TTZ2026" s="381"/>
      <c r="TUA2026" s="381"/>
      <c r="TUB2026" s="381"/>
      <c r="TUC2026" s="381"/>
      <c r="TUD2026" s="381"/>
      <c r="TUE2026" s="381"/>
      <c r="TUF2026" s="381"/>
      <c r="TUG2026" s="381"/>
      <c r="TUH2026" s="381"/>
      <c r="TUI2026" s="381"/>
      <c r="TUJ2026" s="381"/>
      <c r="TUK2026" s="381"/>
      <c r="TUL2026" s="381"/>
      <c r="TUM2026" s="381"/>
      <c r="TUN2026" s="381"/>
      <c r="TUO2026" s="381"/>
      <c r="TUP2026" s="381"/>
      <c r="TUQ2026" s="381"/>
      <c r="TUR2026" s="381"/>
      <c r="TUS2026" s="381"/>
      <c r="TUT2026" s="381"/>
      <c r="TUU2026" s="381"/>
      <c r="TUV2026" s="381"/>
      <c r="TUW2026" s="381"/>
      <c r="TUX2026" s="381"/>
      <c r="TUY2026" s="381"/>
      <c r="TUZ2026" s="381"/>
      <c r="TVA2026" s="381"/>
      <c r="TVB2026" s="381"/>
      <c r="TVC2026" s="381"/>
      <c r="TVD2026" s="381"/>
      <c r="TVE2026" s="381"/>
      <c r="TVF2026" s="381"/>
      <c r="TVG2026" s="381"/>
      <c r="TVH2026" s="381"/>
      <c r="TVI2026" s="381"/>
      <c r="TVJ2026" s="381"/>
      <c r="TVK2026" s="381"/>
      <c r="TVL2026" s="381"/>
      <c r="TVM2026" s="381"/>
      <c r="TVN2026" s="381"/>
      <c r="TVO2026" s="381"/>
      <c r="TVP2026" s="381"/>
      <c r="TVQ2026" s="381"/>
      <c r="TVR2026" s="381"/>
      <c r="TVS2026" s="381"/>
      <c r="TVT2026" s="381"/>
      <c r="TVU2026" s="381"/>
      <c r="TVV2026" s="381"/>
      <c r="TVW2026" s="381"/>
      <c r="TVX2026" s="381"/>
      <c r="TVY2026" s="381"/>
      <c r="TVZ2026" s="381"/>
      <c r="TWA2026" s="381"/>
      <c r="TWB2026" s="381"/>
      <c r="TWC2026" s="381"/>
      <c r="TWD2026" s="381"/>
      <c r="TWE2026" s="381"/>
      <c r="TWF2026" s="381"/>
      <c r="TWG2026" s="381"/>
      <c r="TWH2026" s="381"/>
      <c r="TWI2026" s="381"/>
      <c r="TWJ2026" s="381"/>
      <c r="TWK2026" s="381"/>
      <c r="TWL2026" s="381"/>
      <c r="TWM2026" s="381"/>
      <c r="TWN2026" s="381"/>
      <c r="TWO2026" s="381"/>
      <c r="TWP2026" s="381"/>
      <c r="TWQ2026" s="381"/>
      <c r="TWR2026" s="381"/>
      <c r="TWS2026" s="381"/>
      <c r="TWT2026" s="381"/>
      <c r="TWU2026" s="381"/>
      <c r="TWV2026" s="381"/>
      <c r="TWW2026" s="381"/>
      <c r="TWX2026" s="381"/>
      <c r="TWY2026" s="381"/>
      <c r="TWZ2026" s="381"/>
      <c r="TXA2026" s="381"/>
      <c r="TXB2026" s="381"/>
      <c r="TXC2026" s="381"/>
      <c r="TXD2026" s="381"/>
      <c r="TXE2026" s="381"/>
      <c r="TXF2026" s="381"/>
      <c r="TXG2026" s="381"/>
      <c r="TXH2026" s="381"/>
      <c r="TXI2026" s="381"/>
      <c r="TXJ2026" s="381"/>
      <c r="TXK2026" s="381"/>
      <c r="TXL2026" s="381"/>
      <c r="TXM2026" s="381"/>
      <c r="TXN2026" s="381"/>
      <c r="TXO2026" s="381"/>
      <c r="TXP2026" s="381"/>
      <c r="TXQ2026" s="381"/>
      <c r="TXR2026" s="381"/>
      <c r="TXS2026" s="381"/>
      <c r="TXT2026" s="381"/>
      <c r="TXU2026" s="381"/>
      <c r="TXV2026" s="381"/>
      <c r="TXW2026" s="381"/>
      <c r="TXX2026" s="381"/>
      <c r="TXY2026" s="381"/>
      <c r="TXZ2026" s="381"/>
      <c r="TYA2026" s="381"/>
      <c r="TYB2026" s="381"/>
      <c r="TYC2026" s="381"/>
      <c r="TYD2026" s="381"/>
      <c r="TYE2026" s="381"/>
      <c r="TYF2026" s="381"/>
      <c r="TYG2026" s="381"/>
      <c r="TYH2026" s="381"/>
      <c r="TYI2026" s="381"/>
      <c r="TYJ2026" s="381"/>
      <c r="TYK2026" s="381"/>
      <c r="TYL2026" s="381"/>
      <c r="TYM2026" s="381"/>
      <c r="TYN2026" s="381"/>
      <c r="TYO2026" s="381"/>
      <c r="TYP2026" s="381"/>
      <c r="TYQ2026" s="381"/>
      <c r="TYR2026" s="381"/>
      <c r="TYS2026" s="381"/>
      <c r="TYT2026" s="381"/>
      <c r="TYU2026" s="381"/>
      <c r="TYV2026" s="381"/>
      <c r="TYW2026" s="381"/>
      <c r="TYX2026" s="381"/>
      <c r="TYY2026" s="381"/>
      <c r="TYZ2026" s="381"/>
      <c r="TZA2026" s="381"/>
      <c r="TZB2026" s="381"/>
      <c r="TZC2026" s="381"/>
      <c r="TZD2026" s="381"/>
      <c r="TZE2026" s="381"/>
      <c r="TZF2026" s="381"/>
      <c r="TZG2026" s="381"/>
      <c r="TZH2026" s="381"/>
      <c r="TZI2026" s="381"/>
      <c r="TZJ2026" s="381"/>
      <c r="TZK2026" s="381"/>
      <c r="TZL2026" s="381"/>
      <c r="TZM2026" s="381"/>
      <c r="TZN2026" s="381"/>
      <c r="TZO2026" s="381"/>
      <c r="TZP2026" s="381"/>
      <c r="TZQ2026" s="381"/>
      <c r="TZR2026" s="381"/>
      <c r="TZS2026" s="381"/>
      <c r="TZT2026" s="381"/>
      <c r="TZU2026" s="381"/>
      <c r="TZV2026" s="381"/>
      <c r="TZW2026" s="381"/>
      <c r="TZX2026" s="381"/>
      <c r="TZY2026" s="381"/>
      <c r="TZZ2026" s="381"/>
      <c r="UAA2026" s="381"/>
      <c r="UAB2026" s="381"/>
      <c r="UAC2026" s="381"/>
      <c r="UAD2026" s="381"/>
      <c r="UAE2026" s="381"/>
      <c r="UAF2026" s="381"/>
      <c r="UAG2026" s="381"/>
      <c r="UAH2026" s="381"/>
      <c r="UAI2026" s="381"/>
      <c r="UAJ2026" s="381"/>
      <c r="UAK2026" s="381"/>
      <c r="UAL2026" s="381"/>
      <c r="UAM2026" s="381"/>
      <c r="UAN2026" s="381"/>
      <c r="UAO2026" s="381"/>
      <c r="UAP2026" s="381"/>
      <c r="UAQ2026" s="381"/>
      <c r="UAR2026" s="381"/>
      <c r="UAS2026" s="381"/>
      <c r="UAT2026" s="381"/>
      <c r="UAU2026" s="381"/>
      <c r="UAV2026" s="381"/>
      <c r="UAW2026" s="381"/>
      <c r="UAX2026" s="381"/>
      <c r="UAY2026" s="381"/>
      <c r="UAZ2026" s="381"/>
      <c r="UBA2026" s="381"/>
      <c r="UBB2026" s="381"/>
      <c r="UBC2026" s="381"/>
      <c r="UBD2026" s="381"/>
      <c r="UBE2026" s="381"/>
      <c r="UBF2026" s="381"/>
      <c r="UBG2026" s="381"/>
      <c r="UBH2026" s="381"/>
      <c r="UBI2026" s="381"/>
      <c r="UBJ2026" s="381"/>
      <c r="UBK2026" s="381"/>
      <c r="UBL2026" s="381"/>
      <c r="UBM2026" s="381"/>
      <c r="UBN2026" s="381"/>
      <c r="UBO2026" s="381"/>
      <c r="UBP2026" s="381"/>
      <c r="UBQ2026" s="381"/>
      <c r="UBR2026" s="381"/>
      <c r="UBS2026" s="381"/>
      <c r="UBT2026" s="381"/>
      <c r="UBU2026" s="381"/>
      <c r="UBV2026" s="381"/>
      <c r="UBW2026" s="381"/>
      <c r="UBX2026" s="381"/>
      <c r="UBY2026" s="381"/>
      <c r="UBZ2026" s="381"/>
      <c r="UCA2026" s="381"/>
      <c r="UCB2026" s="381"/>
      <c r="UCC2026" s="381"/>
      <c r="UCD2026" s="381"/>
      <c r="UCE2026" s="381"/>
      <c r="UCF2026" s="381"/>
      <c r="UCG2026" s="381"/>
      <c r="UCH2026" s="381"/>
      <c r="UCI2026" s="381"/>
      <c r="UCJ2026" s="381"/>
      <c r="UCK2026" s="381"/>
      <c r="UCL2026" s="381"/>
      <c r="UCM2026" s="381"/>
      <c r="UCN2026" s="381"/>
      <c r="UCO2026" s="381"/>
      <c r="UCP2026" s="381"/>
      <c r="UCQ2026" s="381"/>
      <c r="UCR2026" s="381"/>
      <c r="UCS2026" s="381"/>
      <c r="UCT2026" s="381"/>
      <c r="UCU2026" s="381"/>
      <c r="UCV2026" s="381"/>
      <c r="UCW2026" s="381"/>
      <c r="UCX2026" s="381"/>
      <c r="UCY2026" s="381"/>
      <c r="UCZ2026" s="381"/>
      <c r="UDA2026" s="381"/>
      <c r="UDB2026" s="381"/>
      <c r="UDC2026" s="381"/>
      <c r="UDD2026" s="381"/>
      <c r="UDE2026" s="381"/>
      <c r="UDF2026" s="381"/>
      <c r="UDG2026" s="381"/>
      <c r="UDH2026" s="381"/>
      <c r="UDI2026" s="381"/>
      <c r="UDJ2026" s="381"/>
      <c r="UDK2026" s="381"/>
      <c r="UDL2026" s="381"/>
      <c r="UDM2026" s="381"/>
      <c r="UDN2026" s="381"/>
      <c r="UDO2026" s="381"/>
      <c r="UDP2026" s="381"/>
      <c r="UDQ2026" s="381"/>
      <c r="UDR2026" s="381"/>
      <c r="UDS2026" s="381"/>
      <c r="UDT2026" s="381"/>
      <c r="UDU2026" s="381"/>
      <c r="UDV2026" s="381"/>
      <c r="UDW2026" s="381"/>
      <c r="UDX2026" s="381"/>
      <c r="UDY2026" s="381"/>
      <c r="UDZ2026" s="381"/>
      <c r="UEA2026" s="381"/>
      <c r="UEB2026" s="381"/>
      <c r="UEC2026" s="381"/>
      <c r="UED2026" s="381"/>
      <c r="UEE2026" s="381"/>
      <c r="UEF2026" s="381"/>
      <c r="UEG2026" s="381"/>
      <c r="UEH2026" s="381"/>
      <c r="UEI2026" s="381"/>
      <c r="UEJ2026" s="381"/>
      <c r="UEK2026" s="381"/>
      <c r="UEL2026" s="381"/>
      <c r="UEM2026" s="381"/>
      <c r="UEN2026" s="381"/>
      <c r="UEO2026" s="381"/>
      <c r="UEP2026" s="381"/>
      <c r="UEQ2026" s="381"/>
      <c r="UER2026" s="381"/>
      <c r="UES2026" s="381"/>
      <c r="UET2026" s="381"/>
      <c r="UEU2026" s="381"/>
      <c r="UEV2026" s="381"/>
      <c r="UEW2026" s="381"/>
      <c r="UEX2026" s="381"/>
      <c r="UEY2026" s="381"/>
      <c r="UEZ2026" s="381"/>
      <c r="UFA2026" s="381"/>
      <c r="UFB2026" s="381"/>
      <c r="UFC2026" s="381"/>
      <c r="UFD2026" s="381"/>
      <c r="UFE2026" s="381"/>
      <c r="UFF2026" s="381"/>
      <c r="UFG2026" s="381"/>
      <c r="UFH2026" s="381"/>
      <c r="UFI2026" s="381"/>
      <c r="UFJ2026" s="381"/>
      <c r="UFK2026" s="381"/>
      <c r="UFL2026" s="381"/>
      <c r="UFM2026" s="381"/>
      <c r="UFN2026" s="381"/>
      <c r="UFO2026" s="381"/>
      <c r="UFP2026" s="381"/>
      <c r="UFQ2026" s="381"/>
      <c r="UFR2026" s="381"/>
      <c r="UFS2026" s="381"/>
      <c r="UFT2026" s="381"/>
      <c r="UFU2026" s="381"/>
      <c r="UFV2026" s="381"/>
      <c r="UFW2026" s="381"/>
      <c r="UFX2026" s="381"/>
      <c r="UFY2026" s="381"/>
      <c r="UFZ2026" s="381"/>
      <c r="UGA2026" s="381"/>
      <c r="UGB2026" s="381"/>
      <c r="UGC2026" s="381"/>
      <c r="UGD2026" s="381"/>
      <c r="UGE2026" s="381"/>
      <c r="UGF2026" s="381"/>
      <c r="UGG2026" s="381"/>
      <c r="UGH2026" s="381"/>
      <c r="UGI2026" s="381"/>
      <c r="UGJ2026" s="381"/>
      <c r="UGK2026" s="381"/>
      <c r="UGL2026" s="381"/>
      <c r="UGM2026" s="381"/>
      <c r="UGN2026" s="381"/>
      <c r="UGO2026" s="381"/>
      <c r="UGP2026" s="381"/>
      <c r="UGQ2026" s="381"/>
      <c r="UGR2026" s="381"/>
      <c r="UGS2026" s="381"/>
      <c r="UGT2026" s="381"/>
      <c r="UGU2026" s="381"/>
      <c r="UGV2026" s="381"/>
      <c r="UGW2026" s="381"/>
      <c r="UGX2026" s="381"/>
      <c r="UGY2026" s="381"/>
      <c r="UGZ2026" s="381"/>
      <c r="UHA2026" s="381"/>
      <c r="UHB2026" s="381"/>
      <c r="UHC2026" s="381"/>
      <c r="UHD2026" s="381"/>
      <c r="UHE2026" s="381"/>
      <c r="UHF2026" s="381"/>
      <c r="UHG2026" s="381"/>
      <c r="UHH2026" s="381"/>
      <c r="UHI2026" s="381"/>
      <c r="UHJ2026" s="381"/>
      <c r="UHK2026" s="381"/>
      <c r="UHL2026" s="381"/>
      <c r="UHM2026" s="381"/>
      <c r="UHN2026" s="381"/>
      <c r="UHO2026" s="381"/>
      <c r="UHP2026" s="381"/>
      <c r="UHQ2026" s="381"/>
      <c r="UHR2026" s="381"/>
      <c r="UHS2026" s="381"/>
      <c r="UHT2026" s="381"/>
      <c r="UHU2026" s="381"/>
      <c r="UHV2026" s="381"/>
      <c r="UHW2026" s="381"/>
      <c r="UHX2026" s="381"/>
      <c r="UHY2026" s="381"/>
      <c r="UHZ2026" s="381"/>
      <c r="UIA2026" s="381"/>
      <c r="UIB2026" s="381"/>
      <c r="UIC2026" s="381"/>
      <c r="UID2026" s="381"/>
      <c r="UIE2026" s="381"/>
      <c r="UIF2026" s="381"/>
      <c r="UIG2026" s="381"/>
      <c r="UIH2026" s="381"/>
      <c r="UII2026" s="381"/>
      <c r="UIJ2026" s="381"/>
      <c r="UIK2026" s="381"/>
      <c r="UIL2026" s="381"/>
      <c r="UIM2026" s="381"/>
      <c r="UIN2026" s="381"/>
      <c r="UIO2026" s="381"/>
      <c r="UIP2026" s="381"/>
      <c r="UIQ2026" s="381"/>
      <c r="UIR2026" s="381"/>
      <c r="UIS2026" s="381"/>
      <c r="UIT2026" s="381"/>
      <c r="UIU2026" s="381"/>
      <c r="UIV2026" s="381"/>
      <c r="UIW2026" s="381"/>
      <c r="UIX2026" s="381"/>
      <c r="UIY2026" s="381"/>
      <c r="UIZ2026" s="381"/>
      <c r="UJA2026" s="381"/>
      <c r="UJB2026" s="381"/>
      <c r="UJC2026" s="381"/>
      <c r="UJD2026" s="381"/>
      <c r="UJE2026" s="381"/>
      <c r="UJF2026" s="381"/>
      <c r="UJG2026" s="381"/>
      <c r="UJH2026" s="381"/>
      <c r="UJI2026" s="381"/>
      <c r="UJJ2026" s="381"/>
      <c r="UJK2026" s="381"/>
      <c r="UJL2026" s="381"/>
      <c r="UJM2026" s="381"/>
      <c r="UJN2026" s="381"/>
      <c r="UJO2026" s="381"/>
      <c r="UJP2026" s="381"/>
      <c r="UJQ2026" s="381"/>
      <c r="UJR2026" s="381"/>
      <c r="UJS2026" s="381"/>
      <c r="UJT2026" s="381"/>
      <c r="UJU2026" s="381"/>
      <c r="UJV2026" s="381"/>
      <c r="UJW2026" s="381"/>
      <c r="UJX2026" s="381"/>
      <c r="UJY2026" s="381"/>
      <c r="UJZ2026" s="381"/>
      <c r="UKA2026" s="381"/>
      <c r="UKB2026" s="381"/>
      <c r="UKC2026" s="381"/>
      <c r="UKD2026" s="381"/>
      <c r="UKE2026" s="381"/>
      <c r="UKF2026" s="381"/>
      <c r="UKG2026" s="381"/>
      <c r="UKH2026" s="381"/>
      <c r="UKI2026" s="381"/>
      <c r="UKJ2026" s="381"/>
      <c r="UKK2026" s="381"/>
      <c r="UKL2026" s="381"/>
      <c r="UKM2026" s="381"/>
      <c r="UKN2026" s="381"/>
      <c r="UKO2026" s="381"/>
      <c r="UKP2026" s="381"/>
      <c r="UKQ2026" s="381"/>
      <c r="UKR2026" s="381"/>
      <c r="UKS2026" s="381"/>
      <c r="UKT2026" s="381"/>
      <c r="UKU2026" s="381"/>
      <c r="UKV2026" s="381"/>
      <c r="UKW2026" s="381"/>
      <c r="UKX2026" s="381"/>
      <c r="UKY2026" s="381"/>
      <c r="UKZ2026" s="381"/>
      <c r="ULA2026" s="381"/>
      <c r="ULB2026" s="381"/>
      <c r="ULC2026" s="381"/>
      <c r="ULD2026" s="381"/>
      <c r="ULE2026" s="381"/>
      <c r="ULF2026" s="381"/>
      <c r="ULG2026" s="381"/>
      <c r="ULH2026" s="381"/>
      <c r="ULI2026" s="381"/>
      <c r="ULJ2026" s="381"/>
      <c r="ULK2026" s="381"/>
      <c r="ULL2026" s="381"/>
      <c r="ULM2026" s="381"/>
      <c r="ULN2026" s="381"/>
      <c r="ULO2026" s="381"/>
      <c r="ULP2026" s="381"/>
      <c r="ULQ2026" s="381"/>
      <c r="ULR2026" s="381"/>
      <c r="ULS2026" s="381"/>
      <c r="ULT2026" s="381"/>
      <c r="ULU2026" s="381"/>
      <c r="ULV2026" s="381"/>
      <c r="ULW2026" s="381"/>
      <c r="ULX2026" s="381"/>
      <c r="ULY2026" s="381"/>
      <c r="ULZ2026" s="381"/>
      <c r="UMA2026" s="381"/>
      <c r="UMB2026" s="381"/>
      <c r="UMC2026" s="381"/>
      <c r="UMD2026" s="381"/>
      <c r="UME2026" s="381"/>
      <c r="UMF2026" s="381"/>
      <c r="UMG2026" s="381"/>
      <c r="UMH2026" s="381"/>
      <c r="UMI2026" s="381"/>
      <c r="UMJ2026" s="381"/>
      <c r="UMK2026" s="381"/>
      <c r="UML2026" s="381"/>
      <c r="UMM2026" s="381"/>
      <c r="UMN2026" s="381"/>
      <c r="UMO2026" s="381"/>
      <c r="UMP2026" s="381"/>
      <c r="UMQ2026" s="381"/>
      <c r="UMR2026" s="381"/>
      <c r="UMS2026" s="381"/>
      <c r="UMT2026" s="381"/>
      <c r="UMU2026" s="381"/>
      <c r="UMV2026" s="381"/>
      <c r="UMW2026" s="381"/>
      <c r="UMX2026" s="381"/>
      <c r="UMY2026" s="381"/>
      <c r="UMZ2026" s="381"/>
      <c r="UNA2026" s="381"/>
      <c r="UNB2026" s="381"/>
      <c r="UNC2026" s="381"/>
      <c r="UND2026" s="381"/>
      <c r="UNE2026" s="381"/>
      <c r="UNF2026" s="381"/>
      <c r="UNG2026" s="381"/>
      <c r="UNH2026" s="381"/>
      <c r="UNI2026" s="381"/>
      <c r="UNJ2026" s="381"/>
      <c r="UNK2026" s="381"/>
      <c r="UNL2026" s="381"/>
      <c r="UNM2026" s="381"/>
      <c r="UNN2026" s="381"/>
      <c r="UNO2026" s="381"/>
      <c r="UNP2026" s="381"/>
      <c r="UNQ2026" s="381"/>
      <c r="UNR2026" s="381"/>
      <c r="UNS2026" s="381"/>
      <c r="UNT2026" s="381"/>
      <c r="UNU2026" s="381"/>
      <c r="UNV2026" s="381"/>
      <c r="UNW2026" s="381"/>
      <c r="UNX2026" s="381"/>
      <c r="UNY2026" s="381"/>
      <c r="UNZ2026" s="381"/>
      <c r="UOA2026" s="381"/>
      <c r="UOB2026" s="381"/>
      <c r="UOC2026" s="381"/>
      <c r="UOD2026" s="381"/>
      <c r="UOE2026" s="381"/>
      <c r="UOF2026" s="381"/>
      <c r="UOG2026" s="381"/>
      <c r="UOH2026" s="381"/>
      <c r="UOI2026" s="381"/>
      <c r="UOJ2026" s="381"/>
      <c r="UOK2026" s="381"/>
      <c r="UOL2026" s="381"/>
      <c r="UOM2026" s="381"/>
      <c r="UON2026" s="381"/>
      <c r="UOO2026" s="381"/>
      <c r="UOP2026" s="381"/>
      <c r="UOQ2026" s="381"/>
      <c r="UOR2026" s="381"/>
      <c r="UOS2026" s="381"/>
      <c r="UOT2026" s="381"/>
      <c r="UOU2026" s="381"/>
      <c r="UOV2026" s="381"/>
      <c r="UOW2026" s="381"/>
      <c r="UOX2026" s="381"/>
      <c r="UOY2026" s="381"/>
      <c r="UOZ2026" s="381"/>
      <c r="UPA2026" s="381"/>
      <c r="UPB2026" s="381"/>
      <c r="UPC2026" s="381"/>
      <c r="UPD2026" s="381"/>
      <c r="UPE2026" s="381"/>
      <c r="UPF2026" s="381"/>
      <c r="UPG2026" s="381"/>
      <c r="UPH2026" s="381"/>
      <c r="UPI2026" s="381"/>
      <c r="UPJ2026" s="381"/>
      <c r="UPK2026" s="381"/>
      <c r="UPL2026" s="381"/>
      <c r="UPM2026" s="381"/>
      <c r="UPN2026" s="381"/>
      <c r="UPO2026" s="381"/>
      <c r="UPP2026" s="381"/>
      <c r="UPQ2026" s="381"/>
      <c r="UPR2026" s="381"/>
      <c r="UPS2026" s="381"/>
      <c r="UPT2026" s="381"/>
      <c r="UPU2026" s="381"/>
      <c r="UPV2026" s="381"/>
      <c r="UPW2026" s="381"/>
      <c r="UPX2026" s="381"/>
      <c r="UPY2026" s="381"/>
      <c r="UPZ2026" s="381"/>
      <c r="UQA2026" s="381"/>
      <c r="UQB2026" s="381"/>
      <c r="UQC2026" s="381"/>
      <c r="UQD2026" s="381"/>
      <c r="UQE2026" s="381"/>
      <c r="UQF2026" s="381"/>
      <c r="UQG2026" s="381"/>
      <c r="UQH2026" s="381"/>
      <c r="UQI2026" s="381"/>
      <c r="UQJ2026" s="381"/>
      <c r="UQK2026" s="381"/>
      <c r="UQL2026" s="381"/>
      <c r="UQM2026" s="381"/>
      <c r="UQN2026" s="381"/>
      <c r="UQO2026" s="381"/>
      <c r="UQP2026" s="381"/>
      <c r="UQQ2026" s="381"/>
      <c r="UQR2026" s="381"/>
      <c r="UQS2026" s="381"/>
      <c r="UQT2026" s="381"/>
      <c r="UQU2026" s="381"/>
      <c r="UQV2026" s="381"/>
      <c r="UQW2026" s="381"/>
      <c r="UQX2026" s="381"/>
      <c r="UQY2026" s="381"/>
      <c r="UQZ2026" s="381"/>
      <c r="URA2026" s="381"/>
      <c r="URB2026" s="381"/>
      <c r="URC2026" s="381"/>
      <c r="URD2026" s="381"/>
      <c r="URE2026" s="381"/>
      <c r="URF2026" s="381"/>
      <c r="URG2026" s="381"/>
      <c r="URH2026" s="381"/>
      <c r="URI2026" s="381"/>
      <c r="URJ2026" s="381"/>
      <c r="URK2026" s="381"/>
      <c r="URL2026" s="381"/>
      <c r="URM2026" s="381"/>
      <c r="URN2026" s="381"/>
      <c r="URO2026" s="381"/>
      <c r="URP2026" s="381"/>
      <c r="URQ2026" s="381"/>
      <c r="URR2026" s="381"/>
      <c r="URS2026" s="381"/>
      <c r="URT2026" s="381"/>
      <c r="URU2026" s="381"/>
      <c r="URV2026" s="381"/>
      <c r="URW2026" s="381"/>
      <c r="URX2026" s="381"/>
      <c r="URY2026" s="381"/>
      <c r="URZ2026" s="381"/>
      <c r="USA2026" s="381"/>
      <c r="USB2026" s="381"/>
      <c r="USC2026" s="381"/>
      <c r="USD2026" s="381"/>
      <c r="USE2026" s="381"/>
      <c r="USF2026" s="381"/>
      <c r="USG2026" s="381"/>
      <c r="USH2026" s="381"/>
      <c r="USI2026" s="381"/>
      <c r="USJ2026" s="381"/>
      <c r="USK2026" s="381"/>
      <c r="USL2026" s="381"/>
      <c r="USM2026" s="381"/>
      <c r="USN2026" s="381"/>
      <c r="USO2026" s="381"/>
      <c r="USP2026" s="381"/>
      <c r="USQ2026" s="381"/>
      <c r="USR2026" s="381"/>
      <c r="USS2026" s="381"/>
      <c r="UST2026" s="381"/>
      <c r="USU2026" s="381"/>
      <c r="USV2026" s="381"/>
      <c r="USW2026" s="381"/>
      <c r="USX2026" s="381"/>
      <c r="USY2026" s="381"/>
      <c r="USZ2026" s="381"/>
      <c r="UTA2026" s="381"/>
      <c r="UTB2026" s="381"/>
      <c r="UTC2026" s="381"/>
      <c r="UTD2026" s="381"/>
      <c r="UTE2026" s="381"/>
      <c r="UTF2026" s="381"/>
      <c r="UTG2026" s="381"/>
      <c r="UTH2026" s="381"/>
      <c r="UTI2026" s="381"/>
      <c r="UTJ2026" s="381"/>
      <c r="UTK2026" s="381"/>
      <c r="UTL2026" s="381"/>
      <c r="UTM2026" s="381"/>
      <c r="UTN2026" s="381"/>
      <c r="UTO2026" s="381"/>
      <c r="UTP2026" s="381"/>
      <c r="UTQ2026" s="381"/>
      <c r="UTR2026" s="381"/>
      <c r="UTS2026" s="381"/>
      <c r="UTT2026" s="381"/>
      <c r="UTU2026" s="381"/>
      <c r="UTV2026" s="381"/>
      <c r="UTW2026" s="381"/>
      <c r="UTX2026" s="381"/>
      <c r="UTY2026" s="381"/>
      <c r="UTZ2026" s="381"/>
      <c r="UUA2026" s="381"/>
      <c r="UUB2026" s="381"/>
      <c r="UUC2026" s="381"/>
      <c r="UUD2026" s="381"/>
      <c r="UUE2026" s="381"/>
      <c r="UUF2026" s="381"/>
      <c r="UUG2026" s="381"/>
      <c r="UUH2026" s="381"/>
      <c r="UUI2026" s="381"/>
      <c r="UUJ2026" s="381"/>
      <c r="UUK2026" s="381"/>
      <c r="UUL2026" s="381"/>
      <c r="UUM2026" s="381"/>
      <c r="UUN2026" s="381"/>
      <c r="UUO2026" s="381"/>
      <c r="UUP2026" s="381"/>
      <c r="UUQ2026" s="381"/>
      <c r="UUR2026" s="381"/>
      <c r="UUS2026" s="381"/>
      <c r="UUT2026" s="381"/>
      <c r="UUU2026" s="381"/>
      <c r="UUV2026" s="381"/>
      <c r="UUW2026" s="381"/>
      <c r="UUX2026" s="381"/>
      <c r="UUY2026" s="381"/>
      <c r="UUZ2026" s="381"/>
      <c r="UVA2026" s="381"/>
      <c r="UVB2026" s="381"/>
      <c r="UVC2026" s="381"/>
      <c r="UVD2026" s="381"/>
      <c r="UVE2026" s="381"/>
      <c r="UVF2026" s="381"/>
      <c r="UVG2026" s="381"/>
      <c r="UVH2026" s="381"/>
      <c r="UVI2026" s="381"/>
      <c r="UVJ2026" s="381"/>
      <c r="UVK2026" s="381"/>
      <c r="UVL2026" s="381"/>
      <c r="UVM2026" s="381"/>
      <c r="UVN2026" s="381"/>
      <c r="UVO2026" s="381"/>
      <c r="UVP2026" s="381"/>
      <c r="UVQ2026" s="381"/>
      <c r="UVR2026" s="381"/>
      <c r="UVS2026" s="381"/>
      <c r="UVT2026" s="381"/>
      <c r="UVU2026" s="381"/>
      <c r="UVV2026" s="381"/>
      <c r="UVW2026" s="381"/>
      <c r="UVX2026" s="381"/>
      <c r="UVY2026" s="381"/>
      <c r="UVZ2026" s="381"/>
      <c r="UWA2026" s="381"/>
      <c r="UWB2026" s="381"/>
      <c r="UWC2026" s="381"/>
      <c r="UWD2026" s="381"/>
      <c r="UWE2026" s="381"/>
      <c r="UWF2026" s="381"/>
      <c r="UWG2026" s="381"/>
      <c r="UWH2026" s="381"/>
      <c r="UWI2026" s="381"/>
      <c r="UWJ2026" s="381"/>
      <c r="UWK2026" s="381"/>
      <c r="UWL2026" s="381"/>
      <c r="UWM2026" s="381"/>
      <c r="UWN2026" s="381"/>
      <c r="UWO2026" s="381"/>
      <c r="UWP2026" s="381"/>
      <c r="UWQ2026" s="381"/>
      <c r="UWR2026" s="381"/>
      <c r="UWS2026" s="381"/>
      <c r="UWT2026" s="381"/>
      <c r="UWU2026" s="381"/>
      <c r="UWV2026" s="381"/>
      <c r="UWW2026" s="381"/>
      <c r="UWX2026" s="381"/>
      <c r="UWY2026" s="381"/>
      <c r="UWZ2026" s="381"/>
      <c r="UXA2026" s="381"/>
      <c r="UXB2026" s="381"/>
      <c r="UXC2026" s="381"/>
      <c r="UXD2026" s="381"/>
      <c r="UXE2026" s="381"/>
      <c r="UXF2026" s="381"/>
      <c r="UXG2026" s="381"/>
      <c r="UXH2026" s="381"/>
      <c r="UXI2026" s="381"/>
      <c r="UXJ2026" s="381"/>
      <c r="UXK2026" s="381"/>
      <c r="UXL2026" s="381"/>
      <c r="UXM2026" s="381"/>
      <c r="UXN2026" s="381"/>
      <c r="UXO2026" s="381"/>
      <c r="UXP2026" s="381"/>
      <c r="UXQ2026" s="381"/>
      <c r="UXR2026" s="381"/>
      <c r="UXS2026" s="381"/>
      <c r="UXT2026" s="381"/>
      <c r="UXU2026" s="381"/>
      <c r="UXV2026" s="381"/>
      <c r="UXW2026" s="381"/>
      <c r="UXX2026" s="381"/>
      <c r="UXY2026" s="381"/>
      <c r="UXZ2026" s="381"/>
      <c r="UYA2026" s="381"/>
      <c r="UYB2026" s="381"/>
      <c r="UYC2026" s="381"/>
      <c r="UYD2026" s="381"/>
      <c r="UYE2026" s="381"/>
      <c r="UYF2026" s="381"/>
      <c r="UYG2026" s="381"/>
      <c r="UYH2026" s="381"/>
      <c r="UYI2026" s="381"/>
      <c r="UYJ2026" s="381"/>
      <c r="UYK2026" s="381"/>
      <c r="UYL2026" s="381"/>
      <c r="UYM2026" s="381"/>
      <c r="UYN2026" s="381"/>
      <c r="UYO2026" s="381"/>
      <c r="UYP2026" s="381"/>
      <c r="UYQ2026" s="381"/>
      <c r="UYR2026" s="381"/>
      <c r="UYS2026" s="381"/>
      <c r="UYT2026" s="381"/>
      <c r="UYU2026" s="381"/>
      <c r="UYV2026" s="381"/>
      <c r="UYW2026" s="381"/>
      <c r="UYX2026" s="381"/>
      <c r="UYY2026" s="381"/>
      <c r="UYZ2026" s="381"/>
      <c r="UZA2026" s="381"/>
      <c r="UZB2026" s="381"/>
      <c r="UZC2026" s="381"/>
      <c r="UZD2026" s="381"/>
      <c r="UZE2026" s="381"/>
      <c r="UZF2026" s="381"/>
      <c r="UZG2026" s="381"/>
      <c r="UZH2026" s="381"/>
      <c r="UZI2026" s="381"/>
      <c r="UZJ2026" s="381"/>
      <c r="UZK2026" s="381"/>
      <c r="UZL2026" s="381"/>
      <c r="UZM2026" s="381"/>
      <c r="UZN2026" s="381"/>
      <c r="UZO2026" s="381"/>
      <c r="UZP2026" s="381"/>
      <c r="UZQ2026" s="381"/>
      <c r="UZR2026" s="381"/>
      <c r="UZS2026" s="381"/>
      <c r="UZT2026" s="381"/>
      <c r="UZU2026" s="381"/>
      <c r="UZV2026" s="381"/>
      <c r="UZW2026" s="381"/>
      <c r="UZX2026" s="381"/>
      <c r="UZY2026" s="381"/>
      <c r="UZZ2026" s="381"/>
      <c r="VAA2026" s="381"/>
      <c r="VAB2026" s="381"/>
      <c r="VAC2026" s="381"/>
      <c r="VAD2026" s="381"/>
      <c r="VAE2026" s="381"/>
      <c r="VAF2026" s="381"/>
      <c r="VAG2026" s="381"/>
      <c r="VAH2026" s="381"/>
      <c r="VAI2026" s="381"/>
      <c r="VAJ2026" s="381"/>
      <c r="VAK2026" s="381"/>
      <c r="VAL2026" s="381"/>
      <c r="VAM2026" s="381"/>
      <c r="VAN2026" s="381"/>
      <c r="VAO2026" s="381"/>
      <c r="VAP2026" s="381"/>
      <c r="VAQ2026" s="381"/>
      <c r="VAR2026" s="381"/>
      <c r="VAS2026" s="381"/>
      <c r="VAT2026" s="381"/>
      <c r="VAU2026" s="381"/>
      <c r="VAV2026" s="381"/>
      <c r="VAW2026" s="381"/>
      <c r="VAX2026" s="381"/>
      <c r="VAY2026" s="381"/>
      <c r="VAZ2026" s="381"/>
      <c r="VBA2026" s="381"/>
      <c r="VBB2026" s="381"/>
      <c r="VBC2026" s="381"/>
      <c r="VBD2026" s="381"/>
      <c r="VBE2026" s="381"/>
      <c r="VBF2026" s="381"/>
      <c r="VBG2026" s="381"/>
      <c r="VBH2026" s="381"/>
      <c r="VBI2026" s="381"/>
      <c r="VBJ2026" s="381"/>
      <c r="VBK2026" s="381"/>
      <c r="VBL2026" s="381"/>
      <c r="VBM2026" s="381"/>
      <c r="VBN2026" s="381"/>
      <c r="VBO2026" s="381"/>
      <c r="VBP2026" s="381"/>
      <c r="VBQ2026" s="381"/>
      <c r="VBR2026" s="381"/>
      <c r="VBS2026" s="381"/>
      <c r="VBT2026" s="381"/>
      <c r="VBU2026" s="381"/>
      <c r="VBV2026" s="381"/>
      <c r="VBW2026" s="381"/>
      <c r="VBX2026" s="381"/>
      <c r="VBY2026" s="381"/>
      <c r="VBZ2026" s="381"/>
      <c r="VCA2026" s="381"/>
      <c r="VCB2026" s="381"/>
      <c r="VCC2026" s="381"/>
      <c r="VCD2026" s="381"/>
      <c r="VCE2026" s="381"/>
      <c r="VCF2026" s="381"/>
      <c r="VCG2026" s="381"/>
      <c r="VCH2026" s="381"/>
      <c r="VCI2026" s="381"/>
      <c r="VCJ2026" s="381"/>
      <c r="VCK2026" s="381"/>
      <c r="VCL2026" s="381"/>
      <c r="VCM2026" s="381"/>
      <c r="VCN2026" s="381"/>
      <c r="VCO2026" s="381"/>
      <c r="VCP2026" s="381"/>
      <c r="VCQ2026" s="381"/>
      <c r="VCR2026" s="381"/>
      <c r="VCS2026" s="381"/>
      <c r="VCT2026" s="381"/>
      <c r="VCU2026" s="381"/>
      <c r="VCV2026" s="381"/>
      <c r="VCW2026" s="381"/>
      <c r="VCX2026" s="381"/>
      <c r="VCY2026" s="381"/>
      <c r="VCZ2026" s="381"/>
      <c r="VDA2026" s="381"/>
      <c r="VDB2026" s="381"/>
      <c r="VDC2026" s="381"/>
      <c r="VDD2026" s="381"/>
      <c r="VDE2026" s="381"/>
      <c r="VDF2026" s="381"/>
      <c r="VDG2026" s="381"/>
      <c r="VDH2026" s="381"/>
      <c r="VDI2026" s="381"/>
      <c r="VDJ2026" s="381"/>
      <c r="VDK2026" s="381"/>
      <c r="VDL2026" s="381"/>
      <c r="VDM2026" s="381"/>
      <c r="VDN2026" s="381"/>
      <c r="VDO2026" s="381"/>
      <c r="VDP2026" s="381"/>
      <c r="VDQ2026" s="381"/>
      <c r="VDR2026" s="381"/>
      <c r="VDS2026" s="381"/>
      <c r="VDT2026" s="381"/>
      <c r="VDU2026" s="381"/>
      <c r="VDV2026" s="381"/>
      <c r="VDW2026" s="381"/>
      <c r="VDX2026" s="381"/>
      <c r="VDY2026" s="381"/>
      <c r="VDZ2026" s="381"/>
      <c r="VEA2026" s="381"/>
      <c r="VEB2026" s="381"/>
      <c r="VEC2026" s="381"/>
      <c r="VED2026" s="381"/>
      <c r="VEE2026" s="381"/>
      <c r="VEF2026" s="381"/>
      <c r="VEG2026" s="381"/>
      <c r="VEH2026" s="381"/>
      <c r="VEI2026" s="381"/>
      <c r="VEJ2026" s="381"/>
      <c r="VEK2026" s="381"/>
      <c r="VEL2026" s="381"/>
      <c r="VEM2026" s="381"/>
      <c r="VEN2026" s="381"/>
      <c r="VEO2026" s="381"/>
      <c r="VEP2026" s="381"/>
      <c r="VEQ2026" s="381"/>
      <c r="VER2026" s="381"/>
      <c r="VES2026" s="381"/>
      <c r="VET2026" s="381"/>
      <c r="VEU2026" s="381"/>
      <c r="VEV2026" s="381"/>
      <c r="VEW2026" s="381"/>
      <c r="VEX2026" s="381"/>
      <c r="VEY2026" s="381"/>
      <c r="VEZ2026" s="381"/>
      <c r="VFA2026" s="381"/>
      <c r="VFB2026" s="381"/>
      <c r="VFC2026" s="381"/>
      <c r="VFD2026" s="381"/>
      <c r="VFE2026" s="381"/>
      <c r="VFF2026" s="381"/>
      <c r="VFG2026" s="381"/>
      <c r="VFH2026" s="381"/>
      <c r="VFI2026" s="381"/>
      <c r="VFJ2026" s="381"/>
      <c r="VFK2026" s="381"/>
      <c r="VFL2026" s="381"/>
      <c r="VFM2026" s="381"/>
      <c r="VFN2026" s="381"/>
      <c r="VFO2026" s="381"/>
      <c r="VFP2026" s="381"/>
      <c r="VFQ2026" s="381"/>
      <c r="VFR2026" s="381"/>
      <c r="VFS2026" s="381"/>
      <c r="VFT2026" s="381"/>
      <c r="VFU2026" s="381"/>
      <c r="VFV2026" s="381"/>
      <c r="VFW2026" s="381"/>
      <c r="VFX2026" s="381"/>
      <c r="VFY2026" s="381"/>
      <c r="VFZ2026" s="381"/>
      <c r="VGA2026" s="381"/>
      <c r="VGB2026" s="381"/>
      <c r="VGC2026" s="381"/>
      <c r="VGD2026" s="381"/>
      <c r="VGE2026" s="381"/>
      <c r="VGF2026" s="381"/>
      <c r="VGG2026" s="381"/>
      <c r="VGH2026" s="381"/>
      <c r="VGI2026" s="381"/>
      <c r="VGJ2026" s="381"/>
      <c r="VGK2026" s="381"/>
      <c r="VGL2026" s="381"/>
      <c r="VGM2026" s="381"/>
      <c r="VGN2026" s="381"/>
      <c r="VGO2026" s="381"/>
      <c r="VGP2026" s="381"/>
      <c r="VGQ2026" s="381"/>
      <c r="VGR2026" s="381"/>
      <c r="VGS2026" s="381"/>
      <c r="VGT2026" s="381"/>
      <c r="VGU2026" s="381"/>
      <c r="VGV2026" s="381"/>
      <c r="VGW2026" s="381"/>
      <c r="VGX2026" s="381"/>
      <c r="VGY2026" s="381"/>
      <c r="VGZ2026" s="381"/>
      <c r="VHA2026" s="381"/>
      <c r="VHB2026" s="381"/>
      <c r="VHC2026" s="381"/>
      <c r="VHD2026" s="381"/>
      <c r="VHE2026" s="381"/>
      <c r="VHF2026" s="381"/>
      <c r="VHG2026" s="381"/>
      <c r="VHH2026" s="381"/>
      <c r="VHI2026" s="381"/>
      <c r="VHJ2026" s="381"/>
      <c r="VHK2026" s="381"/>
      <c r="VHL2026" s="381"/>
      <c r="VHM2026" s="381"/>
      <c r="VHN2026" s="381"/>
      <c r="VHO2026" s="381"/>
      <c r="VHP2026" s="381"/>
      <c r="VHQ2026" s="381"/>
      <c r="VHR2026" s="381"/>
      <c r="VHS2026" s="381"/>
      <c r="VHT2026" s="381"/>
      <c r="VHU2026" s="381"/>
      <c r="VHV2026" s="381"/>
      <c r="VHW2026" s="381"/>
      <c r="VHX2026" s="381"/>
      <c r="VHY2026" s="381"/>
      <c r="VHZ2026" s="381"/>
      <c r="VIA2026" s="381"/>
      <c r="VIB2026" s="381"/>
      <c r="VIC2026" s="381"/>
      <c r="VID2026" s="381"/>
      <c r="VIE2026" s="381"/>
      <c r="VIF2026" s="381"/>
      <c r="VIG2026" s="381"/>
      <c r="VIH2026" s="381"/>
      <c r="VII2026" s="381"/>
      <c r="VIJ2026" s="381"/>
      <c r="VIK2026" s="381"/>
      <c r="VIL2026" s="381"/>
      <c r="VIM2026" s="381"/>
      <c r="VIN2026" s="381"/>
      <c r="VIO2026" s="381"/>
      <c r="VIP2026" s="381"/>
      <c r="VIQ2026" s="381"/>
      <c r="VIR2026" s="381"/>
      <c r="VIS2026" s="381"/>
      <c r="VIT2026" s="381"/>
      <c r="VIU2026" s="381"/>
      <c r="VIV2026" s="381"/>
      <c r="VIW2026" s="381"/>
      <c r="VIX2026" s="381"/>
      <c r="VIY2026" s="381"/>
      <c r="VIZ2026" s="381"/>
      <c r="VJA2026" s="381"/>
      <c r="VJB2026" s="381"/>
      <c r="VJC2026" s="381"/>
      <c r="VJD2026" s="381"/>
      <c r="VJE2026" s="381"/>
      <c r="VJF2026" s="381"/>
      <c r="VJG2026" s="381"/>
      <c r="VJH2026" s="381"/>
      <c r="VJI2026" s="381"/>
      <c r="VJJ2026" s="381"/>
      <c r="VJK2026" s="381"/>
      <c r="VJL2026" s="381"/>
      <c r="VJM2026" s="381"/>
      <c r="VJN2026" s="381"/>
      <c r="VJO2026" s="381"/>
      <c r="VJP2026" s="381"/>
      <c r="VJQ2026" s="381"/>
      <c r="VJR2026" s="381"/>
      <c r="VJS2026" s="381"/>
      <c r="VJT2026" s="381"/>
      <c r="VJU2026" s="381"/>
      <c r="VJV2026" s="381"/>
      <c r="VJW2026" s="381"/>
      <c r="VJX2026" s="381"/>
      <c r="VJY2026" s="381"/>
      <c r="VJZ2026" s="381"/>
      <c r="VKA2026" s="381"/>
      <c r="VKB2026" s="381"/>
      <c r="VKC2026" s="381"/>
      <c r="VKD2026" s="381"/>
      <c r="VKE2026" s="381"/>
      <c r="VKF2026" s="381"/>
      <c r="VKG2026" s="381"/>
      <c r="VKH2026" s="381"/>
      <c r="VKI2026" s="381"/>
      <c r="VKJ2026" s="381"/>
      <c r="VKK2026" s="381"/>
      <c r="VKL2026" s="381"/>
      <c r="VKM2026" s="381"/>
      <c r="VKN2026" s="381"/>
      <c r="VKO2026" s="381"/>
      <c r="VKP2026" s="381"/>
      <c r="VKQ2026" s="381"/>
      <c r="VKR2026" s="381"/>
      <c r="VKS2026" s="381"/>
      <c r="VKT2026" s="381"/>
      <c r="VKU2026" s="381"/>
      <c r="VKV2026" s="381"/>
      <c r="VKW2026" s="381"/>
      <c r="VKX2026" s="381"/>
      <c r="VKY2026" s="381"/>
      <c r="VKZ2026" s="381"/>
      <c r="VLA2026" s="381"/>
      <c r="VLB2026" s="381"/>
      <c r="VLC2026" s="381"/>
      <c r="VLD2026" s="381"/>
      <c r="VLE2026" s="381"/>
      <c r="VLF2026" s="381"/>
      <c r="VLG2026" s="381"/>
      <c r="VLH2026" s="381"/>
      <c r="VLI2026" s="381"/>
      <c r="VLJ2026" s="381"/>
      <c r="VLK2026" s="381"/>
      <c r="VLL2026" s="381"/>
      <c r="VLM2026" s="381"/>
      <c r="VLN2026" s="381"/>
      <c r="VLO2026" s="381"/>
      <c r="VLP2026" s="381"/>
      <c r="VLQ2026" s="381"/>
      <c r="VLR2026" s="381"/>
      <c r="VLS2026" s="381"/>
      <c r="VLT2026" s="381"/>
      <c r="VLU2026" s="381"/>
      <c r="VLV2026" s="381"/>
      <c r="VLW2026" s="381"/>
      <c r="VLX2026" s="381"/>
      <c r="VLY2026" s="381"/>
      <c r="VLZ2026" s="381"/>
      <c r="VMA2026" s="381"/>
      <c r="VMB2026" s="381"/>
      <c r="VMC2026" s="381"/>
      <c r="VMD2026" s="381"/>
      <c r="VME2026" s="381"/>
      <c r="VMF2026" s="381"/>
      <c r="VMG2026" s="381"/>
      <c r="VMH2026" s="381"/>
      <c r="VMI2026" s="381"/>
      <c r="VMJ2026" s="381"/>
      <c r="VMK2026" s="381"/>
      <c r="VML2026" s="381"/>
      <c r="VMM2026" s="381"/>
      <c r="VMN2026" s="381"/>
      <c r="VMO2026" s="381"/>
      <c r="VMP2026" s="381"/>
      <c r="VMQ2026" s="381"/>
      <c r="VMR2026" s="381"/>
      <c r="VMS2026" s="381"/>
      <c r="VMT2026" s="381"/>
      <c r="VMU2026" s="381"/>
      <c r="VMV2026" s="381"/>
      <c r="VMW2026" s="381"/>
      <c r="VMX2026" s="381"/>
      <c r="VMY2026" s="381"/>
      <c r="VMZ2026" s="381"/>
      <c r="VNA2026" s="381"/>
      <c r="VNB2026" s="381"/>
      <c r="VNC2026" s="381"/>
      <c r="VND2026" s="381"/>
      <c r="VNE2026" s="381"/>
      <c r="VNF2026" s="381"/>
      <c r="VNG2026" s="381"/>
      <c r="VNH2026" s="381"/>
      <c r="VNI2026" s="381"/>
      <c r="VNJ2026" s="381"/>
      <c r="VNK2026" s="381"/>
      <c r="VNL2026" s="381"/>
      <c r="VNM2026" s="381"/>
      <c r="VNN2026" s="381"/>
      <c r="VNO2026" s="381"/>
      <c r="VNP2026" s="381"/>
      <c r="VNQ2026" s="381"/>
      <c r="VNR2026" s="381"/>
      <c r="VNS2026" s="381"/>
      <c r="VNT2026" s="381"/>
      <c r="VNU2026" s="381"/>
      <c r="VNV2026" s="381"/>
      <c r="VNW2026" s="381"/>
      <c r="VNX2026" s="381"/>
      <c r="VNY2026" s="381"/>
      <c r="VNZ2026" s="381"/>
      <c r="VOA2026" s="381"/>
      <c r="VOB2026" s="381"/>
      <c r="VOC2026" s="381"/>
      <c r="VOD2026" s="381"/>
      <c r="VOE2026" s="381"/>
      <c r="VOF2026" s="381"/>
      <c r="VOG2026" s="381"/>
      <c r="VOH2026" s="381"/>
      <c r="VOI2026" s="381"/>
      <c r="VOJ2026" s="381"/>
      <c r="VOK2026" s="381"/>
      <c r="VOL2026" s="381"/>
      <c r="VOM2026" s="381"/>
      <c r="VON2026" s="381"/>
      <c r="VOO2026" s="381"/>
      <c r="VOP2026" s="381"/>
      <c r="VOQ2026" s="381"/>
      <c r="VOR2026" s="381"/>
      <c r="VOS2026" s="381"/>
      <c r="VOT2026" s="381"/>
      <c r="VOU2026" s="381"/>
      <c r="VOV2026" s="381"/>
      <c r="VOW2026" s="381"/>
      <c r="VOX2026" s="381"/>
      <c r="VOY2026" s="381"/>
      <c r="VOZ2026" s="381"/>
      <c r="VPA2026" s="381"/>
      <c r="VPB2026" s="381"/>
      <c r="VPC2026" s="381"/>
      <c r="VPD2026" s="381"/>
      <c r="VPE2026" s="381"/>
      <c r="VPF2026" s="381"/>
      <c r="VPG2026" s="381"/>
      <c r="VPH2026" s="381"/>
      <c r="VPI2026" s="381"/>
      <c r="VPJ2026" s="381"/>
      <c r="VPK2026" s="381"/>
      <c r="VPL2026" s="381"/>
      <c r="VPM2026" s="381"/>
      <c r="VPN2026" s="381"/>
      <c r="VPO2026" s="381"/>
      <c r="VPP2026" s="381"/>
      <c r="VPQ2026" s="381"/>
      <c r="VPR2026" s="381"/>
      <c r="VPS2026" s="381"/>
      <c r="VPT2026" s="381"/>
      <c r="VPU2026" s="381"/>
      <c r="VPV2026" s="381"/>
      <c r="VPW2026" s="381"/>
      <c r="VPX2026" s="381"/>
      <c r="VPY2026" s="381"/>
      <c r="VPZ2026" s="381"/>
      <c r="VQA2026" s="381"/>
      <c r="VQB2026" s="381"/>
      <c r="VQC2026" s="381"/>
      <c r="VQD2026" s="381"/>
      <c r="VQE2026" s="381"/>
      <c r="VQF2026" s="381"/>
      <c r="VQG2026" s="381"/>
      <c r="VQH2026" s="381"/>
      <c r="VQI2026" s="381"/>
      <c r="VQJ2026" s="381"/>
      <c r="VQK2026" s="381"/>
      <c r="VQL2026" s="381"/>
      <c r="VQM2026" s="381"/>
      <c r="VQN2026" s="381"/>
      <c r="VQO2026" s="381"/>
      <c r="VQP2026" s="381"/>
      <c r="VQQ2026" s="381"/>
      <c r="VQR2026" s="381"/>
      <c r="VQS2026" s="381"/>
      <c r="VQT2026" s="381"/>
      <c r="VQU2026" s="381"/>
      <c r="VQV2026" s="381"/>
      <c r="VQW2026" s="381"/>
      <c r="VQX2026" s="381"/>
      <c r="VQY2026" s="381"/>
      <c r="VQZ2026" s="381"/>
      <c r="VRA2026" s="381"/>
      <c r="VRB2026" s="381"/>
      <c r="VRC2026" s="381"/>
      <c r="VRD2026" s="381"/>
      <c r="VRE2026" s="381"/>
      <c r="VRF2026" s="381"/>
      <c r="VRG2026" s="381"/>
      <c r="VRH2026" s="381"/>
      <c r="VRI2026" s="381"/>
      <c r="VRJ2026" s="381"/>
      <c r="VRK2026" s="381"/>
      <c r="VRL2026" s="381"/>
      <c r="VRM2026" s="381"/>
      <c r="VRN2026" s="381"/>
      <c r="VRO2026" s="381"/>
      <c r="VRP2026" s="381"/>
      <c r="VRQ2026" s="381"/>
      <c r="VRR2026" s="381"/>
      <c r="VRS2026" s="381"/>
      <c r="VRT2026" s="381"/>
      <c r="VRU2026" s="381"/>
      <c r="VRV2026" s="381"/>
      <c r="VRW2026" s="381"/>
      <c r="VRX2026" s="381"/>
      <c r="VRY2026" s="381"/>
      <c r="VRZ2026" s="381"/>
      <c r="VSA2026" s="381"/>
      <c r="VSB2026" s="381"/>
      <c r="VSC2026" s="381"/>
      <c r="VSD2026" s="381"/>
      <c r="VSE2026" s="381"/>
      <c r="VSF2026" s="381"/>
      <c r="VSG2026" s="381"/>
      <c r="VSH2026" s="381"/>
      <c r="VSI2026" s="381"/>
      <c r="VSJ2026" s="381"/>
      <c r="VSK2026" s="381"/>
      <c r="VSL2026" s="381"/>
      <c r="VSM2026" s="381"/>
      <c r="VSN2026" s="381"/>
      <c r="VSO2026" s="381"/>
      <c r="VSP2026" s="381"/>
      <c r="VSQ2026" s="381"/>
      <c r="VSR2026" s="381"/>
      <c r="VSS2026" s="381"/>
      <c r="VST2026" s="381"/>
      <c r="VSU2026" s="381"/>
      <c r="VSV2026" s="381"/>
      <c r="VSW2026" s="381"/>
      <c r="VSX2026" s="381"/>
      <c r="VSY2026" s="381"/>
      <c r="VSZ2026" s="381"/>
      <c r="VTA2026" s="381"/>
      <c r="VTB2026" s="381"/>
      <c r="VTC2026" s="381"/>
      <c r="VTD2026" s="381"/>
      <c r="VTE2026" s="381"/>
      <c r="VTF2026" s="381"/>
      <c r="VTG2026" s="381"/>
      <c r="VTH2026" s="381"/>
      <c r="VTI2026" s="381"/>
      <c r="VTJ2026" s="381"/>
      <c r="VTK2026" s="381"/>
      <c r="VTL2026" s="381"/>
      <c r="VTM2026" s="381"/>
      <c r="VTN2026" s="381"/>
      <c r="VTO2026" s="381"/>
      <c r="VTP2026" s="381"/>
      <c r="VTQ2026" s="381"/>
      <c r="VTR2026" s="381"/>
      <c r="VTS2026" s="381"/>
      <c r="VTT2026" s="381"/>
      <c r="VTU2026" s="381"/>
      <c r="VTV2026" s="381"/>
      <c r="VTW2026" s="381"/>
      <c r="VTX2026" s="381"/>
      <c r="VTY2026" s="381"/>
      <c r="VTZ2026" s="381"/>
      <c r="VUA2026" s="381"/>
      <c r="VUB2026" s="381"/>
      <c r="VUC2026" s="381"/>
      <c r="VUD2026" s="381"/>
      <c r="VUE2026" s="381"/>
      <c r="VUF2026" s="381"/>
      <c r="VUG2026" s="381"/>
      <c r="VUH2026" s="381"/>
      <c r="VUI2026" s="381"/>
      <c r="VUJ2026" s="381"/>
      <c r="VUK2026" s="381"/>
      <c r="VUL2026" s="381"/>
      <c r="VUM2026" s="381"/>
      <c r="VUN2026" s="381"/>
      <c r="VUO2026" s="381"/>
      <c r="VUP2026" s="381"/>
      <c r="VUQ2026" s="381"/>
      <c r="VUR2026" s="381"/>
      <c r="VUS2026" s="381"/>
      <c r="VUT2026" s="381"/>
      <c r="VUU2026" s="381"/>
      <c r="VUV2026" s="381"/>
      <c r="VUW2026" s="381"/>
      <c r="VUX2026" s="381"/>
      <c r="VUY2026" s="381"/>
      <c r="VUZ2026" s="381"/>
      <c r="VVA2026" s="381"/>
      <c r="VVB2026" s="381"/>
      <c r="VVC2026" s="381"/>
      <c r="VVD2026" s="381"/>
      <c r="VVE2026" s="381"/>
      <c r="VVF2026" s="381"/>
      <c r="VVG2026" s="381"/>
      <c r="VVH2026" s="381"/>
      <c r="VVI2026" s="381"/>
      <c r="VVJ2026" s="381"/>
      <c r="VVK2026" s="381"/>
      <c r="VVL2026" s="381"/>
      <c r="VVM2026" s="381"/>
      <c r="VVN2026" s="381"/>
      <c r="VVO2026" s="381"/>
      <c r="VVP2026" s="381"/>
      <c r="VVQ2026" s="381"/>
      <c r="VVR2026" s="381"/>
      <c r="VVS2026" s="381"/>
      <c r="VVT2026" s="381"/>
      <c r="VVU2026" s="381"/>
      <c r="VVV2026" s="381"/>
      <c r="VVW2026" s="381"/>
      <c r="VVX2026" s="381"/>
      <c r="VVY2026" s="381"/>
      <c r="VVZ2026" s="381"/>
      <c r="VWA2026" s="381"/>
      <c r="VWB2026" s="381"/>
      <c r="VWC2026" s="381"/>
      <c r="VWD2026" s="381"/>
      <c r="VWE2026" s="381"/>
      <c r="VWF2026" s="381"/>
      <c r="VWG2026" s="381"/>
      <c r="VWH2026" s="381"/>
      <c r="VWI2026" s="381"/>
      <c r="VWJ2026" s="381"/>
      <c r="VWK2026" s="381"/>
      <c r="VWL2026" s="381"/>
      <c r="VWM2026" s="381"/>
      <c r="VWN2026" s="381"/>
      <c r="VWO2026" s="381"/>
      <c r="VWP2026" s="381"/>
      <c r="VWQ2026" s="381"/>
      <c r="VWR2026" s="381"/>
      <c r="VWS2026" s="381"/>
      <c r="VWT2026" s="381"/>
      <c r="VWU2026" s="381"/>
      <c r="VWV2026" s="381"/>
      <c r="VWW2026" s="381"/>
      <c r="VWX2026" s="381"/>
      <c r="VWY2026" s="381"/>
      <c r="VWZ2026" s="381"/>
      <c r="VXA2026" s="381"/>
      <c r="VXB2026" s="381"/>
      <c r="VXC2026" s="381"/>
      <c r="VXD2026" s="381"/>
      <c r="VXE2026" s="381"/>
      <c r="VXF2026" s="381"/>
      <c r="VXG2026" s="381"/>
      <c r="VXH2026" s="381"/>
      <c r="VXI2026" s="381"/>
      <c r="VXJ2026" s="381"/>
      <c r="VXK2026" s="381"/>
      <c r="VXL2026" s="381"/>
      <c r="VXM2026" s="381"/>
      <c r="VXN2026" s="381"/>
      <c r="VXO2026" s="381"/>
      <c r="VXP2026" s="381"/>
      <c r="VXQ2026" s="381"/>
      <c r="VXR2026" s="381"/>
      <c r="VXS2026" s="381"/>
      <c r="VXT2026" s="381"/>
      <c r="VXU2026" s="381"/>
      <c r="VXV2026" s="381"/>
      <c r="VXW2026" s="381"/>
      <c r="VXX2026" s="381"/>
      <c r="VXY2026" s="381"/>
      <c r="VXZ2026" s="381"/>
      <c r="VYA2026" s="381"/>
      <c r="VYB2026" s="381"/>
      <c r="VYC2026" s="381"/>
      <c r="VYD2026" s="381"/>
      <c r="VYE2026" s="381"/>
      <c r="VYF2026" s="381"/>
      <c r="VYG2026" s="381"/>
      <c r="VYH2026" s="381"/>
      <c r="VYI2026" s="381"/>
      <c r="VYJ2026" s="381"/>
      <c r="VYK2026" s="381"/>
      <c r="VYL2026" s="381"/>
      <c r="VYM2026" s="381"/>
      <c r="VYN2026" s="381"/>
      <c r="VYO2026" s="381"/>
      <c r="VYP2026" s="381"/>
      <c r="VYQ2026" s="381"/>
      <c r="VYR2026" s="381"/>
      <c r="VYS2026" s="381"/>
      <c r="VYT2026" s="381"/>
      <c r="VYU2026" s="381"/>
      <c r="VYV2026" s="381"/>
      <c r="VYW2026" s="381"/>
      <c r="VYX2026" s="381"/>
      <c r="VYY2026" s="381"/>
      <c r="VYZ2026" s="381"/>
      <c r="VZA2026" s="381"/>
      <c r="VZB2026" s="381"/>
      <c r="VZC2026" s="381"/>
      <c r="VZD2026" s="381"/>
      <c r="VZE2026" s="381"/>
      <c r="VZF2026" s="381"/>
      <c r="VZG2026" s="381"/>
      <c r="VZH2026" s="381"/>
      <c r="VZI2026" s="381"/>
      <c r="VZJ2026" s="381"/>
      <c r="VZK2026" s="381"/>
      <c r="VZL2026" s="381"/>
      <c r="VZM2026" s="381"/>
      <c r="VZN2026" s="381"/>
      <c r="VZO2026" s="381"/>
      <c r="VZP2026" s="381"/>
      <c r="VZQ2026" s="381"/>
      <c r="VZR2026" s="381"/>
      <c r="VZS2026" s="381"/>
      <c r="VZT2026" s="381"/>
      <c r="VZU2026" s="381"/>
      <c r="VZV2026" s="381"/>
      <c r="VZW2026" s="381"/>
      <c r="VZX2026" s="381"/>
      <c r="VZY2026" s="381"/>
      <c r="VZZ2026" s="381"/>
      <c r="WAA2026" s="381"/>
      <c r="WAB2026" s="381"/>
      <c r="WAC2026" s="381"/>
      <c r="WAD2026" s="381"/>
      <c r="WAE2026" s="381"/>
      <c r="WAF2026" s="381"/>
      <c r="WAG2026" s="381"/>
      <c r="WAH2026" s="381"/>
      <c r="WAI2026" s="381"/>
      <c r="WAJ2026" s="381"/>
      <c r="WAK2026" s="381"/>
      <c r="WAL2026" s="381"/>
      <c r="WAM2026" s="381"/>
      <c r="WAN2026" s="381"/>
      <c r="WAO2026" s="381"/>
      <c r="WAP2026" s="381"/>
      <c r="WAQ2026" s="381"/>
      <c r="WAR2026" s="381"/>
      <c r="WAS2026" s="381"/>
      <c r="WAT2026" s="381"/>
      <c r="WAU2026" s="381"/>
      <c r="WAV2026" s="381"/>
      <c r="WAW2026" s="381"/>
      <c r="WAX2026" s="381"/>
      <c r="WAY2026" s="381"/>
      <c r="WAZ2026" s="381"/>
      <c r="WBA2026" s="381"/>
      <c r="WBB2026" s="381"/>
      <c r="WBC2026" s="381"/>
      <c r="WBD2026" s="381"/>
      <c r="WBE2026" s="381"/>
      <c r="WBF2026" s="381"/>
      <c r="WBG2026" s="381"/>
      <c r="WBH2026" s="381"/>
      <c r="WBI2026" s="381"/>
      <c r="WBJ2026" s="381"/>
      <c r="WBK2026" s="381"/>
      <c r="WBL2026" s="381"/>
      <c r="WBM2026" s="381"/>
      <c r="WBN2026" s="381"/>
      <c r="WBO2026" s="381"/>
      <c r="WBP2026" s="381"/>
      <c r="WBQ2026" s="381"/>
      <c r="WBR2026" s="381"/>
      <c r="WBS2026" s="381"/>
      <c r="WBT2026" s="381"/>
      <c r="WBU2026" s="381"/>
      <c r="WBV2026" s="381"/>
      <c r="WBW2026" s="381"/>
      <c r="WBX2026" s="381"/>
      <c r="WBY2026" s="381"/>
      <c r="WBZ2026" s="381"/>
      <c r="WCA2026" s="381"/>
      <c r="WCB2026" s="381"/>
      <c r="WCC2026" s="381"/>
      <c r="WCD2026" s="381"/>
      <c r="WCE2026" s="381"/>
      <c r="WCF2026" s="381"/>
      <c r="WCG2026" s="381"/>
      <c r="WCH2026" s="381"/>
      <c r="WCI2026" s="381"/>
      <c r="WCJ2026" s="381"/>
      <c r="WCK2026" s="381"/>
      <c r="WCL2026" s="381"/>
      <c r="WCM2026" s="381"/>
      <c r="WCN2026" s="381"/>
      <c r="WCO2026" s="381"/>
      <c r="WCP2026" s="381"/>
      <c r="WCQ2026" s="381"/>
      <c r="WCR2026" s="381"/>
      <c r="WCS2026" s="381"/>
      <c r="WCT2026" s="381"/>
      <c r="WCU2026" s="381"/>
      <c r="WCV2026" s="381"/>
      <c r="WCW2026" s="381"/>
      <c r="WCX2026" s="381"/>
      <c r="WCY2026" s="381"/>
      <c r="WCZ2026" s="381"/>
      <c r="WDA2026" s="381"/>
      <c r="WDB2026" s="381"/>
      <c r="WDC2026" s="381"/>
      <c r="WDD2026" s="381"/>
      <c r="WDE2026" s="381"/>
      <c r="WDF2026" s="381"/>
      <c r="WDG2026" s="381"/>
      <c r="WDH2026" s="381"/>
      <c r="WDI2026" s="381"/>
      <c r="WDJ2026" s="381"/>
      <c r="WDK2026" s="381"/>
      <c r="WDL2026" s="381"/>
      <c r="WDM2026" s="381"/>
      <c r="WDN2026" s="381"/>
      <c r="WDO2026" s="381"/>
      <c r="WDP2026" s="381"/>
      <c r="WDQ2026" s="381"/>
      <c r="WDR2026" s="381"/>
      <c r="WDS2026" s="381"/>
      <c r="WDT2026" s="381"/>
      <c r="WDU2026" s="381"/>
      <c r="WDV2026" s="381"/>
      <c r="WDW2026" s="381"/>
      <c r="WDX2026" s="381"/>
      <c r="WDY2026" s="381"/>
      <c r="WDZ2026" s="381"/>
      <c r="WEA2026" s="381"/>
      <c r="WEB2026" s="381"/>
      <c r="WEC2026" s="381"/>
      <c r="WED2026" s="381"/>
      <c r="WEE2026" s="381"/>
      <c r="WEF2026" s="381"/>
      <c r="WEG2026" s="381"/>
      <c r="WEH2026" s="381"/>
      <c r="WEI2026" s="381"/>
      <c r="WEJ2026" s="381"/>
      <c r="WEK2026" s="381"/>
      <c r="WEL2026" s="381"/>
      <c r="WEM2026" s="381"/>
      <c r="WEN2026" s="381"/>
      <c r="WEO2026" s="381"/>
      <c r="WEP2026" s="381"/>
      <c r="WEQ2026" s="381"/>
      <c r="WER2026" s="381"/>
      <c r="WES2026" s="381"/>
      <c r="WET2026" s="381"/>
      <c r="WEU2026" s="381"/>
      <c r="WEV2026" s="381"/>
      <c r="WEW2026" s="381"/>
      <c r="WEX2026" s="381"/>
      <c r="WEY2026" s="381"/>
      <c r="WEZ2026" s="381"/>
      <c r="WFA2026" s="381"/>
      <c r="WFB2026" s="381"/>
      <c r="WFC2026" s="381"/>
      <c r="WFD2026" s="381"/>
      <c r="WFE2026" s="381"/>
      <c r="WFF2026" s="381"/>
      <c r="WFG2026" s="381"/>
      <c r="WFH2026" s="381"/>
      <c r="WFI2026" s="381"/>
      <c r="WFJ2026" s="381"/>
      <c r="WFK2026" s="381"/>
      <c r="WFL2026" s="381"/>
      <c r="WFM2026" s="381"/>
      <c r="WFN2026" s="381"/>
      <c r="WFO2026" s="381"/>
      <c r="WFP2026" s="381"/>
      <c r="WFQ2026" s="381"/>
      <c r="WFR2026" s="381"/>
      <c r="WFS2026" s="381"/>
      <c r="WFT2026" s="381"/>
      <c r="WFU2026" s="381"/>
      <c r="WFV2026" s="381"/>
      <c r="WFW2026" s="381"/>
      <c r="WFX2026" s="381"/>
      <c r="WFY2026" s="381"/>
      <c r="WFZ2026" s="381"/>
      <c r="WGA2026" s="381"/>
      <c r="WGB2026" s="381"/>
      <c r="WGC2026" s="381"/>
      <c r="WGD2026" s="381"/>
      <c r="WGE2026" s="381"/>
      <c r="WGF2026" s="381"/>
      <c r="WGG2026" s="381"/>
      <c r="WGH2026" s="381"/>
      <c r="WGI2026" s="381"/>
      <c r="WGJ2026" s="381"/>
      <c r="WGK2026" s="381"/>
      <c r="WGL2026" s="381"/>
      <c r="WGM2026" s="381"/>
      <c r="WGN2026" s="381"/>
      <c r="WGO2026" s="381"/>
      <c r="WGP2026" s="381"/>
      <c r="WGQ2026" s="381"/>
      <c r="WGR2026" s="381"/>
      <c r="WGS2026" s="381"/>
      <c r="WGT2026" s="381"/>
      <c r="WGU2026" s="381"/>
      <c r="WGV2026" s="381"/>
      <c r="WGW2026" s="381"/>
      <c r="WGX2026" s="381"/>
      <c r="WGY2026" s="381"/>
      <c r="WGZ2026" s="381"/>
      <c r="WHA2026" s="381"/>
      <c r="WHB2026" s="381"/>
      <c r="WHC2026" s="381"/>
      <c r="WHD2026" s="381"/>
      <c r="WHE2026" s="381"/>
      <c r="WHF2026" s="381"/>
      <c r="WHG2026" s="381"/>
      <c r="WHH2026" s="381"/>
      <c r="WHI2026" s="381"/>
      <c r="WHJ2026" s="381"/>
      <c r="WHK2026" s="381"/>
      <c r="WHL2026" s="381"/>
      <c r="WHM2026" s="381"/>
      <c r="WHN2026" s="381"/>
      <c r="WHO2026" s="381"/>
      <c r="WHP2026" s="381"/>
      <c r="WHQ2026" s="381"/>
      <c r="WHR2026" s="381"/>
      <c r="WHS2026" s="381"/>
      <c r="WHT2026" s="381"/>
      <c r="WHU2026" s="381"/>
      <c r="WHV2026" s="381"/>
      <c r="WHW2026" s="381"/>
      <c r="WHX2026" s="381"/>
      <c r="WHY2026" s="381"/>
      <c r="WHZ2026" s="381"/>
      <c r="WIA2026" s="381"/>
      <c r="WIB2026" s="381"/>
      <c r="WIC2026" s="381"/>
      <c r="WID2026" s="381"/>
      <c r="WIE2026" s="381"/>
      <c r="WIF2026" s="381"/>
      <c r="WIG2026" s="381"/>
      <c r="WIH2026" s="381"/>
      <c r="WII2026" s="381"/>
      <c r="WIJ2026" s="381"/>
      <c r="WIK2026" s="381"/>
      <c r="WIL2026" s="381"/>
      <c r="WIM2026" s="381"/>
      <c r="WIN2026" s="381"/>
      <c r="WIO2026" s="381"/>
      <c r="WIP2026" s="381"/>
      <c r="WIQ2026" s="381"/>
      <c r="WIR2026" s="381"/>
      <c r="WIS2026" s="381"/>
      <c r="WIT2026" s="381"/>
      <c r="WIU2026" s="381"/>
      <c r="WIV2026" s="381"/>
      <c r="WIW2026" s="381"/>
      <c r="WIX2026" s="381"/>
      <c r="WIY2026" s="381"/>
      <c r="WIZ2026" s="381"/>
      <c r="WJA2026" s="381"/>
      <c r="WJB2026" s="381"/>
      <c r="WJC2026" s="381"/>
      <c r="WJD2026" s="381"/>
      <c r="WJE2026" s="381"/>
      <c r="WJF2026" s="381"/>
      <c r="WJG2026" s="381"/>
      <c r="WJH2026" s="381"/>
      <c r="WJI2026" s="381"/>
      <c r="WJJ2026" s="381"/>
      <c r="WJK2026" s="381"/>
      <c r="WJL2026" s="381"/>
      <c r="WJM2026" s="381"/>
      <c r="WJN2026" s="381"/>
      <c r="WJO2026" s="381"/>
      <c r="WJP2026" s="381"/>
      <c r="WJQ2026" s="381"/>
      <c r="WJR2026" s="381"/>
      <c r="WJS2026" s="381"/>
      <c r="WJT2026" s="381"/>
      <c r="WJU2026" s="381"/>
      <c r="WJV2026" s="381"/>
      <c r="WJW2026" s="381"/>
      <c r="WJX2026" s="381"/>
      <c r="WJY2026" s="381"/>
      <c r="WJZ2026" s="381"/>
      <c r="WKA2026" s="381"/>
      <c r="WKB2026" s="381"/>
      <c r="WKC2026" s="381"/>
      <c r="WKD2026" s="381"/>
      <c r="WKE2026" s="381"/>
      <c r="WKF2026" s="381"/>
      <c r="WKG2026" s="381"/>
      <c r="WKH2026" s="381"/>
      <c r="WKI2026" s="381"/>
      <c r="WKJ2026" s="381"/>
      <c r="WKK2026" s="381"/>
      <c r="WKL2026" s="381"/>
      <c r="WKM2026" s="381"/>
      <c r="WKN2026" s="381"/>
      <c r="WKO2026" s="381"/>
      <c r="WKP2026" s="381"/>
      <c r="WKQ2026" s="381"/>
      <c r="WKR2026" s="381"/>
      <c r="WKS2026" s="381"/>
      <c r="WKT2026" s="381"/>
      <c r="WKU2026" s="381"/>
      <c r="WKV2026" s="381"/>
      <c r="WKW2026" s="381"/>
      <c r="WKX2026" s="381"/>
      <c r="WKY2026" s="381"/>
      <c r="WKZ2026" s="381"/>
      <c r="WLA2026" s="381"/>
      <c r="WLB2026" s="381"/>
      <c r="WLC2026" s="381"/>
      <c r="WLD2026" s="381"/>
      <c r="WLE2026" s="381"/>
      <c r="WLF2026" s="381"/>
      <c r="WLG2026" s="381"/>
      <c r="WLH2026" s="381"/>
      <c r="WLI2026" s="381"/>
      <c r="WLJ2026" s="381"/>
      <c r="WLK2026" s="381"/>
      <c r="WLL2026" s="381"/>
      <c r="WLM2026" s="381"/>
      <c r="WLN2026" s="381"/>
      <c r="WLO2026" s="381"/>
      <c r="WLP2026" s="381"/>
      <c r="WLQ2026" s="381"/>
      <c r="WLR2026" s="381"/>
      <c r="WLS2026" s="381"/>
      <c r="WLT2026" s="381"/>
      <c r="WLU2026" s="381"/>
      <c r="WLV2026" s="381"/>
      <c r="WLW2026" s="381"/>
      <c r="WLX2026" s="381"/>
      <c r="WLY2026" s="381"/>
      <c r="WLZ2026" s="381"/>
      <c r="WMA2026" s="381"/>
      <c r="WMB2026" s="381"/>
      <c r="WMC2026" s="381"/>
      <c r="WMD2026" s="381"/>
      <c r="WME2026" s="381"/>
      <c r="WMF2026" s="381"/>
      <c r="WMG2026" s="381"/>
      <c r="WMH2026" s="381"/>
      <c r="WMI2026" s="381"/>
      <c r="WMJ2026" s="381"/>
      <c r="WMK2026" s="381"/>
      <c r="WML2026" s="381"/>
      <c r="WMM2026" s="381"/>
      <c r="WMN2026" s="381"/>
      <c r="WMO2026" s="381"/>
      <c r="WMP2026" s="381"/>
      <c r="WMQ2026" s="381"/>
      <c r="WMR2026" s="381"/>
      <c r="WMS2026" s="381"/>
      <c r="WMT2026" s="381"/>
      <c r="WMU2026" s="381"/>
      <c r="WMV2026" s="381"/>
      <c r="WMW2026" s="381"/>
      <c r="WMX2026" s="381"/>
      <c r="WMY2026" s="381"/>
      <c r="WMZ2026" s="381"/>
      <c r="WNA2026" s="381"/>
      <c r="WNB2026" s="381"/>
      <c r="WNC2026" s="381"/>
      <c r="WND2026" s="381"/>
      <c r="WNE2026" s="381"/>
      <c r="WNF2026" s="381"/>
      <c r="WNG2026" s="381"/>
      <c r="WNH2026" s="381"/>
      <c r="WNI2026" s="381"/>
      <c r="WNJ2026" s="381"/>
      <c r="WNK2026" s="381"/>
      <c r="WNL2026" s="381"/>
      <c r="WNM2026" s="381"/>
      <c r="WNN2026" s="381"/>
      <c r="WNO2026" s="381"/>
      <c r="WNP2026" s="381"/>
      <c r="WNQ2026" s="381"/>
      <c r="WNR2026" s="381"/>
      <c r="WNS2026" s="381"/>
      <c r="WNT2026" s="381"/>
      <c r="WNU2026" s="381"/>
      <c r="WNV2026" s="381"/>
      <c r="WNW2026" s="381"/>
      <c r="WNX2026" s="381"/>
      <c r="WNY2026" s="381"/>
      <c r="WNZ2026" s="381"/>
      <c r="WOA2026" s="381"/>
      <c r="WOB2026" s="381"/>
      <c r="WOC2026" s="381"/>
      <c r="WOD2026" s="381"/>
      <c r="WOE2026" s="381"/>
      <c r="WOF2026" s="381"/>
      <c r="WOG2026" s="381"/>
      <c r="WOH2026" s="381"/>
      <c r="WOI2026" s="381"/>
      <c r="WOJ2026" s="381"/>
      <c r="WOK2026" s="381"/>
      <c r="WOL2026" s="381"/>
      <c r="WOM2026" s="381"/>
      <c r="WON2026" s="381"/>
      <c r="WOO2026" s="381"/>
      <c r="WOP2026" s="381"/>
      <c r="WOQ2026" s="381"/>
      <c r="WOR2026" s="381"/>
      <c r="WOS2026" s="381"/>
      <c r="WOT2026" s="381"/>
      <c r="WOU2026" s="381"/>
      <c r="WOV2026" s="381"/>
      <c r="WOW2026" s="381"/>
      <c r="WOX2026" s="381"/>
      <c r="WOY2026" s="381"/>
      <c r="WOZ2026" s="381"/>
      <c r="WPA2026" s="381"/>
      <c r="WPB2026" s="381"/>
      <c r="WPC2026" s="381"/>
      <c r="WPD2026" s="381"/>
      <c r="WPE2026" s="381"/>
      <c r="WPF2026" s="381"/>
      <c r="WPG2026" s="381"/>
      <c r="WPH2026" s="381"/>
      <c r="WPI2026" s="381"/>
      <c r="WPJ2026" s="381"/>
      <c r="WPK2026" s="381"/>
      <c r="WPL2026" s="381"/>
      <c r="WPM2026" s="381"/>
      <c r="WPN2026" s="381"/>
      <c r="WPO2026" s="381"/>
      <c r="WPP2026" s="381"/>
      <c r="WPQ2026" s="381"/>
      <c r="WPR2026" s="381"/>
      <c r="WPS2026" s="381"/>
      <c r="WPT2026" s="381"/>
      <c r="WPU2026" s="381"/>
      <c r="WPV2026" s="381"/>
      <c r="WPW2026" s="381"/>
      <c r="WPX2026" s="381"/>
      <c r="WPY2026" s="381"/>
      <c r="WPZ2026" s="381"/>
      <c r="WQA2026" s="381"/>
      <c r="WQB2026" s="381"/>
      <c r="WQC2026" s="381"/>
      <c r="WQD2026" s="381"/>
      <c r="WQE2026" s="381"/>
      <c r="WQF2026" s="381"/>
      <c r="WQG2026" s="381"/>
      <c r="WQH2026" s="381"/>
      <c r="WQI2026" s="381"/>
      <c r="WQJ2026" s="381"/>
      <c r="WQK2026" s="381"/>
      <c r="WQL2026" s="381"/>
      <c r="WQM2026" s="381"/>
      <c r="WQN2026" s="381"/>
      <c r="WQO2026" s="381"/>
      <c r="WQP2026" s="381"/>
      <c r="WQQ2026" s="381"/>
      <c r="WQR2026" s="381"/>
      <c r="WQS2026" s="381"/>
      <c r="WQT2026" s="381"/>
      <c r="WQU2026" s="381"/>
      <c r="WQV2026" s="381"/>
      <c r="WQW2026" s="381"/>
      <c r="WQX2026" s="381"/>
      <c r="WQY2026" s="381"/>
      <c r="WQZ2026" s="381"/>
      <c r="WRA2026" s="381"/>
      <c r="WRB2026" s="381"/>
      <c r="WRC2026" s="381"/>
      <c r="WRD2026" s="381"/>
      <c r="WRE2026" s="381"/>
      <c r="WRF2026" s="381"/>
      <c r="WRG2026" s="381"/>
      <c r="WRH2026" s="381"/>
      <c r="WRI2026" s="381"/>
      <c r="WRJ2026" s="381"/>
      <c r="WRK2026" s="381"/>
      <c r="WRL2026" s="381"/>
      <c r="WRM2026" s="381"/>
      <c r="WRN2026" s="381"/>
      <c r="WRO2026" s="381"/>
      <c r="WRP2026" s="381"/>
      <c r="WRQ2026" s="381"/>
      <c r="WRR2026" s="381"/>
      <c r="WRS2026" s="381"/>
      <c r="WRT2026" s="381"/>
      <c r="WRU2026" s="381"/>
      <c r="WRV2026" s="381"/>
      <c r="WRW2026" s="381"/>
      <c r="WRX2026" s="381"/>
      <c r="WRY2026" s="381"/>
      <c r="WRZ2026" s="381"/>
      <c r="WSA2026" s="381"/>
      <c r="WSB2026" s="381"/>
      <c r="WSC2026" s="381"/>
      <c r="WSD2026" s="381"/>
      <c r="WSE2026" s="381"/>
      <c r="WSF2026" s="381"/>
      <c r="WSG2026" s="381"/>
      <c r="WSH2026" s="381"/>
      <c r="WSI2026" s="381"/>
      <c r="WSJ2026" s="381"/>
      <c r="WSK2026" s="381"/>
      <c r="WSL2026" s="381"/>
      <c r="WSM2026" s="381"/>
      <c r="WSN2026" s="381"/>
      <c r="WSO2026" s="381"/>
      <c r="WSP2026" s="381"/>
      <c r="WSQ2026" s="381"/>
      <c r="WSR2026" s="381"/>
      <c r="WSS2026" s="381"/>
      <c r="WST2026" s="381"/>
      <c r="WSU2026" s="381"/>
      <c r="WSV2026" s="381"/>
      <c r="WSW2026" s="381"/>
      <c r="WSX2026" s="381"/>
      <c r="WSY2026" s="381"/>
      <c r="WSZ2026" s="381"/>
      <c r="WTA2026" s="381"/>
      <c r="WTB2026" s="381"/>
      <c r="WTC2026" s="381"/>
      <c r="WTD2026" s="381"/>
      <c r="WTE2026" s="381"/>
      <c r="WTF2026" s="381"/>
      <c r="WTG2026" s="381"/>
      <c r="WTH2026" s="381"/>
      <c r="WTI2026" s="381"/>
      <c r="WTJ2026" s="381"/>
      <c r="WTK2026" s="381"/>
      <c r="WTL2026" s="381"/>
      <c r="WTM2026" s="381"/>
      <c r="WTN2026" s="381"/>
      <c r="WTO2026" s="381"/>
      <c r="WTP2026" s="381"/>
      <c r="WTQ2026" s="381"/>
      <c r="WTR2026" s="381"/>
      <c r="WTS2026" s="381"/>
      <c r="WTT2026" s="381"/>
      <c r="WTU2026" s="381"/>
      <c r="WTV2026" s="381"/>
      <c r="WTW2026" s="381"/>
      <c r="WTX2026" s="381"/>
      <c r="WTY2026" s="381"/>
      <c r="WTZ2026" s="381"/>
      <c r="WUA2026" s="381"/>
      <c r="WUB2026" s="381"/>
      <c r="WUC2026" s="381"/>
      <c r="WUD2026" s="381"/>
      <c r="WUE2026" s="381"/>
      <c r="WUF2026" s="381"/>
      <c r="WUG2026" s="381"/>
      <c r="WUH2026" s="381"/>
      <c r="WUI2026" s="381"/>
      <c r="WUJ2026" s="381"/>
      <c r="WUK2026" s="381"/>
      <c r="WUL2026" s="381"/>
      <c r="WUM2026" s="381"/>
      <c r="WUN2026" s="381"/>
      <c r="WUO2026" s="381"/>
      <c r="WUP2026" s="381"/>
      <c r="WUQ2026" s="381"/>
      <c r="WUR2026" s="381"/>
      <c r="WUS2026" s="381"/>
      <c r="WUT2026" s="381"/>
      <c r="WUU2026" s="381"/>
      <c r="WUV2026" s="381"/>
      <c r="WUW2026" s="381"/>
      <c r="WUX2026" s="381"/>
      <c r="WUY2026" s="381"/>
      <c r="WUZ2026" s="381"/>
      <c r="WVA2026" s="381"/>
      <c r="WVB2026" s="381"/>
      <c r="WVC2026" s="381"/>
      <c r="WVD2026" s="381"/>
      <c r="WVE2026" s="381"/>
      <c r="WVF2026" s="381"/>
      <c r="WVG2026" s="381"/>
      <c r="WVH2026" s="381"/>
      <c r="WVI2026" s="381"/>
      <c r="WVJ2026" s="381"/>
      <c r="WVK2026" s="381"/>
      <c r="WVL2026" s="381"/>
      <c r="WVM2026" s="381"/>
      <c r="WVN2026" s="381"/>
      <c r="WVO2026" s="381"/>
      <c r="WVP2026" s="381"/>
      <c r="WVQ2026" s="381"/>
      <c r="WVR2026" s="381"/>
      <c r="WVS2026" s="381"/>
      <c r="WVT2026" s="381"/>
      <c r="WVU2026" s="381"/>
      <c r="WVV2026" s="381"/>
      <c r="WVW2026" s="381"/>
      <c r="WVX2026" s="381"/>
      <c r="WVY2026" s="381"/>
      <c r="WVZ2026" s="381"/>
      <c r="WWA2026" s="381"/>
      <c r="WWB2026" s="381"/>
      <c r="WWC2026" s="381"/>
      <c r="WWD2026" s="381"/>
      <c r="WWE2026" s="381"/>
      <c r="WWF2026" s="381"/>
      <c r="WWG2026" s="381"/>
      <c r="WWH2026" s="381"/>
      <c r="WWI2026" s="381"/>
      <c r="WWJ2026" s="381"/>
      <c r="WWK2026" s="381"/>
      <c r="WWL2026" s="381"/>
      <c r="WWM2026" s="381"/>
      <c r="WWN2026" s="381"/>
      <c r="WWO2026" s="381"/>
      <c r="WWP2026" s="381"/>
      <c r="WWQ2026" s="381"/>
      <c r="WWR2026" s="381"/>
      <c r="WWS2026" s="381"/>
      <c r="WWT2026" s="381"/>
      <c r="WWU2026" s="381"/>
      <c r="WWV2026" s="381"/>
      <c r="WWW2026" s="381"/>
      <c r="WWX2026" s="381"/>
      <c r="WWY2026" s="381"/>
      <c r="WWZ2026" s="381"/>
      <c r="WXA2026" s="381"/>
      <c r="WXB2026" s="381"/>
      <c r="WXC2026" s="381"/>
      <c r="WXD2026" s="381"/>
      <c r="WXE2026" s="381"/>
      <c r="WXF2026" s="381"/>
      <c r="WXG2026" s="381"/>
      <c r="WXH2026" s="381"/>
      <c r="WXI2026" s="381"/>
      <c r="WXJ2026" s="381"/>
      <c r="WXK2026" s="381"/>
      <c r="WXL2026" s="381"/>
      <c r="WXM2026" s="381"/>
      <c r="WXN2026" s="381"/>
      <c r="WXO2026" s="381"/>
      <c r="WXP2026" s="381"/>
      <c r="WXQ2026" s="381"/>
      <c r="WXR2026" s="381"/>
      <c r="WXS2026" s="381"/>
      <c r="WXT2026" s="381"/>
      <c r="WXU2026" s="381"/>
      <c r="WXV2026" s="381"/>
      <c r="WXW2026" s="381"/>
      <c r="WXX2026" s="381"/>
      <c r="WXY2026" s="381"/>
      <c r="WXZ2026" s="381"/>
      <c r="WYA2026" s="381"/>
      <c r="WYB2026" s="381"/>
      <c r="WYC2026" s="381"/>
      <c r="WYD2026" s="381"/>
      <c r="WYE2026" s="381"/>
      <c r="WYF2026" s="381"/>
      <c r="WYG2026" s="381"/>
      <c r="WYH2026" s="381"/>
      <c r="WYI2026" s="381"/>
      <c r="WYJ2026" s="381"/>
      <c r="WYK2026" s="381"/>
      <c r="WYL2026" s="381"/>
      <c r="WYM2026" s="381"/>
      <c r="WYN2026" s="381"/>
      <c r="WYO2026" s="381"/>
      <c r="WYP2026" s="381"/>
      <c r="WYQ2026" s="381"/>
      <c r="WYR2026" s="381"/>
      <c r="WYS2026" s="381"/>
      <c r="WYT2026" s="381"/>
      <c r="WYU2026" s="381"/>
      <c r="WYV2026" s="381"/>
      <c r="WYW2026" s="381"/>
      <c r="WYX2026" s="381"/>
      <c r="WYY2026" s="381"/>
      <c r="WYZ2026" s="381"/>
      <c r="WZA2026" s="381"/>
      <c r="WZB2026" s="381"/>
      <c r="WZC2026" s="381"/>
      <c r="WZD2026" s="381"/>
      <c r="WZE2026" s="381"/>
      <c r="WZF2026" s="381"/>
      <c r="WZG2026" s="381"/>
      <c r="WZH2026" s="381"/>
      <c r="WZI2026" s="381"/>
      <c r="WZJ2026" s="381"/>
      <c r="WZK2026" s="381"/>
      <c r="WZL2026" s="381"/>
      <c r="WZM2026" s="381"/>
      <c r="WZN2026" s="381"/>
      <c r="WZO2026" s="381"/>
      <c r="WZP2026" s="381"/>
      <c r="WZQ2026" s="381"/>
      <c r="WZR2026" s="381"/>
      <c r="WZS2026" s="381"/>
      <c r="WZT2026" s="381"/>
      <c r="WZU2026" s="381"/>
      <c r="WZV2026" s="381"/>
      <c r="WZW2026" s="381"/>
      <c r="WZX2026" s="381"/>
      <c r="WZY2026" s="381"/>
      <c r="WZZ2026" s="381"/>
      <c r="XAA2026" s="381"/>
      <c r="XAB2026" s="381"/>
      <c r="XAC2026" s="381"/>
      <c r="XAD2026" s="381"/>
      <c r="XAE2026" s="381"/>
      <c r="XAF2026" s="381"/>
      <c r="XAG2026" s="381"/>
      <c r="XAH2026" s="381"/>
      <c r="XAI2026" s="381"/>
      <c r="XAJ2026" s="381"/>
      <c r="XAK2026" s="381"/>
      <c r="XAL2026" s="381"/>
      <c r="XAM2026" s="381"/>
      <c r="XAN2026" s="381"/>
      <c r="XAO2026" s="381"/>
      <c r="XAP2026" s="381"/>
      <c r="XAQ2026" s="381"/>
      <c r="XAR2026" s="381"/>
      <c r="XAS2026" s="381"/>
      <c r="XAT2026" s="381"/>
      <c r="XAU2026" s="381"/>
      <c r="XAV2026" s="381"/>
      <c r="XAW2026" s="381"/>
      <c r="XAX2026" s="381"/>
      <c r="XAY2026" s="381"/>
      <c r="XAZ2026" s="381"/>
      <c r="XBA2026" s="381"/>
      <c r="XBB2026" s="381"/>
      <c r="XBC2026" s="381"/>
      <c r="XBD2026" s="381"/>
      <c r="XBE2026" s="381"/>
      <c r="XBF2026" s="381"/>
      <c r="XBG2026" s="381"/>
      <c r="XBH2026" s="381"/>
      <c r="XBI2026" s="381"/>
      <c r="XBJ2026" s="381"/>
      <c r="XBK2026" s="381"/>
      <c r="XBL2026" s="381"/>
      <c r="XBM2026" s="381"/>
      <c r="XBN2026" s="381"/>
      <c r="XBO2026" s="381"/>
      <c r="XBP2026" s="381"/>
      <c r="XBQ2026" s="381"/>
      <c r="XBR2026" s="381"/>
      <c r="XBS2026" s="381"/>
      <c r="XBT2026" s="381"/>
      <c r="XBU2026" s="381"/>
      <c r="XBV2026" s="381"/>
      <c r="XBW2026" s="381"/>
      <c r="XBX2026" s="381"/>
      <c r="XBY2026" s="381"/>
      <c r="XBZ2026" s="381"/>
      <c r="XCA2026" s="381"/>
      <c r="XCB2026" s="381"/>
      <c r="XCC2026" s="381"/>
      <c r="XCD2026" s="381"/>
      <c r="XCE2026" s="381"/>
      <c r="XCF2026" s="381"/>
      <c r="XCG2026" s="381"/>
      <c r="XCH2026" s="381"/>
      <c r="XCI2026" s="381"/>
      <c r="XCJ2026" s="381"/>
      <c r="XCK2026" s="381"/>
      <c r="XCL2026" s="381"/>
      <c r="XCM2026" s="381"/>
      <c r="XCN2026" s="381"/>
      <c r="XCO2026" s="381"/>
      <c r="XCP2026" s="381"/>
      <c r="XCQ2026" s="381"/>
      <c r="XCR2026" s="381"/>
      <c r="XCS2026" s="381"/>
      <c r="XCT2026" s="381"/>
      <c r="XCU2026" s="381"/>
      <c r="XCV2026" s="381"/>
      <c r="XCW2026" s="381"/>
      <c r="XCX2026" s="381"/>
      <c r="XCY2026" s="381"/>
      <c r="XCZ2026" s="381"/>
      <c r="XDA2026" s="381"/>
      <c r="XDB2026" s="381"/>
      <c r="XDC2026" s="381"/>
      <c r="XDD2026" s="381"/>
      <c r="XDE2026" s="381"/>
      <c r="XDF2026" s="381"/>
      <c r="XDG2026" s="381"/>
      <c r="XDH2026" s="381"/>
      <c r="XDI2026" s="381"/>
      <c r="XDJ2026" s="381"/>
      <c r="XDK2026" s="381"/>
      <c r="XDL2026" s="381"/>
      <c r="XDM2026" s="381"/>
      <c r="XDN2026" s="381"/>
      <c r="XDO2026" s="381"/>
      <c r="XDP2026" s="381"/>
      <c r="XDQ2026" s="381"/>
      <c r="XDR2026" s="381"/>
      <c r="XDS2026" s="381"/>
      <c r="XDT2026" s="381"/>
      <c r="XDU2026" s="381"/>
      <c r="XDV2026" s="381"/>
      <c r="XDW2026" s="381"/>
      <c r="XDX2026" s="381"/>
      <c r="XDY2026" s="381"/>
      <c r="XDZ2026" s="381"/>
      <c r="XEA2026" s="381"/>
      <c r="XEB2026" s="381"/>
      <c r="XEC2026" s="381"/>
      <c r="XED2026" s="381"/>
      <c r="XEE2026" s="381"/>
      <c r="XEF2026" s="381"/>
      <c r="XEG2026" s="381"/>
      <c r="XEH2026" s="381"/>
      <c r="XEI2026" s="381"/>
      <c r="XEJ2026" s="381"/>
      <c r="XEK2026" s="381"/>
      <c r="XEL2026" s="381"/>
      <c r="XEM2026" s="381"/>
      <c r="XEN2026" s="381"/>
      <c r="XEO2026" s="381"/>
      <c r="XEP2026" s="381"/>
      <c r="XEQ2026" s="381"/>
      <c r="XER2026" s="381"/>
      <c r="XES2026" s="381"/>
      <c r="XET2026" s="381"/>
      <c r="XEU2026" s="381"/>
      <c r="XEV2026" s="381"/>
      <c r="XEW2026" s="381"/>
      <c r="XEX2026" s="381"/>
      <c r="XEY2026" s="381"/>
    </row>
    <row r="2027" spans="1:16379" ht="60.75" hidden="1" customHeight="1">
      <c r="A2027" s="493">
        <f t="shared" si="258"/>
        <v>494</v>
      </c>
      <c r="B2027" s="711" t="s">
        <v>3882</v>
      </c>
      <c r="C2027" s="543" t="s">
        <v>272</v>
      </c>
      <c r="D2027" s="543">
        <v>37709</v>
      </c>
      <c r="E2027" s="388">
        <v>6900</v>
      </c>
      <c r="F2027" s="542" t="s">
        <v>234</v>
      </c>
      <c r="G2027" s="388">
        <v>1386</v>
      </c>
      <c r="H2027" s="446">
        <v>10</v>
      </c>
      <c r="I2027" s="446">
        <v>2</v>
      </c>
      <c r="J2027" s="446">
        <v>117</v>
      </c>
      <c r="K2027" s="397" t="s">
        <v>3706</v>
      </c>
      <c r="L2027" s="529">
        <f t="shared" si="260"/>
        <v>2300936</v>
      </c>
      <c r="M2027" s="519">
        <v>2242568</v>
      </c>
      <c r="N2027" s="388"/>
      <c r="O2027" s="473">
        <v>28368</v>
      </c>
      <c r="P2027" s="455"/>
      <c r="Q2027" s="388">
        <v>30000</v>
      </c>
      <c r="R2027" s="446">
        <f t="shared" si="261"/>
        <v>325.00985507246378</v>
      </c>
      <c r="S2027" s="388">
        <f t="shared" si="256"/>
        <v>0</v>
      </c>
      <c r="T2027" s="390"/>
      <c r="U2027" s="388"/>
      <c r="V2027" s="390"/>
      <c r="W2027" s="398"/>
      <c r="X2027" s="398"/>
    </row>
    <row r="2028" spans="1:16379" ht="37.5" hidden="1">
      <c r="A2028" s="493">
        <f t="shared" si="258"/>
        <v>495</v>
      </c>
      <c r="B2028" s="414" t="s">
        <v>4211</v>
      </c>
      <c r="C2028" s="504" t="s">
        <v>272</v>
      </c>
      <c r="D2028" s="500">
        <v>11991</v>
      </c>
      <c r="E2028" s="391">
        <v>3300</v>
      </c>
      <c r="F2028" s="391" t="s">
        <v>317</v>
      </c>
      <c r="G2028" s="391">
        <v>1005</v>
      </c>
      <c r="H2028" s="528">
        <v>4</v>
      </c>
      <c r="I2028" s="528">
        <v>4</v>
      </c>
      <c r="J2028" s="528">
        <v>28</v>
      </c>
      <c r="K2028" s="500" t="s">
        <v>38</v>
      </c>
      <c r="L2028" s="529">
        <f t="shared" si="260"/>
        <v>5356810</v>
      </c>
      <c r="M2028" s="529">
        <v>5341600</v>
      </c>
      <c r="N2028" s="391"/>
      <c r="O2028" s="388">
        <v>15210</v>
      </c>
      <c r="P2028" s="388"/>
      <c r="Q2028" s="388"/>
      <c r="R2028" s="487">
        <f t="shared" si="261"/>
        <v>1618.6666666666667</v>
      </c>
      <c r="S2028" s="388">
        <f t="shared" si="256"/>
        <v>0</v>
      </c>
      <c r="T2028" s="390"/>
      <c r="U2028" s="388"/>
      <c r="V2028" s="390"/>
      <c r="W2028" s="398"/>
      <c r="X2028" s="398"/>
    </row>
    <row r="2029" spans="1:16379" ht="37.5" hidden="1">
      <c r="A2029" s="493">
        <f t="shared" si="258"/>
        <v>496</v>
      </c>
      <c r="B2029" s="414" t="s">
        <v>4212</v>
      </c>
      <c r="C2029" s="504" t="s">
        <v>272</v>
      </c>
      <c r="D2029" s="397">
        <v>22640</v>
      </c>
      <c r="E2029" s="388">
        <v>6000</v>
      </c>
      <c r="F2029" s="391" t="s">
        <v>317</v>
      </c>
      <c r="G2029" s="388">
        <v>2264</v>
      </c>
      <c r="H2029" s="446">
        <v>4</v>
      </c>
      <c r="I2029" s="446">
        <v>8</v>
      </c>
      <c r="J2029" s="446">
        <v>74</v>
      </c>
      <c r="K2029" s="500" t="s">
        <v>38</v>
      </c>
      <c r="L2029" s="529">
        <f t="shared" si="260"/>
        <v>9624192</v>
      </c>
      <c r="M2029" s="529">
        <v>9590400</v>
      </c>
      <c r="O2029" s="388">
        <v>33792</v>
      </c>
      <c r="P2029" s="388"/>
      <c r="Q2029" s="388"/>
      <c r="R2029" s="487">
        <f t="shared" si="261"/>
        <v>1598.4</v>
      </c>
      <c r="S2029" s="388">
        <f t="shared" si="256"/>
        <v>0</v>
      </c>
      <c r="T2029" s="390"/>
      <c r="U2029" s="388"/>
      <c r="V2029" s="390"/>
      <c r="W2029" s="398"/>
      <c r="X2029" s="398"/>
    </row>
    <row r="2030" spans="1:16379" ht="37.5" hidden="1">
      <c r="A2030" s="493">
        <f t="shared" si="258"/>
        <v>497</v>
      </c>
      <c r="B2030" s="414" t="s">
        <v>594</v>
      </c>
      <c r="C2030" s="504" t="s">
        <v>272</v>
      </c>
      <c r="D2030" s="814">
        <v>10969</v>
      </c>
      <c r="E2030" s="391">
        <v>3100</v>
      </c>
      <c r="F2030" s="391" t="s">
        <v>223</v>
      </c>
      <c r="G2030" s="558">
        <v>975</v>
      </c>
      <c r="H2030" s="561">
        <v>4</v>
      </c>
      <c r="I2030" s="555">
        <v>3</v>
      </c>
      <c r="J2030" s="555">
        <v>19</v>
      </c>
      <c r="K2030" s="500" t="s">
        <v>38</v>
      </c>
      <c r="L2030" s="529">
        <f t="shared" si="260"/>
        <v>5214793.66</v>
      </c>
      <c r="M2030" s="529">
        <v>5200000</v>
      </c>
      <c r="O2030" s="388">
        <v>14793.66</v>
      </c>
      <c r="P2030" s="388"/>
      <c r="Q2030" s="388"/>
      <c r="R2030" s="487">
        <f t="shared" si="261"/>
        <v>1677.4193548387098</v>
      </c>
      <c r="S2030" s="388">
        <f t="shared" si="256"/>
        <v>1.4915713109076023E-10</v>
      </c>
      <c r="T2030" s="390"/>
      <c r="U2030" s="388"/>
      <c r="V2030" s="390"/>
      <c r="W2030" s="398"/>
      <c r="X2030" s="398"/>
    </row>
    <row r="2031" spans="1:16379" ht="33" hidden="1" customHeight="1">
      <c r="A2031" s="493">
        <f t="shared" si="258"/>
        <v>498</v>
      </c>
      <c r="B2031" s="1127" t="s">
        <v>2502</v>
      </c>
      <c r="C2031" s="458" t="s">
        <v>272</v>
      </c>
      <c r="D2031" s="815">
        <v>10252</v>
      </c>
      <c r="E2031" s="391">
        <v>2600</v>
      </c>
      <c r="F2031" s="391" t="s">
        <v>223</v>
      </c>
      <c r="G2031" s="391">
        <v>997</v>
      </c>
      <c r="H2031" s="528">
        <v>4</v>
      </c>
      <c r="I2031" s="528">
        <v>3</v>
      </c>
      <c r="J2031" s="528">
        <v>18</v>
      </c>
      <c r="K2031" s="500" t="s">
        <v>38</v>
      </c>
      <c r="L2031" s="1128">
        <f>M2031+N2031+O2031+P2031+Q2031+M2032+N2032+O2032+Q2032</f>
        <v>7121192.29</v>
      </c>
      <c r="M2031" s="529">
        <v>4300000</v>
      </c>
      <c r="N2031" s="391"/>
      <c r="O2031" s="388">
        <v>14478.29</v>
      </c>
      <c r="P2031" s="388"/>
      <c r="Q2031" s="388"/>
      <c r="R2031" s="487">
        <f t="shared" si="261"/>
        <v>1653.8461538461538</v>
      </c>
      <c r="S2031" s="388">
        <f t="shared" si="256"/>
        <v>2806714</v>
      </c>
      <c r="T2031" s="390"/>
      <c r="U2031" s="388"/>
      <c r="V2031" s="390"/>
      <c r="W2031" s="398"/>
      <c r="X2031" s="398"/>
    </row>
    <row r="2032" spans="1:16379" ht="39.75" hidden="1" customHeight="1">
      <c r="A2032" s="493"/>
      <c r="B2032" s="1127"/>
      <c r="C2032" s="458"/>
      <c r="D2032" s="815"/>
      <c r="E2032" s="391"/>
      <c r="F2032" s="391"/>
      <c r="G2032" s="391"/>
      <c r="H2032" s="528"/>
      <c r="I2032" s="528"/>
      <c r="J2032" s="528"/>
      <c r="K2032" s="500" t="s">
        <v>33</v>
      </c>
      <c r="L2032" s="1128"/>
      <c r="M2032" s="529">
        <v>2791600</v>
      </c>
      <c r="N2032" s="391"/>
      <c r="O2032" s="388">
        <v>15114</v>
      </c>
      <c r="P2032" s="388"/>
      <c r="Q2032" s="388"/>
      <c r="R2032" s="382">
        <f>M2032/G2031</f>
        <v>2800</v>
      </c>
      <c r="S2032" s="388">
        <f t="shared" si="256"/>
        <v>-2806714</v>
      </c>
      <c r="T2032" s="390"/>
      <c r="U2032" s="388"/>
      <c r="V2032" s="390"/>
      <c r="W2032" s="398"/>
      <c r="X2032" s="398"/>
    </row>
    <row r="2033" spans="1:24" ht="51" hidden="1" customHeight="1">
      <c r="A2033" s="493">
        <f>A2031+1</f>
        <v>499</v>
      </c>
      <c r="B2033" s="414" t="s">
        <v>4195</v>
      </c>
      <c r="C2033" s="458" t="s">
        <v>272</v>
      </c>
      <c r="D2033" s="500">
        <v>14364</v>
      </c>
      <c r="E2033" s="391">
        <v>4500</v>
      </c>
      <c r="F2033" s="391" t="s">
        <v>223</v>
      </c>
      <c r="G2033" s="391">
        <v>1992</v>
      </c>
      <c r="H2033" s="528">
        <v>4</v>
      </c>
      <c r="I2033" s="528">
        <v>4</v>
      </c>
      <c r="J2033" s="528">
        <v>23</v>
      </c>
      <c r="K2033" s="500" t="s">
        <v>38</v>
      </c>
      <c r="L2033" s="1128">
        <f>M2033+N2033+O2033+P2033+Q2033+M2034+N2034+O2034+Q2034</f>
        <v>13684384.27</v>
      </c>
      <c r="M2033" s="529">
        <v>7452000</v>
      </c>
      <c r="N2033" s="391"/>
      <c r="O2033" s="388">
        <v>16007</v>
      </c>
      <c r="P2033" s="388"/>
      <c r="Q2033" s="388"/>
      <c r="R2033" s="487">
        <f>M2033/E2033</f>
        <v>1656</v>
      </c>
      <c r="S2033" s="388">
        <f t="shared" si="256"/>
        <v>6216377.2699999996</v>
      </c>
      <c r="T2033" s="390"/>
      <c r="U2033" s="388"/>
      <c r="V2033" s="390"/>
      <c r="W2033" s="398"/>
      <c r="X2033" s="398"/>
    </row>
    <row r="2034" spans="1:24" ht="41.25" hidden="1" customHeight="1">
      <c r="A2034" s="493"/>
      <c r="B2034" s="414"/>
      <c r="C2034" s="500"/>
      <c r="D2034" s="500"/>
      <c r="E2034" s="391"/>
      <c r="F2034" s="391"/>
      <c r="G2034" s="391"/>
      <c r="H2034" s="528"/>
      <c r="I2034" s="528"/>
      <c r="J2034" s="528"/>
      <c r="K2034" s="500" t="s">
        <v>33</v>
      </c>
      <c r="L2034" s="1128"/>
      <c r="M2034" s="529">
        <v>6200000</v>
      </c>
      <c r="N2034" s="391"/>
      <c r="O2034" s="388">
        <v>16377.27</v>
      </c>
      <c r="P2034" s="388"/>
      <c r="Q2034" s="388"/>
      <c r="R2034" s="382" t="e">
        <f>M2034/G2034</f>
        <v>#DIV/0!</v>
      </c>
      <c r="S2034" s="388">
        <f t="shared" si="256"/>
        <v>-6216377.2699999996</v>
      </c>
      <c r="T2034" s="390"/>
      <c r="U2034" s="388"/>
      <c r="V2034" s="390"/>
      <c r="W2034" s="398"/>
      <c r="X2034" s="398"/>
    </row>
    <row r="2035" spans="1:24" ht="27" hidden="1" customHeight="1">
      <c r="A2035" s="493">
        <f>A2033+1</f>
        <v>500</v>
      </c>
      <c r="B2035" s="404" t="s">
        <v>4196</v>
      </c>
      <c r="C2035" s="458" t="s">
        <v>272</v>
      </c>
      <c r="D2035" s="500">
        <v>14710</v>
      </c>
      <c r="E2035" s="391">
        <v>3750</v>
      </c>
      <c r="F2035" s="391" t="s">
        <v>223</v>
      </c>
      <c r="G2035" s="391">
        <v>1700</v>
      </c>
      <c r="H2035" s="528">
        <v>4</v>
      </c>
      <c r="I2035" s="528">
        <v>5</v>
      </c>
      <c r="J2035" s="528">
        <v>42</v>
      </c>
      <c r="K2035" s="500" t="s">
        <v>38</v>
      </c>
      <c r="L2035" s="1128">
        <f>M2035+N2035+O2035+P2035+Q2035+M2036+N2036+O2036+Q2036</f>
        <v>12165846</v>
      </c>
      <c r="M2035" s="529">
        <v>6123600</v>
      </c>
      <c r="N2035" s="391">
        <v>26123</v>
      </c>
      <c r="O2035" s="388"/>
      <c r="P2035" s="388"/>
      <c r="Q2035" s="388"/>
      <c r="R2035" s="487">
        <f>M2035/E2035</f>
        <v>1632.96</v>
      </c>
      <c r="S2035" s="388">
        <f t="shared" si="256"/>
        <v>6016123</v>
      </c>
      <c r="T2035" s="390"/>
      <c r="U2035" s="388"/>
      <c r="V2035" s="390"/>
      <c r="W2035" s="398"/>
      <c r="X2035" s="398"/>
    </row>
    <row r="2036" spans="1:24" ht="47.25" hidden="1" customHeight="1">
      <c r="A2036" s="493"/>
      <c r="B2036" s="404"/>
      <c r="C2036" s="500">
        <v>3402</v>
      </c>
      <c r="D2036" s="500" t="s">
        <v>223</v>
      </c>
      <c r="E2036" s="391"/>
      <c r="F2036" s="391"/>
      <c r="G2036" s="391"/>
      <c r="H2036" s="528">
        <v>42</v>
      </c>
      <c r="I2036" s="528"/>
      <c r="J2036" s="528"/>
      <c r="K2036" s="500" t="s">
        <v>33</v>
      </c>
      <c r="L2036" s="1128"/>
      <c r="M2036" s="529">
        <v>6000000</v>
      </c>
      <c r="N2036" s="391"/>
      <c r="O2036" s="388">
        <v>16123</v>
      </c>
      <c r="P2036" s="388"/>
      <c r="Q2036" s="388"/>
      <c r="R2036" s="382">
        <f>M2036/G2035</f>
        <v>3529.4117647058824</v>
      </c>
      <c r="S2036" s="388">
        <f t="shared" si="256"/>
        <v>-6016123</v>
      </c>
      <c r="T2036" s="390"/>
      <c r="U2036" s="388"/>
      <c r="V2036" s="390"/>
      <c r="W2036" s="398"/>
      <c r="X2036" s="398"/>
    </row>
    <row r="2037" spans="1:24" ht="27" hidden="1" customHeight="1">
      <c r="A2037" s="493">
        <f>A2035+1</f>
        <v>501</v>
      </c>
      <c r="B2037" s="404" t="s">
        <v>4197</v>
      </c>
      <c r="C2037" s="458" t="s">
        <v>272</v>
      </c>
      <c r="D2037" s="500">
        <v>20261</v>
      </c>
      <c r="E2037" s="391">
        <v>4000</v>
      </c>
      <c r="F2037" s="391" t="s">
        <v>223</v>
      </c>
      <c r="G2037" s="391">
        <v>1784</v>
      </c>
      <c r="H2037" s="528">
        <v>5</v>
      </c>
      <c r="I2037" s="528">
        <v>5</v>
      </c>
      <c r="J2037" s="528">
        <v>48</v>
      </c>
      <c r="K2037" s="500" t="s">
        <v>38</v>
      </c>
      <c r="L2037" s="1128">
        <f>M2037+N2037+O2037+P2037+Q2037+M2038+N2038+O2038+Q2038</f>
        <v>11604847.859999999</v>
      </c>
      <c r="M2037" s="529">
        <v>6573600</v>
      </c>
      <c r="N2037" s="391"/>
      <c r="O2037" s="388">
        <v>18484</v>
      </c>
      <c r="P2037" s="388"/>
      <c r="Q2037" s="388"/>
      <c r="R2037" s="487">
        <f>M2037/E2037</f>
        <v>1643.4</v>
      </c>
      <c r="S2037" s="388">
        <f t="shared" si="256"/>
        <v>5012763.8599999994</v>
      </c>
      <c r="T2037" s="390"/>
      <c r="U2037" s="388"/>
      <c r="V2037" s="390"/>
      <c r="W2037" s="398"/>
      <c r="X2037" s="398"/>
    </row>
    <row r="2038" spans="1:24" ht="44.25" hidden="1" customHeight="1">
      <c r="A2038" s="493"/>
      <c r="B2038" s="404"/>
      <c r="C2038" s="500"/>
      <c r="D2038" s="500"/>
      <c r="E2038" s="391"/>
      <c r="F2038" s="391"/>
      <c r="G2038" s="391"/>
      <c r="H2038" s="528"/>
      <c r="I2038" s="528"/>
      <c r="J2038" s="528"/>
      <c r="K2038" s="500" t="s">
        <v>33</v>
      </c>
      <c r="L2038" s="1128"/>
      <c r="M2038" s="529">
        <v>4995200</v>
      </c>
      <c r="N2038" s="391"/>
      <c r="O2038" s="388">
        <v>17563.86</v>
      </c>
      <c r="P2038" s="388"/>
      <c r="Q2038" s="388"/>
      <c r="R2038" s="382">
        <f>M2038/G2037</f>
        <v>2800</v>
      </c>
      <c r="S2038" s="388">
        <f t="shared" si="256"/>
        <v>-5012763.8600000003</v>
      </c>
      <c r="T2038" s="390"/>
      <c r="U2038" s="388"/>
      <c r="V2038" s="390"/>
      <c r="W2038" s="398"/>
      <c r="X2038" s="398"/>
    </row>
    <row r="2039" spans="1:24" ht="34.5" hidden="1" customHeight="1">
      <c r="A2039" s="493">
        <f>A2037+1</f>
        <v>502</v>
      </c>
      <c r="B2039" s="404" t="s">
        <v>4198</v>
      </c>
      <c r="C2039" s="458" t="s">
        <v>272</v>
      </c>
      <c r="D2039" s="500">
        <v>18918</v>
      </c>
      <c r="E2039" s="391">
        <v>4000</v>
      </c>
      <c r="F2039" s="391" t="s">
        <v>223</v>
      </c>
      <c r="G2039" s="391">
        <v>1814</v>
      </c>
      <c r="H2039" s="528">
        <v>5</v>
      </c>
      <c r="I2039" s="528">
        <v>5</v>
      </c>
      <c r="J2039" s="528">
        <v>50</v>
      </c>
      <c r="K2039" s="500" t="s">
        <v>38</v>
      </c>
      <c r="L2039" s="1128">
        <f>M2039+N2039+O2039+P2039+Q2039+M2040+N2040+O2040+Q2040</f>
        <v>12709468</v>
      </c>
      <c r="M2039" s="529">
        <v>6663600</v>
      </c>
      <c r="N2039" s="391">
        <v>28484</v>
      </c>
      <c r="O2039" s="388"/>
      <c r="P2039" s="388"/>
      <c r="Q2039" s="388"/>
      <c r="R2039" s="487">
        <f>M2039/E2039</f>
        <v>1665.9</v>
      </c>
      <c r="S2039" s="388">
        <f t="shared" si="256"/>
        <v>6017384</v>
      </c>
      <c r="T2039" s="390"/>
      <c r="U2039" s="388"/>
      <c r="V2039" s="390"/>
      <c r="W2039" s="398"/>
      <c r="X2039" s="398"/>
    </row>
    <row r="2040" spans="1:24" ht="54.75" hidden="1" customHeight="1">
      <c r="A2040" s="493"/>
      <c r="B2040" s="404"/>
      <c r="C2040" s="500"/>
      <c r="D2040" s="500"/>
      <c r="E2040" s="391"/>
      <c r="F2040" s="391"/>
      <c r="G2040" s="391"/>
      <c r="H2040" s="528"/>
      <c r="I2040" s="528"/>
      <c r="J2040" s="528"/>
      <c r="K2040" s="500" t="s">
        <v>33</v>
      </c>
      <c r="L2040" s="1128"/>
      <c r="M2040" s="529">
        <v>6000000</v>
      </c>
      <c r="N2040" s="391"/>
      <c r="O2040" s="388">
        <v>17384</v>
      </c>
      <c r="P2040" s="388"/>
      <c r="Q2040" s="388"/>
      <c r="R2040" s="382">
        <f>M2040/G2039</f>
        <v>3307.6074972436604</v>
      </c>
      <c r="S2040" s="388">
        <f t="shared" si="256"/>
        <v>-6017384</v>
      </c>
      <c r="T2040" s="390"/>
      <c r="U2040" s="388"/>
      <c r="V2040" s="390"/>
      <c r="W2040" s="398"/>
      <c r="X2040" s="398"/>
    </row>
    <row r="2041" spans="1:24" ht="37.5" hidden="1">
      <c r="A2041" s="493">
        <f>A2039+1</f>
        <v>503</v>
      </c>
      <c r="B2041" s="404" t="s">
        <v>4199</v>
      </c>
      <c r="C2041" s="458" t="s">
        <v>272</v>
      </c>
      <c r="D2041" s="500">
        <v>38846</v>
      </c>
      <c r="E2041" s="391">
        <v>8200</v>
      </c>
      <c r="F2041" s="391" t="s">
        <v>223</v>
      </c>
      <c r="G2041" s="391">
        <v>3741.3</v>
      </c>
      <c r="H2041" s="528">
        <v>4</v>
      </c>
      <c r="I2041" s="528">
        <v>11</v>
      </c>
      <c r="J2041" s="528">
        <v>127</v>
      </c>
      <c r="K2041" s="500" t="s">
        <v>38</v>
      </c>
      <c r="L2041" s="529">
        <f>M2041+N2041+O2041+P2041+Q2041</f>
        <v>13859023</v>
      </c>
      <c r="M2041" s="529">
        <v>13834800</v>
      </c>
      <c r="N2041" s="391"/>
      <c r="O2041" s="388">
        <v>24223</v>
      </c>
      <c r="P2041" s="388"/>
      <c r="Q2041" s="388"/>
      <c r="R2041" s="487">
        <f>M2041/E2041</f>
        <v>1687.1707317073171</v>
      </c>
      <c r="S2041" s="388">
        <f t="shared" si="256"/>
        <v>0</v>
      </c>
      <c r="T2041" s="390"/>
      <c r="U2041" s="388"/>
      <c r="V2041" s="390"/>
      <c r="W2041" s="398"/>
      <c r="X2041" s="398"/>
    </row>
    <row r="2042" spans="1:24" ht="31.5" hidden="1" customHeight="1">
      <c r="A2042" s="493">
        <v>504</v>
      </c>
      <c r="B2042" s="414" t="s">
        <v>4200</v>
      </c>
      <c r="C2042" s="537" t="s">
        <v>416</v>
      </c>
      <c r="D2042" s="397">
        <v>10068</v>
      </c>
      <c r="E2042" s="388">
        <v>4000</v>
      </c>
      <c r="F2042" s="391" t="s">
        <v>223</v>
      </c>
      <c r="G2042" s="388">
        <v>874</v>
      </c>
      <c r="H2042" s="446">
        <v>5</v>
      </c>
      <c r="I2042" s="446">
        <v>3</v>
      </c>
      <c r="J2042" s="446">
        <v>56</v>
      </c>
      <c r="K2042" s="500" t="s">
        <v>38</v>
      </c>
      <c r="L2042" s="1128">
        <f>M2042+N2042+O2042+P2042+Q2042+M2043+N2043+O2043+Q2043</f>
        <v>8977841</v>
      </c>
      <c r="M2042" s="529">
        <v>6500000</v>
      </c>
      <c r="N2042" s="391"/>
      <c r="O2042" s="388">
        <v>15633</v>
      </c>
      <c r="P2042" s="388"/>
      <c r="Q2042" s="388"/>
      <c r="R2042" s="487">
        <f>M2042/E2042</f>
        <v>1625</v>
      </c>
      <c r="S2042" s="388">
        <f t="shared" si="256"/>
        <v>2462208</v>
      </c>
      <c r="T2042" s="390"/>
      <c r="U2042" s="388"/>
      <c r="V2042" s="390"/>
      <c r="W2042" s="398"/>
      <c r="X2042" s="398"/>
    </row>
    <row r="2043" spans="1:24" ht="33.75" hidden="1" customHeight="1">
      <c r="A2043" s="493"/>
      <c r="B2043" s="414"/>
      <c r="C2043" s="397"/>
      <c r="D2043" s="500"/>
      <c r="E2043" s="388"/>
      <c r="F2043" s="388"/>
      <c r="G2043" s="388"/>
      <c r="H2043" s="446"/>
      <c r="I2043" s="446"/>
      <c r="J2043" s="446"/>
      <c r="K2043" s="500" t="s">
        <v>33</v>
      </c>
      <c r="L2043" s="1128"/>
      <c r="M2043" s="529">
        <v>2447200</v>
      </c>
      <c r="N2043" s="391"/>
      <c r="O2043" s="388">
        <v>15008</v>
      </c>
      <c r="P2043" s="388"/>
      <c r="Q2043" s="388"/>
      <c r="R2043" s="382">
        <f>M2043/G2042</f>
        <v>2800</v>
      </c>
      <c r="S2043" s="388">
        <f t="shared" si="256"/>
        <v>-2462208</v>
      </c>
      <c r="T2043" s="390"/>
      <c r="U2043" s="388"/>
      <c r="V2043" s="390"/>
      <c r="W2043" s="398"/>
      <c r="X2043" s="398"/>
    </row>
    <row r="2044" spans="1:24" ht="37.5" hidden="1">
      <c r="A2044" s="493">
        <f>A2042+1</f>
        <v>505</v>
      </c>
      <c r="B2044" s="414" t="s">
        <v>4201</v>
      </c>
      <c r="C2044" s="537" t="s">
        <v>416</v>
      </c>
      <c r="D2044" s="500">
        <v>9902</v>
      </c>
      <c r="E2044" s="391">
        <v>3950</v>
      </c>
      <c r="F2044" s="391" t="s">
        <v>317</v>
      </c>
      <c r="G2044" s="391">
        <v>1146</v>
      </c>
      <c r="H2044" s="528">
        <v>4</v>
      </c>
      <c r="I2044" s="528">
        <v>4</v>
      </c>
      <c r="J2044" s="528">
        <v>62</v>
      </c>
      <c r="K2044" s="500" t="s">
        <v>38</v>
      </c>
      <c r="L2044" s="529">
        <f>M2044+N2044+O2044+P2044+Q2044</f>
        <v>6514509</v>
      </c>
      <c r="M2044" s="529">
        <v>6500000</v>
      </c>
      <c r="N2044" s="391"/>
      <c r="O2044" s="388">
        <v>14509</v>
      </c>
      <c r="P2044" s="388"/>
      <c r="Q2044" s="388"/>
      <c r="R2044" s="487">
        <f>M2044/E2044</f>
        <v>1645.5696202531647</v>
      </c>
      <c r="S2044" s="388">
        <f t="shared" ref="S2044:S2105" si="262">L2044-M2044-N2044-O2044-P2044-Q2044</f>
        <v>0</v>
      </c>
      <c r="T2044" s="390"/>
      <c r="U2044" s="388"/>
      <c r="V2044" s="390"/>
      <c r="W2044" s="398"/>
      <c r="X2044" s="398"/>
    </row>
    <row r="2045" spans="1:24" ht="34.5" hidden="1" customHeight="1">
      <c r="A2045" s="493">
        <v>506</v>
      </c>
      <c r="B2045" s="403" t="s">
        <v>4311</v>
      </c>
      <c r="C2045" s="455" t="s">
        <v>272</v>
      </c>
      <c r="D2045" s="487">
        <v>15720</v>
      </c>
      <c r="E2045" s="391">
        <v>4144</v>
      </c>
      <c r="F2045" s="539" t="s">
        <v>234</v>
      </c>
      <c r="G2045" s="391">
        <v>561</v>
      </c>
      <c r="H2045" s="528">
        <v>12</v>
      </c>
      <c r="I2045" s="528">
        <v>1</v>
      </c>
      <c r="J2045" s="528">
        <v>56</v>
      </c>
      <c r="K2045" s="389" t="s">
        <v>33</v>
      </c>
      <c r="L2045" s="1121">
        <f>M2045+N2045+O2045+Q2045+M2046+N2046+O2046+Q2046+M2047+N2047+O2047+Q2047</f>
        <v>14540066</v>
      </c>
      <c r="M2045" s="816">
        <v>1400000</v>
      </c>
      <c r="N2045" s="388"/>
      <c r="O2045" s="388">
        <v>10148</v>
      </c>
      <c r="P2045" s="391"/>
      <c r="Q2045" s="391"/>
      <c r="R2045" s="487">
        <f>M2045/E2045</f>
        <v>337.83783783783781</v>
      </c>
      <c r="S2045" s="388">
        <f t="shared" si="262"/>
        <v>13129918</v>
      </c>
      <c r="T2045" s="390"/>
      <c r="U2045" s="388"/>
      <c r="V2045" s="390"/>
      <c r="W2045" s="398"/>
      <c r="X2045" s="398"/>
    </row>
    <row r="2046" spans="1:24" ht="39.75" hidden="1" customHeight="1">
      <c r="A2046" s="493"/>
      <c r="B2046" s="403"/>
      <c r="C2046" s="455"/>
      <c r="D2046" s="487"/>
      <c r="E2046" s="391"/>
      <c r="F2046" s="539"/>
      <c r="G2046" s="391"/>
      <c r="H2046" s="528">
        <v>12</v>
      </c>
      <c r="I2046" s="528">
        <v>1</v>
      </c>
      <c r="J2046" s="528">
        <v>56</v>
      </c>
      <c r="K2046" s="389" t="s">
        <v>3610</v>
      </c>
      <c r="L2046" s="1121"/>
      <c r="M2046" s="816">
        <v>600000</v>
      </c>
      <c r="N2046" s="388"/>
      <c r="O2046" s="388">
        <v>6886</v>
      </c>
      <c r="P2046" s="391"/>
      <c r="Q2046" s="391"/>
      <c r="R2046" s="382">
        <f>M2046/G2045</f>
        <v>1069.5187165775401</v>
      </c>
      <c r="S2046" s="388">
        <f t="shared" si="262"/>
        <v>-606886</v>
      </c>
      <c r="T2046" s="390"/>
      <c r="U2046" s="388"/>
      <c r="V2046" s="390"/>
      <c r="W2046" s="398"/>
      <c r="X2046" s="398"/>
    </row>
    <row r="2047" spans="1:24" ht="39.75" hidden="1" customHeight="1">
      <c r="A2047" s="493"/>
      <c r="B2047" s="403"/>
      <c r="C2047" s="455"/>
      <c r="D2047" s="487"/>
      <c r="E2047" s="391"/>
      <c r="F2047" s="539"/>
      <c r="G2047" s="391"/>
      <c r="H2047" s="528">
        <v>12</v>
      </c>
      <c r="I2047" s="528">
        <v>1</v>
      </c>
      <c r="J2047" s="528">
        <v>56</v>
      </c>
      <c r="K2047" s="389" t="s">
        <v>227</v>
      </c>
      <c r="L2047" s="1121"/>
      <c r="M2047" s="388">
        <v>12500000</v>
      </c>
      <c r="N2047" s="388">
        <v>23032</v>
      </c>
      <c r="O2047" s="388"/>
      <c r="P2047" s="391"/>
      <c r="Q2047" s="391"/>
      <c r="S2047" s="388"/>
      <c r="T2047" s="390"/>
      <c r="U2047" s="388"/>
      <c r="V2047" s="390"/>
      <c r="W2047" s="398"/>
      <c r="X2047" s="398"/>
    </row>
    <row r="2048" spans="1:24" ht="42" hidden="1" customHeight="1">
      <c r="A2048" s="493">
        <f>A2045+1</f>
        <v>507</v>
      </c>
      <c r="B2048" s="414" t="s">
        <v>4202</v>
      </c>
      <c r="C2048" s="537" t="s">
        <v>416</v>
      </c>
      <c r="D2048" s="814">
        <v>4977</v>
      </c>
      <c r="E2048" s="391">
        <v>2750</v>
      </c>
      <c r="F2048" s="391" t="s">
        <v>369</v>
      </c>
      <c r="G2048" s="391">
        <v>439</v>
      </c>
      <c r="H2048" s="446">
        <v>5</v>
      </c>
      <c r="I2048" s="446">
        <v>1</v>
      </c>
      <c r="J2048" s="528">
        <v>26</v>
      </c>
      <c r="K2048" s="500" t="s">
        <v>38</v>
      </c>
      <c r="L2048" s="1128">
        <f>M2048+N2048+O2048+P2048+Q2048+M2049+N2049+O2049+Q2049</f>
        <v>5912390.9999999991</v>
      </c>
      <c r="M2048" s="529">
        <v>4655339.9999999991</v>
      </c>
      <c r="N2048" s="391"/>
      <c r="O2048" s="388">
        <v>14210</v>
      </c>
      <c r="P2048" s="388"/>
      <c r="Q2048" s="388"/>
      <c r="R2048" s="487">
        <f>M2048/E2048</f>
        <v>1692.8509090909088</v>
      </c>
      <c r="S2048" s="388">
        <f t="shared" si="262"/>
        <v>1242841</v>
      </c>
      <c r="T2048" s="390"/>
      <c r="U2048" s="388"/>
      <c r="V2048" s="390"/>
      <c r="W2048" s="398"/>
      <c r="X2048" s="398"/>
    </row>
    <row r="2049" spans="1:24" ht="32.25" hidden="1" customHeight="1">
      <c r="A2049" s="493"/>
      <c r="B2049" s="414"/>
      <c r="C2049" s="537"/>
      <c r="D2049" s="814"/>
      <c r="E2049" s="391"/>
      <c r="F2049" s="391"/>
      <c r="G2049" s="391"/>
      <c r="H2049" s="446"/>
      <c r="I2049" s="446"/>
      <c r="J2049" s="528"/>
      <c r="K2049" s="500" t="s">
        <v>33</v>
      </c>
      <c r="L2049" s="1128"/>
      <c r="M2049" s="529">
        <v>1229200</v>
      </c>
      <c r="N2049" s="391"/>
      <c r="O2049" s="388">
        <v>13641</v>
      </c>
      <c r="P2049" s="388"/>
      <c r="Q2049" s="388"/>
      <c r="R2049" s="382">
        <f>M2049/G2048</f>
        <v>2800</v>
      </c>
      <c r="S2049" s="388">
        <f t="shared" si="262"/>
        <v>-1242841</v>
      </c>
      <c r="T2049" s="390"/>
      <c r="U2049" s="388"/>
      <c r="V2049" s="390"/>
      <c r="W2049" s="398"/>
      <c r="X2049" s="398"/>
    </row>
    <row r="2050" spans="1:24" ht="37.5" hidden="1">
      <c r="A2050" s="493">
        <f>A2048+1</f>
        <v>508</v>
      </c>
      <c r="B2050" s="404" t="s">
        <v>4203</v>
      </c>
      <c r="C2050" s="537" t="s">
        <v>416</v>
      </c>
      <c r="D2050" s="500">
        <v>11719</v>
      </c>
      <c r="E2050" s="391">
        <v>2700</v>
      </c>
      <c r="F2050" s="391" t="s">
        <v>223</v>
      </c>
      <c r="G2050" s="391">
        <v>1286</v>
      </c>
      <c r="H2050" s="528">
        <v>3</v>
      </c>
      <c r="I2050" s="528">
        <v>4</v>
      </c>
      <c r="J2050" s="528">
        <v>30</v>
      </c>
      <c r="K2050" s="500" t="s">
        <v>38</v>
      </c>
      <c r="L2050" s="1128">
        <f>M2050+N2050+O2050+P2050+Q2050+M2051+N2051+O2051+Q2051</f>
        <v>8740892</v>
      </c>
      <c r="M2050" s="529">
        <v>4510800</v>
      </c>
      <c r="N2050" s="391"/>
      <c r="O2050" s="388">
        <v>15046</v>
      </c>
      <c r="P2050" s="388"/>
      <c r="Q2050" s="388"/>
      <c r="R2050" s="487">
        <f>M2050/E2050</f>
        <v>1670.6666666666667</v>
      </c>
      <c r="S2050" s="388">
        <f t="shared" si="262"/>
        <v>4215046</v>
      </c>
      <c r="T2050" s="390"/>
      <c r="U2050" s="388"/>
      <c r="V2050" s="390"/>
      <c r="W2050" s="398"/>
      <c r="X2050" s="398"/>
    </row>
    <row r="2051" spans="1:24" ht="43.5" hidden="1" customHeight="1">
      <c r="A2051" s="493"/>
      <c r="B2051" s="404"/>
      <c r="C2051" s="537"/>
      <c r="D2051" s="500"/>
      <c r="E2051" s="391"/>
      <c r="F2051" s="391"/>
      <c r="G2051" s="391"/>
      <c r="H2051" s="528"/>
      <c r="I2051" s="528"/>
      <c r="J2051" s="528"/>
      <c r="K2051" s="500" t="s">
        <v>33</v>
      </c>
      <c r="L2051" s="1128"/>
      <c r="M2051" s="529">
        <v>4200000</v>
      </c>
      <c r="N2051" s="391"/>
      <c r="O2051" s="388">
        <v>15046</v>
      </c>
      <c r="P2051" s="388"/>
      <c r="Q2051" s="388"/>
      <c r="R2051" s="382">
        <f>M2051/G2050</f>
        <v>3265.9409020217731</v>
      </c>
      <c r="S2051" s="388">
        <f t="shared" si="262"/>
        <v>-4215046</v>
      </c>
      <c r="T2051" s="390"/>
      <c r="U2051" s="388"/>
      <c r="V2051" s="390"/>
      <c r="W2051" s="398"/>
      <c r="X2051" s="398"/>
    </row>
    <row r="2052" spans="1:24" ht="43.5" hidden="1" customHeight="1">
      <c r="A2052" s="493">
        <f>A2050+1</f>
        <v>509</v>
      </c>
      <c r="B2052" s="404" t="s">
        <v>4204</v>
      </c>
      <c r="C2052" s="458" t="s">
        <v>343</v>
      </c>
      <c r="D2052" s="500">
        <v>2307</v>
      </c>
      <c r="E2052" s="391">
        <v>750</v>
      </c>
      <c r="F2052" s="391" t="s">
        <v>223</v>
      </c>
      <c r="G2052" s="391">
        <v>386</v>
      </c>
      <c r="H2052" s="528">
        <v>2</v>
      </c>
      <c r="I2052" s="528">
        <v>2</v>
      </c>
      <c r="J2052" s="528">
        <v>8</v>
      </c>
      <c r="K2052" s="500" t="s">
        <v>38</v>
      </c>
      <c r="L2052" s="1128">
        <f>M2052+N2052+O2052+P2052+Q2052+M2053+N2053+O2053+Q2053</f>
        <v>2426351</v>
      </c>
      <c r="M2052" s="529">
        <v>1200000</v>
      </c>
      <c r="N2052" s="391"/>
      <c r="O2052" s="388">
        <v>12648</v>
      </c>
      <c r="P2052" s="388"/>
      <c r="Q2052" s="388"/>
      <c r="R2052" s="487">
        <f>M2052/E2052</f>
        <v>1600</v>
      </c>
      <c r="S2052" s="388">
        <f t="shared" si="262"/>
        <v>1213703</v>
      </c>
      <c r="T2052" s="390"/>
      <c r="U2052" s="388"/>
      <c r="V2052" s="390"/>
      <c r="W2052" s="398"/>
      <c r="X2052" s="398"/>
    </row>
    <row r="2053" spans="1:24" ht="43.5" hidden="1" customHeight="1">
      <c r="A2053" s="493"/>
      <c r="B2053" s="404"/>
      <c r="C2053" s="458"/>
      <c r="D2053" s="500"/>
      <c r="E2053" s="391"/>
      <c r="F2053" s="391"/>
      <c r="G2053" s="391"/>
      <c r="H2053" s="528"/>
      <c r="I2053" s="528"/>
      <c r="J2053" s="528"/>
      <c r="K2053" s="500" t="s">
        <v>33</v>
      </c>
      <c r="L2053" s="1128"/>
      <c r="M2053" s="529">
        <v>1200000</v>
      </c>
      <c r="N2053" s="391"/>
      <c r="O2053" s="388">
        <v>13703</v>
      </c>
      <c r="P2053" s="388"/>
      <c r="Q2053" s="388"/>
      <c r="R2053" s="382">
        <f>M2053/G2052</f>
        <v>3108.8082901554403</v>
      </c>
      <c r="S2053" s="388">
        <f t="shared" si="262"/>
        <v>-1213703</v>
      </c>
      <c r="T2053" s="390"/>
      <c r="U2053" s="388"/>
      <c r="V2053" s="390"/>
      <c r="W2053" s="398"/>
      <c r="X2053" s="398"/>
    </row>
    <row r="2054" spans="1:24" ht="43.5" hidden="1" customHeight="1">
      <c r="A2054" s="493">
        <f>A2052+1</f>
        <v>510</v>
      </c>
      <c r="B2054" s="404" t="s">
        <v>4205</v>
      </c>
      <c r="C2054" s="458" t="s">
        <v>343</v>
      </c>
      <c r="D2054" s="500">
        <v>1941</v>
      </c>
      <c r="E2054" s="391">
        <v>700</v>
      </c>
      <c r="F2054" s="391" t="s">
        <v>223</v>
      </c>
      <c r="G2054" s="391">
        <v>386</v>
      </c>
      <c r="H2054" s="528">
        <v>2</v>
      </c>
      <c r="I2054" s="528">
        <v>2</v>
      </c>
      <c r="J2054" s="528">
        <v>8</v>
      </c>
      <c r="K2054" s="500" t="s">
        <v>38</v>
      </c>
      <c r="L2054" s="1128">
        <f>M2054+N2054+O2054+P2054+Q2054+M2055+N2055+O2055+Q2055</f>
        <v>2254698</v>
      </c>
      <c r="M2054" s="529">
        <v>1148400</v>
      </c>
      <c r="N2054" s="391"/>
      <c r="O2054" s="388">
        <v>12239</v>
      </c>
      <c r="P2054" s="388"/>
      <c r="Q2054" s="388"/>
      <c r="R2054" s="487">
        <f>M2054/E2054</f>
        <v>1640.5714285714287</v>
      </c>
      <c r="S2054" s="388">
        <f t="shared" si="262"/>
        <v>1094059</v>
      </c>
      <c r="T2054" s="390"/>
      <c r="U2054" s="388"/>
      <c r="V2054" s="390"/>
      <c r="W2054" s="398"/>
      <c r="X2054" s="398"/>
    </row>
    <row r="2055" spans="1:24" ht="43.5" hidden="1" customHeight="1">
      <c r="A2055" s="493"/>
      <c r="B2055" s="404"/>
      <c r="C2055" s="458"/>
      <c r="D2055" s="500"/>
      <c r="E2055" s="391"/>
      <c r="F2055" s="391"/>
      <c r="G2055" s="391"/>
      <c r="H2055" s="528"/>
      <c r="I2055" s="528"/>
      <c r="J2055" s="528"/>
      <c r="K2055" s="500" t="s">
        <v>33</v>
      </c>
      <c r="L2055" s="1128"/>
      <c r="M2055" s="529">
        <v>1080800</v>
      </c>
      <c r="N2055" s="391"/>
      <c r="O2055" s="388">
        <v>13259</v>
      </c>
      <c r="P2055" s="388"/>
      <c r="Q2055" s="388"/>
      <c r="R2055" s="382">
        <f>M2055/G2054</f>
        <v>2800</v>
      </c>
      <c r="S2055" s="388">
        <f t="shared" si="262"/>
        <v>-1094059</v>
      </c>
      <c r="T2055" s="390"/>
      <c r="U2055" s="388"/>
      <c r="V2055" s="390"/>
      <c r="W2055" s="398"/>
      <c r="X2055" s="398"/>
    </row>
    <row r="2056" spans="1:24" ht="43.5" hidden="1" customHeight="1">
      <c r="A2056" s="493">
        <f>A2054+1</f>
        <v>511</v>
      </c>
      <c r="B2056" s="404" t="s">
        <v>4206</v>
      </c>
      <c r="C2056" s="458" t="s">
        <v>343</v>
      </c>
      <c r="D2056" s="500">
        <v>1891</v>
      </c>
      <c r="E2056" s="391">
        <v>700</v>
      </c>
      <c r="F2056" s="391" t="s">
        <v>223</v>
      </c>
      <c r="G2056" s="391">
        <v>400</v>
      </c>
      <c r="H2056" s="528">
        <v>2</v>
      </c>
      <c r="I2056" s="528">
        <v>2</v>
      </c>
      <c r="J2056" s="528">
        <v>8</v>
      </c>
      <c r="K2056" s="500" t="s">
        <v>38</v>
      </c>
      <c r="L2056" s="1128">
        <f>M2056+N2056+O2056+P2056+Q2056+M2057+N2057+O2057+Q2057</f>
        <v>2479181</v>
      </c>
      <c r="M2056" s="529">
        <v>1153800</v>
      </c>
      <c r="N2056" s="391"/>
      <c r="O2056" s="388">
        <v>12183</v>
      </c>
      <c r="P2056" s="388"/>
      <c r="Q2056" s="388"/>
      <c r="R2056" s="487">
        <f>M2056/E2056</f>
        <v>1648.2857142857142</v>
      </c>
      <c r="S2056" s="388">
        <f t="shared" si="262"/>
        <v>1313198</v>
      </c>
      <c r="T2056" s="390"/>
      <c r="U2056" s="388"/>
      <c r="V2056" s="390"/>
      <c r="W2056" s="398"/>
      <c r="X2056" s="398"/>
    </row>
    <row r="2057" spans="1:24" ht="43.5" hidden="1" customHeight="1">
      <c r="A2057" s="493"/>
      <c r="B2057" s="404"/>
      <c r="C2057" s="458"/>
      <c r="D2057" s="500"/>
      <c r="E2057" s="391"/>
      <c r="F2057" s="391"/>
      <c r="G2057" s="391"/>
      <c r="H2057" s="528"/>
      <c r="I2057" s="528"/>
      <c r="J2057" s="528"/>
      <c r="K2057" s="500" t="s">
        <v>33</v>
      </c>
      <c r="L2057" s="1128"/>
      <c r="M2057" s="529">
        <v>1300000</v>
      </c>
      <c r="N2057" s="391"/>
      <c r="O2057" s="388">
        <v>13198</v>
      </c>
      <c r="P2057" s="388"/>
      <c r="Q2057" s="388"/>
      <c r="R2057" s="382">
        <f>M2057/G2056</f>
        <v>3250</v>
      </c>
      <c r="S2057" s="388">
        <f t="shared" si="262"/>
        <v>-1313198</v>
      </c>
      <c r="T2057" s="390"/>
      <c r="U2057" s="388"/>
      <c r="V2057" s="390"/>
      <c r="W2057" s="398"/>
      <c r="X2057" s="398"/>
    </row>
    <row r="2058" spans="1:24" ht="43.5" hidden="1" customHeight="1">
      <c r="A2058" s="493">
        <f>A2056+1</f>
        <v>512</v>
      </c>
      <c r="B2058" s="404" t="s">
        <v>4207</v>
      </c>
      <c r="C2058" s="458" t="s">
        <v>343</v>
      </c>
      <c r="D2058" s="500">
        <v>1911</v>
      </c>
      <c r="E2058" s="391">
        <v>700</v>
      </c>
      <c r="F2058" s="391" t="s">
        <v>223</v>
      </c>
      <c r="G2058" s="391">
        <v>355</v>
      </c>
      <c r="H2058" s="528">
        <v>2</v>
      </c>
      <c r="I2058" s="528">
        <v>2</v>
      </c>
      <c r="J2058" s="528">
        <v>8</v>
      </c>
      <c r="K2058" s="500" t="s">
        <v>38</v>
      </c>
      <c r="L2058" s="1128">
        <f>M2058+N2058+O2058+P2058+Q2058+M2059+N2059+O2059+Q2059</f>
        <v>2167828</v>
      </c>
      <c r="M2058" s="529">
        <v>1148400</v>
      </c>
      <c r="N2058" s="391"/>
      <c r="O2058" s="388">
        <v>12205</v>
      </c>
      <c r="P2058" s="388"/>
      <c r="Q2058" s="388"/>
      <c r="R2058" s="487">
        <f>M2058/E2058</f>
        <v>1640.5714285714287</v>
      </c>
      <c r="S2058" s="388">
        <f t="shared" si="262"/>
        <v>1007223</v>
      </c>
      <c r="T2058" s="390"/>
      <c r="U2058" s="388"/>
      <c r="V2058" s="390"/>
      <c r="W2058" s="398"/>
      <c r="X2058" s="398"/>
    </row>
    <row r="2059" spans="1:24" ht="43.5" hidden="1" customHeight="1">
      <c r="A2059" s="493"/>
      <c r="B2059" s="404"/>
      <c r="C2059" s="458"/>
      <c r="D2059" s="500"/>
      <c r="E2059" s="391"/>
      <c r="F2059" s="391"/>
      <c r="G2059" s="391"/>
      <c r="H2059" s="528"/>
      <c r="I2059" s="528"/>
      <c r="J2059" s="528"/>
      <c r="K2059" s="500" t="s">
        <v>33</v>
      </c>
      <c r="L2059" s="1128"/>
      <c r="M2059" s="529">
        <v>994000</v>
      </c>
      <c r="N2059" s="391"/>
      <c r="O2059" s="388">
        <v>13223</v>
      </c>
      <c r="P2059" s="388"/>
      <c r="Q2059" s="388"/>
      <c r="R2059" s="382">
        <f>M2059/G2058</f>
        <v>2800</v>
      </c>
      <c r="S2059" s="388">
        <f t="shared" si="262"/>
        <v>-1007223</v>
      </c>
      <c r="T2059" s="390"/>
      <c r="U2059" s="388"/>
      <c r="V2059" s="390"/>
      <c r="W2059" s="398"/>
      <c r="X2059" s="398"/>
    </row>
    <row r="2060" spans="1:24" ht="43.5" hidden="1" customHeight="1">
      <c r="A2060" s="493">
        <f>A2058+1</f>
        <v>513</v>
      </c>
      <c r="B2060" s="404" t="s">
        <v>4208</v>
      </c>
      <c r="C2060" s="458" t="s">
        <v>343</v>
      </c>
      <c r="D2060" s="500">
        <v>2294</v>
      </c>
      <c r="E2060" s="391">
        <v>750</v>
      </c>
      <c r="F2060" s="391" t="s">
        <v>223</v>
      </c>
      <c r="G2060" s="391">
        <v>355</v>
      </c>
      <c r="H2060" s="528">
        <v>2</v>
      </c>
      <c r="I2060" s="528">
        <v>2</v>
      </c>
      <c r="J2060" s="528">
        <v>8</v>
      </c>
      <c r="K2060" s="500" t="s">
        <v>38</v>
      </c>
      <c r="L2060" s="1128">
        <f>M2060+N2060+O2060+P2060+Q2060+M2061+N2061+O2061+Q2061</f>
        <v>2426321</v>
      </c>
      <c r="M2060" s="529">
        <v>1200000</v>
      </c>
      <c r="N2060" s="391"/>
      <c r="O2060" s="388">
        <v>12634</v>
      </c>
      <c r="P2060" s="388"/>
      <c r="Q2060" s="388"/>
      <c r="R2060" s="487">
        <f>M2060/E2060</f>
        <v>1600</v>
      </c>
      <c r="S2060" s="388">
        <f t="shared" si="262"/>
        <v>1213687</v>
      </c>
      <c r="T2060" s="390"/>
      <c r="U2060" s="388"/>
      <c r="V2060" s="390"/>
      <c r="W2060" s="398"/>
      <c r="X2060" s="398"/>
    </row>
    <row r="2061" spans="1:24" ht="43.5" hidden="1" customHeight="1">
      <c r="A2061" s="493"/>
      <c r="B2061" s="404"/>
      <c r="C2061" s="458"/>
      <c r="D2061" s="500"/>
      <c r="E2061" s="391"/>
      <c r="F2061" s="391"/>
      <c r="G2061" s="391"/>
      <c r="H2061" s="528"/>
      <c r="I2061" s="528"/>
      <c r="J2061" s="528"/>
      <c r="K2061" s="500" t="s">
        <v>33</v>
      </c>
      <c r="L2061" s="1128"/>
      <c r="M2061" s="529">
        <v>1200000</v>
      </c>
      <c r="N2061" s="391"/>
      <c r="O2061" s="388">
        <v>13687</v>
      </c>
      <c r="P2061" s="388"/>
      <c r="Q2061" s="388"/>
      <c r="R2061" s="382">
        <f>M2061/G2060</f>
        <v>3380.2816901408451</v>
      </c>
      <c r="S2061" s="388">
        <f t="shared" si="262"/>
        <v>-1213687</v>
      </c>
      <c r="T2061" s="390"/>
      <c r="U2061" s="388"/>
      <c r="V2061" s="390"/>
      <c r="W2061" s="398"/>
      <c r="X2061" s="398"/>
    </row>
    <row r="2062" spans="1:24" ht="43.5" hidden="1" customHeight="1">
      <c r="A2062" s="493">
        <f>A2060+1</f>
        <v>514</v>
      </c>
      <c r="B2062" s="404" t="s">
        <v>4209</v>
      </c>
      <c r="C2062" s="537" t="s">
        <v>416</v>
      </c>
      <c r="D2062" s="500">
        <v>3808</v>
      </c>
      <c r="E2062" s="391">
        <v>1400</v>
      </c>
      <c r="F2062" s="391" t="s">
        <v>223</v>
      </c>
      <c r="G2062" s="391">
        <v>576</v>
      </c>
      <c r="H2062" s="528">
        <v>3</v>
      </c>
      <c r="I2062" s="528">
        <v>2</v>
      </c>
      <c r="J2062" s="528">
        <v>24</v>
      </c>
      <c r="K2062" s="500" t="s">
        <v>38</v>
      </c>
      <c r="L2062" s="1128">
        <f>M2062+N2062+O2062+P2062+Q2062+M2063+N2063+O2063+Q2063</f>
        <v>3986732</v>
      </c>
      <c r="M2062" s="529">
        <v>2343600</v>
      </c>
      <c r="N2062" s="391"/>
      <c r="O2062" s="388">
        <v>15166</v>
      </c>
      <c r="P2062" s="388"/>
      <c r="Q2062" s="388"/>
      <c r="R2062" s="487">
        <f>M2062/E2062</f>
        <v>1674</v>
      </c>
      <c r="S2062" s="388">
        <f t="shared" si="262"/>
        <v>1627966</v>
      </c>
      <c r="T2062" s="390"/>
      <c r="U2062" s="388"/>
      <c r="V2062" s="390"/>
      <c r="W2062" s="398"/>
      <c r="X2062" s="398"/>
    </row>
    <row r="2063" spans="1:24" ht="42.75" hidden="1" customHeight="1">
      <c r="A2063" s="493"/>
      <c r="B2063" s="404"/>
      <c r="C2063" s="537"/>
      <c r="D2063" s="500"/>
      <c r="E2063" s="391"/>
      <c r="F2063" s="391"/>
      <c r="G2063" s="391"/>
      <c r="H2063" s="528"/>
      <c r="I2063" s="528"/>
      <c r="J2063" s="528"/>
      <c r="K2063" s="500" t="s">
        <v>33</v>
      </c>
      <c r="L2063" s="1128"/>
      <c r="M2063" s="529">
        <v>1612800</v>
      </c>
      <c r="N2063" s="391"/>
      <c r="O2063" s="388">
        <v>15166</v>
      </c>
      <c r="P2063" s="388"/>
      <c r="Q2063" s="388"/>
      <c r="R2063" s="382">
        <f>M2063/G2062</f>
        <v>2800</v>
      </c>
      <c r="S2063" s="388">
        <f t="shared" si="262"/>
        <v>-1627966</v>
      </c>
      <c r="T2063" s="390"/>
      <c r="U2063" s="388"/>
      <c r="V2063" s="390"/>
      <c r="W2063" s="398"/>
      <c r="X2063" s="398"/>
    </row>
    <row r="2064" spans="1:24" ht="37.5" hidden="1">
      <c r="A2064" s="493">
        <f>A2062+1</f>
        <v>515</v>
      </c>
      <c r="B2064" s="414" t="s">
        <v>4210</v>
      </c>
      <c r="C2064" s="455" t="s">
        <v>272</v>
      </c>
      <c r="D2064" s="386">
        <v>6434</v>
      </c>
      <c r="E2064" s="383">
        <v>2600</v>
      </c>
      <c r="F2064" s="391" t="s">
        <v>223</v>
      </c>
      <c r="G2064" s="383">
        <v>583</v>
      </c>
      <c r="H2064" s="382">
        <v>5</v>
      </c>
      <c r="I2064" s="382">
        <v>2</v>
      </c>
      <c r="J2064" s="382">
        <v>34</v>
      </c>
      <c r="K2064" s="500" t="s">
        <v>38</v>
      </c>
      <c r="L2064" s="1128">
        <f>M2064+N2064+O2064+P2064+Q2064+M2065+N2065+O2065+Q2065</f>
        <v>5928849</v>
      </c>
      <c r="M2064" s="529">
        <v>4267800</v>
      </c>
      <c r="O2064" s="388">
        <v>14617</v>
      </c>
      <c r="P2064" s="388"/>
      <c r="Q2064" s="388"/>
      <c r="R2064" s="487">
        <f>M2064/E2064</f>
        <v>1641.4615384615386</v>
      </c>
      <c r="S2064" s="388">
        <f t="shared" si="262"/>
        <v>1646432</v>
      </c>
      <c r="T2064" s="390"/>
      <c r="U2064" s="388"/>
      <c r="V2064" s="390"/>
      <c r="W2064" s="398"/>
      <c r="X2064" s="398"/>
    </row>
    <row r="2065" spans="1:24" ht="45.75" hidden="1" customHeight="1">
      <c r="A2065" s="493"/>
      <c r="B2065" s="414"/>
      <c r="C2065" s="455"/>
      <c r="D2065" s="386"/>
      <c r="F2065" s="391"/>
      <c r="K2065" s="500" t="s">
        <v>33</v>
      </c>
      <c r="L2065" s="1128"/>
      <c r="M2065" s="529">
        <v>1632400</v>
      </c>
      <c r="O2065" s="388">
        <v>14032</v>
      </c>
      <c r="P2065" s="388"/>
      <c r="Q2065" s="388"/>
      <c r="R2065" s="382">
        <f>M2065/G2064</f>
        <v>2800</v>
      </c>
      <c r="S2065" s="388">
        <f t="shared" si="262"/>
        <v>-1646432</v>
      </c>
      <c r="T2065" s="390"/>
      <c r="U2065" s="388"/>
      <c r="V2065" s="390"/>
      <c r="W2065" s="398"/>
      <c r="X2065" s="398"/>
    </row>
    <row r="2066" spans="1:24" ht="37.5" hidden="1">
      <c r="A2066" s="493">
        <f>A2064+1</f>
        <v>516</v>
      </c>
      <c r="B2066" s="414" t="s">
        <v>4218</v>
      </c>
      <c r="C2066" s="455" t="s">
        <v>272</v>
      </c>
      <c r="D2066" s="386">
        <v>12603</v>
      </c>
      <c r="E2066" s="383">
        <v>4000</v>
      </c>
      <c r="F2066" s="391" t="s">
        <v>223</v>
      </c>
      <c r="G2066" s="383">
        <v>1154</v>
      </c>
      <c r="H2066" s="382">
        <v>5</v>
      </c>
      <c r="I2066" s="382">
        <v>4</v>
      </c>
      <c r="J2066" s="382">
        <v>67</v>
      </c>
      <c r="K2066" s="500" t="s">
        <v>38</v>
      </c>
      <c r="L2066" s="1128">
        <f>M2066+N2066+O2066+P2066+Q2066+M2067+N2067+O2067+Q2067</f>
        <v>9773231</v>
      </c>
      <c r="M2066" s="529">
        <v>6500000</v>
      </c>
      <c r="N2066" s="383">
        <v>26342</v>
      </c>
      <c r="O2066" s="388"/>
      <c r="P2066" s="388"/>
      <c r="Q2066" s="388"/>
      <c r="R2066" s="487">
        <f>M2066/E2066</f>
        <v>1625</v>
      </c>
      <c r="S2066" s="388">
        <f t="shared" si="262"/>
        <v>3246889</v>
      </c>
      <c r="T2066" s="390"/>
      <c r="U2066" s="388"/>
      <c r="V2066" s="390"/>
      <c r="W2066" s="398"/>
      <c r="X2066" s="398"/>
    </row>
    <row r="2067" spans="1:24" ht="42.75" hidden="1" customHeight="1">
      <c r="A2067" s="493"/>
      <c r="B2067" s="414"/>
      <c r="C2067" s="455"/>
      <c r="D2067" s="386"/>
      <c r="F2067" s="391"/>
      <c r="K2067" s="500" t="s">
        <v>33</v>
      </c>
      <c r="L2067" s="1128"/>
      <c r="M2067" s="529">
        <v>3231200</v>
      </c>
      <c r="O2067" s="388">
        <v>15689</v>
      </c>
      <c r="P2067" s="388"/>
      <c r="Q2067" s="388"/>
      <c r="R2067" s="382">
        <f>M2067/G2066</f>
        <v>2800</v>
      </c>
      <c r="S2067" s="388">
        <f t="shared" si="262"/>
        <v>-3246889</v>
      </c>
      <c r="T2067" s="390"/>
      <c r="U2067" s="388"/>
      <c r="V2067" s="390"/>
      <c r="W2067" s="398"/>
      <c r="X2067" s="398"/>
    </row>
    <row r="2068" spans="1:24" ht="37.5" hidden="1">
      <c r="A2068" s="493">
        <f>A2066+1</f>
        <v>517</v>
      </c>
      <c r="B2068" s="414" t="s">
        <v>2607</v>
      </c>
      <c r="C2068" s="455" t="s">
        <v>272</v>
      </c>
      <c r="D2068" s="386">
        <v>13525</v>
      </c>
      <c r="E2068" s="391">
        <v>3700</v>
      </c>
      <c r="F2068" s="391" t="s">
        <v>223</v>
      </c>
      <c r="G2068" s="383">
        <v>1146</v>
      </c>
      <c r="H2068" s="382">
        <v>5</v>
      </c>
      <c r="I2068" s="382">
        <v>4</v>
      </c>
      <c r="J2068" s="382">
        <v>77</v>
      </c>
      <c r="K2068" s="500" t="s">
        <v>38</v>
      </c>
      <c r="L2068" s="1128">
        <f>M2068+N2068+O2068+P2068+Q2068+M2069+N2069+O2069+Q2069</f>
        <v>10032536</v>
      </c>
      <c r="M2068" s="529">
        <v>6000000</v>
      </c>
      <c r="O2068" s="388">
        <v>16600</v>
      </c>
      <c r="P2068" s="388"/>
      <c r="Q2068" s="388"/>
      <c r="R2068" s="487">
        <f>M2068/E2068</f>
        <v>1621.6216216216217</v>
      </c>
      <c r="S2068" s="388">
        <f t="shared" si="262"/>
        <v>4015936</v>
      </c>
      <c r="T2068" s="390"/>
      <c r="U2068" s="388"/>
      <c r="V2068" s="390"/>
      <c r="W2068" s="398"/>
      <c r="X2068" s="398"/>
    </row>
    <row r="2069" spans="1:24" ht="41.25" hidden="1" customHeight="1">
      <c r="A2069" s="493"/>
      <c r="B2069" s="404"/>
      <c r="C2069" s="455"/>
      <c r="D2069" s="386"/>
      <c r="E2069" s="391"/>
      <c r="F2069" s="391"/>
      <c r="G2069" s="391"/>
      <c r="H2069" s="528"/>
      <c r="I2069" s="528"/>
      <c r="J2069" s="528"/>
      <c r="K2069" s="500" t="s">
        <v>33</v>
      </c>
      <c r="L2069" s="1128"/>
      <c r="M2069" s="529">
        <v>4000000</v>
      </c>
      <c r="N2069" s="391"/>
      <c r="O2069" s="388">
        <v>15936</v>
      </c>
      <c r="P2069" s="388"/>
      <c r="Q2069" s="388"/>
      <c r="R2069" s="382">
        <f>M2069/G2068</f>
        <v>3490.4013961605583</v>
      </c>
      <c r="S2069" s="388">
        <f t="shared" si="262"/>
        <v>-4015936</v>
      </c>
      <c r="T2069" s="390"/>
      <c r="U2069" s="388"/>
      <c r="V2069" s="390"/>
      <c r="W2069" s="398"/>
      <c r="X2069" s="398"/>
    </row>
    <row r="2070" spans="1:24" ht="37.5" hidden="1">
      <c r="A2070" s="493">
        <f>A2068+1</f>
        <v>518</v>
      </c>
      <c r="B2070" s="414" t="s">
        <v>4217</v>
      </c>
      <c r="C2070" s="455" t="s">
        <v>272</v>
      </c>
      <c r="D2070" s="386">
        <v>13665</v>
      </c>
      <c r="E2070" s="383">
        <v>4000</v>
      </c>
      <c r="F2070" s="391" t="s">
        <v>223</v>
      </c>
      <c r="G2070" s="383">
        <v>1146</v>
      </c>
      <c r="H2070" s="382">
        <v>5</v>
      </c>
      <c r="I2070" s="382">
        <v>4</v>
      </c>
      <c r="J2070" s="382">
        <v>60</v>
      </c>
      <c r="K2070" s="500" t="s">
        <v>38</v>
      </c>
      <c r="L2070" s="1128">
        <f>M2070+N2070+O2070+P2070+Q2070+M2071+N2071+O2071+Q2071</f>
        <v>9741413</v>
      </c>
      <c r="M2070" s="529">
        <v>6500000</v>
      </c>
      <c r="O2070" s="388">
        <v>16639</v>
      </c>
      <c r="P2070" s="388"/>
      <c r="Q2070" s="388"/>
      <c r="R2070" s="487">
        <f>M2070/E2070</f>
        <v>1625</v>
      </c>
      <c r="S2070" s="388">
        <f t="shared" si="262"/>
        <v>3224774</v>
      </c>
      <c r="T2070" s="390"/>
      <c r="U2070" s="388"/>
      <c r="V2070" s="390"/>
      <c r="W2070" s="398"/>
      <c r="X2070" s="398"/>
    </row>
    <row r="2071" spans="1:24" ht="44.25" hidden="1" customHeight="1">
      <c r="A2071" s="493"/>
      <c r="B2071" s="414"/>
      <c r="C2071" s="455"/>
      <c r="D2071" s="386"/>
      <c r="F2071" s="391"/>
      <c r="K2071" s="397" t="s">
        <v>375</v>
      </c>
      <c r="L2071" s="1128"/>
      <c r="M2071" s="529">
        <v>3208800</v>
      </c>
      <c r="O2071" s="388">
        <v>15974</v>
      </c>
      <c r="P2071" s="388"/>
      <c r="Q2071" s="388"/>
      <c r="R2071" s="382">
        <f>M2071/G2070</f>
        <v>2800</v>
      </c>
      <c r="S2071" s="388">
        <f t="shared" si="262"/>
        <v>-3224774</v>
      </c>
      <c r="T2071" s="390"/>
      <c r="U2071" s="388"/>
      <c r="V2071" s="390"/>
      <c r="W2071" s="398"/>
      <c r="X2071" s="398"/>
    </row>
    <row r="2072" spans="1:24" ht="37.5" hidden="1">
      <c r="A2072" s="493">
        <f>A2070+1</f>
        <v>519</v>
      </c>
      <c r="B2072" s="414" t="s">
        <v>4216</v>
      </c>
      <c r="C2072" s="455" t="s">
        <v>272</v>
      </c>
      <c r="D2072" s="386">
        <v>14206</v>
      </c>
      <c r="E2072" s="383">
        <v>4000</v>
      </c>
      <c r="F2072" s="391" t="s">
        <v>223</v>
      </c>
      <c r="G2072" s="383">
        <v>1200</v>
      </c>
      <c r="H2072" s="382">
        <v>5</v>
      </c>
      <c r="I2072" s="382">
        <v>4</v>
      </c>
      <c r="J2072" s="382">
        <v>76</v>
      </c>
      <c r="K2072" s="500" t="s">
        <v>38</v>
      </c>
      <c r="L2072" s="1128">
        <f>M2072+N2072+O2072+P2072+Q2072+M2073+N2073+O2073+Q2073</f>
        <v>10697910</v>
      </c>
      <c r="M2072" s="529">
        <v>6500000</v>
      </c>
      <c r="N2072" s="383">
        <v>26791</v>
      </c>
      <c r="O2072" s="388"/>
      <c r="P2072" s="388"/>
      <c r="Q2072" s="388"/>
      <c r="R2072" s="487">
        <f>M2072/E2072</f>
        <v>1625</v>
      </c>
      <c r="S2072" s="388">
        <f t="shared" si="262"/>
        <v>4171119</v>
      </c>
      <c r="T2072" s="390"/>
      <c r="U2072" s="388"/>
      <c r="V2072" s="390"/>
      <c r="W2072" s="398"/>
      <c r="X2072" s="398"/>
    </row>
    <row r="2073" spans="1:24" ht="47.25" hidden="1" customHeight="1">
      <c r="A2073" s="493"/>
      <c r="B2073" s="414"/>
      <c r="C2073" s="455"/>
      <c r="D2073" s="386"/>
      <c r="F2073" s="391"/>
      <c r="K2073" s="397" t="s">
        <v>375</v>
      </c>
      <c r="L2073" s="1128"/>
      <c r="M2073" s="529">
        <v>4155000</v>
      </c>
      <c r="O2073" s="388">
        <v>16119</v>
      </c>
      <c r="P2073" s="388"/>
      <c r="Q2073" s="388"/>
      <c r="R2073" s="382">
        <f>M2073/G2072</f>
        <v>3462.5</v>
      </c>
      <c r="S2073" s="388">
        <f t="shared" si="262"/>
        <v>-4171119</v>
      </c>
      <c r="T2073" s="390"/>
      <c r="U2073" s="388"/>
      <c r="V2073" s="390"/>
      <c r="W2073" s="398"/>
      <c r="X2073" s="398"/>
    </row>
    <row r="2074" spans="1:24" ht="37.5" hidden="1">
      <c r="A2074" s="493">
        <f>A2072+1</f>
        <v>520</v>
      </c>
      <c r="B2074" s="414" t="s">
        <v>4215</v>
      </c>
      <c r="C2074" s="455" t="s">
        <v>272</v>
      </c>
      <c r="D2074" s="386">
        <v>9741</v>
      </c>
      <c r="E2074" s="383">
        <v>2700</v>
      </c>
      <c r="F2074" s="391" t="s">
        <v>223</v>
      </c>
      <c r="G2074" s="383">
        <v>887</v>
      </c>
      <c r="H2074" s="382">
        <v>5</v>
      </c>
      <c r="I2074" s="382">
        <v>3</v>
      </c>
      <c r="J2074" s="382">
        <v>60</v>
      </c>
      <c r="K2074" s="500" t="s">
        <v>38</v>
      </c>
      <c r="L2074" s="1128">
        <f>M2074+N2074+O2074+P2074+Q2074+M2075+N2075+O2075+Q2075</f>
        <v>7013440</v>
      </c>
      <c r="M2074" s="529">
        <v>4500000</v>
      </c>
      <c r="O2074" s="388">
        <v>14920</v>
      </c>
      <c r="P2074" s="388"/>
      <c r="Q2074" s="388"/>
      <c r="R2074" s="487">
        <f>M2074/E2074</f>
        <v>1666.6666666666667</v>
      </c>
      <c r="S2074" s="388">
        <f t="shared" si="262"/>
        <v>2498520</v>
      </c>
      <c r="T2074" s="390"/>
      <c r="U2074" s="388"/>
      <c r="V2074" s="390"/>
      <c r="W2074" s="398"/>
      <c r="X2074" s="398"/>
    </row>
    <row r="2075" spans="1:24" ht="47.25" hidden="1" customHeight="1">
      <c r="A2075" s="493"/>
      <c r="B2075" s="414"/>
      <c r="C2075" s="455"/>
      <c r="D2075" s="386"/>
      <c r="F2075" s="391"/>
      <c r="K2075" s="397" t="s">
        <v>375</v>
      </c>
      <c r="L2075" s="1128"/>
      <c r="M2075" s="529">
        <v>2483600</v>
      </c>
      <c r="O2075" s="388">
        <v>14920</v>
      </c>
      <c r="P2075" s="388"/>
      <c r="Q2075" s="388"/>
      <c r="R2075" s="382">
        <f>M2075/G2074</f>
        <v>2800</v>
      </c>
      <c r="S2075" s="388">
        <f t="shared" si="262"/>
        <v>-2498520</v>
      </c>
      <c r="T2075" s="390"/>
      <c r="U2075" s="388"/>
      <c r="V2075" s="390"/>
      <c r="W2075" s="398"/>
      <c r="X2075" s="398"/>
    </row>
    <row r="2076" spans="1:24" ht="37.5" hidden="1">
      <c r="A2076" s="493">
        <f>A2074+1</f>
        <v>521</v>
      </c>
      <c r="B2076" s="414" t="s">
        <v>4214</v>
      </c>
      <c r="C2076" s="455" t="s">
        <v>272</v>
      </c>
      <c r="D2076" s="386">
        <v>14111</v>
      </c>
      <c r="E2076" s="383">
        <v>4000</v>
      </c>
      <c r="F2076" s="391" t="s">
        <v>223</v>
      </c>
      <c r="G2076" s="383">
        <v>1144</v>
      </c>
      <c r="H2076" s="382">
        <v>5</v>
      </c>
      <c r="I2076" s="382">
        <v>4</v>
      </c>
      <c r="J2076" s="382">
        <v>80</v>
      </c>
      <c r="K2076" s="500" t="s">
        <v>38</v>
      </c>
      <c r="L2076" s="1128">
        <f>M2076+N2076+O2076+P2076+Q2076+M2077+N2077+O2077+Q2077</f>
        <v>9736057</v>
      </c>
      <c r="M2076" s="529">
        <v>6500000</v>
      </c>
      <c r="O2076" s="388">
        <v>16764</v>
      </c>
      <c r="P2076" s="388"/>
      <c r="Q2076" s="388"/>
      <c r="R2076" s="487">
        <f>M2076/E2076</f>
        <v>1625</v>
      </c>
      <c r="S2076" s="388">
        <f t="shared" si="262"/>
        <v>3219293</v>
      </c>
      <c r="T2076" s="390"/>
      <c r="U2076" s="388"/>
      <c r="V2076" s="390"/>
      <c r="W2076" s="398"/>
      <c r="X2076" s="398"/>
    </row>
    <row r="2077" spans="1:24" ht="56.25" hidden="1" customHeight="1">
      <c r="A2077" s="493"/>
      <c r="B2077" s="414"/>
      <c r="C2077" s="455"/>
      <c r="D2077" s="386"/>
      <c r="F2077" s="391"/>
      <c r="K2077" s="397" t="s">
        <v>375</v>
      </c>
      <c r="L2077" s="1128"/>
      <c r="M2077" s="529">
        <v>3203200</v>
      </c>
      <c r="O2077" s="388">
        <v>16093</v>
      </c>
      <c r="P2077" s="388"/>
      <c r="Q2077" s="388"/>
      <c r="R2077" s="382">
        <f>M2077/G2076</f>
        <v>2800</v>
      </c>
      <c r="S2077" s="388">
        <f t="shared" si="262"/>
        <v>-3219293</v>
      </c>
      <c r="T2077" s="390"/>
      <c r="U2077" s="388"/>
      <c r="V2077" s="390"/>
      <c r="W2077" s="398"/>
      <c r="X2077" s="398"/>
    </row>
    <row r="2078" spans="1:24" ht="37.5" hidden="1">
      <c r="A2078" s="493">
        <f>A2076+1</f>
        <v>522</v>
      </c>
      <c r="B2078" s="414" t="s">
        <v>4213</v>
      </c>
      <c r="C2078" s="455" t="s">
        <v>272</v>
      </c>
      <c r="D2078" s="386">
        <v>10374</v>
      </c>
      <c r="E2078" s="383">
        <v>3000</v>
      </c>
      <c r="F2078" s="391" t="s">
        <v>234</v>
      </c>
      <c r="G2078" s="383">
        <v>499</v>
      </c>
      <c r="H2078" s="382">
        <v>9</v>
      </c>
      <c r="I2078" s="382">
        <v>1</v>
      </c>
      <c r="J2078" s="382">
        <v>50</v>
      </c>
      <c r="K2078" s="500" t="s">
        <v>38</v>
      </c>
      <c r="L2078" s="529">
        <f>M2078+N2078+O2078+P2078+Q2078</f>
        <v>5019578</v>
      </c>
      <c r="M2078" s="529">
        <v>5000000</v>
      </c>
      <c r="O2078" s="388">
        <v>19578</v>
      </c>
      <c r="P2078" s="388"/>
      <c r="Q2078" s="388"/>
      <c r="R2078" s="487">
        <f t="shared" ref="R2078:R2083" si="263">M2078/E2078</f>
        <v>1666.6666666666667</v>
      </c>
      <c r="S2078" s="388">
        <f t="shared" si="262"/>
        <v>0</v>
      </c>
      <c r="T2078" s="390"/>
      <c r="U2078" s="388"/>
      <c r="V2078" s="390"/>
      <c r="W2078" s="398"/>
      <c r="X2078" s="398"/>
    </row>
    <row r="2079" spans="1:24" ht="37.5" hidden="1">
      <c r="A2079" s="493">
        <f>A2078+1</f>
        <v>523</v>
      </c>
      <c r="B2079" s="414" t="s">
        <v>668</v>
      </c>
      <c r="C2079" s="455" t="s">
        <v>272</v>
      </c>
      <c r="D2079" s="386">
        <v>9151</v>
      </c>
      <c r="E2079" s="383">
        <v>3000</v>
      </c>
      <c r="F2079" s="383" t="s">
        <v>234</v>
      </c>
      <c r="G2079" s="383">
        <v>509</v>
      </c>
      <c r="H2079" s="382">
        <v>9</v>
      </c>
      <c r="I2079" s="382">
        <v>1</v>
      </c>
      <c r="J2079" s="382">
        <v>50</v>
      </c>
      <c r="K2079" s="500" t="s">
        <v>38</v>
      </c>
      <c r="L2079" s="529">
        <f>M2079+N2079+O2079+P2079+Q2079</f>
        <v>5019298</v>
      </c>
      <c r="M2079" s="529">
        <v>5000000</v>
      </c>
      <c r="O2079" s="388">
        <v>19298</v>
      </c>
      <c r="P2079" s="388"/>
      <c r="Q2079" s="388"/>
      <c r="R2079" s="487">
        <f t="shared" si="263"/>
        <v>1666.6666666666667</v>
      </c>
      <c r="S2079" s="388">
        <f t="shared" si="262"/>
        <v>0</v>
      </c>
      <c r="T2079" s="390"/>
      <c r="U2079" s="388"/>
      <c r="V2079" s="390"/>
      <c r="W2079" s="398"/>
      <c r="X2079" s="398"/>
    </row>
    <row r="2080" spans="1:24" ht="37.5" hidden="1">
      <c r="A2080" s="493">
        <f>A2079+1</f>
        <v>524</v>
      </c>
      <c r="B2080" s="414" t="s">
        <v>669</v>
      </c>
      <c r="C2080" s="455" t="s">
        <v>272</v>
      </c>
      <c r="D2080" s="386">
        <v>10825</v>
      </c>
      <c r="E2080" s="383">
        <v>3000</v>
      </c>
      <c r="F2080" s="383" t="s">
        <v>234</v>
      </c>
      <c r="G2080" s="383">
        <v>510</v>
      </c>
      <c r="H2080" s="382">
        <v>9</v>
      </c>
      <c r="I2080" s="382">
        <v>1</v>
      </c>
      <c r="J2080" s="382">
        <v>52</v>
      </c>
      <c r="K2080" s="500" t="s">
        <v>38</v>
      </c>
      <c r="L2080" s="529">
        <f>M2080+N2080+O2080+P2080+Q2080</f>
        <v>5019681</v>
      </c>
      <c r="M2080" s="529">
        <v>5000000</v>
      </c>
      <c r="O2080" s="388">
        <v>19681</v>
      </c>
      <c r="P2080" s="388"/>
      <c r="Q2080" s="388"/>
      <c r="R2080" s="487">
        <f t="shared" si="263"/>
        <v>1666.6666666666667</v>
      </c>
      <c r="S2080" s="388">
        <f t="shared" si="262"/>
        <v>0</v>
      </c>
      <c r="T2080" s="390"/>
      <c r="U2080" s="388"/>
      <c r="V2080" s="390"/>
      <c r="W2080" s="398"/>
      <c r="X2080" s="398"/>
    </row>
    <row r="2081" spans="1:24" ht="37.5" hidden="1">
      <c r="A2081" s="493">
        <f>A2080+1</f>
        <v>525</v>
      </c>
      <c r="B2081" s="404" t="s">
        <v>4281</v>
      </c>
      <c r="C2081" s="493" t="s">
        <v>222</v>
      </c>
      <c r="D2081" s="397">
        <v>20974</v>
      </c>
      <c r="E2081" s="388">
        <v>4800</v>
      </c>
      <c r="F2081" s="383" t="s">
        <v>234</v>
      </c>
      <c r="G2081" s="388">
        <v>540</v>
      </c>
      <c r="H2081" s="382">
        <v>12</v>
      </c>
      <c r="I2081" s="382">
        <v>1</v>
      </c>
      <c r="J2081" s="446">
        <v>80</v>
      </c>
      <c r="K2081" s="500" t="s">
        <v>38</v>
      </c>
      <c r="L2081" s="529">
        <f>M2081+N2081+O2081+P2081+Q2081</f>
        <v>8032310</v>
      </c>
      <c r="M2081" s="529">
        <v>8000000</v>
      </c>
      <c r="N2081" s="388">
        <v>32310</v>
      </c>
      <c r="O2081" s="388"/>
      <c r="P2081" s="388"/>
      <c r="Q2081" s="388"/>
      <c r="R2081" s="487">
        <f t="shared" si="263"/>
        <v>1666.6666666666667</v>
      </c>
      <c r="S2081" s="388">
        <f t="shared" si="262"/>
        <v>0</v>
      </c>
      <c r="T2081" s="390"/>
      <c r="U2081" s="388"/>
      <c r="V2081" s="390"/>
      <c r="W2081" s="398"/>
      <c r="X2081" s="398"/>
    </row>
    <row r="2082" spans="1:24" ht="37.5" hidden="1">
      <c r="A2082" s="493">
        <f>A2081+1</f>
        <v>526</v>
      </c>
      <c r="B2082" s="404" t="s">
        <v>4282</v>
      </c>
      <c r="C2082" s="493" t="s">
        <v>222</v>
      </c>
      <c r="D2082" s="386">
        <v>18563</v>
      </c>
      <c r="E2082" s="383">
        <v>4800</v>
      </c>
      <c r="F2082" s="383" t="s">
        <v>234</v>
      </c>
      <c r="G2082" s="383">
        <v>540</v>
      </c>
      <c r="H2082" s="382">
        <v>12</v>
      </c>
      <c r="I2082" s="382">
        <v>1</v>
      </c>
      <c r="J2082" s="382">
        <v>78</v>
      </c>
      <c r="K2082" s="500" t="s">
        <v>38</v>
      </c>
      <c r="L2082" s="529">
        <f>M2082+N2082+O2082+P2082+Q2082</f>
        <v>8031728</v>
      </c>
      <c r="M2082" s="529">
        <v>8000000</v>
      </c>
      <c r="N2082" s="550">
        <v>31728</v>
      </c>
      <c r="O2082" s="388"/>
      <c r="P2082" s="388"/>
      <c r="Q2082" s="388"/>
      <c r="R2082" s="487">
        <f t="shared" si="263"/>
        <v>1666.6666666666667</v>
      </c>
      <c r="S2082" s="388">
        <f t="shared" si="262"/>
        <v>0</v>
      </c>
      <c r="T2082" s="390"/>
      <c r="U2082" s="388"/>
      <c r="V2082" s="390"/>
      <c r="W2082" s="398"/>
      <c r="X2082" s="398"/>
    </row>
    <row r="2083" spans="1:24" ht="37.5" hidden="1">
      <c r="A2083" s="493">
        <f>A2082+1</f>
        <v>527</v>
      </c>
      <c r="B2083" s="404" t="s">
        <v>4283</v>
      </c>
      <c r="C2083" s="493" t="s">
        <v>222</v>
      </c>
      <c r="D2083" s="386">
        <v>14112</v>
      </c>
      <c r="E2083" s="383">
        <v>3800</v>
      </c>
      <c r="F2083" s="391" t="s">
        <v>223</v>
      </c>
      <c r="G2083" s="383">
        <v>1178</v>
      </c>
      <c r="H2083" s="382">
        <v>5</v>
      </c>
      <c r="I2083" s="382">
        <v>4</v>
      </c>
      <c r="J2083" s="382">
        <v>69</v>
      </c>
      <c r="K2083" s="500" t="s">
        <v>38</v>
      </c>
      <c r="L2083" s="1128">
        <f>M2083+N2083+O2083+P2083+Q2083+M2084+N2084+O2084+Q2084</f>
        <v>9532858</v>
      </c>
      <c r="M2083" s="529">
        <v>6000000</v>
      </c>
      <c r="N2083" s="550"/>
      <c r="O2083" s="388">
        <v>16764</v>
      </c>
      <c r="P2083" s="388"/>
      <c r="Q2083" s="388"/>
      <c r="R2083" s="487">
        <f t="shared" si="263"/>
        <v>1578.9473684210527</v>
      </c>
      <c r="S2083" s="388">
        <f t="shared" si="262"/>
        <v>3516094</v>
      </c>
      <c r="T2083" s="390"/>
      <c r="U2083" s="388"/>
      <c r="V2083" s="390"/>
      <c r="W2083" s="398"/>
      <c r="X2083" s="398"/>
    </row>
    <row r="2084" spans="1:24" ht="45.75" hidden="1" customHeight="1">
      <c r="A2084" s="493"/>
      <c r="B2084" s="404"/>
      <c r="C2084" s="493"/>
      <c r="D2084" s="386"/>
      <c r="F2084" s="391"/>
      <c r="K2084" s="397" t="s">
        <v>375</v>
      </c>
      <c r="L2084" s="1128"/>
      <c r="M2084" s="529">
        <v>3500000</v>
      </c>
      <c r="N2084" s="550"/>
      <c r="O2084" s="388">
        <v>16094</v>
      </c>
      <c r="P2084" s="388"/>
      <c r="Q2084" s="388"/>
      <c r="R2084" s="382">
        <f>M2084/G2083</f>
        <v>2971.1375212224107</v>
      </c>
      <c r="S2084" s="388">
        <f t="shared" si="262"/>
        <v>-3516094</v>
      </c>
      <c r="T2084" s="390"/>
      <c r="U2084" s="388"/>
      <c r="V2084" s="390"/>
      <c r="W2084" s="398"/>
      <c r="X2084" s="398"/>
    </row>
    <row r="2085" spans="1:24" ht="37.5" hidden="1">
      <c r="A2085" s="493">
        <v>528</v>
      </c>
      <c r="B2085" s="404" t="s">
        <v>2371</v>
      </c>
      <c r="C2085" s="493" t="s">
        <v>222</v>
      </c>
      <c r="D2085" s="386">
        <v>28551</v>
      </c>
      <c r="E2085" s="383">
        <v>7500</v>
      </c>
      <c r="F2085" s="391" t="s">
        <v>223</v>
      </c>
      <c r="G2085" s="383">
        <v>3600</v>
      </c>
      <c r="H2085" s="382">
        <v>5</v>
      </c>
      <c r="I2085" s="382">
        <v>8</v>
      </c>
      <c r="J2085" s="382">
        <v>159</v>
      </c>
      <c r="K2085" s="500" t="s">
        <v>38</v>
      </c>
      <c r="L2085" s="1128">
        <f>M2085+N2085+O2085+P2085+Q2085+M2086+N2086+O2086+Q2086</f>
        <v>20050772</v>
      </c>
      <c r="M2085" s="529">
        <v>12000000</v>
      </c>
      <c r="N2085" s="550">
        <v>30802</v>
      </c>
      <c r="O2085" s="388"/>
      <c r="P2085" s="388"/>
      <c r="Q2085" s="388"/>
      <c r="R2085" s="487">
        <f>M2085/E2085</f>
        <v>1600</v>
      </c>
      <c r="S2085" s="388">
        <f t="shared" si="262"/>
        <v>8019970</v>
      </c>
      <c r="T2085" s="390"/>
      <c r="U2085" s="388"/>
      <c r="V2085" s="390"/>
      <c r="W2085" s="398"/>
      <c r="X2085" s="398"/>
    </row>
    <row r="2086" spans="1:24" ht="42.75" hidden="1" customHeight="1">
      <c r="A2086" s="493"/>
      <c r="B2086" s="404"/>
      <c r="C2086" s="493"/>
      <c r="D2086" s="386"/>
      <c r="F2086" s="391"/>
      <c r="K2086" s="397" t="s">
        <v>375</v>
      </c>
      <c r="L2086" s="1128"/>
      <c r="M2086" s="529">
        <v>8000000</v>
      </c>
      <c r="N2086" s="550"/>
      <c r="O2086" s="388">
        <v>19970</v>
      </c>
      <c r="P2086" s="388"/>
      <c r="Q2086" s="388"/>
      <c r="R2086" s="382" t="e">
        <f>M2086/G2084</f>
        <v>#DIV/0!</v>
      </c>
      <c r="S2086" s="388">
        <f t="shared" si="262"/>
        <v>-8019970</v>
      </c>
      <c r="T2086" s="390"/>
      <c r="U2086" s="388"/>
      <c r="V2086" s="390"/>
      <c r="W2086" s="398"/>
      <c r="X2086" s="398"/>
    </row>
    <row r="2087" spans="1:24" ht="60.75" hidden="1" customHeight="1">
      <c r="A2087" s="493">
        <v>529</v>
      </c>
      <c r="B2087" s="711" t="s">
        <v>499</v>
      </c>
      <c r="C2087" s="543" t="s">
        <v>272</v>
      </c>
      <c r="D2087" s="770">
        <v>6447</v>
      </c>
      <c r="E2087" s="388">
        <v>1386</v>
      </c>
      <c r="F2087" s="542" t="s">
        <v>223</v>
      </c>
      <c r="G2087" s="388">
        <v>576</v>
      </c>
      <c r="H2087" s="446">
        <v>5</v>
      </c>
      <c r="I2087" s="446">
        <v>2</v>
      </c>
      <c r="J2087" s="446">
        <v>40</v>
      </c>
      <c r="K2087" s="397" t="s">
        <v>227</v>
      </c>
      <c r="L2087" s="388">
        <f>M2087+N2087+O2087+P2087+Q2087</f>
        <v>4903163</v>
      </c>
      <c r="M2087" s="388">
        <v>4873313</v>
      </c>
      <c r="N2087" s="388">
        <v>29850</v>
      </c>
      <c r="O2087" s="388"/>
      <c r="P2087" s="388"/>
      <c r="Q2087" s="388"/>
      <c r="R2087" s="446">
        <v>3000</v>
      </c>
      <c r="S2087" s="388">
        <f t="shared" si="262"/>
        <v>0</v>
      </c>
      <c r="T2087" s="390"/>
      <c r="U2087" s="388"/>
      <c r="V2087" s="390"/>
      <c r="W2087" s="398"/>
      <c r="X2087" s="398"/>
    </row>
    <row r="2088" spans="1:24" ht="60.75" hidden="1" customHeight="1">
      <c r="A2088" s="493">
        <f>A2087+1</f>
        <v>530</v>
      </c>
      <c r="B2088" s="711" t="s">
        <v>4228</v>
      </c>
      <c r="C2088" s="543" t="s">
        <v>218</v>
      </c>
      <c r="D2088" s="770">
        <v>14801</v>
      </c>
      <c r="E2088" s="388">
        <v>4290</v>
      </c>
      <c r="F2088" s="542" t="s">
        <v>234</v>
      </c>
      <c r="G2088" s="388">
        <v>699</v>
      </c>
      <c r="H2088" s="446">
        <v>9</v>
      </c>
      <c r="I2088" s="446">
        <v>2</v>
      </c>
      <c r="J2088" s="446">
        <v>71</v>
      </c>
      <c r="K2088" s="397" t="s">
        <v>38</v>
      </c>
      <c r="L2088" s="1121">
        <f>M2088+N2088+O2088+P2088+Q2088+M2089+N2089+O2089+Q2089</f>
        <v>8739281.0899999999</v>
      </c>
      <c r="M2088" s="388">
        <v>7200000</v>
      </c>
      <c r="N2088" s="388">
        <v>29236.09</v>
      </c>
      <c r="O2088" s="388"/>
      <c r="P2088" s="388"/>
      <c r="Q2088" s="388"/>
      <c r="R2088" s="446"/>
      <c r="S2088" s="388">
        <f t="shared" si="262"/>
        <v>1510044.9999999998</v>
      </c>
      <c r="T2088" s="390"/>
      <c r="U2088" s="388"/>
      <c r="V2088" s="390"/>
      <c r="W2088" s="398"/>
      <c r="X2088" s="398"/>
    </row>
    <row r="2089" spans="1:24" ht="60.75" hidden="1" customHeight="1">
      <c r="A2089" s="493"/>
      <c r="B2089" s="711"/>
      <c r="C2089" s="543"/>
      <c r="D2089" s="770"/>
      <c r="E2089" s="388"/>
      <c r="F2089" s="542"/>
      <c r="G2089" s="388"/>
      <c r="H2089" s="446"/>
      <c r="I2089" s="446"/>
      <c r="J2089" s="446"/>
      <c r="K2089" s="397" t="s">
        <v>33</v>
      </c>
      <c r="L2089" s="1121"/>
      <c r="M2089" s="388">
        <v>1500000</v>
      </c>
      <c r="N2089" s="388"/>
      <c r="O2089" s="388">
        <v>10045</v>
      </c>
      <c r="P2089" s="388"/>
      <c r="Q2089" s="388"/>
      <c r="R2089" s="446"/>
      <c r="S2089" s="388">
        <f t="shared" si="262"/>
        <v>-1510045</v>
      </c>
      <c r="T2089" s="390"/>
      <c r="U2089" s="388"/>
      <c r="V2089" s="390"/>
      <c r="W2089" s="398"/>
      <c r="X2089" s="398"/>
    </row>
    <row r="2090" spans="1:24" ht="60.75" hidden="1" customHeight="1">
      <c r="A2090" s="493">
        <f>A2088+1</f>
        <v>531</v>
      </c>
      <c r="B2090" s="711" t="s">
        <v>4229</v>
      </c>
      <c r="C2090" s="543" t="s">
        <v>218</v>
      </c>
      <c r="D2090" s="770">
        <v>14502</v>
      </c>
      <c r="E2090" s="388">
        <v>4290</v>
      </c>
      <c r="F2090" s="542" t="s">
        <v>234</v>
      </c>
      <c r="G2090" s="388">
        <v>682</v>
      </c>
      <c r="H2090" s="446">
        <v>9</v>
      </c>
      <c r="I2090" s="446">
        <v>2</v>
      </c>
      <c r="J2090" s="446">
        <v>72</v>
      </c>
      <c r="K2090" s="397" t="s">
        <v>38</v>
      </c>
      <c r="L2090" s="388">
        <f>M2090+N2090+O2090+P2090+Q2090</f>
        <v>7229138.5800000001</v>
      </c>
      <c r="M2090" s="388">
        <v>7200000</v>
      </c>
      <c r="N2090" s="388">
        <v>29138.58</v>
      </c>
      <c r="O2090" s="388"/>
      <c r="P2090" s="388"/>
      <c r="Q2090" s="388"/>
      <c r="R2090" s="446"/>
      <c r="S2090" s="388">
        <f t="shared" si="262"/>
        <v>7.2759576141834259E-11</v>
      </c>
      <c r="T2090" s="390"/>
      <c r="U2090" s="388"/>
      <c r="V2090" s="390"/>
      <c r="W2090" s="398"/>
      <c r="X2090" s="398"/>
    </row>
    <row r="2091" spans="1:24" ht="60.75" hidden="1" customHeight="1">
      <c r="A2091" s="493">
        <f t="shared" ref="A2091:A2098" si="264">A2090+1</f>
        <v>532</v>
      </c>
      <c r="B2091" s="711" t="s">
        <v>4230</v>
      </c>
      <c r="C2091" s="543" t="s">
        <v>218</v>
      </c>
      <c r="D2091" s="770">
        <v>14805</v>
      </c>
      <c r="E2091" s="388">
        <v>4290</v>
      </c>
      <c r="F2091" s="542" t="s">
        <v>234</v>
      </c>
      <c r="G2091" s="388">
        <v>699.3</v>
      </c>
      <c r="H2091" s="446">
        <v>9</v>
      </c>
      <c r="I2091" s="446">
        <v>2</v>
      </c>
      <c r="J2091" s="446">
        <v>71</v>
      </c>
      <c r="K2091" s="397" t="s">
        <v>38</v>
      </c>
      <c r="L2091" s="388">
        <f>M2091+N2091+O2091+P2091+Q2091</f>
        <v>7229237.0800000001</v>
      </c>
      <c r="M2091" s="388">
        <v>7200000</v>
      </c>
      <c r="N2091" s="388">
        <v>29237.08</v>
      </c>
      <c r="O2091" s="388"/>
      <c r="P2091" s="388"/>
      <c r="Q2091" s="388"/>
      <c r="R2091" s="446"/>
      <c r="S2091" s="388">
        <f t="shared" si="262"/>
        <v>7.2759576141834259E-11</v>
      </c>
      <c r="T2091" s="390"/>
      <c r="U2091" s="388"/>
      <c r="V2091" s="390"/>
      <c r="W2091" s="398"/>
      <c r="X2091" s="398"/>
    </row>
    <row r="2092" spans="1:24" ht="60.75" hidden="1" customHeight="1">
      <c r="A2092" s="493">
        <f t="shared" si="264"/>
        <v>533</v>
      </c>
      <c r="B2092" s="711" t="s">
        <v>4231</v>
      </c>
      <c r="C2092" s="543" t="s">
        <v>218</v>
      </c>
      <c r="D2092" s="770">
        <v>14666</v>
      </c>
      <c r="E2092" s="388">
        <v>4290</v>
      </c>
      <c r="F2092" s="542" t="s">
        <v>234</v>
      </c>
      <c r="G2092" s="388">
        <v>689.6</v>
      </c>
      <c r="H2092" s="446">
        <v>9</v>
      </c>
      <c r="I2092" s="446">
        <v>2</v>
      </c>
      <c r="J2092" s="446" t="s">
        <v>46</v>
      </c>
      <c r="K2092" s="397" t="s">
        <v>38</v>
      </c>
      <c r="L2092" s="388">
        <f>M2092+N2092+O2092+P2092+Q2092</f>
        <v>7229192.3099999996</v>
      </c>
      <c r="M2092" s="388">
        <v>7200000</v>
      </c>
      <c r="N2092" s="388">
        <v>29192.31</v>
      </c>
      <c r="O2092" s="388"/>
      <c r="P2092" s="388"/>
      <c r="Q2092" s="388"/>
      <c r="R2092" s="446"/>
      <c r="S2092" s="388">
        <f t="shared" si="262"/>
        <v>-4.1109160520136356E-10</v>
      </c>
      <c r="T2092" s="390"/>
      <c r="U2092" s="388"/>
      <c r="V2092" s="390"/>
      <c r="W2092" s="398"/>
      <c r="X2092" s="398"/>
    </row>
    <row r="2093" spans="1:24" ht="60.75" hidden="1" customHeight="1">
      <c r="A2093" s="493">
        <f t="shared" si="264"/>
        <v>534</v>
      </c>
      <c r="B2093" s="403" t="s">
        <v>2446</v>
      </c>
      <c r="C2093" s="455" t="s">
        <v>272</v>
      </c>
      <c r="D2093" s="808">
        <v>30974</v>
      </c>
      <c r="E2093" s="391">
        <v>2816</v>
      </c>
      <c r="F2093" s="391" t="s">
        <v>234</v>
      </c>
      <c r="G2093" s="391">
        <v>1907.1</v>
      </c>
      <c r="H2093" s="528">
        <v>5</v>
      </c>
      <c r="I2093" s="528">
        <v>8</v>
      </c>
      <c r="J2093" s="528">
        <v>155</v>
      </c>
      <c r="K2093" s="458" t="s">
        <v>3880</v>
      </c>
      <c r="L2093" s="391">
        <f>M2093+N2093</f>
        <v>5617885</v>
      </c>
      <c r="M2093" s="391">
        <v>5583060</v>
      </c>
      <c r="N2093" s="388">
        <v>34825</v>
      </c>
      <c r="O2093" s="388"/>
      <c r="P2093" s="388"/>
      <c r="Q2093" s="388"/>
      <c r="R2093" s="446"/>
      <c r="S2093" s="388">
        <f t="shared" si="262"/>
        <v>0</v>
      </c>
      <c r="T2093" s="390"/>
      <c r="U2093" s="391"/>
      <c r="V2093" s="390"/>
      <c r="W2093" s="398"/>
      <c r="X2093" s="398"/>
    </row>
    <row r="2094" spans="1:24" ht="60.75" hidden="1" customHeight="1">
      <c r="A2094" s="493">
        <f t="shared" si="264"/>
        <v>535</v>
      </c>
      <c r="B2094" s="711" t="s">
        <v>4232</v>
      </c>
      <c r="C2094" s="543" t="s">
        <v>272</v>
      </c>
      <c r="D2094" s="770">
        <v>3268</v>
      </c>
      <c r="E2094" s="388">
        <v>958</v>
      </c>
      <c r="F2094" s="542" t="s">
        <v>252</v>
      </c>
      <c r="G2094" s="388">
        <v>654</v>
      </c>
      <c r="H2094" s="446">
        <v>2</v>
      </c>
      <c r="I2094" s="446">
        <v>2</v>
      </c>
      <c r="J2094" s="446">
        <v>14</v>
      </c>
      <c r="K2094" s="397" t="s">
        <v>4141</v>
      </c>
      <c r="L2094" s="388">
        <f>M2094+N2094+O2094+P2094+Q2094</f>
        <v>526000</v>
      </c>
      <c r="M2094" s="388">
        <v>500000</v>
      </c>
      <c r="N2094" s="388">
        <v>26000</v>
      </c>
      <c r="O2094" s="388"/>
      <c r="P2094" s="388"/>
      <c r="Q2094" s="388"/>
      <c r="R2094" s="446"/>
      <c r="S2094" s="388">
        <f t="shared" si="262"/>
        <v>0</v>
      </c>
      <c r="T2094" s="390"/>
      <c r="U2094" s="388"/>
      <c r="V2094" s="390"/>
      <c r="W2094" s="398"/>
      <c r="X2094" s="398"/>
    </row>
    <row r="2095" spans="1:24" ht="60.75" hidden="1" customHeight="1">
      <c r="A2095" s="493">
        <f t="shared" si="264"/>
        <v>536</v>
      </c>
      <c r="B2095" s="711" t="s">
        <v>3607</v>
      </c>
      <c r="C2095" s="543" t="s">
        <v>3608</v>
      </c>
      <c r="D2095" s="770">
        <v>26416</v>
      </c>
      <c r="E2095" s="388">
        <v>3192</v>
      </c>
      <c r="F2095" s="542" t="s">
        <v>3609</v>
      </c>
      <c r="G2095" s="388">
        <v>830</v>
      </c>
      <c r="H2095" s="446">
        <v>12</v>
      </c>
      <c r="I2095" s="446">
        <v>1</v>
      </c>
      <c r="J2095" s="446">
        <v>37</v>
      </c>
      <c r="K2095" s="397" t="s">
        <v>33</v>
      </c>
      <c r="L2095" s="388">
        <f>M2095+N2095+O2095+P2095+Q2095</f>
        <v>2940137</v>
      </c>
      <c r="M2095" s="388">
        <v>2900000</v>
      </c>
      <c r="N2095" s="388">
        <v>20137</v>
      </c>
      <c r="O2095" s="388"/>
      <c r="P2095" s="388"/>
      <c r="Q2095" s="388">
        <v>20000</v>
      </c>
      <c r="R2095" s="446"/>
      <c r="S2095" s="388">
        <f t="shared" si="262"/>
        <v>0</v>
      </c>
      <c r="T2095" s="390"/>
      <c r="U2095" s="388"/>
      <c r="V2095" s="390"/>
      <c r="W2095" s="398"/>
      <c r="X2095" s="398"/>
    </row>
    <row r="2096" spans="1:24" ht="60.75" hidden="1" customHeight="1">
      <c r="A2096" s="493">
        <f t="shared" si="264"/>
        <v>537</v>
      </c>
      <c r="B2096" s="403" t="s">
        <v>556</v>
      </c>
      <c r="C2096" s="455" t="s">
        <v>218</v>
      </c>
      <c r="D2096" s="808">
        <v>11933</v>
      </c>
      <c r="E2096" s="388">
        <v>2450</v>
      </c>
      <c r="F2096" s="388" t="s">
        <v>223</v>
      </c>
      <c r="G2096" s="391">
        <v>1145</v>
      </c>
      <c r="H2096" s="446">
        <v>5</v>
      </c>
      <c r="I2096" s="446">
        <v>4</v>
      </c>
      <c r="J2096" s="446">
        <v>80</v>
      </c>
      <c r="K2096" s="458" t="s">
        <v>33</v>
      </c>
      <c r="L2096" s="388">
        <f>M2096+N2096+O2096+P2096+Q2096</f>
        <v>3332978.35</v>
      </c>
      <c r="M2096" s="388">
        <v>3279470.35</v>
      </c>
      <c r="N2096" s="388"/>
      <c r="O2096" s="388">
        <v>23508</v>
      </c>
      <c r="P2096" s="388"/>
      <c r="Q2096" s="388">
        <v>30000</v>
      </c>
      <c r="R2096" s="446">
        <f>M2096/J2096</f>
        <v>40993.379375000004</v>
      </c>
      <c r="S2096" s="388">
        <f t="shared" si="262"/>
        <v>0</v>
      </c>
      <c r="T2096" s="390"/>
      <c r="U2096" s="388"/>
      <c r="V2096" s="390"/>
      <c r="W2096" s="398"/>
      <c r="X2096" s="398"/>
    </row>
    <row r="2097" spans="1:219" ht="60.75" hidden="1" customHeight="1">
      <c r="A2097" s="493">
        <f t="shared" si="264"/>
        <v>538</v>
      </c>
      <c r="B2097" s="403" t="s">
        <v>557</v>
      </c>
      <c r="C2097" s="455" t="s">
        <v>272</v>
      </c>
      <c r="D2097" s="808">
        <v>10690</v>
      </c>
      <c r="E2097" s="388">
        <v>1998.8000000000002</v>
      </c>
      <c r="F2097" s="388" t="s">
        <v>231</v>
      </c>
      <c r="G2097" s="391">
        <v>618</v>
      </c>
      <c r="H2097" s="446">
        <v>4</v>
      </c>
      <c r="I2097" s="446">
        <v>3</v>
      </c>
      <c r="J2097" s="446">
        <v>26</v>
      </c>
      <c r="K2097" s="458" t="s">
        <v>33</v>
      </c>
      <c r="L2097" s="388">
        <f>M2097+N2097+O2097+P2097+Q2097</f>
        <v>837656</v>
      </c>
      <c r="M2097" s="388">
        <v>837656</v>
      </c>
      <c r="N2097" s="388"/>
      <c r="O2097" s="388"/>
      <c r="P2097" s="388"/>
      <c r="Q2097" s="388"/>
      <c r="R2097" s="446"/>
      <c r="S2097" s="388">
        <f t="shared" si="262"/>
        <v>0</v>
      </c>
      <c r="T2097" s="390"/>
      <c r="U2097" s="388"/>
      <c r="V2097" s="390"/>
      <c r="W2097" s="398"/>
      <c r="X2097" s="398"/>
    </row>
    <row r="2098" spans="1:219" ht="60.75" hidden="1" customHeight="1">
      <c r="A2098" s="493">
        <f t="shared" si="264"/>
        <v>539</v>
      </c>
      <c r="B2098" s="403" t="s">
        <v>731</v>
      </c>
      <c r="C2098" s="455" t="s">
        <v>272</v>
      </c>
      <c r="D2098" s="808">
        <v>3324</v>
      </c>
      <c r="E2098" s="388">
        <v>1728</v>
      </c>
      <c r="F2098" s="388" t="s">
        <v>223</v>
      </c>
      <c r="G2098" s="391">
        <v>447</v>
      </c>
      <c r="H2098" s="446">
        <v>3</v>
      </c>
      <c r="I2098" s="446">
        <v>2</v>
      </c>
      <c r="J2098" s="446">
        <v>12</v>
      </c>
      <c r="K2098" s="458" t="s">
        <v>33</v>
      </c>
      <c r="L2098" s="391">
        <f>M2098+M2099+N2099+N2098+O2098+O2099+P2099+P2098+Q2098+Q2099</f>
        <v>2569009.0299999998</v>
      </c>
      <c r="M2098" s="388">
        <v>1250348</v>
      </c>
      <c r="N2098" s="388"/>
      <c r="O2098" s="388">
        <v>3736.03</v>
      </c>
      <c r="P2098" s="388"/>
      <c r="Q2098" s="388"/>
      <c r="R2098" s="446"/>
      <c r="S2098" s="388">
        <f t="shared" si="262"/>
        <v>1314924.9999999998</v>
      </c>
      <c r="T2098" s="390"/>
      <c r="U2098" s="388"/>
      <c r="V2098" s="390"/>
      <c r="W2098" s="398"/>
      <c r="X2098" s="398"/>
    </row>
    <row r="2099" spans="1:219" ht="60.75" hidden="1" customHeight="1">
      <c r="A2099" s="493"/>
      <c r="B2099" s="403"/>
      <c r="C2099" s="455"/>
      <c r="D2099" s="808"/>
      <c r="E2099" s="388"/>
      <c r="F2099" s="388"/>
      <c r="G2099" s="391"/>
      <c r="H2099" s="446"/>
      <c r="I2099" s="446"/>
      <c r="J2099" s="446"/>
      <c r="K2099" s="458" t="s">
        <v>38</v>
      </c>
      <c r="L2099" s="391"/>
      <c r="M2099" s="388">
        <v>1300000</v>
      </c>
      <c r="N2099" s="388"/>
      <c r="O2099" s="388">
        <v>14925</v>
      </c>
      <c r="P2099" s="388"/>
      <c r="Q2099" s="388"/>
      <c r="R2099" s="446"/>
      <c r="S2099" s="388">
        <f t="shared" si="262"/>
        <v>-1314925</v>
      </c>
      <c r="T2099" s="390"/>
      <c r="U2099" s="388"/>
      <c r="V2099" s="390"/>
      <c r="W2099" s="398"/>
      <c r="X2099" s="398"/>
    </row>
    <row r="2100" spans="1:219" ht="60.75" hidden="1" customHeight="1">
      <c r="A2100" s="493">
        <v>540</v>
      </c>
      <c r="B2100" s="403" t="s">
        <v>4233</v>
      </c>
      <c r="C2100" s="455" t="s">
        <v>218</v>
      </c>
      <c r="D2100" s="808">
        <v>25822</v>
      </c>
      <c r="E2100" s="388">
        <v>5400</v>
      </c>
      <c r="F2100" s="388" t="s">
        <v>234</v>
      </c>
      <c r="G2100" s="391">
        <v>1014.4</v>
      </c>
      <c r="H2100" s="446">
        <v>10</v>
      </c>
      <c r="I2100" s="446">
        <v>3</v>
      </c>
      <c r="J2100" s="446">
        <v>120</v>
      </c>
      <c r="K2100" s="458" t="s">
        <v>33</v>
      </c>
      <c r="L2100" s="391">
        <f>M2100+M2101+N2101+N2100+O2100+O2101+P2101+P2100+Q2100+Q2101</f>
        <v>18205443</v>
      </c>
      <c r="M2100" s="388">
        <v>2931704</v>
      </c>
      <c r="N2100" s="388"/>
      <c r="O2100" s="388">
        <v>14925</v>
      </c>
      <c r="P2100" s="388"/>
      <c r="Q2100" s="388"/>
      <c r="R2100" s="446"/>
      <c r="S2100" s="388">
        <f t="shared" si="262"/>
        <v>15258814</v>
      </c>
      <c r="T2100" s="390"/>
      <c r="U2100" s="388"/>
      <c r="V2100" s="390"/>
      <c r="W2100" s="398"/>
      <c r="X2100" s="398"/>
    </row>
    <row r="2101" spans="1:219" ht="60.75" hidden="1" customHeight="1">
      <c r="A2101" s="493"/>
      <c r="B2101" s="403"/>
      <c r="C2101" s="455"/>
      <c r="D2101" s="808"/>
      <c r="E2101" s="388"/>
      <c r="F2101" s="388"/>
      <c r="G2101" s="391"/>
      <c r="H2101" s="446"/>
      <c r="I2101" s="446"/>
      <c r="J2101" s="446"/>
      <c r="K2101" s="458" t="s">
        <v>227</v>
      </c>
      <c r="L2101" s="391"/>
      <c r="M2101" s="388">
        <v>15228964</v>
      </c>
      <c r="N2101" s="388">
        <v>29850</v>
      </c>
      <c r="O2101" s="388"/>
      <c r="P2101" s="388"/>
      <c r="Q2101" s="388"/>
      <c r="R2101" s="446"/>
      <c r="S2101" s="388">
        <f t="shared" si="262"/>
        <v>-15258814</v>
      </c>
      <c r="T2101" s="390"/>
      <c r="U2101" s="388"/>
      <c r="V2101" s="390"/>
      <c r="W2101" s="398"/>
      <c r="X2101" s="398"/>
    </row>
    <row r="2102" spans="1:219" ht="60.75" hidden="1" customHeight="1">
      <c r="A2102" s="493">
        <v>541</v>
      </c>
      <c r="B2102" s="403" t="s">
        <v>3601</v>
      </c>
      <c r="C2102" s="455" t="s">
        <v>272</v>
      </c>
      <c r="D2102" s="808">
        <v>27280</v>
      </c>
      <c r="E2102" s="388">
        <v>3753</v>
      </c>
      <c r="F2102" s="388" t="s">
        <v>234</v>
      </c>
      <c r="G2102" s="391">
        <v>1705</v>
      </c>
      <c r="H2102" s="446">
        <v>5</v>
      </c>
      <c r="I2102" s="446">
        <v>6</v>
      </c>
      <c r="J2102" s="446">
        <v>72</v>
      </c>
      <c r="K2102" s="458" t="s">
        <v>33</v>
      </c>
      <c r="L2102" s="388">
        <f t="shared" ref="L2102:L2108" si="265">M2102+N2102+O2102+P2102+Q2102</f>
        <v>1279409</v>
      </c>
      <c r="M2102" s="388">
        <v>1279409</v>
      </c>
      <c r="N2102" s="388"/>
      <c r="O2102" s="388"/>
      <c r="P2102" s="388"/>
      <c r="Q2102" s="388"/>
      <c r="R2102" s="446"/>
      <c r="S2102" s="388">
        <f t="shared" si="262"/>
        <v>0</v>
      </c>
      <c r="T2102" s="390"/>
      <c r="U2102" s="388"/>
      <c r="V2102" s="390"/>
      <c r="W2102" s="398"/>
      <c r="X2102" s="398"/>
    </row>
    <row r="2103" spans="1:219" ht="60.75" hidden="1" customHeight="1">
      <c r="A2103" s="493">
        <f>A2102+1</f>
        <v>542</v>
      </c>
      <c r="B2103" s="403" t="s">
        <v>450</v>
      </c>
      <c r="C2103" s="455" t="s">
        <v>272</v>
      </c>
      <c r="D2103" s="808">
        <v>10019</v>
      </c>
      <c r="E2103" s="388">
        <v>2121</v>
      </c>
      <c r="F2103" s="388" t="s">
        <v>234</v>
      </c>
      <c r="G2103" s="391">
        <v>396</v>
      </c>
      <c r="H2103" s="446">
        <v>9</v>
      </c>
      <c r="I2103" s="446">
        <v>1</v>
      </c>
      <c r="J2103" s="446">
        <v>51</v>
      </c>
      <c r="K2103" s="458" t="s">
        <v>33</v>
      </c>
      <c r="L2103" s="388">
        <f t="shared" si="265"/>
        <v>129687</v>
      </c>
      <c r="M2103" s="388">
        <v>129687</v>
      </c>
      <c r="N2103" s="388"/>
      <c r="O2103" s="388"/>
      <c r="P2103" s="388"/>
      <c r="Q2103" s="388"/>
      <c r="R2103" s="446"/>
      <c r="S2103" s="388">
        <f t="shared" si="262"/>
        <v>0</v>
      </c>
      <c r="T2103" s="390"/>
      <c r="U2103" s="388"/>
      <c r="V2103" s="390"/>
      <c r="W2103" s="398"/>
      <c r="X2103" s="398"/>
    </row>
    <row r="2104" spans="1:219" ht="60.75" hidden="1" customHeight="1">
      <c r="A2104" s="493">
        <f t="shared" ref="A2104:A2110" si="266">A2103+1</f>
        <v>543</v>
      </c>
      <c r="B2104" s="403" t="s">
        <v>771</v>
      </c>
      <c r="C2104" s="455" t="s">
        <v>272</v>
      </c>
      <c r="D2104" s="808">
        <v>13480</v>
      </c>
      <c r="E2104" s="388">
        <v>960</v>
      </c>
      <c r="F2104" s="388" t="s">
        <v>223</v>
      </c>
      <c r="G2104" s="391">
        <v>1160</v>
      </c>
      <c r="H2104" s="446">
        <v>5</v>
      </c>
      <c r="I2104" s="446">
        <v>4</v>
      </c>
      <c r="J2104" s="446">
        <v>42</v>
      </c>
      <c r="K2104" s="458" t="s">
        <v>30</v>
      </c>
      <c r="L2104" s="388">
        <f t="shared" si="265"/>
        <v>1136288.99</v>
      </c>
      <c r="M2104" s="388">
        <v>1132904</v>
      </c>
      <c r="N2104" s="388"/>
      <c r="O2104" s="388">
        <v>3384.99</v>
      </c>
      <c r="P2104" s="388"/>
      <c r="Q2104" s="388"/>
      <c r="R2104" s="446"/>
      <c r="S2104" s="388">
        <f t="shared" si="262"/>
        <v>-9.0949470177292824E-12</v>
      </c>
      <c r="T2104" s="390"/>
      <c r="U2104" s="388"/>
      <c r="V2104" s="390"/>
      <c r="W2104" s="398"/>
      <c r="X2104" s="398"/>
      <c r="Z2104" s="416">
        <v>1</v>
      </c>
      <c r="AA2104" s="416">
        <f>J2104</f>
        <v>42</v>
      </c>
    </row>
    <row r="2105" spans="1:219" ht="60.75" hidden="1" customHeight="1">
      <c r="A2105" s="493">
        <f t="shared" si="266"/>
        <v>544</v>
      </c>
      <c r="B2105" s="403" t="s">
        <v>2535</v>
      </c>
      <c r="C2105" s="455" t="s">
        <v>218</v>
      </c>
      <c r="D2105" s="808">
        <v>43747.72</v>
      </c>
      <c r="E2105" s="388">
        <v>4000</v>
      </c>
      <c r="F2105" s="388" t="s">
        <v>234</v>
      </c>
      <c r="G2105" s="391">
        <v>2022</v>
      </c>
      <c r="H2105" s="446">
        <v>9</v>
      </c>
      <c r="I2105" s="446">
        <v>6</v>
      </c>
      <c r="J2105" s="446">
        <v>216</v>
      </c>
      <c r="K2105" s="458" t="s">
        <v>227</v>
      </c>
      <c r="L2105" s="391">
        <f t="shared" si="265"/>
        <v>14029888</v>
      </c>
      <c r="M2105" s="388">
        <v>14000000</v>
      </c>
      <c r="N2105" s="388">
        <v>29888</v>
      </c>
      <c r="O2105" s="388"/>
      <c r="P2105" s="388"/>
      <c r="Q2105" s="388"/>
      <c r="R2105" s="446"/>
      <c r="S2105" s="388">
        <f t="shared" si="262"/>
        <v>0</v>
      </c>
      <c r="T2105" s="390"/>
      <c r="U2105" s="388"/>
      <c r="V2105" s="390"/>
      <c r="W2105" s="398"/>
      <c r="X2105" s="398"/>
      <c r="Z2105" s="416"/>
      <c r="AA2105" s="416"/>
    </row>
    <row r="2106" spans="1:219" ht="60.75" hidden="1" customHeight="1">
      <c r="A2106" s="493">
        <f t="shared" si="266"/>
        <v>545</v>
      </c>
      <c r="B2106" s="403" t="s">
        <v>4298</v>
      </c>
      <c r="C2106" s="455" t="s">
        <v>218</v>
      </c>
      <c r="D2106" s="808">
        <v>48322</v>
      </c>
      <c r="E2106" s="388">
        <v>4000</v>
      </c>
      <c r="F2106" s="388" t="s">
        <v>234</v>
      </c>
      <c r="G2106" s="391">
        <v>2064</v>
      </c>
      <c r="H2106" s="446">
        <v>9</v>
      </c>
      <c r="I2106" s="446">
        <v>6</v>
      </c>
      <c r="J2106" s="446">
        <v>214</v>
      </c>
      <c r="K2106" s="458" t="s">
        <v>227</v>
      </c>
      <c r="L2106" s="391">
        <f t="shared" si="265"/>
        <v>14031039</v>
      </c>
      <c r="M2106" s="388">
        <v>14000000</v>
      </c>
      <c r="N2106" s="388">
        <v>31039</v>
      </c>
      <c r="O2106" s="388"/>
      <c r="P2106" s="388"/>
      <c r="Q2106" s="388"/>
      <c r="R2106" s="446"/>
      <c r="S2106" s="388">
        <f>L2106-M2106-N2106-O2106-P2106-Q2106</f>
        <v>0</v>
      </c>
      <c r="T2106" s="390"/>
      <c r="U2106" s="388"/>
      <c r="V2106" s="390"/>
      <c r="W2106" s="398"/>
      <c r="X2106" s="398"/>
      <c r="Z2106" s="416"/>
      <c r="AA2106" s="416"/>
    </row>
    <row r="2107" spans="1:219" ht="60.75" hidden="1" customHeight="1">
      <c r="A2107" s="493">
        <f t="shared" si="266"/>
        <v>546</v>
      </c>
      <c r="B2107" s="403" t="s">
        <v>4308</v>
      </c>
      <c r="C2107" s="455" t="s">
        <v>218</v>
      </c>
      <c r="D2107" s="808">
        <v>16614</v>
      </c>
      <c r="E2107" s="388">
        <v>2350</v>
      </c>
      <c r="F2107" s="388" t="s">
        <v>234</v>
      </c>
      <c r="G2107" s="391">
        <v>705.1</v>
      </c>
      <c r="H2107" s="446">
        <v>9</v>
      </c>
      <c r="I2107" s="446">
        <v>2</v>
      </c>
      <c r="J2107" s="446">
        <v>80</v>
      </c>
      <c r="K2107" s="458" t="s">
        <v>227</v>
      </c>
      <c r="L2107" s="391">
        <f t="shared" si="265"/>
        <v>8593059</v>
      </c>
      <c r="M2107" s="388">
        <v>8570000</v>
      </c>
      <c r="N2107" s="388">
        <v>23059</v>
      </c>
      <c r="O2107" s="388"/>
      <c r="P2107" s="388"/>
      <c r="Q2107" s="388"/>
      <c r="R2107" s="446"/>
      <c r="S2107" s="388"/>
      <c r="T2107" s="390"/>
      <c r="U2107" s="388"/>
      <c r="V2107" s="390"/>
      <c r="W2107" s="398"/>
      <c r="X2107" s="398"/>
      <c r="Z2107" s="416"/>
      <c r="AA2107" s="416"/>
    </row>
    <row r="2108" spans="1:219" ht="60.75" hidden="1" customHeight="1">
      <c r="A2108" s="493">
        <f t="shared" si="266"/>
        <v>547</v>
      </c>
      <c r="B2108" s="403" t="s">
        <v>4131</v>
      </c>
      <c r="C2108" s="455" t="s">
        <v>218</v>
      </c>
      <c r="D2108" s="808">
        <v>12561</v>
      </c>
      <c r="E2108" s="388">
        <v>2513</v>
      </c>
      <c r="F2108" s="388" t="s">
        <v>234</v>
      </c>
      <c r="G2108" s="391">
        <v>398</v>
      </c>
      <c r="H2108" s="446">
        <v>12</v>
      </c>
      <c r="I2108" s="446">
        <v>1</v>
      </c>
      <c r="J2108" s="446">
        <v>48</v>
      </c>
      <c r="K2108" s="458" t="s">
        <v>227</v>
      </c>
      <c r="L2108" s="391">
        <f t="shared" si="265"/>
        <v>7022197</v>
      </c>
      <c r="M2108" s="388">
        <v>7000000</v>
      </c>
      <c r="N2108" s="388">
        <v>22197</v>
      </c>
      <c r="O2108" s="388"/>
      <c r="P2108" s="388"/>
      <c r="Q2108" s="388"/>
      <c r="R2108" s="446"/>
      <c r="S2108" s="388"/>
      <c r="T2108" s="390"/>
      <c r="U2108" s="388"/>
      <c r="V2108" s="390"/>
      <c r="W2108" s="398"/>
      <c r="X2108" s="398"/>
      <c r="Z2108" s="416"/>
      <c r="AA2108" s="416"/>
    </row>
    <row r="2109" spans="1:219" ht="60.75" hidden="1" customHeight="1">
      <c r="A2109" s="493">
        <f t="shared" si="266"/>
        <v>548</v>
      </c>
      <c r="B2109" s="403" t="s">
        <v>4309</v>
      </c>
      <c r="C2109" s="455" t="s">
        <v>272</v>
      </c>
      <c r="D2109" s="808">
        <v>10014</v>
      </c>
      <c r="E2109" s="388">
        <v>1971</v>
      </c>
      <c r="F2109" s="388" t="s">
        <v>4310</v>
      </c>
      <c r="G2109" s="391">
        <v>420.4</v>
      </c>
      <c r="H2109" s="446">
        <v>9</v>
      </c>
      <c r="I2109" s="446">
        <v>1</v>
      </c>
      <c r="J2109" s="446">
        <v>36</v>
      </c>
      <c r="K2109" s="458" t="s">
        <v>227</v>
      </c>
      <c r="L2109" s="391">
        <f t="shared" ref="L2109:L2110" si="267">M2109+N2109+O2109+P2109+Q2109</f>
        <v>6021398</v>
      </c>
      <c r="M2109" s="388">
        <v>6000000</v>
      </c>
      <c r="N2109" s="388">
        <v>21398</v>
      </c>
      <c r="O2109" s="388"/>
      <c r="P2109" s="388"/>
      <c r="Q2109" s="388"/>
      <c r="R2109" s="446"/>
      <c r="S2109" s="388"/>
      <c r="T2109" s="390"/>
      <c r="U2109" s="388"/>
      <c r="V2109" s="390"/>
      <c r="W2109" s="398"/>
      <c r="X2109" s="398"/>
      <c r="Z2109" s="416"/>
      <c r="AA2109" s="416"/>
    </row>
    <row r="2110" spans="1:219" ht="80.25" hidden="1" customHeight="1">
      <c r="A2110" s="493">
        <f t="shared" si="266"/>
        <v>549</v>
      </c>
      <c r="B2110" s="427" t="s">
        <v>1436</v>
      </c>
      <c r="C2110" s="455" t="s">
        <v>272</v>
      </c>
      <c r="D2110" s="808">
        <v>45455</v>
      </c>
      <c r="E2110" s="455">
        <v>6089</v>
      </c>
      <c r="F2110" s="455" t="s">
        <v>234</v>
      </c>
      <c r="G2110" s="817">
        <v>3221.7</v>
      </c>
      <c r="H2110" s="455">
        <v>9</v>
      </c>
      <c r="I2110" s="455">
        <v>4</v>
      </c>
      <c r="J2110" s="455">
        <v>128</v>
      </c>
      <c r="K2110" s="458" t="s">
        <v>4381</v>
      </c>
      <c r="L2110" s="391">
        <f t="shared" si="267"/>
        <v>36314</v>
      </c>
      <c r="M2110" s="388"/>
      <c r="N2110" s="388">
        <v>36314</v>
      </c>
      <c r="O2110" s="388"/>
      <c r="P2110" s="388"/>
      <c r="Q2110" s="388"/>
      <c r="R2110" s="446"/>
      <c r="S2110" s="388"/>
      <c r="T2110" s="390"/>
      <c r="U2110" s="388"/>
      <c r="V2110" s="390"/>
      <c r="W2110" s="398"/>
      <c r="X2110" s="398"/>
      <c r="Z2110" s="416"/>
      <c r="AA2110" s="416"/>
    </row>
    <row r="2111" spans="1:219" s="431" customFormat="1" ht="42.75" hidden="1" customHeight="1">
      <c r="A2111" s="1112" t="s">
        <v>209</v>
      </c>
      <c r="B2111" s="1112"/>
      <c r="C2111" s="446" t="s">
        <v>28</v>
      </c>
      <c r="D2111" s="637">
        <f>SUM(D1467:D2110)</f>
        <v>10693423.819999998</v>
      </c>
      <c r="E2111" s="637">
        <f>SUM(E1467:E2110)</f>
        <v>1874827.0799999998</v>
      </c>
      <c r="F2111" s="388" t="s">
        <v>28</v>
      </c>
      <c r="G2111" s="637">
        <f>SUM(G1467:G2110)</f>
        <v>619905.80000000016</v>
      </c>
      <c r="H2111" s="446" t="s">
        <v>28</v>
      </c>
      <c r="I2111" s="446" t="s">
        <v>28</v>
      </c>
      <c r="J2111" s="638">
        <f>SUM(J1467:J2110)</f>
        <v>48076</v>
      </c>
      <c r="K2111" s="458" t="s">
        <v>28</v>
      </c>
      <c r="L2111" s="529">
        <f t="shared" ref="L2111:Q2111" si="268">SUM(L1467:L2110)</f>
        <v>2614939451.5800023</v>
      </c>
      <c r="M2111" s="529">
        <f t="shared" si="268"/>
        <v>2577576345.0899997</v>
      </c>
      <c r="N2111" s="391">
        <f t="shared" si="268"/>
        <v>19400111.959999993</v>
      </c>
      <c r="O2111" s="530">
        <f t="shared" si="268"/>
        <v>7216440.6899999985</v>
      </c>
      <c r="P2111" s="530">
        <f t="shared" si="268"/>
        <v>0</v>
      </c>
      <c r="Q2111" s="530">
        <f t="shared" si="268"/>
        <v>10746553.840000007</v>
      </c>
      <c r="R2111" s="382" t="s">
        <v>28</v>
      </c>
      <c r="S2111" s="383" t="e">
        <f>'1.перечень МКД'!#REF!</f>
        <v>#REF!</v>
      </c>
      <c r="T2111" s="387" t="e">
        <f>L2111-S2111</f>
        <v>#REF!</v>
      </c>
      <c r="U2111" s="390"/>
      <c r="V2111" s="390"/>
      <c r="W2111" s="984"/>
      <c r="X2111" s="984"/>
      <c r="Y2111" s="502"/>
      <c r="Z2111" s="502"/>
      <c r="AA2111" s="502"/>
      <c r="AB2111" s="985"/>
      <c r="AC2111" s="499"/>
      <c r="AD2111" s="499"/>
      <c r="AE2111" s="499"/>
      <c r="AF2111" s="986"/>
      <c r="AG2111" s="986"/>
      <c r="AH2111" s="986"/>
      <c r="AI2111" s="987"/>
      <c r="AJ2111" s="500"/>
      <c r="AK2111" s="988"/>
      <c r="AL2111" s="989"/>
      <c r="AM2111" s="984"/>
      <c r="AN2111" s="984"/>
      <c r="AO2111" s="984"/>
      <c r="AP2111" s="502"/>
      <c r="AQ2111" s="502"/>
      <c r="AR2111" s="502"/>
      <c r="AS2111" s="502"/>
      <c r="AT2111" s="985"/>
      <c r="AU2111" s="499"/>
      <c r="AV2111" s="499"/>
      <c r="AW2111" s="499"/>
      <c r="AX2111" s="986"/>
      <c r="AY2111" s="986"/>
      <c r="AZ2111" s="986"/>
      <c r="BA2111" s="987"/>
      <c r="BB2111" s="500"/>
      <c r="BC2111" s="988"/>
      <c r="BD2111" s="989"/>
      <c r="BE2111" s="984"/>
      <c r="BF2111" s="984"/>
      <c r="BG2111" s="984"/>
      <c r="BH2111" s="502"/>
      <c r="BI2111" s="502"/>
      <c r="BJ2111" s="502"/>
      <c r="BK2111" s="502"/>
      <c r="BL2111" s="985"/>
      <c r="BM2111" s="499"/>
      <c r="BN2111" s="499"/>
      <c r="BO2111" s="499"/>
      <c r="BP2111" s="986"/>
      <c r="BQ2111" s="986"/>
      <c r="BR2111" s="986"/>
      <c r="BS2111" s="987"/>
      <c r="BT2111" s="500"/>
      <c r="BU2111" s="988"/>
      <c r="BV2111" s="989"/>
      <c r="BW2111" s="984"/>
      <c r="BX2111" s="984"/>
      <c r="BY2111" s="984"/>
      <c r="BZ2111" s="502"/>
      <c r="CA2111" s="502"/>
      <c r="CB2111" s="502"/>
      <c r="CC2111" s="502"/>
      <c r="CD2111" s="985"/>
      <c r="CE2111" s="499"/>
      <c r="CF2111" s="499"/>
      <c r="CG2111" s="499"/>
      <c r="CH2111" s="986"/>
      <c r="CI2111" s="986"/>
      <c r="CJ2111" s="986"/>
      <c r="CK2111" s="987"/>
      <c r="CL2111" s="500"/>
      <c r="CM2111" s="988"/>
      <c r="CN2111" s="989"/>
      <c r="CO2111" s="984"/>
      <c r="CP2111" s="984"/>
      <c r="CQ2111" s="984"/>
      <c r="CR2111" s="502"/>
      <c r="CS2111" s="502"/>
      <c r="CT2111" s="502"/>
      <c r="CU2111" s="502"/>
      <c r="CV2111" s="985"/>
      <c r="CW2111" s="499"/>
      <c r="CX2111" s="499"/>
      <c r="CY2111" s="499"/>
      <c r="CZ2111" s="986"/>
      <c r="DA2111" s="986"/>
      <c r="DB2111" s="986"/>
      <c r="DC2111" s="987"/>
      <c r="DD2111" s="500"/>
      <c r="DE2111" s="988"/>
      <c r="DF2111" s="989"/>
      <c r="DG2111" s="984"/>
      <c r="DH2111" s="984"/>
      <c r="DI2111" s="984"/>
      <c r="DJ2111" s="502"/>
      <c r="DK2111" s="502"/>
      <c r="DL2111" s="502"/>
      <c r="DM2111" s="502"/>
      <c r="DN2111" s="985"/>
      <c r="DO2111" s="499"/>
      <c r="DP2111" s="499"/>
      <c r="DQ2111" s="499"/>
      <c r="DR2111" s="986"/>
      <c r="DS2111" s="986"/>
      <c r="DT2111" s="986"/>
      <c r="DU2111" s="987"/>
      <c r="DV2111" s="500"/>
      <c r="DW2111" s="988"/>
      <c r="DX2111" s="989"/>
      <c r="DY2111" s="984"/>
      <c r="DZ2111" s="984"/>
      <c r="EA2111" s="984"/>
      <c r="EB2111" s="502"/>
      <c r="EC2111" s="502"/>
      <c r="ED2111" s="502"/>
      <c r="EE2111" s="502"/>
      <c r="EF2111" s="985"/>
      <c r="EG2111" s="499"/>
      <c r="EH2111" s="499"/>
      <c r="EI2111" s="499"/>
      <c r="EJ2111" s="986"/>
      <c r="EK2111" s="986"/>
      <c r="EL2111" s="986"/>
      <c r="EM2111" s="987"/>
      <c r="EN2111" s="500"/>
      <c r="EO2111" s="988"/>
      <c r="EP2111" s="989"/>
      <c r="EQ2111" s="984"/>
      <c r="ER2111" s="984"/>
      <c r="ES2111" s="984"/>
      <c r="ET2111" s="502"/>
      <c r="EU2111" s="502"/>
      <c r="EV2111" s="502"/>
      <c r="EW2111" s="502"/>
      <c r="EX2111" s="985"/>
      <c r="EY2111" s="499"/>
      <c r="EZ2111" s="499"/>
      <c r="FA2111" s="499"/>
      <c r="FB2111" s="986"/>
      <c r="FC2111" s="986"/>
      <c r="FD2111" s="986"/>
      <c r="FE2111" s="987"/>
      <c r="FF2111" s="500"/>
      <c r="FG2111" s="988"/>
      <c r="FH2111" s="989"/>
      <c r="FI2111" s="984"/>
      <c r="FJ2111" s="984"/>
      <c r="FK2111" s="984"/>
      <c r="FL2111" s="502"/>
      <c r="FM2111" s="502"/>
      <c r="FN2111" s="502"/>
      <c r="FO2111" s="502"/>
      <c r="FP2111" s="985"/>
      <c r="FQ2111" s="499"/>
      <c r="FR2111" s="499"/>
      <c r="FS2111" s="499"/>
      <c r="FT2111" s="986"/>
      <c r="FU2111" s="986"/>
      <c r="FV2111" s="986"/>
      <c r="FW2111" s="987"/>
      <c r="FX2111" s="500"/>
      <c r="FY2111" s="988"/>
      <c r="FZ2111" s="989"/>
      <c r="GA2111" s="984"/>
      <c r="GB2111" s="984"/>
      <c r="GC2111" s="984"/>
      <c r="GD2111" s="502"/>
      <c r="GE2111" s="502"/>
      <c r="GF2111" s="502"/>
      <c r="GG2111" s="502"/>
      <c r="GH2111" s="985"/>
      <c r="GI2111" s="499"/>
      <c r="GJ2111" s="499"/>
      <c r="GK2111" s="499"/>
      <c r="GL2111" s="986"/>
      <c r="GM2111" s="986"/>
      <c r="GN2111" s="986"/>
      <c r="GO2111" s="987"/>
      <c r="GP2111" s="500"/>
      <c r="GQ2111" s="988"/>
      <c r="GR2111" s="989"/>
      <c r="GS2111" s="984"/>
      <c r="GT2111" s="984"/>
      <c r="GU2111" s="984"/>
      <c r="GV2111" s="502"/>
      <c r="GW2111" s="502"/>
      <c r="GX2111" s="502"/>
      <c r="GY2111" s="502"/>
      <c r="GZ2111" s="985"/>
      <c r="HA2111" s="499"/>
      <c r="HB2111" s="499"/>
      <c r="HC2111" s="499"/>
      <c r="HD2111" s="986"/>
      <c r="HE2111" s="986"/>
      <c r="HF2111" s="986"/>
      <c r="HG2111" s="987"/>
      <c r="HH2111" s="500"/>
      <c r="HI2111" s="988"/>
      <c r="HJ2111" s="989"/>
      <c r="HK2111" s="984"/>
    </row>
    <row r="2112" spans="1:219" s="431" customFormat="1" ht="37.5" hidden="1" customHeight="1">
      <c r="A2112" s="1126" t="s">
        <v>138</v>
      </c>
      <c r="B2112" s="1126"/>
      <c r="C2112" s="1126"/>
      <c r="D2112" s="1126"/>
      <c r="E2112" s="1126"/>
      <c r="F2112" s="1126"/>
      <c r="G2112" s="1126"/>
      <c r="H2112" s="1126"/>
      <c r="I2112" s="1126"/>
      <c r="J2112" s="1126"/>
      <c r="K2112" s="1126"/>
      <c r="L2112" s="1126"/>
      <c r="M2112" s="1126"/>
      <c r="N2112" s="1126"/>
      <c r="O2112" s="1126"/>
      <c r="P2112" s="1126"/>
      <c r="Q2112" s="1126"/>
      <c r="R2112" s="818"/>
      <c r="S2112" s="383"/>
      <c r="T2112" s="387"/>
      <c r="U2112" s="404"/>
      <c r="V2112" s="390"/>
      <c r="W2112" s="984"/>
      <c r="X2112" s="984"/>
      <c r="Y2112" s="502"/>
      <c r="Z2112" s="502"/>
      <c r="AA2112" s="502"/>
      <c r="AB2112" s="985"/>
      <c r="AC2112" s="499"/>
      <c r="AD2112" s="499"/>
      <c r="AE2112" s="499"/>
      <c r="AF2112" s="986"/>
      <c r="AG2112" s="986"/>
      <c r="AH2112" s="986"/>
      <c r="AI2112" s="987"/>
      <c r="AJ2112" s="500"/>
      <c r="AK2112" s="988"/>
      <c r="AL2112" s="989"/>
      <c r="AM2112" s="984"/>
      <c r="AN2112" s="984"/>
      <c r="AO2112" s="984"/>
      <c r="AP2112" s="502"/>
      <c r="AQ2112" s="502"/>
      <c r="AR2112" s="502"/>
      <c r="AS2112" s="502"/>
      <c r="AT2112" s="985"/>
      <c r="AU2112" s="499"/>
      <c r="AV2112" s="499"/>
      <c r="AW2112" s="499"/>
      <c r="AX2112" s="986"/>
      <c r="AY2112" s="986"/>
      <c r="AZ2112" s="986"/>
      <c r="BA2112" s="987"/>
      <c r="BB2112" s="500"/>
      <c r="BC2112" s="988"/>
      <c r="BD2112" s="989"/>
      <c r="BE2112" s="984"/>
      <c r="BF2112" s="984"/>
      <c r="BG2112" s="984"/>
      <c r="BH2112" s="502"/>
      <c r="BI2112" s="502"/>
      <c r="BJ2112" s="502"/>
      <c r="BK2112" s="502"/>
      <c r="BL2112" s="985"/>
      <c r="BM2112" s="499"/>
      <c r="BN2112" s="499"/>
      <c r="BO2112" s="499"/>
      <c r="BP2112" s="986"/>
      <c r="BQ2112" s="986"/>
      <c r="BR2112" s="986"/>
      <c r="BS2112" s="987"/>
      <c r="BT2112" s="500"/>
      <c r="BU2112" s="988"/>
      <c r="BV2112" s="989"/>
      <c r="BW2112" s="984"/>
      <c r="BX2112" s="984"/>
      <c r="BY2112" s="984"/>
      <c r="BZ2112" s="502"/>
      <c r="CA2112" s="502"/>
      <c r="CB2112" s="502"/>
      <c r="CC2112" s="502"/>
      <c r="CD2112" s="985"/>
      <c r="CE2112" s="499"/>
      <c r="CF2112" s="499"/>
      <c r="CG2112" s="499"/>
      <c r="CH2112" s="986"/>
      <c r="CI2112" s="986"/>
      <c r="CJ2112" s="986"/>
      <c r="CK2112" s="987"/>
      <c r="CL2112" s="500"/>
      <c r="CM2112" s="988"/>
      <c r="CN2112" s="989"/>
      <c r="CO2112" s="984"/>
      <c r="CP2112" s="984"/>
      <c r="CQ2112" s="984"/>
      <c r="CR2112" s="502"/>
      <c r="CS2112" s="502"/>
      <c r="CT2112" s="502"/>
      <c r="CU2112" s="502"/>
      <c r="CV2112" s="985"/>
      <c r="CW2112" s="499"/>
      <c r="CX2112" s="499"/>
      <c r="CY2112" s="499"/>
      <c r="CZ2112" s="986"/>
      <c r="DA2112" s="986"/>
      <c r="DB2112" s="986"/>
      <c r="DC2112" s="987"/>
      <c r="DD2112" s="500"/>
      <c r="DE2112" s="988"/>
      <c r="DF2112" s="989"/>
      <c r="DG2112" s="984"/>
      <c r="DH2112" s="984"/>
      <c r="DI2112" s="984"/>
      <c r="DJ2112" s="502"/>
      <c r="DK2112" s="502"/>
      <c r="DL2112" s="502"/>
      <c r="DM2112" s="502"/>
      <c r="DN2112" s="985"/>
      <c r="DO2112" s="499"/>
      <c r="DP2112" s="499"/>
      <c r="DQ2112" s="499"/>
      <c r="DR2112" s="986"/>
      <c r="DS2112" s="986"/>
      <c r="DT2112" s="986"/>
      <c r="DU2112" s="987"/>
      <c r="DV2112" s="500"/>
      <c r="DW2112" s="988"/>
      <c r="DX2112" s="989"/>
      <c r="DY2112" s="984"/>
      <c r="DZ2112" s="984"/>
      <c r="EA2112" s="984"/>
      <c r="EB2112" s="502"/>
      <c r="EC2112" s="502"/>
      <c r="ED2112" s="502"/>
      <c r="EE2112" s="502"/>
      <c r="EF2112" s="985"/>
      <c r="EG2112" s="499"/>
      <c r="EH2112" s="499"/>
      <c r="EI2112" s="499"/>
      <c r="EJ2112" s="986"/>
      <c r="EK2112" s="986"/>
      <c r="EL2112" s="986"/>
      <c r="EM2112" s="987"/>
      <c r="EN2112" s="500"/>
      <c r="EO2112" s="988"/>
      <c r="EP2112" s="989"/>
      <c r="EQ2112" s="984"/>
      <c r="ER2112" s="984"/>
      <c r="ES2112" s="984"/>
      <c r="ET2112" s="502"/>
      <c r="EU2112" s="502"/>
      <c r="EV2112" s="502"/>
      <c r="EW2112" s="502"/>
      <c r="EX2112" s="985"/>
      <c r="EY2112" s="499"/>
      <c r="EZ2112" s="499"/>
      <c r="FA2112" s="499"/>
      <c r="FB2112" s="986"/>
      <c r="FC2112" s="986"/>
      <c r="FD2112" s="986"/>
      <c r="FE2112" s="987"/>
      <c r="FF2112" s="500"/>
      <c r="FG2112" s="988"/>
      <c r="FH2112" s="989"/>
      <c r="FI2112" s="984"/>
      <c r="FJ2112" s="984"/>
      <c r="FK2112" s="984"/>
      <c r="FL2112" s="502"/>
      <c r="FM2112" s="502"/>
      <c r="FN2112" s="502"/>
      <c r="FO2112" s="502"/>
      <c r="FP2112" s="985"/>
      <c r="FQ2112" s="499"/>
      <c r="FR2112" s="499"/>
      <c r="FS2112" s="499"/>
      <c r="FT2112" s="986"/>
      <c r="FU2112" s="986"/>
      <c r="FV2112" s="986"/>
      <c r="FW2112" s="987"/>
      <c r="FX2112" s="500"/>
      <c r="FY2112" s="988"/>
      <c r="FZ2112" s="989"/>
      <c r="GA2112" s="984"/>
      <c r="GB2112" s="984"/>
      <c r="GC2112" s="984"/>
      <c r="GD2112" s="502"/>
      <c r="GE2112" s="502"/>
      <c r="GF2112" s="502"/>
      <c r="GG2112" s="502"/>
      <c r="GH2112" s="985"/>
      <c r="GI2112" s="499"/>
      <c r="GJ2112" s="499"/>
      <c r="GK2112" s="499"/>
      <c r="GL2112" s="986"/>
      <c r="GM2112" s="986"/>
      <c r="GN2112" s="986"/>
      <c r="GO2112" s="987"/>
      <c r="GP2112" s="500"/>
      <c r="GQ2112" s="988"/>
      <c r="GR2112" s="989"/>
      <c r="GS2112" s="984"/>
      <c r="GT2112" s="984"/>
      <c r="GU2112" s="984"/>
      <c r="GV2112" s="502"/>
      <c r="GW2112" s="502"/>
      <c r="GX2112" s="502"/>
      <c r="GY2112" s="502"/>
      <c r="GZ2112" s="985"/>
      <c r="HA2112" s="499"/>
      <c r="HB2112" s="499"/>
      <c r="HC2112" s="499"/>
      <c r="HD2112" s="986"/>
      <c r="HE2112" s="986"/>
      <c r="HF2112" s="986"/>
      <c r="HG2112" s="987"/>
      <c r="HH2112" s="500"/>
      <c r="HI2112" s="988"/>
      <c r="HJ2112" s="989"/>
      <c r="HK2112" s="984"/>
    </row>
    <row r="2113" spans="1:219" s="431" customFormat="1" ht="45" hidden="1" customHeight="1">
      <c r="A2113" s="1133" t="s">
        <v>137</v>
      </c>
      <c r="B2113" s="1133"/>
      <c r="C2113" s="382" t="s">
        <v>28</v>
      </c>
      <c r="D2113" s="383">
        <f>D2119+D2182+D2244+D2250+D2253+D2257+D2260+D2294+D2297+D2301+D2322+D2326+D2342+D2347+D2350+D2356+D2359+D2374+D2378+D2383+D2393+D2402+D2405+D2408+D2412+D2417+D2420+D2424+D2428+D2432+D2439+D2443+D2486+D2497+D2505+D2510+D2520+D2491</f>
        <v>3504747.4975999999</v>
      </c>
      <c r="E2113" s="383">
        <f>E2119+E2182+E2244+E2250+E2253+E2257+E2260+E2294+E2297+E2301+E2322+E2326+E2342+E2347+E2350+E2356+E2359+E2374+E2378+E2383+E2393+E2402+E2405+E2408+E2412+E2417+E2420+E2424+E2428+E2432+E2439+E2443+E2486+E2497+E2505+E2510+E2520+E2491</f>
        <v>643806.4090000001</v>
      </c>
      <c r="F2113" s="383" t="s">
        <v>28</v>
      </c>
      <c r="G2113" s="383">
        <f>G2119+G2182+G2244+G2250+G2253+G2257+G2260+G2294+G2297+G2301+G2322+G2326+G2342+G2347+G2350+G2356+G2359+G2374+G2378+G2383+G2393+G2402+G2405+G2408+G2412+G2417+G2420+G2424+G2428+G2432+G2439+G2443+G2486+G2497+G2505+G2510+G2520+G2491</f>
        <v>321031.71000000002</v>
      </c>
      <c r="H2113" s="382" t="s">
        <v>28</v>
      </c>
      <c r="I2113" s="382" t="s">
        <v>28</v>
      </c>
      <c r="J2113" s="382">
        <f>J2119+J2182+J2244+J2250+J2253+J2257+J2260+J2294+J2297+J2301+J2322+J2326+J2342+J2347+J2350+J2356+J2359+J2374+J2378+J2383+J2393+J2402+J2405+J2408+J2412+J2417+J2420+J2424+J2428+J2432+J2439+J2443+J2486+J2497+J2505+J2510+J2520+J2491</f>
        <v>18586</v>
      </c>
      <c r="K2113" s="387" t="s">
        <v>28</v>
      </c>
      <c r="L2113" s="384">
        <f t="shared" ref="L2113:Q2113" si="269">L2119+L2182+L2244+L2250+L2253+L2257+L2260+L2294+L2297+L2301+L2322+L2326+L2342+L2347+L2350+L2356+L2359+L2374+L2378+L2383+L2393+L2402+L2405+L2408+L2412+L2417+L2420+L2424+L2428+L2432+L2439+L2443+L2486+L2497+L2505+L2510+L2520+L2491</f>
        <v>890304510.63</v>
      </c>
      <c r="M2113" s="384">
        <f t="shared" si="269"/>
        <v>875253130.94000006</v>
      </c>
      <c r="N2113" s="383">
        <f t="shared" si="269"/>
        <v>8124433.4700000007</v>
      </c>
      <c r="O2113" s="385">
        <f t="shared" si="269"/>
        <v>1897021.0999999996</v>
      </c>
      <c r="P2113" s="383">
        <f t="shared" si="269"/>
        <v>0</v>
      </c>
      <c r="Q2113" s="383">
        <f t="shared" si="269"/>
        <v>5029925.1199999992</v>
      </c>
      <c r="R2113" s="446" t="s">
        <v>28</v>
      </c>
      <c r="S2113" s="383">
        <f>L2113-M2113-N2113-O2113-P2113-Q2113</f>
        <v>-6.1467289924621582E-8</v>
      </c>
      <c r="T2113" s="387" t="e">
        <f>L2113-U2113</f>
        <v>#REF!</v>
      </c>
      <c r="U2113" s="378" t="e">
        <f>'1.перечень МКД'!#REF!</f>
        <v>#REF!</v>
      </c>
      <c r="V2113" s="390"/>
      <c r="W2113" s="383"/>
      <c r="X2113" s="984"/>
      <c r="Y2113" s="502"/>
      <c r="Z2113" s="502"/>
      <c r="AA2113" s="502"/>
      <c r="AB2113" s="985"/>
      <c r="AC2113" s="499"/>
      <c r="AD2113" s="499"/>
      <c r="AE2113" s="499"/>
      <c r="AF2113" s="986"/>
      <c r="AG2113" s="986"/>
      <c r="AH2113" s="986"/>
      <c r="AI2113" s="987"/>
      <c r="AJ2113" s="500"/>
      <c r="AK2113" s="988"/>
      <c r="AL2113" s="989"/>
      <c r="AM2113" s="984"/>
      <c r="AN2113" s="984"/>
      <c r="AO2113" s="984"/>
      <c r="AP2113" s="502"/>
      <c r="AQ2113" s="502"/>
      <c r="AR2113" s="502"/>
      <c r="AS2113" s="502"/>
      <c r="AT2113" s="985"/>
      <c r="AU2113" s="499"/>
      <c r="AV2113" s="499"/>
      <c r="AW2113" s="499"/>
      <c r="AX2113" s="986"/>
      <c r="AY2113" s="986"/>
      <c r="AZ2113" s="986"/>
      <c r="BA2113" s="987"/>
      <c r="BB2113" s="500"/>
      <c r="BC2113" s="988"/>
      <c r="BD2113" s="989"/>
      <c r="BE2113" s="984"/>
      <c r="BF2113" s="984"/>
      <c r="BG2113" s="984"/>
      <c r="BH2113" s="502"/>
      <c r="BI2113" s="502"/>
      <c r="BJ2113" s="502"/>
      <c r="BK2113" s="502"/>
      <c r="BL2113" s="985"/>
      <c r="BM2113" s="499"/>
      <c r="BN2113" s="499"/>
      <c r="BO2113" s="499"/>
      <c r="BP2113" s="986"/>
      <c r="BQ2113" s="986"/>
      <c r="BR2113" s="986"/>
      <c r="BS2113" s="987"/>
      <c r="BT2113" s="500"/>
      <c r="BU2113" s="988"/>
      <c r="BV2113" s="989"/>
      <c r="BW2113" s="984"/>
      <c r="BX2113" s="984"/>
      <c r="BY2113" s="984"/>
      <c r="BZ2113" s="502"/>
      <c r="CA2113" s="502"/>
      <c r="CB2113" s="502"/>
      <c r="CC2113" s="502"/>
      <c r="CD2113" s="985"/>
      <c r="CE2113" s="499"/>
      <c r="CF2113" s="499"/>
      <c r="CG2113" s="499"/>
      <c r="CH2113" s="986"/>
      <c r="CI2113" s="986"/>
      <c r="CJ2113" s="986"/>
      <c r="CK2113" s="987"/>
      <c r="CL2113" s="500"/>
      <c r="CM2113" s="988"/>
      <c r="CN2113" s="989"/>
      <c r="CO2113" s="984"/>
      <c r="CP2113" s="984"/>
      <c r="CQ2113" s="984"/>
      <c r="CR2113" s="502"/>
      <c r="CS2113" s="502"/>
      <c r="CT2113" s="502"/>
      <c r="CU2113" s="502"/>
      <c r="CV2113" s="985"/>
      <c r="CW2113" s="499"/>
      <c r="CX2113" s="499"/>
      <c r="CY2113" s="499"/>
      <c r="CZ2113" s="986"/>
      <c r="DA2113" s="986"/>
      <c r="DB2113" s="986"/>
      <c r="DC2113" s="987"/>
      <c r="DD2113" s="500"/>
      <c r="DE2113" s="988"/>
      <c r="DF2113" s="989"/>
      <c r="DG2113" s="984"/>
      <c r="DH2113" s="984"/>
      <c r="DI2113" s="984"/>
      <c r="DJ2113" s="502"/>
      <c r="DK2113" s="502"/>
      <c r="DL2113" s="502"/>
      <c r="DM2113" s="502"/>
      <c r="DN2113" s="985"/>
      <c r="DO2113" s="499"/>
      <c r="DP2113" s="499"/>
      <c r="DQ2113" s="499"/>
      <c r="DR2113" s="986"/>
      <c r="DS2113" s="986"/>
      <c r="DT2113" s="986"/>
      <c r="DU2113" s="987"/>
      <c r="DV2113" s="500"/>
      <c r="DW2113" s="988"/>
      <c r="DX2113" s="989"/>
      <c r="DY2113" s="984"/>
      <c r="DZ2113" s="984"/>
      <c r="EA2113" s="984"/>
      <c r="EB2113" s="502"/>
      <c r="EC2113" s="502"/>
      <c r="ED2113" s="502"/>
      <c r="EE2113" s="502"/>
      <c r="EF2113" s="985"/>
      <c r="EG2113" s="499"/>
      <c r="EH2113" s="499"/>
      <c r="EI2113" s="499"/>
      <c r="EJ2113" s="986"/>
      <c r="EK2113" s="986"/>
      <c r="EL2113" s="986"/>
      <c r="EM2113" s="987"/>
      <c r="EN2113" s="500"/>
      <c r="EO2113" s="988"/>
      <c r="EP2113" s="989"/>
      <c r="EQ2113" s="984"/>
      <c r="ER2113" s="984"/>
      <c r="ES2113" s="984"/>
      <c r="ET2113" s="502"/>
      <c r="EU2113" s="502"/>
      <c r="EV2113" s="502"/>
      <c r="EW2113" s="502"/>
      <c r="EX2113" s="985"/>
      <c r="EY2113" s="499"/>
      <c r="EZ2113" s="499"/>
      <c r="FA2113" s="499"/>
      <c r="FB2113" s="986"/>
      <c r="FC2113" s="986"/>
      <c r="FD2113" s="986"/>
      <c r="FE2113" s="987"/>
      <c r="FF2113" s="500"/>
      <c r="FG2113" s="988"/>
      <c r="FH2113" s="989"/>
      <c r="FI2113" s="984"/>
      <c r="FJ2113" s="984"/>
      <c r="FK2113" s="984"/>
      <c r="FL2113" s="502"/>
      <c r="FM2113" s="502"/>
      <c r="FN2113" s="502"/>
      <c r="FO2113" s="502"/>
      <c r="FP2113" s="985"/>
      <c r="FQ2113" s="499"/>
      <c r="FR2113" s="499"/>
      <c r="FS2113" s="499"/>
      <c r="FT2113" s="986"/>
      <c r="FU2113" s="986"/>
      <c r="FV2113" s="986"/>
      <c r="FW2113" s="987"/>
      <c r="FX2113" s="500"/>
      <c r="FY2113" s="988"/>
      <c r="FZ2113" s="989"/>
      <c r="GA2113" s="984"/>
      <c r="GB2113" s="984"/>
      <c r="GC2113" s="984"/>
      <c r="GD2113" s="502"/>
      <c r="GE2113" s="502"/>
      <c r="GF2113" s="502"/>
      <c r="GG2113" s="502"/>
      <c r="GH2113" s="985"/>
      <c r="GI2113" s="499"/>
      <c r="GJ2113" s="499"/>
      <c r="GK2113" s="499"/>
      <c r="GL2113" s="986"/>
      <c r="GM2113" s="986"/>
      <c r="GN2113" s="986"/>
      <c r="GO2113" s="987"/>
      <c r="GP2113" s="500"/>
      <c r="GQ2113" s="988"/>
      <c r="GR2113" s="989"/>
      <c r="GS2113" s="984"/>
      <c r="GT2113" s="984"/>
      <c r="GU2113" s="984"/>
      <c r="GV2113" s="502"/>
      <c r="GW2113" s="502"/>
      <c r="GX2113" s="502"/>
      <c r="GY2113" s="502"/>
      <c r="GZ2113" s="985"/>
      <c r="HA2113" s="499"/>
      <c r="HB2113" s="499"/>
      <c r="HC2113" s="499"/>
      <c r="HD2113" s="986"/>
      <c r="HE2113" s="986"/>
      <c r="HF2113" s="986"/>
      <c r="HG2113" s="987"/>
      <c r="HH2113" s="500"/>
      <c r="HI2113" s="988"/>
      <c r="HJ2113" s="989"/>
      <c r="HK2113" s="984"/>
    </row>
    <row r="2114" spans="1:219" s="403" customFormat="1" ht="48.75" hidden="1" customHeight="1">
      <c r="A2114" s="1113" t="s">
        <v>29</v>
      </c>
      <c r="B2114" s="1113"/>
      <c r="C2114" s="1113"/>
      <c r="D2114" s="1113"/>
      <c r="E2114" s="1113"/>
      <c r="F2114" s="1113"/>
      <c r="G2114" s="1113"/>
      <c r="H2114" s="1113"/>
      <c r="I2114" s="1113"/>
      <c r="J2114" s="1113"/>
      <c r="K2114" s="1113"/>
      <c r="L2114" s="1113"/>
      <c r="M2114" s="1113"/>
      <c r="N2114" s="1113"/>
      <c r="O2114" s="1113"/>
      <c r="P2114" s="1113"/>
      <c r="Q2114" s="1113"/>
      <c r="R2114" s="458"/>
      <c r="T2114" s="393"/>
      <c r="U2114" s="404"/>
      <c r="V2114" s="390"/>
    </row>
    <row r="2115" spans="1:219" s="405" customFormat="1" ht="37.5" hidden="1" customHeight="1">
      <c r="A2115" s="397">
        <v>1</v>
      </c>
      <c r="B2115" s="427" t="s">
        <v>3511</v>
      </c>
      <c r="C2115" s="446" t="s">
        <v>218</v>
      </c>
      <c r="D2115" s="606">
        <v>7181.9999999999991</v>
      </c>
      <c r="E2115" s="391">
        <v>2565</v>
      </c>
      <c r="F2115" s="388" t="s">
        <v>234</v>
      </c>
      <c r="G2115" s="391">
        <v>540</v>
      </c>
      <c r="H2115" s="528">
        <v>9</v>
      </c>
      <c r="I2115" s="528">
        <v>1</v>
      </c>
      <c r="J2115" s="528">
        <v>36</v>
      </c>
      <c r="K2115" s="397" t="s">
        <v>220</v>
      </c>
      <c r="L2115" s="819">
        <f>M2115+N2115+O2115+P2115+Q2115</f>
        <v>2186680</v>
      </c>
      <c r="M2115" s="519">
        <v>2101680</v>
      </c>
      <c r="N2115" s="391">
        <v>85000</v>
      </c>
      <c r="O2115" s="530"/>
      <c r="P2115" s="388"/>
      <c r="Q2115" s="388"/>
      <c r="R2115" s="446">
        <f>M2115/I2115</f>
        <v>2101680</v>
      </c>
      <c r="S2115" s="383">
        <f>L2115-M2115-N2115-O2115-P2115-Q2115</f>
        <v>0</v>
      </c>
      <c r="V2115" s="390"/>
    </row>
    <row r="2116" spans="1:219" s="405" customFormat="1" ht="62.25" hidden="1" customHeight="1">
      <c r="A2116" s="682">
        <f>A2115+1</f>
        <v>2</v>
      </c>
      <c r="B2116" s="493" t="s">
        <v>3805</v>
      </c>
      <c r="C2116" s="493" t="s">
        <v>297</v>
      </c>
      <c r="D2116" s="641">
        <v>19462.5</v>
      </c>
      <c r="E2116" s="388">
        <v>7785</v>
      </c>
      <c r="F2116" s="388" t="s">
        <v>234</v>
      </c>
      <c r="G2116" s="388">
        <v>2080</v>
      </c>
      <c r="H2116" s="446">
        <v>9</v>
      </c>
      <c r="I2116" s="446">
        <v>8</v>
      </c>
      <c r="J2116" s="446">
        <v>286</v>
      </c>
      <c r="K2116" s="458" t="s">
        <v>220</v>
      </c>
      <c r="L2116" s="519">
        <f>M2116+N2116+O2116+P2116+Q2116</f>
        <v>16653620</v>
      </c>
      <c r="M2116" s="529">
        <v>16419870</v>
      </c>
      <c r="N2116" s="391">
        <f>85000*2.75</f>
        <v>233750</v>
      </c>
      <c r="O2116" s="473"/>
      <c r="P2116" s="388"/>
      <c r="Q2116" s="388"/>
      <c r="R2116" s="446">
        <f>M2116/I2116</f>
        <v>2052483.75</v>
      </c>
      <c r="S2116" s="383"/>
      <c r="V2116" s="390"/>
    </row>
    <row r="2117" spans="1:219" s="405" customFormat="1" ht="37.5" hidden="1" customHeight="1">
      <c r="A2117" s="397">
        <v>3</v>
      </c>
      <c r="B2117" s="403" t="s">
        <v>2734</v>
      </c>
      <c r="C2117" s="446" t="s">
        <v>218</v>
      </c>
      <c r="D2117" s="606">
        <v>35814</v>
      </c>
      <c r="E2117" s="391">
        <v>11938</v>
      </c>
      <c r="F2117" s="388" t="s">
        <v>234</v>
      </c>
      <c r="G2117" s="391">
        <v>5122</v>
      </c>
      <c r="H2117" s="528">
        <v>5</v>
      </c>
      <c r="I2117" s="528">
        <v>22</v>
      </c>
      <c r="J2117" s="528">
        <v>348</v>
      </c>
      <c r="K2117" s="458" t="s">
        <v>33</v>
      </c>
      <c r="L2117" s="819">
        <f>M2117+N2117+O2117+P2117+Q2117</f>
        <v>10288436.699999999</v>
      </c>
      <c r="M2117" s="519">
        <v>10244000</v>
      </c>
      <c r="N2117" s="391"/>
      <c r="O2117" s="643">
        <v>24536.7</v>
      </c>
      <c r="P2117" s="790"/>
      <c r="Q2117" s="388">
        <v>19900</v>
      </c>
      <c r="R2117" s="446">
        <f>M2117/G2117</f>
        <v>2000</v>
      </c>
      <c r="S2117" s="383">
        <f>L2117-M2117-N2117-O2117-P2117-Q2117</f>
        <v>-7.4578565545380116E-10</v>
      </c>
      <c r="V2117" s="390"/>
    </row>
    <row r="2118" spans="1:219" s="405" customFormat="1" ht="37.5" hidden="1" customHeight="1">
      <c r="A2118" s="397">
        <v>4</v>
      </c>
      <c r="B2118" s="403" t="s">
        <v>2736</v>
      </c>
      <c r="C2118" s="446" t="s">
        <v>218</v>
      </c>
      <c r="D2118" s="606">
        <v>22896</v>
      </c>
      <c r="E2118" s="391">
        <v>7632</v>
      </c>
      <c r="F2118" s="388" t="s">
        <v>234</v>
      </c>
      <c r="G2118" s="391">
        <v>3574</v>
      </c>
      <c r="H2118" s="528">
        <v>5</v>
      </c>
      <c r="I2118" s="528">
        <v>15</v>
      </c>
      <c r="J2118" s="528">
        <v>233</v>
      </c>
      <c r="K2118" s="397" t="s">
        <v>33</v>
      </c>
      <c r="L2118" s="819">
        <f>M2118+N2118+O2118+P2118+Q2118</f>
        <v>7190084.5199999996</v>
      </c>
      <c r="M2118" s="519">
        <v>7148000</v>
      </c>
      <c r="N2118" s="388"/>
      <c r="O2118" s="643">
        <v>22184.52</v>
      </c>
      <c r="P2118" s="388"/>
      <c r="Q2118" s="388">
        <v>19900</v>
      </c>
      <c r="R2118" s="446">
        <f>M2118/G2118</f>
        <v>2000</v>
      </c>
      <c r="S2118" s="383">
        <f>L2118-M2118-N2118-O2118-P2118-Q2118</f>
        <v>-4.4747139327228069E-10</v>
      </c>
      <c r="V2118" s="390"/>
    </row>
    <row r="2119" spans="1:219" s="403" customFormat="1" ht="42.75" hidden="1" customHeight="1">
      <c r="A2119" s="1112" t="s">
        <v>116</v>
      </c>
      <c r="B2119" s="1112"/>
      <c r="C2119" s="388" t="s">
        <v>28</v>
      </c>
      <c r="D2119" s="388">
        <f>SUM(D2115:D2118)</f>
        <v>85354.5</v>
      </c>
      <c r="E2119" s="388">
        <f>SUM(E2115:E2118)</f>
        <v>29920</v>
      </c>
      <c r="F2119" s="388" t="s">
        <v>28</v>
      </c>
      <c r="G2119" s="388">
        <f>SUM(G2115:G2118)</f>
        <v>11316</v>
      </c>
      <c r="H2119" s="446" t="s">
        <v>28</v>
      </c>
      <c r="I2119" s="446" t="s">
        <v>28</v>
      </c>
      <c r="J2119" s="446">
        <f>SUM(J2115:J2118)</f>
        <v>903</v>
      </c>
      <c r="K2119" s="458" t="s">
        <v>28</v>
      </c>
      <c r="L2119" s="519">
        <f t="shared" ref="L2119:Q2119" si="270">SUM(L2115:L2118)</f>
        <v>36318821.219999999</v>
      </c>
      <c r="M2119" s="519">
        <f t="shared" si="270"/>
        <v>35913550</v>
      </c>
      <c r="N2119" s="388">
        <f t="shared" si="270"/>
        <v>318750</v>
      </c>
      <c r="O2119" s="473">
        <f t="shared" si="270"/>
        <v>46721.22</v>
      </c>
      <c r="P2119" s="388">
        <f t="shared" si="270"/>
        <v>0</v>
      </c>
      <c r="Q2119" s="388">
        <f t="shared" si="270"/>
        <v>39800</v>
      </c>
      <c r="R2119" s="446" t="s">
        <v>28</v>
      </c>
      <c r="S2119" s="463">
        <f>L2119-M2119-N2119-O2119-P2119-Q2119</f>
        <v>-1.1932570487260818E-9</v>
      </c>
      <c r="U2119" s="404"/>
      <c r="V2119" s="390"/>
    </row>
    <row r="2120" spans="1:219" s="403" customFormat="1" ht="42.75" hidden="1" customHeight="1">
      <c r="A2120" s="1113" t="s">
        <v>35</v>
      </c>
      <c r="B2120" s="1113"/>
      <c r="C2120" s="1113"/>
      <c r="D2120" s="1113"/>
      <c r="E2120" s="1113"/>
      <c r="F2120" s="1113"/>
      <c r="G2120" s="1113"/>
      <c r="H2120" s="1113"/>
      <c r="I2120" s="1113"/>
      <c r="J2120" s="1113"/>
      <c r="K2120" s="1113"/>
      <c r="L2120" s="1113"/>
      <c r="M2120" s="1113"/>
      <c r="N2120" s="1113"/>
      <c r="O2120" s="1113"/>
      <c r="P2120" s="1113"/>
      <c r="Q2120" s="1113"/>
      <c r="R2120" s="458"/>
      <c r="T2120" s="393"/>
      <c r="U2120" s="404"/>
      <c r="V2120" s="390"/>
    </row>
    <row r="2121" spans="1:219" s="420" customFormat="1" ht="57.75" hidden="1" customHeight="1">
      <c r="A2121" s="500">
        <v>1</v>
      </c>
      <c r="B2121" s="403" t="s">
        <v>3514</v>
      </c>
      <c r="C2121" s="820" t="s">
        <v>222</v>
      </c>
      <c r="D2121" s="821">
        <v>15197</v>
      </c>
      <c r="E2121" s="391">
        <v>2662</v>
      </c>
      <c r="F2121" s="391" t="s">
        <v>228</v>
      </c>
      <c r="G2121" s="391">
        <v>571</v>
      </c>
      <c r="H2121" s="528">
        <v>9</v>
      </c>
      <c r="I2121" s="528">
        <v>1</v>
      </c>
      <c r="J2121" s="528">
        <v>51</v>
      </c>
      <c r="K2121" s="458" t="s">
        <v>220</v>
      </c>
      <c r="L2121" s="519">
        <f t="shared" ref="L2121:L2148" si="271">M2121+N2121+O2121+P2121+Q2121</f>
        <v>2190950</v>
      </c>
      <c r="M2121" s="529">
        <v>2105950</v>
      </c>
      <c r="N2121" s="391">
        <v>85000</v>
      </c>
      <c r="O2121" s="643"/>
      <c r="P2121" s="391"/>
      <c r="Q2121" s="388"/>
      <c r="R2121" s="446">
        <f>M2121/I2121</f>
        <v>2105950</v>
      </c>
      <c r="S2121" s="383">
        <f t="shared" ref="S2121:S2136" si="272">L2121-M2121-N2121-O2121-P2121-Q2121</f>
        <v>0</v>
      </c>
      <c r="T2121" s="393"/>
      <c r="U2121" s="405"/>
      <c r="V2121" s="390"/>
    </row>
    <row r="2122" spans="1:219" s="420" customFormat="1" ht="52.5" hidden="1" customHeight="1">
      <c r="A2122" s="500">
        <f>A2121+1</f>
        <v>2</v>
      </c>
      <c r="B2122" s="403" t="s">
        <v>1805</v>
      </c>
      <c r="C2122" s="446" t="s">
        <v>222</v>
      </c>
      <c r="D2122" s="821">
        <v>64338</v>
      </c>
      <c r="E2122" s="391">
        <v>9554.35</v>
      </c>
      <c r="F2122" s="391" t="s">
        <v>224</v>
      </c>
      <c r="G2122" s="391">
        <v>3193.3</v>
      </c>
      <c r="H2122" s="528">
        <v>9</v>
      </c>
      <c r="I2122" s="528">
        <v>7</v>
      </c>
      <c r="J2122" s="528">
        <v>239</v>
      </c>
      <c r="K2122" s="458" t="s">
        <v>227</v>
      </c>
      <c r="L2122" s="650">
        <f t="shared" si="271"/>
        <v>28768497</v>
      </c>
      <c r="M2122" s="650">
        <v>28663050</v>
      </c>
      <c r="N2122" s="651">
        <v>49099</v>
      </c>
      <c r="O2122" s="643">
        <v>26498</v>
      </c>
      <c r="P2122" s="651"/>
      <c r="Q2122" s="388">
        <v>29850</v>
      </c>
      <c r="R2122" s="528">
        <f>M2122/E2122</f>
        <v>3000</v>
      </c>
      <c r="S2122" s="383">
        <f t="shared" si="272"/>
        <v>0</v>
      </c>
      <c r="T2122" s="393"/>
      <c r="U2122" s="405"/>
      <c r="V2122" s="390"/>
    </row>
    <row r="2123" spans="1:219" s="404" customFormat="1" ht="37.5" hidden="1" customHeight="1">
      <c r="A2123" s="500">
        <f t="shared" ref="A2123:A2136" si="273">A2122+1</f>
        <v>3</v>
      </c>
      <c r="B2123" s="403" t="s">
        <v>1809</v>
      </c>
      <c r="C2123" s="820" t="s">
        <v>218</v>
      </c>
      <c r="D2123" s="821">
        <v>10371</v>
      </c>
      <c r="E2123" s="391">
        <v>3622.53</v>
      </c>
      <c r="F2123" s="391" t="s">
        <v>224</v>
      </c>
      <c r="G2123" s="391">
        <v>875</v>
      </c>
      <c r="H2123" s="528">
        <v>5</v>
      </c>
      <c r="I2123" s="528">
        <v>4</v>
      </c>
      <c r="J2123" s="528">
        <v>65</v>
      </c>
      <c r="K2123" s="458" t="s">
        <v>38</v>
      </c>
      <c r="L2123" s="650">
        <f t="shared" si="271"/>
        <v>6142080</v>
      </c>
      <c r="M2123" s="650">
        <v>6067590</v>
      </c>
      <c r="N2123" s="651">
        <v>28293</v>
      </c>
      <c r="O2123" s="643">
        <v>16347</v>
      </c>
      <c r="P2123" s="651"/>
      <c r="Q2123" s="388">
        <v>29850</v>
      </c>
      <c r="R2123" s="528">
        <f>M2123/E2123</f>
        <v>1674.9592135882931</v>
      </c>
      <c r="S2123" s="383">
        <f t="shared" si="272"/>
        <v>0</v>
      </c>
      <c r="T2123" s="383"/>
      <c r="V2123" s="390"/>
    </row>
    <row r="2124" spans="1:219" s="420" customFormat="1" ht="37.5" hidden="1" customHeight="1">
      <c r="A2124" s="500">
        <f t="shared" si="273"/>
        <v>4</v>
      </c>
      <c r="B2124" s="403" t="s">
        <v>1813</v>
      </c>
      <c r="C2124" s="820" t="s">
        <v>218</v>
      </c>
      <c r="D2124" s="821">
        <v>15059</v>
      </c>
      <c r="E2124" s="391">
        <v>5757.58</v>
      </c>
      <c r="F2124" s="391" t="s">
        <v>224</v>
      </c>
      <c r="G2124" s="391">
        <v>1730</v>
      </c>
      <c r="H2124" s="528">
        <v>9</v>
      </c>
      <c r="I2124" s="528">
        <v>5</v>
      </c>
      <c r="J2124" s="528">
        <v>180</v>
      </c>
      <c r="K2124" s="458" t="s">
        <v>227</v>
      </c>
      <c r="L2124" s="519">
        <f t="shared" si="271"/>
        <v>17060652</v>
      </c>
      <c r="M2124" s="519">
        <v>17000000</v>
      </c>
      <c r="N2124" s="388">
        <v>30652</v>
      </c>
      <c r="O2124" s="643"/>
      <c r="P2124" s="388"/>
      <c r="Q2124" s="388">
        <v>30000</v>
      </c>
      <c r="R2124" s="528">
        <f>M2124/E2124</f>
        <v>2952.6294033257027</v>
      </c>
      <c r="S2124" s="383">
        <f t="shared" si="272"/>
        <v>0</v>
      </c>
      <c r="T2124" s="393"/>
      <c r="U2124" s="405"/>
      <c r="V2124" s="390"/>
    </row>
    <row r="2125" spans="1:219" s="420" customFormat="1" ht="56.25" hidden="1" customHeight="1">
      <c r="A2125" s="500">
        <f t="shared" si="273"/>
        <v>5</v>
      </c>
      <c r="B2125" s="403" t="s">
        <v>3806</v>
      </c>
      <c r="C2125" s="820" t="s">
        <v>218</v>
      </c>
      <c r="D2125" s="821">
        <v>16938</v>
      </c>
      <c r="E2125" s="391">
        <v>2604.88</v>
      </c>
      <c r="F2125" s="391" t="s">
        <v>224</v>
      </c>
      <c r="G2125" s="391">
        <v>1414.5</v>
      </c>
      <c r="H2125" s="528">
        <v>5</v>
      </c>
      <c r="I2125" s="528">
        <v>6</v>
      </c>
      <c r="J2125" s="528">
        <v>90</v>
      </c>
      <c r="K2125" s="458" t="s">
        <v>238</v>
      </c>
      <c r="L2125" s="519">
        <f t="shared" si="271"/>
        <v>3603333.64</v>
      </c>
      <c r="M2125" s="529">
        <v>3548337</v>
      </c>
      <c r="N2125" s="391"/>
      <c r="O2125" s="643">
        <v>15196.64</v>
      </c>
      <c r="P2125" s="391"/>
      <c r="Q2125" s="388">
        <v>39800</v>
      </c>
      <c r="R2125" s="446">
        <f>M2125/J2125</f>
        <v>39425.966666666667</v>
      </c>
      <c r="S2125" s="383">
        <f t="shared" si="272"/>
        <v>1.3096723705530167E-10</v>
      </c>
      <c r="T2125" s="393"/>
      <c r="U2125" s="405"/>
      <c r="V2125" s="390"/>
      <c r="Z2125" s="416">
        <v>1</v>
      </c>
      <c r="AA2125" s="416">
        <f>J2125</f>
        <v>90</v>
      </c>
    </row>
    <row r="2126" spans="1:219" s="420" customFormat="1" ht="56.25" hidden="1" customHeight="1">
      <c r="A2126" s="500">
        <f t="shared" si="273"/>
        <v>6</v>
      </c>
      <c r="B2126" s="403" t="s">
        <v>1814</v>
      </c>
      <c r="C2126" s="820" t="s">
        <v>218</v>
      </c>
      <c r="D2126" s="821">
        <v>15805</v>
      </c>
      <c r="E2126" s="391">
        <v>2631.61</v>
      </c>
      <c r="F2126" s="391" t="s">
        <v>224</v>
      </c>
      <c r="G2126" s="391">
        <v>1280</v>
      </c>
      <c r="H2126" s="528">
        <v>5</v>
      </c>
      <c r="I2126" s="528">
        <v>6</v>
      </c>
      <c r="J2126" s="528">
        <v>79</v>
      </c>
      <c r="K2126" s="458" t="s">
        <v>238</v>
      </c>
      <c r="L2126" s="519">
        <f t="shared" si="271"/>
        <v>3608821.37</v>
      </c>
      <c r="M2126" s="529">
        <v>3559066</v>
      </c>
      <c r="N2126" s="391"/>
      <c r="O2126" s="643">
        <v>15436.43</v>
      </c>
      <c r="P2126" s="391"/>
      <c r="Q2126" s="388">
        <v>34318.94</v>
      </c>
      <c r="R2126" s="446">
        <f>M2126/J2126</f>
        <v>45051.468354430377</v>
      </c>
      <c r="S2126" s="383">
        <f t="shared" si="272"/>
        <v>1.0913936421275139E-10</v>
      </c>
      <c r="T2126" s="393"/>
      <c r="U2126" s="405"/>
      <c r="V2126" s="390"/>
      <c r="Z2126" s="416">
        <v>1</v>
      </c>
      <c r="AA2126" s="416">
        <f>J2126</f>
        <v>79</v>
      </c>
    </row>
    <row r="2127" spans="1:219" s="420" customFormat="1" ht="37.5" hidden="1" customHeight="1">
      <c r="A2127" s="500">
        <f t="shared" si="273"/>
        <v>7</v>
      </c>
      <c r="B2127" s="403" t="s">
        <v>1817</v>
      </c>
      <c r="C2127" s="446" t="s">
        <v>222</v>
      </c>
      <c r="D2127" s="821">
        <v>18626</v>
      </c>
      <c r="E2127" s="391">
        <v>3140</v>
      </c>
      <c r="F2127" s="391" t="s">
        <v>224</v>
      </c>
      <c r="G2127" s="391">
        <v>899.4</v>
      </c>
      <c r="H2127" s="528">
        <v>9</v>
      </c>
      <c r="I2127" s="528">
        <v>2</v>
      </c>
      <c r="J2127" s="528">
        <v>101</v>
      </c>
      <c r="K2127" s="458" t="s">
        <v>225</v>
      </c>
      <c r="L2127" s="645">
        <f t="shared" si="271"/>
        <v>1345748.04</v>
      </c>
      <c r="M2127" s="645">
        <v>1295626.92</v>
      </c>
      <c r="N2127" s="646">
        <v>32826.04</v>
      </c>
      <c r="O2127" s="647"/>
      <c r="P2127" s="646"/>
      <c r="Q2127" s="388">
        <v>17295.080000000002</v>
      </c>
      <c r="R2127" s="648">
        <f>M2127/J2127</f>
        <v>12827.989306930693</v>
      </c>
      <c r="S2127" s="383">
        <f t="shared" si="272"/>
        <v>1.0913936421275139E-10</v>
      </c>
      <c r="T2127" s="393"/>
      <c r="U2127" s="405"/>
      <c r="V2127" s="390"/>
    </row>
    <row r="2128" spans="1:219" s="420" customFormat="1" ht="30" hidden="1" customHeight="1">
      <c r="A2128" s="500">
        <f t="shared" si="273"/>
        <v>8</v>
      </c>
      <c r="B2128" s="403" t="s">
        <v>1820</v>
      </c>
      <c r="C2128" s="446" t="s">
        <v>222</v>
      </c>
      <c r="D2128" s="821">
        <v>19780</v>
      </c>
      <c r="E2128" s="391">
        <v>3690</v>
      </c>
      <c r="F2128" s="391" t="s">
        <v>224</v>
      </c>
      <c r="G2128" s="391">
        <v>731.86</v>
      </c>
      <c r="H2128" s="528">
        <v>9</v>
      </c>
      <c r="I2128" s="528">
        <v>1</v>
      </c>
      <c r="J2128" s="528">
        <v>152</v>
      </c>
      <c r="K2128" s="458" t="s">
        <v>33</v>
      </c>
      <c r="L2128" s="519">
        <f t="shared" si="271"/>
        <v>1407018.77</v>
      </c>
      <c r="M2128" s="519">
        <v>1361800</v>
      </c>
      <c r="N2128" s="388"/>
      <c r="O2128" s="643">
        <v>25318.77</v>
      </c>
      <c r="P2128" s="388"/>
      <c r="Q2128" s="388">
        <v>19900</v>
      </c>
      <c r="R2128" s="446">
        <f>M2128/G2128</f>
        <v>1860.7383925887464</v>
      </c>
      <c r="S2128" s="383">
        <f t="shared" si="272"/>
        <v>0</v>
      </c>
      <c r="T2128" s="393"/>
      <c r="U2128" s="405"/>
      <c r="V2128" s="390"/>
    </row>
    <row r="2129" spans="1:27" s="420" customFormat="1" ht="56.25" hidden="1" customHeight="1">
      <c r="A2129" s="500">
        <f t="shared" si="273"/>
        <v>9</v>
      </c>
      <c r="B2129" s="403" t="s">
        <v>1825</v>
      </c>
      <c r="C2129" s="820" t="s">
        <v>218</v>
      </c>
      <c r="D2129" s="821">
        <v>16608</v>
      </c>
      <c r="E2129" s="391">
        <v>3266.1</v>
      </c>
      <c r="F2129" s="391" t="s">
        <v>224</v>
      </c>
      <c r="G2129" s="391">
        <v>1441</v>
      </c>
      <c r="H2129" s="528">
        <v>5</v>
      </c>
      <c r="I2129" s="528">
        <v>6</v>
      </c>
      <c r="J2129" s="528">
        <v>78</v>
      </c>
      <c r="K2129" s="458" t="s">
        <v>238</v>
      </c>
      <c r="L2129" s="519">
        <f t="shared" si="271"/>
        <v>3432239.04</v>
      </c>
      <c r="M2129" s="529">
        <v>3377323</v>
      </c>
      <c r="N2129" s="391"/>
      <c r="O2129" s="643">
        <v>15116.04</v>
      </c>
      <c r="P2129" s="391"/>
      <c r="Q2129" s="388">
        <v>39800</v>
      </c>
      <c r="R2129" s="446">
        <f>M2129/J2129</f>
        <v>43299.01282051282</v>
      </c>
      <c r="S2129" s="383">
        <f t="shared" si="272"/>
        <v>0</v>
      </c>
      <c r="T2129" s="393"/>
      <c r="U2129" s="414"/>
      <c r="V2129" s="390"/>
      <c r="W2129" s="416"/>
      <c r="X2129" s="416"/>
      <c r="Z2129" s="416">
        <v>1</v>
      </c>
      <c r="AA2129" s="416">
        <f>J2129</f>
        <v>78</v>
      </c>
    </row>
    <row r="2130" spans="1:27" s="420" customFormat="1" ht="37.5" hidden="1" customHeight="1">
      <c r="A2130" s="500">
        <f t="shared" si="273"/>
        <v>10</v>
      </c>
      <c r="B2130" s="403" t="s">
        <v>1828</v>
      </c>
      <c r="C2130" s="446" t="s">
        <v>218</v>
      </c>
      <c r="D2130" s="821">
        <v>46878</v>
      </c>
      <c r="E2130" s="391">
        <v>7753.53</v>
      </c>
      <c r="F2130" s="391" t="s">
        <v>224</v>
      </c>
      <c r="G2130" s="391">
        <v>2161.5</v>
      </c>
      <c r="H2130" s="528">
        <v>9</v>
      </c>
      <c r="I2130" s="528">
        <v>6</v>
      </c>
      <c r="J2130" s="528">
        <v>216</v>
      </c>
      <c r="K2130" s="458" t="s">
        <v>227</v>
      </c>
      <c r="L2130" s="650">
        <f t="shared" si="271"/>
        <v>18100405</v>
      </c>
      <c r="M2130" s="650">
        <v>18000000</v>
      </c>
      <c r="N2130" s="651">
        <v>46014</v>
      </c>
      <c r="O2130" s="643">
        <v>24541</v>
      </c>
      <c r="P2130" s="651"/>
      <c r="Q2130" s="388">
        <v>29850</v>
      </c>
      <c r="R2130" s="528">
        <f>M2130/E2130</f>
        <v>2321.5232287745066</v>
      </c>
      <c r="S2130" s="383">
        <f t="shared" si="272"/>
        <v>0</v>
      </c>
      <c r="T2130" s="393"/>
      <c r="U2130" s="405"/>
      <c r="V2130" s="390"/>
    </row>
    <row r="2131" spans="1:27" s="420" customFormat="1" ht="37.5" hidden="1" customHeight="1">
      <c r="A2131" s="500">
        <f t="shared" si="273"/>
        <v>11</v>
      </c>
      <c r="B2131" s="403" t="s">
        <v>1831</v>
      </c>
      <c r="C2131" s="382" t="s">
        <v>218</v>
      </c>
      <c r="D2131" s="821">
        <v>5966</v>
      </c>
      <c r="E2131" s="391">
        <v>1425.42</v>
      </c>
      <c r="F2131" s="391" t="s">
        <v>224</v>
      </c>
      <c r="G2131" s="391">
        <v>470.6</v>
      </c>
      <c r="H2131" s="528">
        <v>5</v>
      </c>
      <c r="I2131" s="528">
        <v>2</v>
      </c>
      <c r="J2131" s="528">
        <v>30</v>
      </c>
      <c r="K2131" s="458" t="s">
        <v>260</v>
      </c>
      <c r="L2131" s="519">
        <f t="shared" si="271"/>
        <v>5042788</v>
      </c>
      <c r="M2131" s="529">
        <v>4988970</v>
      </c>
      <c r="N2131" s="388">
        <v>29986</v>
      </c>
      <c r="O2131" s="643"/>
      <c r="P2131" s="388"/>
      <c r="Q2131" s="388">
        <v>23832</v>
      </c>
      <c r="R2131" s="528">
        <f>M2131/E2131</f>
        <v>3500</v>
      </c>
      <c r="S2131" s="383">
        <f t="shared" si="272"/>
        <v>0</v>
      </c>
      <c r="T2131" s="393"/>
      <c r="U2131" s="414"/>
      <c r="V2131" s="390"/>
      <c r="W2131" s="416"/>
      <c r="X2131" s="416"/>
    </row>
    <row r="2132" spans="1:27" s="420" customFormat="1" ht="56.25" hidden="1" customHeight="1">
      <c r="A2132" s="500">
        <f t="shared" si="273"/>
        <v>12</v>
      </c>
      <c r="B2132" s="403" t="s">
        <v>1832</v>
      </c>
      <c r="C2132" s="820" t="s">
        <v>218</v>
      </c>
      <c r="D2132" s="821">
        <v>33815</v>
      </c>
      <c r="E2132" s="391">
        <v>6915.92</v>
      </c>
      <c r="F2132" s="391" t="s">
        <v>224</v>
      </c>
      <c r="G2132" s="391">
        <v>1410.5</v>
      </c>
      <c r="H2132" s="528">
        <v>9</v>
      </c>
      <c r="I2132" s="528">
        <v>3</v>
      </c>
      <c r="J2132" s="528">
        <v>144</v>
      </c>
      <c r="K2132" s="458" t="s">
        <v>238</v>
      </c>
      <c r="L2132" s="519">
        <f t="shared" si="271"/>
        <v>6010019.5899999999</v>
      </c>
      <c r="M2132" s="529">
        <v>5948646</v>
      </c>
      <c r="N2132" s="391"/>
      <c r="O2132" s="643">
        <v>21573.59</v>
      </c>
      <c r="P2132" s="391"/>
      <c r="Q2132" s="388">
        <v>39800</v>
      </c>
      <c r="R2132" s="446">
        <f>M2132/J2132</f>
        <v>41310.041666666664</v>
      </c>
      <c r="S2132" s="383">
        <f t="shared" si="272"/>
        <v>-1.4551915228366852E-10</v>
      </c>
      <c r="T2132" s="393"/>
      <c r="U2132" s="405"/>
      <c r="V2132" s="390"/>
      <c r="Z2132" s="416">
        <v>1</v>
      </c>
      <c r="AA2132" s="416">
        <f>J2132</f>
        <v>144</v>
      </c>
    </row>
    <row r="2133" spans="1:27" s="420" customFormat="1" ht="56.25" hidden="1" customHeight="1">
      <c r="A2133" s="500">
        <f t="shared" si="273"/>
        <v>13</v>
      </c>
      <c r="B2133" s="403" t="s">
        <v>1836</v>
      </c>
      <c r="C2133" s="820" t="s">
        <v>218</v>
      </c>
      <c r="D2133" s="821">
        <v>19081</v>
      </c>
      <c r="E2133" s="391">
        <v>2862.04</v>
      </c>
      <c r="F2133" s="391" t="s">
        <v>224</v>
      </c>
      <c r="G2133" s="391">
        <v>1573</v>
      </c>
      <c r="H2133" s="528">
        <v>5</v>
      </c>
      <c r="I2133" s="528">
        <v>8</v>
      </c>
      <c r="J2133" s="528">
        <v>117</v>
      </c>
      <c r="K2133" s="458" t="s">
        <v>238</v>
      </c>
      <c r="L2133" s="519">
        <f t="shared" si="271"/>
        <v>3029972.75</v>
      </c>
      <c r="M2133" s="529">
        <v>2975000</v>
      </c>
      <c r="N2133" s="391"/>
      <c r="O2133" s="643">
        <v>15172.75</v>
      </c>
      <c r="P2133" s="391"/>
      <c r="Q2133" s="388">
        <v>39800</v>
      </c>
      <c r="R2133" s="446">
        <f>M2133/J2133</f>
        <v>25427.350427350426</v>
      </c>
      <c r="S2133" s="383">
        <f t="shared" si="272"/>
        <v>0</v>
      </c>
      <c r="T2133" s="393"/>
      <c r="U2133" s="414"/>
      <c r="V2133" s="390"/>
      <c r="W2133" s="416"/>
      <c r="X2133" s="416"/>
      <c r="Z2133" s="416">
        <v>1</v>
      </c>
      <c r="AA2133" s="416">
        <f>J2133</f>
        <v>117</v>
      </c>
    </row>
    <row r="2134" spans="1:27" s="420" customFormat="1" ht="37.5" hidden="1" customHeight="1">
      <c r="A2134" s="500">
        <f t="shared" si="273"/>
        <v>14</v>
      </c>
      <c r="B2134" s="403" t="s">
        <v>1844</v>
      </c>
      <c r="C2134" s="446" t="s">
        <v>222</v>
      </c>
      <c r="D2134" s="821">
        <v>6669</v>
      </c>
      <c r="E2134" s="391">
        <v>1260</v>
      </c>
      <c r="F2134" s="391" t="s">
        <v>223</v>
      </c>
      <c r="G2134" s="391">
        <v>1049</v>
      </c>
      <c r="H2134" s="528">
        <v>3</v>
      </c>
      <c r="I2134" s="528">
        <v>3</v>
      </c>
      <c r="J2134" s="528">
        <v>33</v>
      </c>
      <c r="K2134" s="458" t="s">
        <v>225</v>
      </c>
      <c r="L2134" s="645">
        <f t="shared" si="271"/>
        <v>747709.3</v>
      </c>
      <c r="M2134" s="645">
        <v>718740</v>
      </c>
      <c r="N2134" s="646">
        <v>22729.78</v>
      </c>
      <c r="O2134" s="647"/>
      <c r="P2134" s="646"/>
      <c r="Q2134" s="388">
        <v>6239.52</v>
      </c>
      <c r="R2134" s="648">
        <f>M2134/J2134</f>
        <v>21780</v>
      </c>
      <c r="S2134" s="383">
        <f t="shared" si="272"/>
        <v>4.7293724492192268E-11</v>
      </c>
      <c r="T2134" s="393"/>
      <c r="U2134" s="414"/>
      <c r="V2134" s="390"/>
      <c r="W2134" s="416"/>
      <c r="X2134" s="416"/>
    </row>
    <row r="2135" spans="1:27" s="420" customFormat="1" ht="37.5" hidden="1" customHeight="1">
      <c r="A2135" s="500">
        <f t="shared" si="273"/>
        <v>15</v>
      </c>
      <c r="B2135" s="403" t="s">
        <v>1845</v>
      </c>
      <c r="C2135" s="446" t="s">
        <v>222</v>
      </c>
      <c r="D2135" s="821">
        <v>2640</v>
      </c>
      <c r="E2135" s="391">
        <v>702</v>
      </c>
      <c r="F2135" s="391" t="s">
        <v>223</v>
      </c>
      <c r="G2135" s="391">
        <v>650</v>
      </c>
      <c r="H2135" s="528">
        <v>2</v>
      </c>
      <c r="I2135" s="528">
        <v>2</v>
      </c>
      <c r="J2135" s="528">
        <v>16</v>
      </c>
      <c r="K2135" s="458" t="s">
        <v>225</v>
      </c>
      <c r="L2135" s="645">
        <f t="shared" si="271"/>
        <v>397162.83</v>
      </c>
      <c r="M2135" s="645">
        <v>365998.81</v>
      </c>
      <c r="N2135" s="646">
        <v>22348.69</v>
      </c>
      <c r="O2135" s="647"/>
      <c r="P2135" s="646"/>
      <c r="Q2135" s="388">
        <v>8815.33</v>
      </c>
      <c r="R2135" s="648">
        <f>M2135/J2135</f>
        <v>22874.925625</v>
      </c>
      <c r="S2135" s="383">
        <f t="shared" si="272"/>
        <v>2.0008883439004421E-11</v>
      </c>
      <c r="T2135" s="393"/>
      <c r="U2135" s="414"/>
      <c r="V2135" s="390"/>
      <c r="W2135" s="416"/>
      <c r="X2135" s="416"/>
    </row>
    <row r="2136" spans="1:27" s="420" customFormat="1" ht="56.25" hidden="1" customHeight="1">
      <c r="A2136" s="500">
        <f t="shared" si="273"/>
        <v>16</v>
      </c>
      <c r="B2136" s="403" t="s">
        <v>3974</v>
      </c>
      <c r="C2136" s="820" t="s">
        <v>218</v>
      </c>
      <c r="D2136" s="821">
        <v>14267</v>
      </c>
      <c r="E2136" s="391">
        <v>2225</v>
      </c>
      <c r="F2136" s="391" t="s">
        <v>228</v>
      </c>
      <c r="G2136" s="391">
        <v>974.87</v>
      </c>
      <c r="H2136" s="528">
        <v>5</v>
      </c>
      <c r="I2136" s="528">
        <v>6</v>
      </c>
      <c r="J2136" s="528">
        <v>84</v>
      </c>
      <c r="K2136" s="458" t="s">
        <v>238</v>
      </c>
      <c r="L2136" s="519">
        <f t="shared" si="271"/>
        <v>3273468.12</v>
      </c>
      <c r="M2136" s="529">
        <v>3218541.12</v>
      </c>
      <c r="N2136" s="391"/>
      <c r="O2136" s="643">
        <v>15127</v>
      </c>
      <c r="P2136" s="391"/>
      <c r="Q2136" s="388">
        <v>39800</v>
      </c>
      <c r="R2136" s="446">
        <f>M2136/J2136</f>
        <v>38315.965714285718</v>
      </c>
      <c r="S2136" s="383">
        <f t="shared" si="272"/>
        <v>0</v>
      </c>
      <c r="T2136" s="393"/>
      <c r="U2136" s="405"/>
      <c r="V2136" s="390"/>
      <c r="Z2136" s="416">
        <v>1</v>
      </c>
      <c r="AA2136" s="416">
        <f>J2136</f>
        <v>84</v>
      </c>
    </row>
    <row r="2137" spans="1:27" s="420" customFormat="1" ht="37.5" hidden="1" customHeight="1">
      <c r="A2137" s="500">
        <f t="shared" ref="A2137:A2146" si="274">A2136+1</f>
        <v>17</v>
      </c>
      <c r="B2137" s="403" t="s">
        <v>3809</v>
      </c>
      <c r="C2137" s="820" t="s">
        <v>218</v>
      </c>
      <c r="D2137" s="821">
        <v>17925</v>
      </c>
      <c r="E2137" s="391">
        <v>2918.7</v>
      </c>
      <c r="F2137" s="391" t="s">
        <v>228</v>
      </c>
      <c r="G2137" s="391">
        <v>1195</v>
      </c>
      <c r="H2137" s="528">
        <v>5</v>
      </c>
      <c r="I2137" s="528">
        <v>4</v>
      </c>
      <c r="J2137" s="528">
        <v>89</v>
      </c>
      <c r="K2137" s="458" t="s">
        <v>4147</v>
      </c>
      <c r="L2137" s="519">
        <f t="shared" si="271"/>
        <v>8808195</v>
      </c>
      <c r="M2137" s="529">
        <v>8756100</v>
      </c>
      <c r="N2137" s="388">
        <v>32095</v>
      </c>
      <c r="O2137" s="473"/>
      <c r="P2137" s="388"/>
      <c r="Q2137" s="388">
        <v>20000</v>
      </c>
      <c r="R2137" s="446">
        <f t="shared" ref="R2137:R2150" si="275">M2137/E2137</f>
        <v>3000</v>
      </c>
      <c r="S2137" s="383"/>
      <c r="T2137" s="393"/>
      <c r="U2137" s="405"/>
      <c r="V2137" s="390"/>
    </row>
    <row r="2138" spans="1:27" s="420" customFormat="1" ht="37.5" hidden="1" customHeight="1">
      <c r="A2138" s="500">
        <f t="shared" si="274"/>
        <v>18</v>
      </c>
      <c r="B2138" s="403" t="s">
        <v>2742</v>
      </c>
      <c r="C2138" s="446" t="s">
        <v>222</v>
      </c>
      <c r="D2138" s="821">
        <v>17588</v>
      </c>
      <c r="E2138" s="391">
        <v>2815.88</v>
      </c>
      <c r="F2138" s="391" t="s">
        <v>229</v>
      </c>
      <c r="G2138" s="391">
        <v>1357</v>
      </c>
      <c r="H2138" s="528">
        <v>5</v>
      </c>
      <c r="I2138" s="528">
        <v>6</v>
      </c>
      <c r="J2138" s="528">
        <v>100</v>
      </c>
      <c r="K2138" s="458" t="s">
        <v>4147</v>
      </c>
      <c r="L2138" s="650">
        <f t="shared" si="271"/>
        <v>6560177.3600000003</v>
      </c>
      <c r="M2138" s="650">
        <v>6500000</v>
      </c>
      <c r="N2138" s="651">
        <v>30177.360000000001</v>
      </c>
      <c r="O2138" s="643"/>
      <c r="P2138" s="651"/>
      <c r="Q2138" s="388">
        <v>30000</v>
      </c>
      <c r="R2138" s="528">
        <f t="shared" si="275"/>
        <v>2308.3370029972866</v>
      </c>
      <c r="S2138" s="403"/>
      <c r="T2138" s="393"/>
      <c r="U2138" s="464"/>
    </row>
    <row r="2139" spans="1:27" s="416" customFormat="1" ht="37.5" hidden="1" customHeight="1">
      <c r="A2139" s="500">
        <f t="shared" si="274"/>
        <v>19</v>
      </c>
      <c r="B2139" s="403" t="s">
        <v>2744</v>
      </c>
      <c r="C2139" s="382" t="s">
        <v>218</v>
      </c>
      <c r="D2139" s="821">
        <v>32642</v>
      </c>
      <c r="E2139" s="391">
        <v>5857.58</v>
      </c>
      <c r="F2139" s="391" t="s">
        <v>224</v>
      </c>
      <c r="G2139" s="391">
        <v>1682</v>
      </c>
      <c r="H2139" s="528">
        <v>9</v>
      </c>
      <c r="I2139" s="528">
        <v>5</v>
      </c>
      <c r="J2139" s="528">
        <v>180</v>
      </c>
      <c r="K2139" s="458" t="s">
        <v>227</v>
      </c>
      <c r="L2139" s="650">
        <f t="shared" si="271"/>
        <v>17565553</v>
      </c>
      <c r="M2139" s="650">
        <v>17500000</v>
      </c>
      <c r="N2139" s="651">
        <v>35553</v>
      </c>
      <c r="O2139" s="647"/>
      <c r="P2139" s="651"/>
      <c r="Q2139" s="388">
        <v>30000</v>
      </c>
      <c r="R2139" s="528">
        <f t="shared" si="275"/>
        <v>2987.5819024238681</v>
      </c>
      <c r="S2139" s="403"/>
      <c r="T2139" s="393"/>
      <c r="U2139" s="464"/>
    </row>
    <row r="2140" spans="1:27" s="420" customFormat="1" ht="37.5" hidden="1" customHeight="1">
      <c r="A2140" s="500">
        <f t="shared" si="274"/>
        <v>20</v>
      </c>
      <c r="B2140" s="403" t="s">
        <v>2754</v>
      </c>
      <c r="C2140" s="446" t="s">
        <v>222</v>
      </c>
      <c r="D2140" s="821">
        <v>34241</v>
      </c>
      <c r="E2140" s="391">
        <v>5495.6</v>
      </c>
      <c r="F2140" s="391" t="s">
        <v>224</v>
      </c>
      <c r="G2140" s="391">
        <v>2880.5</v>
      </c>
      <c r="H2140" s="528">
        <v>5</v>
      </c>
      <c r="I2140" s="528">
        <v>12</v>
      </c>
      <c r="J2140" s="528">
        <v>193</v>
      </c>
      <c r="K2140" s="458" t="s">
        <v>4147</v>
      </c>
      <c r="L2140" s="650">
        <f t="shared" si="271"/>
        <v>17566096.609999999</v>
      </c>
      <c r="M2140" s="650">
        <v>17500000</v>
      </c>
      <c r="N2140" s="651">
        <v>36096.61</v>
      </c>
      <c r="O2140" s="643"/>
      <c r="P2140" s="651"/>
      <c r="Q2140" s="388">
        <v>30000</v>
      </c>
      <c r="R2140" s="528">
        <f t="shared" si="275"/>
        <v>3184.3656743576676</v>
      </c>
      <c r="S2140" s="403" t="s">
        <v>422</v>
      </c>
      <c r="T2140" s="393"/>
      <c r="U2140" s="464"/>
    </row>
    <row r="2141" spans="1:27" s="420" customFormat="1" ht="37.5" hidden="1" customHeight="1">
      <c r="A2141" s="500">
        <f t="shared" si="274"/>
        <v>21</v>
      </c>
      <c r="B2141" s="403" t="s">
        <v>2755</v>
      </c>
      <c r="C2141" s="446" t="s">
        <v>222</v>
      </c>
      <c r="D2141" s="821">
        <v>18119</v>
      </c>
      <c r="E2141" s="391">
        <v>3311.86</v>
      </c>
      <c r="F2141" s="391" t="s">
        <v>224</v>
      </c>
      <c r="G2141" s="391">
        <v>1283</v>
      </c>
      <c r="H2141" s="528">
        <v>5</v>
      </c>
      <c r="I2141" s="528">
        <v>6</v>
      </c>
      <c r="J2141" s="528">
        <v>58</v>
      </c>
      <c r="K2141" s="458" t="s">
        <v>4147</v>
      </c>
      <c r="L2141" s="650">
        <f t="shared" si="271"/>
        <v>9560430.0899999999</v>
      </c>
      <c r="M2141" s="650">
        <v>9500000</v>
      </c>
      <c r="N2141" s="651">
        <v>30430.09</v>
      </c>
      <c r="O2141" s="643"/>
      <c r="P2141" s="651"/>
      <c r="Q2141" s="388">
        <v>30000</v>
      </c>
      <c r="R2141" s="528">
        <f t="shared" si="275"/>
        <v>2868.4787400433593</v>
      </c>
      <c r="S2141" s="403"/>
      <c r="T2141" s="393"/>
      <c r="U2141" s="464"/>
    </row>
    <row r="2142" spans="1:27" s="405" customFormat="1" ht="37.5" hidden="1" customHeight="1">
      <c r="A2142" s="500">
        <f t="shared" si="274"/>
        <v>22</v>
      </c>
      <c r="B2142" s="403" t="s">
        <v>3529</v>
      </c>
      <c r="C2142" s="455" t="s">
        <v>218</v>
      </c>
      <c r="D2142" s="822">
        <v>16704</v>
      </c>
      <c r="E2142" s="391">
        <v>2932</v>
      </c>
      <c r="F2142" s="391" t="s">
        <v>224</v>
      </c>
      <c r="G2142" s="644">
        <v>1402</v>
      </c>
      <c r="H2142" s="446">
        <v>5</v>
      </c>
      <c r="I2142" s="446">
        <v>6</v>
      </c>
      <c r="J2142" s="528">
        <v>90</v>
      </c>
      <c r="K2142" s="458" t="s">
        <v>227</v>
      </c>
      <c r="L2142" s="519">
        <f t="shared" si="271"/>
        <v>9561481</v>
      </c>
      <c r="M2142" s="519">
        <v>9500000</v>
      </c>
      <c r="N2142" s="388">
        <v>31481</v>
      </c>
      <c r="O2142" s="643"/>
      <c r="P2142" s="388"/>
      <c r="Q2142" s="388">
        <v>30000</v>
      </c>
      <c r="R2142" s="528">
        <f t="shared" si="275"/>
        <v>3240.1091405184175</v>
      </c>
      <c r="S2142" s="403"/>
      <c r="T2142" s="393"/>
    </row>
    <row r="2143" spans="1:27" s="405" customFormat="1" ht="37.5" hidden="1" customHeight="1">
      <c r="A2143" s="500">
        <f t="shared" si="274"/>
        <v>23</v>
      </c>
      <c r="B2143" s="403" t="s">
        <v>3532</v>
      </c>
      <c r="C2143" s="455" t="s">
        <v>218</v>
      </c>
      <c r="D2143" s="822">
        <v>19170</v>
      </c>
      <c r="E2143" s="391">
        <v>2696</v>
      </c>
      <c r="F2143" s="391" t="s">
        <v>224</v>
      </c>
      <c r="G2143" s="644">
        <v>1175.2</v>
      </c>
      <c r="H2143" s="446">
        <v>5</v>
      </c>
      <c r="I2143" s="446">
        <v>6</v>
      </c>
      <c r="J2143" s="528">
        <v>90</v>
      </c>
      <c r="K2143" s="458" t="s">
        <v>227</v>
      </c>
      <c r="L2143" s="519">
        <f t="shared" si="271"/>
        <v>9498722</v>
      </c>
      <c r="M2143" s="519">
        <v>9436000</v>
      </c>
      <c r="N2143" s="388">
        <v>32722</v>
      </c>
      <c r="O2143" s="643"/>
      <c r="P2143" s="388"/>
      <c r="Q2143" s="388">
        <v>30000</v>
      </c>
      <c r="R2143" s="528">
        <f t="shared" si="275"/>
        <v>3500</v>
      </c>
      <c r="S2143" s="403"/>
      <c r="T2143" s="393"/>
    </row>
    <row r="2144" spans="1:27" s="416" customFormat="1" ht="37.5" hidden="1" customHeight="1">
      <c r="A2144" s="500">
        <f t="shared" si="274"/>
        <v>24</v>
      </c>
      <c r="B2144" s="403" t="s">
        <v>2738</v>
      </c>
      <c r="C2144" s="446" t="s">
        <v>218</v>
      </c>
      <c r="D2144" s="821">
        <v>17131.5</v>
      </c>
      <c r="E2144" s="391">
        <v>4467</v>
      </c>
      <c r="F2144" s="391" t="s">
        <v>224</v>
      </c>
      <c r="G2144" s="391">
        <v>878.1</v>
      </c>
      <c r="H2144" s="528">
        <v>9</v>
      </c>
      <c r="I2144" s="528">
        <v>2</v>
      </c>
      <c r="J2144" s="528">
        <v>72</v>
      </c>
      <c r="K2144" s="458" t="s">
        <v>247</v>
      </c>
      <c r="L2144" s="650">
        <f t="shared" si="271"/>
        <v>7562604</v>
      </c>
      <c r="M2144" s="650">
        <v>7500000</v>
      </c>
      <c r="N2144" s="651">
        <v>32604</v>
      </c>
      <c r="O2144" s="643"/>
      <c r="P2144" s="651"/>
      <c r="Q2144" s="388">
        <v>30000</v>
      </c>
      <c r="R2144" s="528">
        <f t="shared" si="275"/>
        <v>1678.9791806581597</v>
      </c>
      <c r="S2144" s="403"/>
      <c r="T2144" s="393"/>
      <c r="U2144" s="464"/>
    </row>
    <row r="2145" spans="1:22" s="420" customFormat="1" ht="37.5" hidden="1" customHeight="1">
      <c r="A2145" s="500">
        <f t="shared" si="274"/>
        <v>25</v>
      </c>
      <c r="B2145" s="403" t="s">
        <v>2767</v>
      </c>
      <c r="C2145" s="382" t="s">
        <v>218</v>
      </c>
      <c r="D2145" s="821">
        <v>15143</v>
      </c>
      <c r="E2145" s="391">
        <v>2260</v>
      </c>
      <c r="F2145" s="391" t="s">
        <v>224</v>
      </c>
      <c r="G2145" s="391">
        <v>652.4</v>
      </c>
      <c r="H2145" s="528">
        <v>9</v>
      </c>
      <c r="I2145" s="528">
        <v>2</v>
      </c>
      <c r="J2145" s="528">
        <v>72</v>
      </c>
      <c r="K2145" s="458" t="s">
        <v>260</v>
      </c>
      <c r="L2145" s="650">
        <f t="shared" si="271"/>
        <v>6841764</v>
      </c>
      <c r="M2145" s="650">
        <v>6780000</v>
      </c>
      <c r="N2145" s="651">
        <v>31764</v>
      </c>
      <c r="O2145" s="643"/>
      <c r="P2145" s="651"/>
      <c r="Q2145" s="388">
        <v>30000</v>
      </c>
      <c r="R2145" s="528">
        <f t="shared" si="275"/>
        <v>3000</v>
      </c>
      <c r="S2145" s="403" t="s">
        <v>421</v>
      </c>
      <c r="T2145" s="393"/>
      <c r="U2145" s="464"/>
    </row>
    <row r="2146" spans="1:22" s="420" customFormat="1" ht="37.5" hidden="1" customHeight="1">
      <c r="A2146" s="500">
        <f t="shared" si="274"/>
        <v>26</v>
      </c>
      <c r="B2146" s="403" t="s">
        <v>2768</v>
      </c>
      <c r="C2146" s="382" t="s">
        <v>218</v>
      </c>
      <c r="D2146" s="821">
        <v>16718</v>
      </c>
      <c r="E2146" s="391">
        <v>2940</v>
      </c>
      <c r="F2146" s="391" t="s">
        <v>224</v>
      </c>
      <c r="G2146" s="391">
        <v>714.7</v>
      </c>
      <c r="H2146" s="528">
        <v>10</v>
      </c>
      <c r="I2146" s="528">
        <v>2</v>
      </c>
      <c r="J2146" s="528">
        <v>80</v>
      </c>
      <c r="K2146" s="458" t="s">
        <v>260</v>
      </c>
      <c r="L2146" s="650">
        <f t="shared" si="271"/>
        <v>8884627</v>
      </c>
      <c r="M2146" s="650">
        <v>8820000</v>
      </c>
      <c r="N2146" s="651">
        <v>34627</v>
      </c>
      <c r="O2146" s="643"/>
      <c r="P2146" s="651"/>
      <c r="Q2146" s="388">
        <v>30000</v>
      </c>
      <c r="R2146" s="528">
        <f t="shared" si="275"/>
        <v>3000</v>
      </c>
      <c r="S2146" s="403" t="s">
        <v>421</v>
      </c>
      <c r="T2146" s="393"/>
      <c r="U2146" s="464"/>
    </row>
    <row r="2147" spans="1:22" s="420" customFormat="1" ht="37.5" hidden="1" customHeight="1">
      <c r="A2147" s="500">
        <f>A2146+1</f>
        <v>27</v>
      </c>
      <c r="B2147" s="427" t="s">
        <v>3328</v>
      </c>
      <c r="C2147" s="403" t="s">
        <v>218</v>
      </c>
      <c r="D2147" s="822">
        <v>49471</v>
      </c>
      <c r="E2147" s="644">
        <f>(149+12.3)*2*9*2.7</f>
        <v>7839.1800000000012</v>
      </c>
      <c r="F2147" s="391" t="s">
        <v>224</v>
      </c>
      <c r="G2147" s="644">
        <f>149*12.3</f>
        <v>1832.7</v>
      </c>
      <c r="H2147" s="446">
        <v>9</v>
      </c>
      <c r="I2147" s="446">
        <v>6</v>
      </c>
      <c r="J2147" s="528">
        <v>216</v>
      </c>
      <c r="K2147" s="458" t="s">
        <v>227</v>
      </c>
      <c r="L2147" s="645">
        <f t="shared" si="271"/>
        <v>17544564.699999999</v>
      </c>
      <c r="M2147" s="645">
        <v>17500924</v>
      </c>
      <c r="N2147" s="646">
        <v>43640.7</v>
      </c>
      <c r="O2147" s="647"/>
      <c r="P2147" s="646"/>
      <c r="Q2147" s="388"/>
      <c r="R2147" s="646">
        <f t="shared" si="275"/>
        <v>2232.4942149561557</v>
      </c>
      <c r="S2147" s="390"/>
      <c r="T2147" s="406"/>
      <c r="U2147" s="405"/>
      <c r="V2147" s="390"/>
    </row>
    <row r="2148" spans="1:22" s="420" customFormat="1" ht="37.5" hidden="1" customHeight="1">
      <c r="A2148" s="500">
        <f>A2147+1</f>
        <v>28</v>
      </c>
      <c r="B2148" s="427" t="s">
        <v>3329</v>
      </c>
      <c r="C2148" s="403" t="s">
        <v>218</v>
      </c>
      <c r="D2148" s="822">
        <v>41226</v>
      </c>
      <c r="E2148" s="644">
        <f>(123+11.1)*2*9*2.7</f>
        <v>6517.2599999999993</v>
      </c>
      <c r="F2148" s="391" t="s">
        <v>224</v>
      </c>
      <c r="G2148" s="644">
        <f>123*11.1</f>
        <v>1365.3</v>
      </c>
      <c r="H2148" s="446">
        <v>9</v>
      </c>
      <c r="I2148" s="446">
        <v>5</v>
      </c>
      <c r="J2148" s="528">
        <v>179</v>
      </c>
      <c r="K2148" s="458" t="s">
        <v>227</v>
      </c>
      <c r="L2148" s="645">
        <f t="shared" si="271"/>
        <v>15041473.23</v>
      </c>
      <c r="M2148" s="645">
        <v>15000723</v>
      </c>
      <c r="N2148" s="646">
        <v>40750.230000000003</v>
      </c>
      <c r="O2148" s="647"/>
      <c r="P2148" s="646"/>
      <c r="Q2148" s="388"/>
      <c r="R2148" s="646">
        <f t="shared" si="275"/>
        <v>2301.6916618333476</v>
      </c>
      <c r="S2148" s="390"/>
      <c r="T2148" s="406"/>
      <c r="U2148" s="405"/>
      <c r="V2148" s="390"/>
    </row>
    <row r="2149" spans="1:22" s="420" customFormat="1" ht="37.5" hidden="1" customHeight="1">
      <c r="A2149" s="500">
        <f>A2148+1</f>
        <v>29</v>
      </c>
      <c r="B2149" s="493" t="s">
        <v>3330</v>
      </c>
      <c r="C2149" s="503" t="s">
        <v>218</v>
      </c>
      <c r="D2149" s="822">
        <v>35531</v>
      </c>
      <c r="E2149" s="644">
        <f>(121+13.4)*2*2.7*9</f>
        <v>6531.8400000000011</v>
      </c>
      <c r="F2149" s="391" t="s">
        <v>224</v>
      </c>
      <c r="G2149" s="644">
        <f>121*13.4</f>
        <v>1621.4</v>
      </c>
      <c r="H2149" s="446">
        <v>9</v>
      </c>
      <c r="I2149" s="446">
        <v>5</v>
      </c>
      <c r="J2149" s="528">
        <v>180</v>
      </c>
      <c r="K2149" s="642" t="s">
        <v>227</v>
      </c>
      <c r="L2149" s="645">
        <f t="shared" ref="L2149:L2151" si="276">M2149+N2149+O2149+Q2149</f>
        <v>15739188.26</v>
      </c>
      <c r="M2149" s="645">
        <v>15700435</v>
      </c>
      <c r="N2149" s="646">
        <v>38753.26</v>
      </c>
      <c r="O2149" s="643"/>
      <c r="P2149" s="651"/>
      <c r="Q2149" s="388"/>
      <c r="R2149" s="646">
        <f t="shared" si="275"/>
        <v>2403.6772180580047</v>
      </c>
      <c r="S2149" s="390"/>
      <c r="T2149" s="406"/>
      <c r="U2149" s="405"/>
      <c r="V2149" s="390"/>
    </row>
    <row r="2150" spans="1:22" s="420" customFormat="1" ht="37.5" hidden="1" customHeight="1">
      <c r="A2150" s="500">
        <f>A2149+1</f>
        <v>30</v>
      </c>
      <c r="B2150" s="493" t="s">
        <v>3834</v>
      </c>
      <c r="C2150" s="380" t="s">
        <v>218</v>
      </c>
      <c r="D2150" s="821">
        <v>48351.6</v>
      </c>
      <c r="E2150" s="391">
        <f>(148+13)*2*2.7*9</f>
        <v>7824.6</v>
      </c>
      <c r="F2150" s="391" t="s">
        <v>224</v>
      </c>
      <c r="G2150" s="391">
        <f>148*13</f>
        <v>1924</v>
      </c>
      <c r="H2150" s="528">
        <v>9</v>
      </c>
      <c r="I2150" s="528">
        <v>6</v>
      </c>
      <c r="J2150" s="528">
        <v>216</v>
      </c>
      <c r="K2150" s="642" t="s">
        <v>227</v>
      </c>
      <c r="L2150" s="645">
        <f t="shared" si="276"/>
        <v>17892112.670000002</v>
      </c>
      <c r="M2150" s="650">
        <v>17848864</v>
      </c>
      <c r="N2150" s="651">
        <v>43248.67</v>
      </c>
      <c r="O2150" s="647"/>
      <c r="P2150" s="651"/>
      <c r="Q2150" s="388"/>
      <c r="R2150" s="823">
        <f t="shared" si="275"/>
        <v>2281.121590880045</v>
      </c>
      <c r="S2150" s="390"/>
      <c r="T2150" s="406"/>
      <c r="U2150" s="405"/>
      <c r="V2150" s="390"/>
    </row>
    <row r="2151" spans="1:22" s="420" customFormat="1" ht="37.5" hidden="1" customHeight="1">
      <c r="A2151" s="500">
        <f t="shared" ref="A2151:A2170" si="277">A2150+1</f>
        <v>31</v>
      </c>
      <c r="B2151" s="493" t="s">
        <v>4149</v>
      </c>
      <c r="C2151" s="380" t="s">
        <v>222</v>
      </c>
      <c r="D2151" s="821">
        <f>13.3*48.3*9*2.7</f>
        <v>15610.077000000001</v>
      </c>
      <c r="E2151" s="391">
        <f>(13.3+48.3)*2*9*2.7</f>
        <v>2993.76</v>
      </c>
      <c r="F2151" s="391" t="s">
        <v>224</v>
      </c>
      <c r="G2151" s="391">
        <f>13.3*48.3</f>
        <v>642.39</v>
      </c>
      <c r="H2151" s="528">
        <v>9</v>
      </c>
      <c r="I2151" s="528">
        <v>2</v>
      </c>
      <c r="J2151" s="528">
        <v>72</v>
      </c>
      <c r="K2151" s="642" t="s">
        <v>227</v>
      </c>
      <c r="L2151" s="645">
        <f t="shared" si="276"/>
        <v>5822131.5099999998</v>
      </c>
      <c r="M2151" s="650">
        <v>5778882.8399999999</v>
      </c>
      <c r="N2151" s="651">
        <v>43248.67</v>
      </c>
      <c r="O2151" s="647"/>
      <c r="P2151" s="651"/>
      <c r="Q2151" s="388"/>
      <c r="R2151" s="823">
        <f t="shared" ref="R2151" si="278">M2151/E2151</f>
        <v>1930.3093233926566</v>
      </c>
      <c r="S2151" s="390"/>
      <c r="T2151" s="406"/>
      <c r="U2151" s="405"/>
      <c r="V2151" s="390"/>
    </row>
    <row r="2152" spans="1:22" s="420" customFormat="1" ht="76.5" hidden="1" customHeight="1">
      <c r="A2152" s="500">
        <f t="shared" si="277"/>
        <v>32</v>
      </c>
      <c r="B2152" s="1117" t="s">
        <v>1808</v>
      </c>
      <c r="C2152" s="824" t="s">
        <v>218</v>
      </c>
      <c r="D2152" s="825">
        <v>3863.0609999999997</v>
      </c>
      <c r="E2152" s="825">
        <v>1332.09</v>
      </c>
      <c r="F2152" s="826" t="s">
        <v>224</v>
      </c>
      <c r="G2152" s="825">
        <v>601.5</v>
      </c>
      <c r="H2152" s="827">
        <v>5</v>
      </c>
      <c r="I2152" s="827">
        <v>1</v>
      </c>
      <c r="J2152" s="827">
        <v>82</v>
      </c>
      <c r="K2152" s="458" t="s">
        <v>4384</v>
      </c>
      <c r="L2152" s="1120">
        <f>M2152+N2152+O2152+Q2152+M2153+N2153+O2153+Q2153</f>
        <v>32446.160000000003</v>
      </c>
      <c r="M2152" s="393"/>
      <c r="N2152" s="393"/>
      <c r="O2152" s="790">
        <v>20535.810000000001</v>
      </c>
      <c r="P2152" s="393"/>
      <c r="Q2152" s="388"/>
      <c r="R2152" s="823"/>
      <c r="S2152" s="390"/>
      <c r="T2152" s="406"/>
      <c r="U2152" s="405"/>
      <c r="V2152" s="390"/>
    </row>
    <row r="2153" spans="1:22" s="420" customFormat="1" ht="49.5" hidden="1" customHeight="1">
      <c r="A2153" s="500"/>
      <c r="B2153" s="1117"/>
      <c r="C2153" s="824"/>
      <c r="D2153" s="825"/>
      <c r="E2153" s="825"/>
      <c r="F2153" s="826"/>
      <c r="G2153" s="825"/>
      <c r="H2153" s="827"/>
      <c r="I2153" s="827"/>
      <c r="J2153" s="827"/>
      <c r="K2153" s="458" t="s">
        <v>4368</v>
      </c>
      <c r="L2153" s="1120"/>
      <c r="M2153" s="393"/>
      <c r="N2153" s="393"/>
      <c r="O2153" s="790"/>
      <c r="P2153" s="393"/>
      <c r="Q2153" s="388">
        <v>11910.35</v>
      </c>
      <c r="R2153" s="823"/>
      <c r="S2153" s="390"/>
      <c r="T2153" s="406"/>
      <c r="U2153" s="405"/>
      <c r="V2153" s="390"/>
    </row>
    <row r="2154" spans="1:22" s="420" customFormat="1" ht="69" hidden="1" customHeight="1">
      <c r="A2154" s="500">
        <f>A2152+1</f>
        <v>33</v>
      </c>
      <c r="B2154" s="1117" t="s">
        <v>1816</v>
      </c>
      <c r="C2154" s="493" t="s">
        <v>222</v>
      </c>
      <c r="D2154" s="825">
        <v>17867</v>
      </c>
      <c r="E2154" s="825">
        <v>2660</v>
      </c>
      <c r="F2154" s="826" t="s">
        <v>223</v>
      </c>
      <c r="G2154" s="825">
        <v>1584</v>
      </c>
      <c r="H2154" s="827">
        <v>5</v>
      </c>
      <c r="I2154" s="827">
        <v>6</v>
      </c>
      <c r="J2154" s="827">
        <v>100</v>
      </c>
      <c r="K2154" s="458" t="s">
        <v>4380</v>
      </c>
      <c r="L2154" s="1120">
        <f>M2154+N2154+O2154+Q2154+M2155+N2155+O2155+Q2155</f>
        <v>68745.540000000008</v>
      </c>
      <c r="M2154" s="393"/>
      <c r="N2154" s="393">
        <v>28945.54</v>
      </c>
      <c r="O2154" s="393"/>
      <c r="P2154" s="393"/>
      <c r="Q2154" s="388"/>
      <c r="R2154" s="823"/>
      <c r="S2154" s="390"/>
      <c r="T2154" s="406"/>
      <c r="U2154" s="405"/>
      <c r="V2154" s="390"/>
    </row>
    <row r="2155" spans="1:22" s="420" customFormat="1" ht="45" hidden="1" customHeight="1">
      <c r="A2155" s="500"/>
      <c r="B2155" s="1117"/>
      <c r="C2155" s="493"/>
      <c r="D2155" s="825"/>
      <c r="E2155" s="825"/>
      <c r="F2155" s="826"/>
      <c r="G2155" s="825"/>
      <c r="H2155" s="827"/>
      <c r="I2155" s="827"/>
      <c r="J2155" s="827"/>
      <c r="K2155" s="458" t="s">
        <v>4368</v>
      </c>
      <c r="L2155" s="1120"/>
      <c r="M2155" s="393"/>
      <c r="N2155" s="393"/>
      <c r="O2155" s="393"/>
      <c r="P2155" s="393"/>
      <c r="Q2155" s="388">
        <v>39800</v>
      </c>
      <c r="R2155" s="823"/>
      <c r="S2155" s="390"/>
      <c r="T2155" s="406"/>
      <c r="U2155" s="405"/>
      <c r="V2155" s="390"/>
    </row>
    <row r="2156" spans="1:22" s="420" customFormat="1" ht="103.5" hidden="1" customHeight="1">
      <c r="A2156" s="500">
        <f>A2154+1</f>
        <v>34</v>
      </c>
      <c r="B2156" s="1119" t="s">
        <v>1818</v>
      </c>
      <c r="C2156" s="824" t="s">
        <v>218</v>
      </c>
      <c r="D2156" s="825">
        <v>16998</v>
      </c>
      <c r="E2156" s="825">
        <v>2605</v>
      </c>
      <c r="F2156" s="826" t="s">
        <v>224</v>
      </c>
      <c r="G2156" s="825">
        <v>1395</v>
      </c>
      <c r="H2156" s="827">
        <v>5</v>
      </c>
      <c r="I2156" s="827">
        <v>6</v>
      </c>
      <c r="J2156" s="827">
        <v>86</v>
      </c>
      <c r="K2156" s="458" t="s">
        <v>4383</v>
      </c>
      <c r="L2156" s="1118">
        <f>M2156+N2156+O2156+Q2156+M2157+N2157+O2157+Q2157</f>
        <v>55010.57</v>
      </c>
      <c r="M2156" s="391"/>
      <c r="N2156" s="391"/>
      <c r="O2156" s="790">
        <v>15210.57</v>
      </c>
      <c r="P2156" s="391"/>
      <c r="Q2156" s="388"/>
      <c r="R2156" s="823"/>
      <c r="S2156" s="390"/>
      <c r="T2156" s="406"/>
      <c r="U2156" s="405"/>
      <c r="V2156" s="390"/>
    </row>
    <row r="2157" spans="1:22" s="420" customFormat="1" ht="87" hidden="1" customHeight="1">
      <c r="A2157" s="500"/>
      <c r="B2157" s="1119"/>
      <c r="C2157" s="824"/>
      <c r="D2157" s="825"/>
      <c r="E2157" s="825"/>
      <c r="F2157" s="826"/>
      <c r="G2157" s="825"/>
      <c r="H2157" s="827"/>
      <c r="I2157" s="827"/>
      <c r="J2157" s="827"/>
      <c r="K2157" s="458" t="s">
        <v>4369</v>
      </c>
      <c r="L2157" s="1118"/>
      <c r="M2157" s="391"/>
      <c r="N2157" s="391"/>
      <c r="O2157" s="790"/>
      <c r="P2157" s="391"/>
      <c r="Q2157" s="388">
        <v>39800</v>
      </c>
      <c r="R2157" s="823"/>
      <c r="S2157" s="390"/>
      <c r="T2157" s="406"/>
      <c r="U2157" s="405"/>
      <c r="V2157" s="390"/>
    </row>
    <row r="2158" spans="1:22" s="420" customFormat="1" ht="72" hidden="1" customHeight="1">
      <c r="A2158" s="500">
        <f>A2156+1</f>
        <v>35</v>
      </c>
      <c r="B2158" s="1119" t="s">
        <v>1819</v>
      </c>
      <c r="C2158" s="824" t="s">
        <v>218</v>
      </c>
      <c r="D2158" s="825">
        <v>16612</v>
      </c>
      <c r="E2158" s="825">
        <v>830</v>
      </c>
      <c r="F2158" s="826" t="s">
        <v>224</v>
      </c>
      <c r="G2158" s="825">
        <v>1397.8</v>
      </c>
      <c r="H2158" s="827">
        <v>5</v>
      </c>
      <c r="I2158" s="827">
        <v>6</v>
      </c>
      <c r="J2158" s="827">
        <v>89</v>
      </c>
      <c r="K2158" s="458" t="s">
        <v>4384</v>
      </c>
      <c r="L2158" s="1118">
        <f>M2158+N2158+O2158+Q2158+M2159+N2159+O2159+Q2159</f>
        <v>41446.729999999996</v>
      </c>
      <c r="M2158" s="393"/>
      <c r="N2158" s="393"/>
      <c r="O2158" s="790">
        <v>21546.73</v>
      </c>
      <c r="P2158" s="393"/>
      <c r="Q2158" s="388"/>
      <c r="R2158" s="823"/>
      <c r="S2158" s="390"/>
      <c r="T2158" s="406"/>
      <c r="U2158" s="405"/>
      <c r="V2158" s="390"/>
    </row>
    <row r="2159" spans="1:22" s="420" customFormat="1" ht="54" hidden="1" customHeight="1">
      <c r="A2159" s="500"/>
      <c r="B2159" s="1119"/>
      <c r="C2159" s="824"/>
      <c r="D2159" s="825"/>
      <c r="E2159" s="825"/>
      <c r="F2159" s="826"/>
      <c r="G2159" s="825"/>
      <c r="H2159" s="827"/>
      <c r="I2159" s="827"/>
      <c r="J2159" s="827"/>
      <c r="K2159" s="458" t="s">
        <v>4368</v>
      </c>
      <c r="L2159" s="1118"/>
      <c r="M2159" s="393"/>
      <c r="N2159" s="393"/>
      <c r="O2159" s="790"/>
      <c r="P2159" s="393"/>
      <c r="Q2159" s="388">
        <v>19900</v>
      </c>
      <c r="R2159" s="823"/>
      <c r="S2159" s="390"/>
      <c r="T2159" s="406"/>
      <c r="U2159" s="405"/>
      <c r="V2159" s="390"/>
    </row>
    <row r="2160" spans="1:22" s="420" customFormat="1" ht="63" hidden="1" customHeight="1">
      <c r="A2160" s="500">
        <f>A2158+1</f>
        <v>36</v>
      </c>
      <c r="B2160" s="1119" t="s">
        <v>3513</v>
      </c>
      <c r="C2160" s="380" t="s">
        <v>222</v>
      </c>
      <c r="D2160" s="825">
        <v>23601</v>
      </c>
      <c r="E2160" s="390">
        <v>3444.8</v>
      </c>
      <c r="F2160" s="463" t="s">
        <v>224</v>
      </c>
      <c r="G2160" s="390">
        <v>1924</v>
      </c>
      <c r="H2160" s="827">
        <v>5</v>
      </c>
      <c r="I2160" s="827">
        <v>8</v>
      </c>
      <c r="J2160" s="827">
        <v>127</v>
      </c>
      <c r="K2160" s="458" t="s">
        <v>4384</v>
      </c>
      <c r="L2160" s="1118">
        <f>M2160+N2160+O2160+Q2160+M2161+N2161+O2161+Q2161</f>
        <v>42312.369999999995</v>
      </c>
      <c r="M2160" s="393"/>
      <c r="N2160" s="393"/>
      <c r="O2160" s="790">
        <v>22412.37</v>
      </c>
      <c r="P2160" s="393"/>
      <c r="Q2160" s="388"/>
      <c r="R2160" s="823"/>
      <c r="S2160" s="390"/>
      <c r="T2160" s="406"/>
      <c r="U2160" s="405"/>
      <c r="V2160" s="390"/>
    </row>
    <row r="2161" spans="1:22" s="420" customFormat="1" ht="51" hidden="1" customHeight="1">
      <c r="A2161" s="500"/>
      <c r="B2161" s="1119"/>
      <c r="C2161" s="380"/>
      <c r="D2161" s="825"/>
      <c r="E2161" s="390"/>
      <c r="F2161" s="463"/>
      <c r="G2161" s="390"/>
      <c r="H2161" s="827"/>
      <c r="I2161" s="827"/>
      <c r="J2161" s="827"/>
      <c r="K2161" s="458" t="s">
        <v>4368</v>
      </c>
      <c r="L2161" s="1118"/>
      <c r="M2161" s="393"/>
      <c r="N2161" s="393"/>
      <c r="O2161" s="790"/>
      <c r="P2161" s="393"/>
      <c r="Q2161" s="388">
        <v>19900</v>
      </c>
      <c r="R2161" s="823"/>
      <c r="S2161" s="390"/>
      <c r="T2161" s="406"/>
      <c r="U2161" s="405"/>
      <c r="V2161" s="390"/>
    </row>
    <row r="2162" spans="1:22" s="420" customFormat="1" ht="108" hidden="1" customHeight="1">
      <c r="A2162" s="500">
        <f>A2160+1</f>
        <v>37</v>
      </c>
      <c r="B2162" s="1117" t="s">
        <v>819</v>
      </c>
      <c r="C2162" s="493" t="s">
        <v>222</v>
      </c>
      <c r="D2162" s="825">
        <v>10098</v>
      </c>
      <c r="E2162" s="825">
        <v>1513.48</v>
      </c>
      <c r="F2162" s="826" t="s">
        <v>229</v>
      </c>
      <c r="G2162" s="825">
        <v>1112.5</v>
      </c>
      <c r="H2162" s="827">
        <v>4</v>
      </c>
      <c r="I2162" s="827">
        <v>4</v>
      </c>
      <c r="J2162" s="827">
        <v>64</v>
      </c>
      <c r="K2162" s="458" t="s">
        <v>4383</v>
      </c>
      <c r="L2162" s="1118">
        <f>M2162+N2162+O2162+Q2162+M2163+N2163+O2163+Q2163</f>
        <v>39689.46</v>
      </c>
      <c r="M2162" s="391"/>
      <c r="N2162" s="391"/>
      <c r="O2162" s="790">
        <v>12327.06</v>
      </c>
      <c r="P2162" s="391"/>
      <c r="Q2162" s="388"/>
      <c r="R2162" s="823"/>
      <c r="S2162" s="390"/>
      <c r="T2162" s="406"/>
      <c r="U2162" s="405"/>
      <c r="V2162" s="390"/>
    </row>
    <row r="2163" spans="1:22" s="420" customFormat="1" ht="82.5" hidden="1" customHeight="1">
      <c r="A2163" s="500"/>
      <c r="B2163" s="1117"/>
      <c r="C2163" s="493"/>
      <c r="D2163" s="825"/>
      <c r="E2163" s="825"/>
      <c r="F2163" s="826"/>
      <c r="G2163" s="825"/>
      <c r="H2163" s="827"/>
      <c r="I2163" s="827"/>
      <c r="J2163" s="827"/>
      <c r="K2163" s="458" t="s">
        <v>4370</v>
      </c>
      <c r="L2163" s="1118"/>
      <c r="M2163" s="391"/>
      <c r="N2163" s="391"/>
      <c r="O2163" s="790"/>
      <c r="P2163" s="391"/>
      <c r="Q2163" s="388">
        <v>27362.400000000001</v>
      </c>
      <c r="R2163" s="823"/>
      <c r="S2163" s="390"/>
      <c r="T2163" s="406"/>
      <c r="U2163" s="405"/>
      <c r="V2163" s="390"/>
    </row>
    <row r="2164" spans="1:22" s="420" customFormat="1" ht="66" hidden="1" customHeight="1">
      <c r="A2164" s="1125">
        <f>A2162+1</f>
        <v>38</v>
      </c>
      <c r="B2164" s="1117" t="s">
        <v>1823</v>
      </c>
      <c r="C2164" s="446" t="s">
        <v>222</v>
      </c>
      <c r="D2164" s="606">
        <v>10098</v>
      </c>
      <c r="E2164" s="391">
        <v>1513.48</v>
      </c>
      <c r="F2164" s="391" t="s">
        <v>229</v>
      </c>
      <c r="G2164" s="391">
        <v>1112.5</v>
      </c>
      <c r="H2164" s="528">
        <v>4</v>
      </c>
      <c r="I2164" s="528">
        <v>4</v>
      </c>
      <c r="J2164" s="528">
        <v>64</v>
      </c>
      <c r="K2164" s="458" t="s">
        <v>4384</v>
      </c>
      <c r="L2164" s="1118">
        <f>M2164+N2164+O2164+Q2164+M2166+N2166+O2166+Q2166+M2165+N2165+O2165+Q2165</f>
        <v>78028.19</v>
      </c>
      <c r="M2164" s="393"/>
      <c r="N2164" s="393">
        <v>26480.93</v>
      </c>
      <c r="O2164" s="393"/>
      <c r="P2164" s="393"/>
      <c r="Q2164" s="388"/>
      <c r="R2164" s="823"/>
      <c r="S2164" s="390"/>
      <c r="T2164" s="406"/>
      <c r="U2164" s="405"/>
      <c r="V2164" s="390"/>
    </row>
    <row r="2165" spans="1:22" s="420" customFormat="1" ht="57" hidden="1" customHeight="1">
      <c r="A2165" s="1125"/>
      <c r="B2165" s="1117"/>
      <c r="C2165" s="446"/>
      <c r="D2165" s="606"/>
      <c r="E2165" s="391"/>
      <c r="F2165" s="391"/>
      <c r="G2165" s="391"/>
      <c r="H2165" s="528"/>
      <c r="I2165" s="528"/>
      <c r="J2165" s="528"/>
      <c r="K2165" s="458" t="s">
        <v>4368</v>
      </c>
      <c r="L2165" s="1118"/>
      <c r="M2165" s="393"/>
      <c r="N2165" s="393"/>
      <c r="O2165" s="393"/>
      <c r="P2165" s="393"/>
      <c r="Q2165" s="388">
        <v>22454.26</v>
      </c>
      <c r="R2165" s="823"/>
      <c r="S2165" s="390"/>
      <c r="T2165" s="406"/>
      <c r="U2165" s="405"/>
      <c r="V2165" s="390"/>
    </row>
    <row r="2166" spans="1:22" s="420" customFormat="1" ht="67.5" hidden="1" customHeight="1">
      <c r="A2166" s="1125"/>
      <c r="B2166" s="1117"/>
      <c r="C2166" s="446"/>
      <c r="D2166" s="606"/>
      <c r="E2166" s="391"/>
      <c r="F2166" s="391"/>
      <c r="G2166" s="391"/>
      <c r="H2166" s="528"/>
      <c r="I2166" s="528"/>
      <c r="J2166" s="528"/>
      <c r="K2166" s="458" t="s">
        <v>4365</v>
      </c>
      <c r="L2166" s="1118"/>
      <c r="M2166" s="651"/>
      <c r="N2166" s="651"/>
      <c r="O2166" s="393"/>
      <c r="P2166" s="651"/>
      <c r="Q2166" s="388">
        <v>29093</v>
      </c>
      <c r="R2166" s="823"/>
      <c r="S2166" s="390"/>
      <c r="T2166" s="406"/>
      <c r="U2166" s="405"/>
      <c r="V2166" s="390"/>
    </row>
    <row r="2167" spans="1:22" s="420" customFormat="1" ht="66" hidden="1" customHeight="1">
      <c r="A2167" s="500">
        <v>39</v>
      </c>
      <c r="B2167" s="1117" t="s">
        <v>1824</v>
      </c>
      <c r="C2167" s="380" t="s">
        <v>222</v>
      </c>
      <c r="D2167" s="825">
        <v>16954</v>
      </c>
      <c r="E2167" s="825">
        <v>3266</v>
      </c>
      <c r="F2167" s="826" t="s">
        <v>224</v>
      </c>
      <c r="G2167" s="825">
        <v>1335.4</v>
      </c>
      <c r="H2167" s="827">
        <v>5</v>
      </c>
      <c r="I2167" s="827">
        <v>6</v>
      </c>
      <c r="J2167" s="827">
        <v>87</v>
      </c>
      <c r="K2167" s="458" t="s">
        <v>4384</v>
      </c>
      <c r="L2167" s="1118">
        <f>M2167+N2167+O2167+Q2167+M2168+N2168+O2168+Q2168</f>
        <v>42263.619999999995</v>
      </c>
      <c r="M2167" s="393"/>
      <c r="N2167" s="393"/>
      <c r="O2167" s="790">
        <v>22363.62</v>
      </c>
      <c r="P2167" s="393"/>
      <c r="Q2167" s="388"/>
      <c r="R2167" s="823"/>
      <c r="S2167" s="390"/>
      <c r="T2167" s="406"/>
      <c r="U2167" s="405"/>
      <c r="V2167" s="390"/>
    </row>
    <row r="2168" spans="1:22" s="420" customFormat="1" ht="54" hidden="1" customHeight="1">
      <c r="A2168" s="500"/>
      <c r="B2168" s="1117"/>
      <c r="C2168" s="380"/>
      <c r="D2168" s="825"/>
      <c r="E2168" s="825"/>
      <c r="F2168" s="826"/>
      <c r="G2168" s="825"/>
      <c r="H2168" s="827"/>
      <c r="I2168" s="827"/>
      <c r="J2168" s="827"/>
      <c r="K2168" s="458" t="s">
        <v>4368</v>
      </c>
      <c r="L2168" s="1118"/>
      <c r="M2168" s="393"/>
      <c r="N2168" s="393"/>
      <c r="O2168" s="790"/>
      <c r="P2168" s="393"/>
      <c r="Q2168" s="388">
        <v>19900</v>
      </c>
      <c r="R2168" s="823"/>
      <c r="S2168" s="390"/>
      <c r="T2168" s="406"/>
      <c r="U2168" s="405"/>
      <c r="V2168" s="390"/>
    </row>
    <row r="2169" spans="1:22" s="420" customFormat="1" ht="54" hidden="1" customHeight="1">
      <c r="A2169" s="500">
        <f>A2167+1</f>
        <v>40</v>
      </c>
      <c r="B2169" s="493" t="s">
        <v>3516</v>
      </c>
      <c r="C2169" s="493" t="s">
        <v>222</v>
      </c>
      <c r="D2169" s="825">
        <v>11593</v>
      </c>
      <c r="E2169" s="825">
        <v>3572</v>
      </c>
      <c r="F2169" s="826" t="s">
        <v>224</v>
      </c>
      <c r="G2169" s="825">
        <v>1932</v>
      </c>
      <c r="H2169" s="827">
        <v>5</v>
      </c>
      <c r="I2169" s="827">
        <v>8</v>
      </c>
      <c r="J2169" s="827">
        <v>128</v>
      </c>
      <c r="K2169" s="458" t="s">
        <v>4365</v>
      </c>
      <c r="L2169" s="645">
        <f t="shared" ref="L2169:L2181" si="279">M2169+N2169+O2169+Q2169</f>
        <v>29850</v>
      </c>
      <c r="M2169" s="651"/>
      <c r="N2169" s="651"/>
      <c r="O2169" s="651"/>
      <c r="P2169" s="651"/>
      <c r="Q2169" s="388">
        <v>29850</v>
      </c>
      <c r="R2169" s="823"/>
      <c r="S2169" s="390"/>
      <c r="T2169" s="406"/>
      <c r="U2169" s="405"/>
      <c r="V2169" s="390"/>
    </row>
    <row r="2170" spans="1:22" s="420" customFormat="1" ht="100.5" hidden="1" customHeight="1">
      <c r="A2170" s="500">
        <f t="shared" si="277"/>
        <v>41</v>
      </c>
      <c r="B2170" s="1119" t="s">
        <v>1833</v>
      </c>
      <c r="C2170" s="824" t="s">
        <v>218</v>
      </c>
      <c r="D2170" s="825">
        <v>5338</v>
      </c>
      <c r="E2170" s="825">
        <v>1377.86</v>
      </c>
      <c r="F2170" s="826" t="s">
        <v>231</v>
      </c>
      <c r="G2170" s="825">
        <v>441.9</v>
      </c>
      <c r="H2170" s="827">
        <v>5</v>
      </c>
      <c r="I2170" s="827">
        <v>2</v>
      </c>
      <c r="J2170" s="827">
        <v>29</v>
      </c>
      <c r="K2170" s="458" t="s">
        <v>4383</v>
      </c>
      <c r="L2170" s="1118">
        <f>M2170+N2170+O2170+Q2170+M2171+N2171+O2171+Q2171</f>
        <v>35429.57</v>
      </c>
      <c r="M2170" s="391"/>
      <c r="N2170" s="391"/>
      <c r="O2170" s="790">
        <v>14096.17</v>
      </c>
      <c r="P2170" s="391"/>
      <c r="Q2170" s="388"/>
      <c r="R2170" s="823"/>
      <c r="S2170" s="390"/>
      <c r="T2170" s="406"/>
      <c r="U2170" s="405"/>
      <c r="V2170" s="390"/>
    </row>
    <row r="2171" spans="1:22" s="420" customFormat="1" ht="79.5" hidden="1" customHeight="1">
      <c r="A2171" s="500"/>
      <c r="B2171" s="1119"/>
      <c r="C2171" s="824"/>
      <c r="D2171" s="825"/>
      <c r="E2171" s="825"/>
      <c r="F2171" s="826"/>
      <c r="G2171" s="825"/>
      <c r="H2171" s="827"/>
      <c r="I2171" s="827"/>
      <c r="J2171" s="827"/>
      <c r="K2171" s="458" t="s">
        <v>4370</v>
      </c>
      <c r="L2171" s="1118"/>
      <c r="M2171" s="391"/>
      <c r="N2171" s="391"/>
      <c r="O2171" s="790"/>
      <c r="P2171" s="391"/>
      <c r="Q2171" s="388">
        <v>21333.4</v>
      </c>
      <c r="R2171" s="823"/>
      <c r="S2171" s="390"/>
      <c r="T2171" s="406"/>
      <c r="U2171" s="405"/>
      <c r="V2171" s="390"/>
    </row>
    <row r="2172" spans="1:22" s="420" customFormat="1" ht="64.5" hidden="1" customHeight="1">
      <c r="A2172" s="500">
        <f>A2170+1</f>
        <v>42</v>
      </c>
      <c r="B2172" s="1117" t="s">
        <v>1834</v>
      </c>
      <c r="C2172" s="493" t="s">
        <v>222</v>
      </c>
      <c r="D2172" s="825">
        <v>7739</v>
      </c>
      <c r="E2172" s="825">
        <v>1266</v>
      </c>
      <c r="F2172" s="826" t="s">
        <v>231</v>
      </c>
      <c r="G2172" s="825">
        <v>868.4</v>
      </c>
      <c r="H2172" s="827">
        <v>4</v>
      </c>
      <c r="I2172" s="827">
        <v>3</v>
      </c>
      <c r="J2172" s="827">
        <v>48</v>
      </c>
      <c r="K2172" s="458" t="s">
        <v>4379</v>
      </c>
      <c r="L2172" s="1118">
        <f>M2172+N2172+O2172+Q2172+M2173+N2173+O2173+Q2173</f>
        <v>50637.61</v>
      </c>
      <c r="M2172" s="393"/>
      <c r="N2172" s="393">
        <v>26777.439999999999</v>
      </c>
      <c r="O2172" s="393"/>
      <c r="P2172" s="393"/>
      <c r="Q2172" s="388"/>
      <c r="R2172" s="823"/>
      <c r="S2172" s="390"/>
      <c r="T2172" s="406"/>
      <c r="U2172" s="405"/>
      <c r="V2172" s="390"/>
    </row>
    <row r="2173" spans="1:22" s="420" customFormat="1" ht="49.5" hidden="1" customHeight="1">
      <c r="A2173" s="500"/>
      <c r="B2173" s="1117"/>
      <c r="C2173" s="493"/>
      <c r="D2173" s="825"/>
      <c r="E2173" s="825"/>
      <c r="F2173" s="826"/>
      <c r="G2173" s="825"/>
      <c r="H2173" s="827"/>
      <c r="I2173" s="827"/>
      <c r="J2173" s="827"/>
      <c r="K2173" s="458" t="s">
        <v>4368</v>
      </c>
      <c r="L2173" s="1118"/>
      <c r="M2173" s="393"/>
      <c r="N2173" s="393"/>
      <c r="O2173" s="393"/>
      <c r="P2173" s="393"/>
      <c r="Q2173" s="388">
        <v>23860.17</v>
      </c>
      <c r="R2173" s="823"/>
      <c r="S2173" s="390"/>
      <c r="T2173" s="406"/>
      <c r="U2173" s="405"/>
      <c r="V2173" s="390"/>
    </row>
    <row r="2174" spans="1:22" s="420" customFormat="1" ht="99" hidden="1" customHeight="1">
      <c r="A2174" s="500">
        <f>A2172+1</f>
        <v>43</v>
      </c>
      <c r="B2174" s="1117" t="s">
        <v>1835</v>
      </c>
      <c r="C2174" s="824" t="s">
        <v>218</v>
      </c>
      <c r="D2174" s="825">
        <v>9299</v>
      </c>
      <c r="E2174" s="825">
        <v>1536.42</v>
      </c>
      <c r="F2174" s="826" t="s">
        <v>224</v>
      </c>
      <c r="G2174" s="825">
        <v>792.1</v>
      </c>
      <c r="H2174" s="827">
        <v>5</v>
      </c>
      <c r="I2174" s="827">
        <v>4</v>
      </c>
      <c r="J2174" s="827">
        <v>60</v>
      </c>
      <c r="K2174" s="458" t="s">
        <v>4383</v>
      </c>
      <c r="L2174" s="1118">
        <f>M2174+N2174+O2174+Q2174+M2175+N2175+O2175+Q2175</f>
        <v>41629.699999999997</v>
      </c>
      <c r="M2174" s="391"/>
      <c r="N2174" s="391"/>
      <c r="O2174" s="790">
        <v>14267.3</v>
      </c>
      <c r="P2174" s="391"/>
      <c r="Q2174" s="388"/>
      <c r="R2174" s="823"/>
      <c r="S2174" s="390"/>
      <c r="T2174" s="406"/>
      <c r="U2174" s="405"/>
      <c r="V2174" s="390"/>
    </row>
    <row r="2175" spans="1:22" s="420" customFormat="1" ht="85.5" hidden="1" customHeight="1">
      <c r="A2175" s="500"/>
      <c r="B2175" s="1117"/>
      <c r="C2175" s="824"/>
      <c r="D2175" s="825"/>
      <c r="E2175" s="825"/>
      <c r="F2175" s="826"/>
      <c r="G2175" s="825"/>
      <c r="H2175" s="827"/>
      <c r="I2175" s="827"/>
      <c r="J2175" s="827"/>
      <c r="K2175" s="458" t="s">
        <v>4370</v>
      </c>
      <c r="L2175" s="1118"/>
      <c r="M2175" s="391"/>
      <c r="N2175" s="391"/>
      <c r="O2175" s="790"/>
      <c r="P2175" s="391"/>
      <c r="Q2175" s="388">
        <v>27362.400000000001</v>
      </c>
      <c r="R2175" s="823"/>
      <c r="S2175" s="390"/>
      <c r="T2175" s="406"/>
      <c r="U2175" s="405"/>
      <c r="V2175" s="390"/>
    </row>
    <row r="2176" spans="1:22" s="420" customFormat="1" ht="81" hidden="1" customHeight="1">
      <c r="A2176" s="500">
        <f>A2174+1</f>
        <v>44</v>
      </c>
      <c r="B2176" s="1117" t="s">
        <v>1837</v>
      </c>
      <c r="C2176" s="493" t="s">
        <v>222</v>
      </c>
      <c r="D2176" s="825">
        <v>39168</v>
      </c>
      <c r="E2176" s="825">
        <v>7552.41</v>
      </c>
      <c r="F2176" s="826" t="s">
        <v>224</v>
      </c>
      <c r="G2176" s="825">
        <v>2077</v>
      </c>
      <c r="H2176" s="827">
        <v>9</v>
      </c>
      <c r="I2176" s="827">
        <v>5</v>
      </c>
      <c r="J2176" s="827">
        <v>169</v>
      </c>
      <c r="K2176" s="458" t="s">
        <v>4379</v>
      </c>
      <c r="L2176" s="1118">
        <f>M2176+N2176+O2176+Q2176+M2177+N2177+O2177+Q2177</f>
        <v>47856.509999999995</v>
      </c>
      <c r="M2176" s="393"/>
      <c r="N2176" s="393"/>
      <c r="O2176" s="790">
        <v>27956.51</v>
      </c>
      <c r="P2176" s="391"/>
      <c r="Q2176" s="388"/>
      <c r="R2176" s="823"/>
      <c r="S2176" s="390"/>
      <c r="T2176" s="406"/>
      <c r="U2176" s="405"/>
      <c r="V2176" s="390"/>
    </row>
    <row r="2177" spans="1:22" s="420" customFormat="1" ht="54" hidden="1" customHeight="1">
      <c r="A2177" s="500"/>
      <c r="B2177" s="1117"/>
      <c r="C2177" s="493"/>
      <c r="D2177" s="825"/>
      <c r="E2177" s="825"/>
      <c r="F2177" s="826"/>
      <c r="G2177" s="825"/>
      <c r="H2177" s="827"/>
      <c r="I2177" s="827"/>
      <c r="J2177" s="827"/>
      <c r="K2177" s="458" t="s">
        <v>4368</v>
      </c>
      <c r="L2177" s="1118"/>
      <c r="M2177" s="393"/>
      <c r="N2177" s="393"/>
      <c r="O2177" s="790"/>
      <c r="P2177" s="391"/>
      <c r="Q2177" s="388">
        <v>19900</v>
      </c>
      <c r="R2177" s="823"/>
      <c r="S2177" s="390"/>
      <c r="T2177" s="406"/>
      <c r="U2177" s="405"/>
      <c r="V2177" s="390"/>
    </row>
    <row r="2178" spans="1:22" s="420" customFormat="1" ht="67.5" hidden="1" customHeight="1">
      <c r="A2178" s="500">
        <f>A2176+1</f>
        <v>45</v>
      </c>
      <c r="B2178" s="1117" t="s">
        <v>3948</v>
      </c>
      <c r="C2178" s="493" t="s">
        <v>222</v>
      </c>
      <c r="D2178" s="825">
        <v>3862</v>
      </c>
      <c r="E2178" s="825">
        <v>677</v>
      </c>
      <c r="F2178" s="826" t="s">
        <v>223</v>
      </c>
      <c r="G2178" s="825">
        <v>668</v>
      </c>
      <c r="H2178" s="827">
        <v>3</v>
      </c>
      <c r="I2178" s="827">
        <v>2</v>
      </c>
      <c r="J2178" s="827">
        <v>24</v>
      </c>
      <c r="K2178" s="458" t="s">
        <v>4379</v>
      </c>
      <c r="L2178" s="1118">
        <f>M2178+N2178+O2178+Q2178+M2179+N2179+O2179+Q2179</f>
        <v>39348.07</v>
      </c>
      <c r="M2178" s="393"/>
      <c r="N2178" s="393">
        <v>27441.11</v>
      </c>
      <c r="O2178" s="393"/>
      <c r="P2178" s="393"/>
      <c r="Q2178" s="388"/>
      <c r="R2178" s="823"/>
      <c r="S2178" s="390"/>
      <c r="T2178" s="406"/>
      <c r="U2178" s="405"/>
      <c r="V2178" s="390"/>
    </row>
    <row r="2179" spans="1:22" s="420" customFormat="1" ht="48" hidden="1" customHeight="1">
      <c r="A2179" s="500"/>
      <c r="B2179" s="1117"/>
      <c r="C2179" s="493"/>
      <c r="D2179" s="825"/>
      <c r="E2179" s="825"/>
      <c r="F2179" s="826"/>
      <c r="G2179" s="825"/>
      <c r="H2179" s="827"/>
      <c r="I2179" s="827"/>
      <c r="J2179" s="827"/>
      <c r="K2179" s="458" t="s">
        <v>4368</v>
      </c>
      <c r="L2179" s="1118"/>
      <c r="M2179" s="393"/>
      <c r="N2179" s="393"/>
      <c r="O2179" s="393"/>
      <c r="P2179" s="393"/>
      <c r="Q2179" s="388">
        <v>11906.96</v>
      </c>
      <c r="R2179" s="823"/>
      <c r="S2179" s="390"/>
      <c r="T2179" s="406"/>
      <c r="U2179" s="405"/>
      <c r="V2179" s="390"/>
    </row>
    <row r="2180" spans="1:22" s="420" customFormat="1" ht="66" hidden="1" customHeight="1">
      <c r="A2180" s="500">
        <f>A2178+1</f>
        <v>46</v>
      </c>
      <c r="B2180" s="493" t="s">
        <v>2757</v>
      </c>
      <c r="C2180" s="493" t="s">
        <v>222</v>
      </c>
      <c r="D2180" s="825">
        <v>3577</v>
      </c>
      <c r="E2180" s="825">
        <v>817.43200000000002</v>
      </c>
      <c r="F2180" s="463" t="s">
        <v>223</v>
      </c>
      <c r="G2180" s="825">
        <v>451.52000000000004</v>
      </c>
      <c r="H2180" s="827">
        <v>4</v>
      </c>
      <c r="I2180" s="827">
        <v>1</v>
      </c>
      <c r="J2180" s="827">
        <v>16</v>
      </c>
      <c r="K2180" s="458" t="s">
        <v>4368</v>
      </c>
      <c r="L2180" s="645">
        <f t="shared" si="279"/>
        <v>11084</v>
      </c>
      <c r="M2180" s="388"/>
      <c r="N2180" s="388"/>
      <c r="O2180" s="388"/>
      <c r="P2180" s="388"/>
      <c r="Q2180" s="388">
        <v>11084</v>
      </c>
      <c r="R2180" s="446"/>
      <c r="S2180" s="390"/>
      <c r="T2180" s="406"/>
      <c r="U2180" s="405"/>
      <c r="V2180" s="390"/>
    </row>
    <row r="2181" spans="1:22" s="420" customFormat="1" ht="54" hidden="1" customHeight="1">
      <c r="A2181" s="500">
        <f>A2180+1</f>
        <v>47</v>
      </c>
      <c r="B2181" s="493" t="s">
        <v>3963</v>
      </c>
      <c r="C2181" s="493" t="s">
        <v>218</v>
      </c>
      <c r="D2181" s="825">
        <v>16422</v>
      </c>
      <c r="E2181" s="825">
        <v>2880.9</v>
      </c>
      <c r="F2181" s="826" t="s">
        <v>228</v>
      </c>
      <c r="G2181" s="825">
        <v>1094.8</v>
      </c>
      <c r="H2181" s="827">
        <v>5</v>
      </c>
      <c r="I2181" s="827">
        <v>6</v>
      </c>
      <c r="J2181" s="827">
        <v>90</v>
      </c>
      <c r="K2181" s="458" t="s">
        <v>4365</v>
      </c>
      <c r="L2181" s="645">
        <f t="shared" si="279"/>
        <v>30000</v>
      </c>
      <c r="M2181" s="651"/>
      <c r="N2181" s="651"/>
      <c r="O2181" s="646"/>
      <c r="P2181" s="651"/>
      <c r="Q2181" s="388">
        <v>30000</v>
      </c>
      <c r="R2181" s="732"/>
      <c r="S2181" s="390"/>
      <c r="T2181" s="406"/>
      <c r="U2181" s="405"/>
      <c r="V2181" s="390"/>
    </row>
    <row r="2182" spans="1:22" s="403" customFormat="1" ht="42.75" hidden="1" customHeight="1">
      <c r="A2182" s="1112" t="s">
        <v>36</v>
      </c>
      <c r="B2182" s="1112"/>
      <c r="C2182" s="455" t="s">
        <v>28</v>
      </c>
      <c r="D2182" s="822">
        <f>SUM(D2121:D2181)</f>
        <v>930698.23800000001</v>
      </c>
      <c r="E2182" s="822">
        <f>SUM(E2121:E2181)</f>
        <v>164319.092</v>
      </c>
      <c r="F2182" s="388" t="s">
        <v>28</v>
      </c>
      <c r="G2182" s="822">
        <f>SUM(G2121:G2181)</f>
        <v>59819.64</v>
      </c>
      <c r="H2182" s="446" t="s">
        <v>28</v>
      </c>
      <c r="I2182" s="446" t="s">
        <v>28</v>
      </c>
      <c r="J2182" s="822">
        <f>SUM(J2121:J2181)</f>
        <v>4825</v>
      </c>
      <c r="K2182" s="458" t="s">
        <v>28</v>
      </c>
      <c r="L2182" s="393">
        <f t="shared" ref="L2182:Q2182" si="280">SUM(L2121:L2181)</f>
        <v>279295763.98000002</v>
      </c>
      <c r="M2182" s="393">
        <f t="shared" si="280"/>
        <v>276816567.69</v>
      </c>
      <c r="N2182" s="393">
        <f t="shared" si="280"/>
        <v>993785.12000000011</v>
      </c>
      <c r="O2182" s="393">
        <f t="shared" si="280"/>
        <v>361043.36</v>
      </c>
      <c r="P2182" s="393">
        <f t="shared" si="280"/>
        <v>0</v>
      </c>
      <c r="Q2182" s="393">
        <f t="shared" si="280"/>
        <v>1124367.81</v>
      </c>
      <c r="R2182" s="446" t="s">
        <v>28</v>
      </c>
      <c r="S2182" s="393">
        <f>L2182-M2182-N2182-O2182-P2182-Q2182</f>
        <v>2.1420419216156006E-8</v>
      </c>
      <c r="T2182" s="393"/>
      <c r="U2182" s="404"/>
      <c r="V2182" s="390"/>
    </row>
    <row r="2183" spans="1:22" s="403" customFormat="1" ht="31.5" hidden="1" customHeight="1">
      <c r="A2183" s="1113" t="s">
        <v>37</v>
      </c>
      <c r="B2183" s="1113"/>
      <c r="C2183" s="1113"/>
      <c r="D2183" s="1113"/>
      <c r="E2183" s="1113"/>
      <c r="F2183" s="1113"/>
      <c r="G2183" s="1113"/>
      <c r="H2183" s="1113"/>
      <c r="I2183" s="1113"/>
      <c r="J2183" s="1113"/>
      <c r="K2183" s="1113"/>
      <c r="L2183" s="1113"/>
      <c r="M2183" s="1113"/>
      <c r="N2183" s="1113"/>
      <c r="O2183" s="1113"/>
      <c r="P2183" s="1113"/>
      <c r="Q2183" s="1113"/>
      <c r="R2183" s="458"/>
      <c r="T2183" s="393"/>
      <c r="U2183" s="404"/>
      <c r="V2183" s="390"/>
    </row>
    <row r="2184" spans="1:22" s="431" customFormat="1" ht="37.5" hidden="1" customHeight="1">
      <c r="A2184" s="500">
        <v>1</v>
      </c>
      <c r="B2184" s="403" t="s">
        <v>853</v>
      </c>
      <c r="C2184" s="455" t="s">
        <v>222</v>
      </c>
      <c r="D2184" s="606">
        <v>34393</v>
      </c>
      <c r="E2184" s="391">
        <v>5396</v>
      </c>
      <c r="F2184" s="391" t="s">
        <v>234</v>
      </c>
      <c r="G2184" s="391">
        <v>1319</v>
      </c>
      <c r="H2184" s="528">
        <v>9</v>
      </c>
      <c r="I2184" s="528">
        <v>4</v>
      </c>
      <c r="J2184" s="528">
        <v>144</v>
      </c>
      <c r="K2184" s="642" t="s">
        <v>220</v>
      </c>
      <c r="L2184" s="519">
        <f t="shared" ref="L2184:L2216" si="281">M2184+N2184+O2184+P2184+Q2184</f>
        <v>4495270</v>
      </c>
      <c r="M2184" s="529">
        <v>4389020</v>
      </c>
      <c r="N2184" s="391">
        <v>106250</v>
      </c>
      <c r="O2184" s="473"/>
      <c r="P2184" s="388"/>
      <c r="Q2184" s="388"/>
      <c r="R2184" s="446">
        <f>M2184/2</f>
        <v>2194510</v>
      </c>
      <c r="S2184" s="383">
        <f t="shared" ref="S2184:S2205" si="282">L2184-M2184-N2184-O2184-P2184-Q2184</f>
        <v>0</v>
      </c>
      <c r="T2184" s="465"/>
      <c r="U2184" s="466"/>
      <c r="V2184" s="390"/>
    </row>
    <row r="2185" spans="1:22" s="415" customFormat="1" ht="37.5" hidden="1" customHeight="1">
      <c r="A2185" s="500">
        <f t="shared" ref="A2185:A2204" si="283">A2184+1</f>
        <v>2</v>
      </c>
      <c r="B2185" s="663" t="s">
        <v>868</v>
      </c>
      <c r="C2185" s="664" t="s">
        <v>222</v>
      </c>
      <c r="D2185" s="671">
        <v>20311</v>
      </c>
      <c r="E2185" s="667">
        <v>2610</v>
      </c>
      <c r="F2185" s="667" t="s">
        <v>234</v>
      </c>
      <c r="G2185" s="667">
        <v>753</v>
      </c>
      <c r="H2185" s="664">
        <v>9</v>
      </c>
      <c r="I2185" s="664">
        <v>2</v>
      </c>
      <c r="J2185" s="669">
        <v>72</v>
      </c>
      <c r="K2185" s="458" t="s">
        <v>220</v>
      </c>
      <c r="L2185" s="519">
        <f t="shared" si="281"/>
        <v>2235240</v>
      </c>
      <c r="M2185" s="529">
        <v>2150240</v>
      </c>
      <c r="N2185" s="391">
        <v>85000</v>
      </c>
      <c r="O2185" s="473"/>
      <c r="P2185" s="388"/>
      <c r="Q2185" s="388"/>
      <c r="R2185" s="446">
        <f>M2185</f>
        <v>2150240</v>
      </c>
      <c r="S2185" s="383">
        <f t="shared" si="282"/>
        <v>0</v>
      </c>
      <c r="T2185" s="467"/>
      <c r="U2185" s="466"/>
      <c r="V2185" s="390"/>
    </row>
    <row r="2186" spans="1:22" s="431" customFormat="1" ht="37.5" hidden="1" customHeight="1">
      <c r="A2186" s="500">
        <f t="shared" si="283"/>
        <v>3</v>
      </c>
      <c r="B2186" s="663" t="s">
        <v>869</v>
      </c>
      <c r="C2186" s="672" t="s">
        <v>218</v>
      </c>
      <c r="D2186" s="671">
        <v>14152</v>
      </c>
      <c r="E2186" s="667">
        <v>3364</v>
      </c>
      <c r="F2186" s="667" t="s">
        <v>234</v>
      </c>
      <c r="G2186" s="667">
        <v>608</v>
      </c>
      <c r="H2186" s="664">
        <v>9</v>
      </c>
      <c r="I2186" s="664">
        <v>2</v>
      </c>
      <c r="J2186" s="664">
        <v>72</v>
      </c>
      <c r="K2186" s="458" t="s">
        <v>220</v>
      </c>
      <c r="L2186" s="519">
        <f t="shared" si="281"/>
        <v>2142200</v>
      </c>
      <c r="M2186" s="529">
        <v>2057200</v>
      </c>
      <c r="N2186" s="391">
        <v>85000</v>
      </c>
      <c r="O2186" s="473"/>
      <c r="P2186" s="388"/>
      <c r="Q2186" s="388"/>
      <c r="R2186" s="446">
        <f>M2186</f>
        <v>2057200</v>
      </c>
      <c r="S2186" s="383">
        <f t="shared" si="282"/>
        <v>0</v>
      </c>
      <c r="T2186" s="465"/>
      <c r="U2186" s="466"/>
      <c r="V2186" s="390"/>
    </row>
    <row r="2187" spans="1:22" s="431" customFormat="1" ht="37.5" hidden="1" customHeight="1">
      <c r="A2187" s="500">
        <f t="shared" si="283"/>
        <v>4</v>
      </c>
      <c r="B2187" s="403" t="s">
        <v>1849</v>
      </c>
      <c r="C2187" s="455" t="s">
        <v>218</v>
      </c>
      <c r="D2187" s="606">
        <v>24192</v>
      </c>
      <c r="E2187" s="391">
        <v>3109</v>
      </c>
      <c r="F2187" s="391" t="s">
        <v>234</v>
      </c>
      <c r="G2187" s="391">
        <v>1014</v>
      </c>
      <c r="H2187" s="528">
        <v>9</v>
      </c>
      <c r="I2187" s="528">
        <v>3</v>
      </c>
      <c r="J2187" s="528">
        <v>108</v>
      </c>
      <c r="K2187" s="642" t="s">
        <v>220</v>
      </c>
      <c r="L2187" s="645">
        <f t="shared" si="281"/>
        <v>4371150</v>
      </c>
      <c r="M2187" s="645">
        <v>4264900</v>
      </c>
      <c r="N2187" s="646">
        <v>106250</v>
      </c>
      <c r="O2187" s="647"/>
      <c r="P2187" s="646"/>
      <c r="Q2187" s="388"/>
      <c r="R2187" s="648">
        <v>2000000</v>
      </c>
      <c r="S2187" s="383">
        <f t="shared" si="282"/>
        <v>0</v>
      </c>
      <c r="T2187" s="465"/>
      <c r="U2187" s="466"/>
      <c r="V2187" s="390"/>
    </row>
    <row r="2188" spans="1:22" s="431" customFormat="1" ht="37.5" hidden="1" customHeight="1">
      <c r="A2188" s="500">
        <f>A2187+1</f>
        <v>5</v>
      </c>
      <c r="B2188" s="403" t="s">
        <v>3519</v>
      </c>
      <c r="C2188" s="455" t="s">
        <v>222</v>
      </c>
      <c r="D2188" s="606">
        <v>23838</v>
      </c>
      <c r="E2188" s="391">
        <v>3840</v>
      </c>
      <c r="F2188" s="391" t="s">
        <v>234</v>
      </c>
      <c r="G2188" s="391">
        <v>1067</v>
      </c>
      <c r="H2188" s="528">
        <v>9</v>
      </c>
      <c r="I2188" s="528">
        <v>1</v>
      </c>
      <c r="J2188" s="528">
        <v>144</v>
      </c>
      <c r="K2188" s="642" t="s">
        <v>220</v>
      </c>
      <c r="L2188" s="645">
        <f t="shared" si="281"/>
        <v>2225600</v>
      </c>
      <c r="M2188" s="645">
        <v>2140600</v>
      </c>
      <c r="N2188" s="646">
        <v>85000</v>
      </c>
      <c r="O2188" s="647"/>
      <c r="P2188" s="646"/>
      <c r="Q2188" s="388"/>
      <c r="R2188" s="648">
        <v>2000000</v>
      </c>
      <c r="S2188" s="383">
        <f t="shared" si="282"/>
        <v>0</v>
      </c>
      <c r="T2188" s="465"/>
      <c r="U2188" s="466"/>
      <c r="V2188" s="390"/>
    </row>
    <row r="2189" spans="1:22" s="431" customFormat="1" ht="37.5" hidden="1" customHeight="1">
      <c r="A2189" s="500">
        <f t="shared" si="283"/>
        <v>6</v>
      </c>
      <c r="B2189" s="403" t="s">
        <v>3520</v>
      </c>
      <c r="C2189" s="455" t="s">
        <v>222</v>
      </c>
      <c r="D2189" s="606">
        <v>24002</v>
      </c>
      <c r="E2189" s="391">
        <v>4168</v>
      </c>
      <c r="F2189" s="391" t="s">
        <v>234</v>
      </c>
      <c r="G2189" s="391">
        <v>1712</v>
      </c>
      <c r="H2189" s="528">
        <v>9</v>
      </c>
      <c r="I2189" s="528">
        <v>1</v>
      </c>
      <c r="J2189" s="528">
        <v>144</v>
      </c>
      <c r="K2189" s="642" t="s">
        <v>220</v>
      </c>
      <c r="L2189" s="645">
        <f t="shared" si="281"/>
        <v>2222500</v>
      </c>
      <c r="M2189" s="645">
        <v>2137500</v>
      </c>
      <c r="N2189" s="646">
        <v>85000</v>
      </c>
      <c r="O2189" s="647"/>
      <c r="P2189" s="646"/>
      <c r="Q2189" s="388"/>
      <c r="R2189" s="648">
        <v>2000000</v>
      </c>
      <c r="S2189" s="383">
        <f t="shared" si="282"/>
        <v>0</v>
      </c>
      <c r="T2189" s="465"/>
      <c r="U2189" s="466"/>
      <c r="V2189" s="390"/>
    </row>
    <row r="2190" spans="1:22" s="431" customFormat="1" ht="37.5" hidden="1" customHeight="1">
      <c r="A2190" s="500">
        <f t="shared" si="283"/>
        <v>7</v>
      </c>
      <c r="B2190" s="403" t="s">
        <v>3521</v>
      </c>
      <c r="C2190" s="455" t="s">
        <v>222</v>
      </c>
      <c r="D2190" s="606">
        <v>23703</v>
      </c>
      <c r="E2190" s="391">
        <v>3996</v>
      </c>
      <c r="F2190" s="391" t="s">
        <v>234</v>
      </c>
      <c r="G2190" s="391">
        <v>1000</v>
      </c>
      <c r="H2190" s="528">
        <v>9</v>
      </c>
      <c r="I2190" s="528">
        <v>1</v>
      </c>
      <c r="J2190" s="528">
        <v>143</v>
      </c>
      <c r="K2190" s="642" t="s">
        <v>220</v>
      </c>
      <c r="L2190" s="645">
        <f t="shared" si="281"/>
        <v>2232060</v>
      </c>
      <c r="M2190" s="645">
        <v>2147060</v>
      </c>
      <c r="N2190" s="646">
        <v>85000</v>
      </c>
      <c r="O2190" s="647"/>
      <c r="P2190" s="646"/>
      <c r="Q2190" s="388"/>
      <c r="R2190" s="648">
        <v>2000000</v>
      </c>
      <c r="S2190" s="383">
        <f t="shared" si="282"/>
        <v>0</v>
      </c>
      <c r="T2190" s="465"/>
      <c r="U2190" s="466"/>
      <c r="V2190" s="390"/>
    </row>
    <row r="2191" spans="1:22" s="431" customFormat="1" ht="37.5" hidden="1" customHeight="1">
      <c r="A2191" s="500">
        <f t="shared" si="283"/>
        <v>8</v>
      </c>
      <c r="B2191" s="403" t="s">
        <v>887</v>
      </c>
      <c r="C2191" s="455" t="s">
        <v>222</v>
      </c>
      <c r="D2191" s="606">
        <v>38158</v>
      </c>
      <c r="E2191" s="391">
        <v>7510</v>
      </c>
      <c r="F2191" s="391" t="s">
        <v>234</v>
      </c>
      <c r="G2191" s="391">
        <v>1097</v>
      </c>
      <c r="H2191" s="528">
        <v>9</v>
      </c>
      <c r="I2191" s="528">
        <v>1</v>
      </c>
      <c r="J2191" s="528">
        <v>102</v>
      </c>
      <c r="K2191" s="642" t="s">
        <v>220</v>
      </c>
      <c r="L2191" s="645">
        <f t="shared" si="281"/>
        <v>4336550</v>
      </c>
      <c r="M2191" s="645">
        <v>4230300</v>
      </c>
      <c r="N2191" s="646">
        <v>106250</v>
      </c>
      <c r="O2191" s="647"/>
      <c r="P2191" s="646"/>
      <c r="Q2191" s="388"/>
      <c r="R2191" s="648">
        <v>2000000</v>
      </c>
      <c r="S2191" s="383">
        <f t="shared" si="282"/>
        <v>0</v>
      </c>
      <c r="T2191" s="465"/>
      <c r="U2191" s="466"/>
      <c r="V2191" s="390"/>
    </row>
    <row r="2192" spans="1:22" s="431" customFormat="1" ht="37.5" hidden="1" customHeight="1">
      <c r="A2192" s="500">
        <f t="shared" si="283"/>
        <v>9</v>
      </c>
      <c r="B2192" s="403" t="s">
        <v>3811</v>
      </c>
      <c r="C2192" s="455" t="s">
        <v>222</v>
      </c>
      <c r="D2192" s="606">
        <v>15946</v>
      </c>
      <c r="E2192" s="391">
        <v>3156</v>
      </c>
      <c r="F2192" s="391" t="s">
        <v>234</v>
      </c>
      <c r="G2192" s="391">
        <v>691</v>
      </c>
      <c r="H2192" s="528">
        <v>9</v>
      </c>
      <c r="I2192" s="528">
        <v>2</v>
      </c>
      <c r="J2192" s="528">
        <v>72</v>
      </c>
      <c r="K2192" s="642" t="s">
        <v>220</v>
      </c>
      <c r="L2192" s="645">
        <f t="shared" si="281"/>
        <v>4373290</v>
      </c>
      <c r="M2192" s="645">
        <v>4267040</v>
      </c>
      <c r="N2192" s="646">
        <v>106250</v>
      </c>
      <c r="O2192" s="647"/>
      <c r="P2192" s="646"/>
      <c r="Q2192" s="388"/>
      <c r="R2192" s="648">
        <f>M2192/I2192</f>
        <v>2133520</v>
      </c>
      <c r="S2192" s="383">
        <f t="shared" si="282"/>
        <v>0</v>
      </c>
      <c r="T2192" s="465"/>
      <c r="U2192" s="466"/>
      <c r="V2192" s="390"/>
    </row>
    <row r="2193" spans="1:22" s="431" customFormat="1" ht="37.5" hidden="1" customHeight="1">
      <c r="A2193" s="500">
        <f t="shared" si="283"/>
        <v>10</v>
      </c>
      <c r="B2193" s="403" t="s">
        <v>3812</v>
      </c>
      <c r="C2193" s="455" t="s">
        <v>222</v>
      </c>
      <c r="D2193" s="606">
        <v>24998</v>
      </c>
      <c r="E2193" s="391">
        <v>2407</v>
      </c>
      <c r="F2193" s="391" t="s">
        <v>234</v>
      </c>
      <c r="G2193" s="391">
        <v>897</v>
      </c>
      <c r="H2193" s="528">
        <v>9</v>
      </c>
      <c r="I2193" s="528">
        <v>2</v>
      </c>
      <c r="J2193" s="528">
        <v>64</v>
      </c>
      <c r="K2193" s="642" t="s">
        <v>220</v>
      </c>
      <c r="L2193" s="645">
        <f t="shared" si="281"/>
        <v>4480050</v>
      </c>
      <c r="M2193" s="645">
        <v>4373800</v>
      </c>
      <c r="N2193" s="646">
        <v>106250</v>
      </c>
      <c r="O2193" s="647"/>
      <c r="P2193" s="646"/>
      <c r="Q2193" s="388"/>
      <c r="R2193" s="648">
        <f>M2193/I2193</f>
        <v>2186900</v>
      </c>
      <c r="S2193" s="383">
        <f t="shared" si="282"/>
        <v>0</v>
      </c>
      <c r="T2193" s="465"/>
      <c r="U2193" s="466"/>
      <c r="V2193" s="390"/>
    </row>
    <row r="2194" spans="1:22" s="431" customFormat="1" ht="37.5" hidden="1" customHeight="1">
      <c r="A2194" s="500">
        <f t="shared" si="283"/>
        <v>11</v>
      </c>
      <c r="B2194" s="403" t="s">
        <v>3813</v>
      </c>
      <c r="C2194" s="455" t="s">
        <v>218</v>
      </c>
      <c r="D2194" s="606">
        <v>29763</v>
      </c>
      <c r="E2194" s="391">
        <v>5401.6</v>
      </c>
      <c r="F2194" s="391" t="s">
        <v>234</v>
      </c>
      <c r="G2194" s="391">
        <v>1279</v>
      </c>
      <c r="H2194" s="528">
        <v>9</v>
      </c>
      <c r="I2194" s="528">
        <v>4</v>
      </c>
      <c r="J2194" s="528">
        <v>144</v>
      </c>
      <c r="K2194" s="642" t="s">
        <v>220</v>
      </c>
      <c r="L2194" s="645">
        <f t="shared" si="281"/>
        <v>4385250</v>
      </c>
      <c r="M2194" s="645">
        <v>4279000</v>
      </c>
      <c r="N2194" s="646">
        <v>106250</v>
      </c>
      <c r="O2194" s="647"/>
      <c r="P2194" s="646"/>
      <c r="Q2194" s="388"/>
      <c r="R2194" s="648">
        <f>M2194/2</f>
        <v>2139500</v>
      </c>
      <c r="S2194" s="383">
        <f t="shared" si="282"/>
        <v>0</v>
      </c>
      <c r="T2194" s="465"/>
      <c r="U2194" s="466"/>
      <c r="V2194" s="390"/>
    </row>
    <row r="2195" spans="1:22" s="431" customFormat="1" ht="37.5" hidden="1" customHeight="1">
      <c r="A2195" s="500">
        <f t="shared" si="283"/>
        <v>12</v>
      </c>
      <c r="B2195" s="403" t="s">
        <v>4089</v>
      </c>
      <c r="C2195" s="455" t="s">
        <v>218</v>
      </c>
      <c r="D2195" s="606">
        <v>9983</v>
      </c>
      <c r="E2195" s="391">
        <v>1425</v>
      </c>
      <c r="F2195" s="391" t="s">
        <v>234</v>
      </c>
      <c r="G2195" s="391">
        <v>433</v>
      </c>
      <c r="H2195" s="528">
        <v>9</v>
      </c>
      <c r="I2195" s="528">
        <v>1</v>
      </c>
      <c r="J2195" s="528">
        <v>72</v>
      </c>
      <c r="K2195" s="642" t="s">
        <v>220</v>
      </c>
      <c r="L2195" s="645">
        <f t="shared" si="281"/>
        <v>2214300</v>
      </c>
      <c r="M2195" s="645">
        <v>2129300</v>
      </c>
      <c r="N2195" s="646">
        <v>85000</v>
      </c>
      <c r="O2195" s="647"/>
      <c r="P2195" s="646"/>
      <c r="Q2195" s="388"/>
      <c r="R2195" s="648">
        <f>M2195/I2195</f>
        <v>2129300</v>
      </c>
      <c r="S2195" s="383">
        <f t="shared" si="282"/>
        <v>0</v>
      </c>
      <c r="T2195" s="465"/>
      <c r="U2195" s="466"/>
      <c r="V2195" s="390"/>
    </row>
    <row r="2196" spans="1:22" s="431" customFormat="1" ht="37.5" hidden="1" customHeight="1">
      <c r="A2196" s="500">
        <f t="shared" si="283"/>
        <v>13</v>
      </c>
      <c r="B2196" s="403" t="s">
        <v>3814</v>
      </c>
      <c r="C2196" s="455" t="s">
        <v>218</v>
      </c>
      <c r="D2196" s="606">
        <v>31008</v>
      </c>
      <c r="E2196" s="391">
        <v>4592</v>
      </c>
      <c r="F2196" s="391" t="s">
        <v>234</v>
      </c>
      <c r="G2196" s="391">
        <v>1333</v>
      </c>
      <c r="H2196" s="528">
        <v>9</v>
      </c>
      <c r="I2196" s="528">
        <v>3</v>
      </c>
      <c r="J2196" s="528">
        <v>216</v>
      </c>
      <c r="K2196" s="642" t="s">
        <v>220</v>
      </c>
      <c r="L2196" s="645">
        <f t="shared" si="281"/>
        <v>6508400</v>
      </c>
      <c r="M2196" s="645">
        <v>6380900</v>
      </c>
      <c r="N2196" s="646">
        <v>127500</v>
      </c>
      <c r="O2196" s="647"/>
      <c r="P2196" s="646"/>
      <c r="Q2196" s="388"/>
      <c r="R2196" s="648">
        <f>M2196/I2196</f>
        <v>2126966.6666666665</v>
      </c>
      <c r="S2196" s="383">
        <f t="shared" si="282"/>
        <v>0</v>
      </c>
      <c r="T2196" s="465"/>
      <c r="U2196" s="466"/>
      <c r="V2196" s="390"/>
    </row>
    <row r="2197" spans="1:22" s="431" customFormat="1" ht="37.5" hidden="1" customHeight="1">
      <c r="A2197" s="500">
        <f t="shared" si="283"/>
        <v>14</v>
      </c>
      <c r="B2197" s="403" t="s">
        <v>3815</v>
      </c>
      <c r="C2197" s="455" t="s">
        <v>222</v>
      </c>
      <c r="D2197" s="606">
        <v>38610</v>
      </c>
      <c r="E2197" s="391">
        <v>5703</v>
      </c>
      <c r="F2197" s="391" t="s">
        <v>234</v>
      </c>
      <c r="G2197" s="391">
        <v>1352</v>
      </c>
      <c r="H2197" s="528">
        <v>9</v>
      </c>
      <c r="I2197" s="528">
        <v>4</v>
      </c>
      <c r="J2197" s="528">
        <v>129</v>
      </c>
      <c r="K2197" s="642" t="s">
        <v>220</v>
      </c>
      <c r="L2197" s="645">
        <f t="shared" si="281"/>
        <v>4350750</v>
      </c>
      <c r="M2197" s="645">
        <v>4244500</v>
      </c>
      <c r="N2197" s="646">
        <v>106250</v>
      </c>
      <c r="O2197" s="647"/>
      <c r="P2197" s="646"/>
      <c r="Q2197" s="388"/>
      <c r="R2197" s="648">
        <f>M2197/2</f>
        <v>2122250</v>
      </c>
      <c r="S2197" s="383">
        <f t="shared" si="282"/>
        <v>0</v>
      </c>
      <c r="T2197" s="465"/>
      <c r="U2197" s="466"/>
      <c r="V2197" s="390"/>
    </row>
    <row r="2198" spans="1:22" s="431" customFormat="1" ht="37.5" hidden="1" customHeight="1">
      <c r="A2198" s="500">
        <f t="shared" si="283"/>
        <v>15</v>
      </c>
      <c r="B2198" s="403" t="s">
        <v>3816</v>
      </c>
      <c r="C2198" s="455" t="s">
        <v>222</v>
      </c>
      <c r="D2198" s="606">
        <v>22355</v>
      </c>
      <c r="E2198" s="391">
        <v>2944</v>
      </c>
      <c r="F2198" s="391" t="s">
        <v>234</v>
      </c>
      <c r="G2198" s="391">
        <v>898</v>
      </c>
      <c r="H2198" s="528">
        <v>9</v>
      </c>
      <c r="I2198" s="528">
        <v>2</v>
      </c>
      <c r="J2198" s="528">
        <v>80</v>
      </c>
      <c r="K2198" s="642" t="s">
        <v>220</v>
      </c>
      <c r="L2198" s="645">
        <f t="shared" si="281"/>
        <v>4428350</v>
      </c>
      <c r="M2198" s="645">
        <v>4322100</v>
      </c>
      <c r="N2198" s="646">
        <v>106250</v>
      </c>
      <c r="O2198" s="647"/>
      <c r="P2198" s="646"/>
      <c r="Q2198" s="388"/>
      <c r="R2198" s="648">
        <f>M2198/I2198</f>
        <v>2161050</v>
      </c>
      <c r="S2198" s="383">
        <f t="shared" si="282"/>
        <v>0</v>
      </c>
      <c r="T2198" s="465"/>
      <c r="U2198" s="466"/>
      <c r="V2198" s="390"/>
    </row>
    <row r="2199" spans="1:22" s="431" customFormat="1" ht="37.5" hidden="1" customHeight="1">
      <c r="A2199" s="500">
        <f t="shared" si="283"/>
        <v>16</v>
      </c>
      <c r="B2199" s="403" t="s">
        <v>3817</v>
      </c>
      <c r="C2199" s="455" t="s">
        <v>218</v>
      </c>
      <c r="D2199" s="606">
        <v>29576</v>
      </c>
      <c r="E2199" s="391">
        <v>5353.5</v>
      </c>
      <c r="F2199" s="391" t="s">
        <v>234</v>
      </c>
      <c r="G2199" s="391">
        <v>1500</v>
      </c>
      <c r="H2199" s="528">
        <v>9</v>
      </c>
      <c r="I2199" s="528">
        <v>4</v>
      </c>
      <c r="J2199" s="528">
        <v>144</v>
      </c>
      <c r="K2199" s="642" t="s">
        <v>220</v>
      </c>
      <c r="L2199" s="645">
        <f t="shared" si="281"/>
        <v>8674150</v>
      </c>
      <c r="M2199" s="645">
        <v>8525400</v>
      </c>
      <c r="N2199" s="646">
        <v>148750</v>
      </c>
      <c r="O2199" s="647"/>
      <c r="P2199" s="646"/>
      <c r="Q2199" s="388"/>
      <c r="R2199" s="648">
        <f>M2199/I2199</f>
        <v>2131350</v>
      </c>
      <c r="S2199" s="383">
        <f t="shared" si="282"/>
        <v>0</v>
      </c>
      <c r="T2199" s="465"/>
      <c r="U2199" s="466"/>
      <c r="V2199" s="390"/>
    </row>
    <row r="2200" spans="1:22" s="431" customFormat="1" ht="37.5" hidden="1" customHeight="1">
      <c r="A2200" s="500">
        <f t="shared" si="283"/>
        <v>17</v>
      </c>
      <c r="B2200" s="403" t="s">
        <v>4224</v>
      </c>
      <c r="C2200" s="455" t="s">
        <v>222</v>
      </c>
      <c r="D2200" s="606">
        <v>21294</v>
      </c>
      <c r="E2200" s="391">
        <v>2635</v>
      </c>
      <c r="F2200" s="391" t="s">
        <v>234</v>
      </c>
      <c r="G2200" s="391">
        <v>853</v>
      </c>
      <c r="H2200" s="528">
        <v>9</v>
      </c>
      <c r="I2200" s="528">
        <v>2</v>
      </c>
      <c r="J2200" s="528">
        <v>70</v>
      </c>
      <c r="K2200" s="642" t="s">
        <v>220</v>
      </c>
      <c r="L2200" s="645">
        <f t="shared" si="281"/>
        <v>4431050</v>
      </c>
      <c r="M2200" s="645">
        <v>4324800</v>
      </c>
      <c r="N2200" s="646">
        <v>106250</v>
      </c>
      <c r="O2200" s="647"/>
      <c r="P2200" s="646"/>
      <c r="Q2200" s="388"/>
      <c r="R2200" s="648">
        <f>M2200/I2200</f>
        <v>2162400</v>
      </c>
      <c r="S2200" s="383">
        <f t="shared" si="282"/>
        <v>0</v>
      </c>
      <c r="T2200" s="465"/>
      <c r="U2200" s="466"/>
      <c r="V2200" s="390"/>
    </row>
    <row r="2201" spans="1:22" s="431" customFormat="1" ht="37.5" hidden="1" customHeight="1">
      <c r="A2201" s="500">
        <f t="shared" si="283"/>
        <v>18</v>
      </c>
      <c r="B2201" s="403" t="s">
        <v>4225</v>
      </c>
      <c r="C2201" s="455" t="s">
        <v>222</v>
      </c>
      <c r="D2201" s="606">
        <v>19780</v>
      </c>
      <c r="E2201" s="391">
        <v>2635</v>
      </c>
      <c r="F2201" s="391" t="s">
        <v>234</v>
      </c>
      <c r="G2201" s="391">
        <v>842</v>
      </c>
      <c r="H2201" s="528">
        <v>9</v>
      </c>
      <c r="I2201" s="528">
        <v>2</v>
      </c>
      <c r="J2201" s="528">
        <v>72</v>
      </c>
      <c r="K2201" s="642" t="s">
        <v>220</v>
      </c>
      <c r="L2201" s="645">
        <f t="shared" si="281"/>
        <v>4344150</v>
      </c>
      <c r="M2201" s="645">
        <v>4237900</v>
      </c>
      <c r="N2201" s="646">
        <v>106250</v>
      </c>
      <c r="O2201" s="647"/>
      <c r="P2201" s="646"/>
      <c r="Q2201" s="388"/>
      <c r="R2201" s="648">
        <f>M2201/I2201</f>
        <v>2118950</v>
      </c>
      <c r="S2201" s="383">
        <f t="shared" si="282"/>
        <v>0</v>
      </c>
      <c r="T2201" s="465"/>
      <c r="U2201" s="466"/>
      <c r="V2201" s="390"/>
    </row>
    <row r="2202" spans="1:22" s="431" customFormat="1" ht="37.5" hidden="1" customHeight="1">
      <c r="A2202" s="500">
        <f t="shared" si="283"/>
        <v>19</v>
      </c>
      <c r="B2202" s="403" t="s">
        <v>4226</v>
      </c>
      <c r="C2202" s="455" t="s">
        <v>218</v>
      </c>
      <c r="D2202" s="606">
        <v>21207</v>
      </c>
      <c r="E2202" s="391">
        <v>4044</v>
      </c>
      <c r="F2202" s="391" t="s">
        <v>234</v>
      </c>
      <c r="G2202" s="391">
        <v>928</v>
      </c>
      <c r="H2202" s="528">
        <v>9</v>
      </c>
      <c r="I2202" s="528">
        <v>3</v>
      </c>
      <c r="J2202" s="528">
        <v>108</v>
      </c>
      <c r="K2202" s="642" t="s">
        <v>220</v>
      </c>
      <c r="L2202" s="645">
        <f t="shared" si="281"/>
        <v>6515500</v>
      </c>
      <c r="M2202" s="645">
        <v>6388000</v>
      </c>
      <c r="N2202" s="646">
        <v>127500</v>
      </c>
      <c r="O2202" s="647"/>
      <c r="P2202" s="646"/>
      <c r="Q2202" s="388"/>
      <c r="R2202" s="648">
        <f>M2202/I2202</f>
        <v>2129333.3333333335</v>
      </c>
      <c r="S2202" s="383">
        <f t="shared" si="282"/>
        <v>0</v>
      </c>
      <c r="T2202" s="465"/>
      <c r="U2202" s="466"/>
      <c r="V2202" s="390"/>
    </row>
    <row r="2203" spans="1:22" s="431" customFormat="1" ht="37.5" hidden="1" customHeight="1">
      <c r="A2203" s="500">
        <f t="shared" si="283"/>
        <v>20</v>
      </c>
      <c r="B2203" s="403" t="s">
        <v>4227</v>
      </c>
      <c r="C2203" s="455" t="s">
        <v>222</v>
      </c>
      <c r="D2203" s="606">
        <v>35654</v>
      </c>
      <c r="E2203" s="391">
        <v>3220</v>
      </c>
      <c r="F2203" s="391" t="s">
        <v>223</v>
      </c>
      <c r="G2203" s="391">
        <v>2575</v>
      </c>
      <c r="H2203" s="528">
        <v>6</v>
      </c>
      <c r="I2203" s="528">
        <v>6</v>
      </c>
      <c r="J2203" s="528">
        <v>82</v>
      </c>
      <c r="K2203" s="642" t="s">
        <v>220</v>
      </c>
      <c r="L2203" s="645">
        <f t="shared" si="281"/>
        <v>3832550</v>
      </c>
      <c r="M2203" s="645">
        <v>3726300</v>
      </c>
      <c r="N2203" s="646">
        <v>106250</v>
      </c>
      <c r="O2203" s="647"/>
      <c r="P2203" s="646"/>
      <c r="Q2203" s="388"/>
      <c r="R2203" s="648">
        <f>M2203/2</f>
        <v>1863150</v>
      </c>
      <c r="S2203" s="383">
        <f t="shared" si="282"/>
        <v>0</v>
      </c>
      <c r="T2203" s="465"/>
      <c r="U2203" s="466"/>
      <c r="V2203" s="390"/>
    </row>
    <row r="2204" spans="1:22" s="431" customFormat="1" ht="37.5" hidden="1" customHeight="1">
      <c r="A2204" s="500">
        <f t="shared" si="283"/>
        <v>21</v>
      </c>
      <c r="B2204" s="403" t="s">
        <v>1850</v>
      </c>
      <c r="C2204" s="455" t="s">
        <v>222</v>
      </c>
      <c r="D2204" s="606">
        <v>11388</v>
      </c>
      <c r="E2204" s="391">
        <v>1946</v>
      </c>
      <c r="F2204" s="391" t="s">
        <v>234</v>
      </c>
      <c r="G2204" s="391">
        <v>875</v>
      </c>
      <c r="H2204" s="528">
        <v>5</v>
      </c>
      <c r="I2204" s="528">
        <v>1</v>
      </c>
      <c r="J2204" s="528">
        <v>69</v>
      </c>
      <c r="K2204" s="458" t="s">
        <v>239</v>
      </c>
      <c r="L2204" s="529">
        <f t="shared" si="281"/>
        <v>2118475.7799999998</v>
      </c>
      <c r="M2204" s="529">
        <v>2070000</v>
      </c>
      <c r="N2204" s="388">
        <v>29925</v>
      </c>
      <c r="O2204" s="530"/>
      <c r="P2204" s="391"/>
      <c r="Q2204" s="388">
        <v>18550.78</v>
      </c>
      <c r="R2204" s="528">
        <f>M2204/J2204</f>
        <v>30000</v>
      </c>
      <c r="S2204" s="383">
        <f t="shared" si="282"/>
        <v>-2.0372681319713593E-10</v>
      </c>
      <c r="T2204" s="465"/>
      <c r="U2204" s="466"/>
      <c r="V2204" s="390"/>
    </row>
    <row r="2205" spans="1:22" s="431" customFormat="1" ht="37.5" hidden="1" customHeight="1">
      <c r="A2205" s="500">
        <f t="shared" ref="A2205:A2243" si="284">A2204+1</f>
        <v>22</v>
      </c>
      <c r="B2205" s="403" t="s">
        <v>1851</v>
      </c>
      <c r="C2205" s="455" t="s">
        <v>222</v>
      </c>
      <c r="D2205" s="606">
        <v>11295</v>
      </c>
      <c r="E2205" s="391">
        <v>1960</v>
      </c>
      <c r="F2205" s="391" t="s">
        <v>234</v>
      </c>
      <c r="G2205" s="391">
        <v>861</v>
      </c>
      <c r="H2205" s="528">
        <v>5</v>
      </c>
      <c r="I2205" s="528">
        <v>1</v>
      </c>
      <c r="J2205" s="528">
        <v>56</v>
      </c>
      <c r="K2205" s="458" t="s">
        <v>239</v>
      </c>
      <c r="L2205" s="529">
        <f t="shared" si="281"/>
        <v>1728426.78</v>
      </c>
      <c r="M2205" s="529">
        <v>1680000</v>
      </c>
      <c r="N2205" s="388">
        <v>29876</v>
      </c>
      <c r="O2205" s="530"/>
      <c r="P2205" s="391"/>
      <c r="Q2205" s="388">
        <v>18550.78</v>
      </c>
      <c r="R2205" s="528">
        <f>M2205/J2205</f>
        <v>30000</v>
      </c>
      <c r="S2205" s="383">
        <f t="shared" si="282"/>
        <v>2.9103830456733704E-11</v>
      </c>
      <c r="T2205" s="465"/>
      <c r="U2205" s="466"/>
      <c r="V2205" s="390"/>
    </row>
    <row r="2206" spans="1:22" s="431" customFormat="1" ht="37.5" hidden="1" customHeight="1">
      <c r="A2206" s="500">
        <f t="shared" si="284"/>
        <v>23</v>
      </c>
      <c r="B2206" s="403" t="s">
        <v>1852</v>
      </c>
      <c r="C2206" s="455" t="s">
        <v>222</v>
      </c>
      <c r="D2206" s="606">
        <v>12029</v>
      </c>
      <c r="E2206" s="391">
        <v>2407</v>
      </c>
      <c r="F2206" s="391" t="s">
        <v>234</v>
      </c>
      <c r="G2206" s="391">
        <v>1774</v>
      </c>
      <c r="H2206" s="528">
        <v>5</v>
      </c>
      <c r="I2206" s="528">
        <v>8</v>
      </c>
      <c r="J2206" s="528">
        <v>120</v>
      </c>
      <c r="K2206" s="458" t="s">
        <v>33</v>
      </c>
      <c r="L2206" s="519">
        <f t="shared" si="281"/>
        <v>3944060</v>
      </c>
      <c r="M2206" s="519">
        <v>3902800</v>
      </c>
      <c r="N2206" s="388"/>
      <c r="O2206" s="473">
        <v>21360</v>
      </c>
      <c r="P2206" s="388"/>
      <c r="Q2206" s="388">
        <v>19900</v>
      </c>
      <c r="R2206" s="446">
        <f>M2206/G2206</f>
        <v>2200</v>
      </c>
      <c r="S2206" s="383">
        <f t="shared" ref="S2206:S2244" si="285">L2206-M2206-N2206-O2206-P2206-Q2206</f>
        <v>0</v>
      </c>
      <c r="T2206" s="465"/>
      <c r="U2206" s="466"/>
      <c r="V2206" s="390"/>
    </row>
    <row r="2207" spans="1:22" s="431" customFormat="1" ht="37.5" hidden="1" customHeight="1">
      <c r="A2207" s="500">
        <f t="shared" si="284"/>
        <v>24</v>
      </c>
      <c r="B2207" s="403" t="s">
        <v>1853</v>
      </c>
      <c r="C2207" s="455" t="s">
        <v>222</v>
      </c>
      <c r="D2207" s="606">
        <v>17890</v>
      </c>
      <c r="E2207" s="391">
        <v>3053</v>
      </c>
      <c r="F2207" s="391" t="s">
        <v>234</v>
      </c>
      <c r="G2207" s="391">
        <v>1395</v>
      </c>
      <c r="H2207" s="528">
        <v>5</v>
      </c>
      <c r="I2207" s="528">
        <v>6</v>
      </c>
      <c r="J2207" s="528">
        <v>92</v>
      </c>
      <c r="K2207" s="458" t="s">
        <v>33</v>
      </c>
      <c r="L2207" s="519">
        <f t="shared" si="281"/>
        <v>3111711</v>
      </c>
      <c r="M2207" s="519">
        <v>3069000</v>
      </c>
      <c r="N2207" s="388"/>
      <c r="O2207" s="473">
        <v>22811</v>
      </c>
      <c r="P2207" s="388"/>
      <c r="Q2207" s="388">
        <v>19900</v>
      </c>
      <c r="R2207" s="446">
        <f>M2207/G2207</f>
        <v>2200</v>
      </c>
      <c r="S2207" s="383">
        <f t="shared" si="285"/>
        <v>0</v>
      </c>
      <c r="T2207" s="465"/>
      <c r="U2207" s="466"/>
      <c r="V2207" s="390"/>
    </row>
    <row r="2208" spans="1:22" s="431" customFormat="1" ht="37.5" hidden="1" customHeight="1">
      <c r="A2208" s="500">
        <f t="shared" si="284"/>
        <v>25</v>
      </c>
      <c r="B2208" s="403" t="s">
        <v>1854</v>
      </c>
      <c r="C2208" s="455" t="s">
        <v>222</v>
      </c>
      <c r="D2208" s="606">
        <v>28503</v>
      </c>
      <c r="E2208" s="391">
        <v>3948</v>
      </c>
      <c r="F2208" s="391" t="s">
        <v>234</v>
      </c>
      <c r="G2208" s="391">
        <v>2150</v>
      </c>
      <c r="H2208" s="528">
        <v>5</v>
      </c>
      <c r="I2208" s="528">
        <v>10</v>
      </c>
      <c r="J2208" s="528">
        <v>132</v>
      </c>
      <c r="K2208" s="458" t="s">
        <v>33</v>
      </c>
      <c r="L2208" s="519">
        <f t="shared" si="281"/>
        <v>4773067.58</v>
      </c>
      <c r="M2208" s="519">
        <v>4730000</v>
      </c>
      <c r="N2208" s="388"/>
      <c r="O2208" s="473">
        <v>23167.58</v>
      </c>
      <c r="P2208" s="388"/>
      <c r="Q2208" s="388">
        <v>19900</v>
      </c>
      <c r="R2208" s="446">
        <f>M2208/G2208</f>
        <v>2200</v>
      </c>
      <c r="S2208" s="383">
        <f t="shared" si="285"/>
        <v>7.2759576141834259E-11</v>
      </c>
      <c r="T2208" s="465"/>
      <c r="U2208" s="466"/>
      <c r="V2208" s="390"/>
    </row>
    <row r="2209" spans="1:27" s="415" customFormat="1" ht="37.5" hidden="1" customHeight="1">
      <c r="A2209" s="500">
        <f t="shared" si="284"/>
        <v>26</v>
      </c>
      <c r="B2209" s="403" t="s">
        <v>1856</v>
      </c>
      <c r="C2209" s="455" t="s">
        <v>222</v>
      </c>
      <c r="D2209" s="606">
        <v>45278</v>
      </c>
      <c r="E2209" s="391">
        <v>5384</v>
      </c>
      <c r="F2209" s="391" t="s">
        <v>234</v>
      </c>
      <c r="G2209" s="391">
        <v>2000</v>
      </c>
      <c r="H2209" s="528">
        <v>9</v>
      </c>
      <c r="I2209" s="528">
        <v>6</v>
      </c>
      <c r="J2209" s="528">
        <v>215</v>
      </c>
      <c r="K2209" s="458" t="s">
        <v>33</v>
      </c>
      <c r="L2209" s="519">
        <f t="shared" si="281"/>
        <v>4448013.7300000004</v>
      </c>
      <c r="M2209" s="519">
        <v>4400000</v>
      </c>
      <c r="N2209" s="388"/>
      <c r="O2209" s="473">
        <v>28113.73</v>
      </c>
      <c r="P2209" s="388"/>
      <c r="Q2209" s="388">
        <v>19900</v>
      </c>
      <c r="R2209" s="446">
        <f>M2209/G2209</f>
        <v>2200</v>
      </c>
      <c r="S2209" s="383">
        <f t="shared" si="285"/>
        <v>4.4747139327228069E-10</v>
      </c>
      <c r="T2209" s="467"/>
      <c r="U2209" s="466"/>
      <c r="V2209" s="390"/>
    </row>
    <row r="2210" spans="1:27" s="431" customFormat="1" ht="56.25" hidden="1" customHeight="1">
      <c r="A2210" s="500">
        <f t="shared" si="284"/>
        <v>27</v>
      </c>
      <c r="B2210" s="403" t="s">
        <v>1857</v>
      </c>
      <c r="C2210" s="455" t="s">
        <v>222</v>
      </c>
      <c r="D2210" s="606">
        <v>24214</v>
      </c>
      <c r="E2210" s="391">
        <v>3326</v>
      </c>
      <c r="F2210" s="391" t="s">
        <v>223</v>
      </c>
      <c r="G2210" s="391">
        <v>2206</v>
      </c>
      <c r="H2210" s="528">
        <v>5</v>
      </c>
      <c r="I2210" s="528">
        <v>8</v>
      </c>
      <c r="J2210" s="528">
        <v>129</v>
      </c>
      <c r="K2210" s="458" t="s">
        <v>30</v>
      </c>
      <c r="L2210" s="519">
        <f t="shared" si="281"/>
        <v>3280667</v>
      </c>
      <c r="M2210" s="529">
        <v>3225000</v>
      </c>
      <c r="N2210" s="391"/>
      <c r="O2210" s="473">
        <v>15867</v>
      </c>
      <c r="P2210" s="391"/>
      <c r="Q2210" s="388">
        <v>39800</v>
      </c>
      <c r="R2210" s="446">
        <f>M2210/J2210</f>
        <v>25000</v>
      </c>
      <c r="S2210" s="383">
        <f t="shared" si="285"/>
        <v>0</v>
      </c>
      <c r="T2210" s="465"/>
      <c r="U2210" s="466"/>
      <c r="V2210" s="390"/>
      <c r="Z2210" s="416">
        <v>1</v>
      </c>
      <c r="AA2210" s="416">
        <f>J2210</f>
        <v>129</v>
      </c>
    </row>
    <row r="2211" spans="1:27" s="431" customFormat="1" ht="37.5" hidden="1" customHeight="1">
      <c r="A2211" s="500">
        <f t="shared" si="284"/>
        <v>28</v>
      </c>
      <c r="B2211" s="403" t="s">
        <v>1858</v>
      </c>
      <c r="C2211" s="455" t="s">
        <v>222</v>
      </c>
      <c r="D2211" s="606">
        <v>31104</v>
      </c>
      <c r="E2211" s="391">
        <v>3708</v>
      </c>
      <c r="F2211" s="391" t="s">
        <v>234</v>
      </c>
      <c r="G2211" s="391">
        <v>1278</v>
      </c>
      <c r="H2211" s="528">
        <v>9</v>
      </c>
      <c r="I2211" s="528">
        <v>3</v>
      </c>
      <c r="J2211" s="528">
        <v>159</v>
      </c>
      <c r="K2211" s="458" t="s">
        <v>225</v>
      </c>
      <c r="L2211" s="645">
        <f t="shared" si="281"/>
        <v>3563081.16</v>
      </c>
      <c r="M2211" s="645">
        <v>3498000</v>
      </c>
      <c r="N2211" s="646">
        <v>37388</v>
      </c>
      <c r="O2211" s="647"/>
      <c r="P2211" s="646"/>
      <c r="Q2211" s="388">
        <v>27693.16</v>
      </c>
      <c r="R2211" s="648">
        <f>M2211/J2211</f>
        <v>22000</v>
      </c>
      <c r="S2211" s="383">
        <f t="shared" si="285"/>
        <v>1.4915713109076023E-10</v>
      </c>
      <c r="T2211" s="465"/>
      <c r="U2211" s="466"/>
      <c r="V2211" s="390"/>
    </row>
    <row r="2212" spans="1:27" s="431" customFormat="1" ht="56.25" hidden="1" customHeight="1">
      <c r="A2212" s="500">
        <f t="shared" si="284"/>
        <v>29</v>
      </c>
      <c r="B2212" s="403" t="s">
        <v>1859</v>
      </c>
      <c r="C2212" s="455" t="s">
        <v>240</v>
      </c>
      <c r="D2212" s="606">
        <v>3667</v>
      </c>
      <c r="E2212" s="391">
        <v>528</v>
      </c>
      <c r="F2212" s="391" t="s">
        <v>223</v>
      </c>
      <c r="G2212" s="391">
        <v>474</v>
      </c>
      <c r="H2212" s="528">
        <v>3</v>
      </c>
      <c r="I2212" s="528">
        <v>1</v>
      </c>
      <c r="J2212" s="528">
        <v>9</v>
      </c>
      <c r="K2212" s="458" t="s">
        <v>30</v>
      </c>
      <c r="L2212" s="519">
        <f t="shared" si="281"/>
        <v>247332.47</v>
      </c>
      <c r="M2212" s="529">
        <v>225000</v>
      </c>
      <c r="N2212" s="391"/>
      <c r="O2212" s="473">
        <v>11202</v>
      </c>
      <c r="P2212" s="391"/>
      <c r="Q2212" s="388">
        <v>11130.47</v>
      </c>
      <c r="R2212" s="446">
        <f>M2212/J2212</f>
        <v>25000</v>
      </c>
      <c r="S2212" s="383">
        <f t="shared" si="285"/>
        <v>0</v>
      </c>
      <c r="T2212" s="465"/>
      <c r="U2212" s="466"/>
      <c r="V2212" s="390"/>
      <c r="Z2212" s="416">
        <v>1</v>
      </c>
      <c r="AA2212" s="416">
        <f>J2212</f>
        <v>9</v>
      </c>
    </row>
    <row r="2213" spans="1:27" s="431" customFormat="1" ht="56.25" hidden="1" customHeight="1">
      <c r="A2213" s="1125">
        <f t="shared" si="284"/>
        <v>30</v>
      </c>
      <c r="B2213" s="1113" t="s">
        <v>1860</v>
      </c>
      <c r="C2213" s="455" t="s">
        <v>240</v>
      </c>
      <c r="D2213" s="606">
        <v>8877</v>
      </c>
      <c r="E2213" s="391">
        <v>810</v>
      </c>
      <c r="F2213" s="391" t="s">
        <v>223</v>
      </c>
      <c r="G2213" s="391">
        <v>836</v>
      </c>
      <c r="H2213" s="528">
        <v>3</v>
      </c>
      <c r="I2213" s="528">
        <v>2</v>
      </c>
      <c r="J2213" s="528">
        <v>12</v>
      </c>
      <c r="K2213" s="458" t="s">
        <v>30</v>
      </c>
      <c r="L2213" s="1129">
        <f>M2213+N2213+O2213+P2213+Q2213+M2214+N2214+O2214+Q2214</f>
        <v>1025162.4</v>
      </c>
      <c r="M2213" s="529">
        <v>308727</v>
      </c>
      <c r="N2213" s="391"/>
      <c r="O2213" s="473">
        <v>11864</v>
      </c>
      <c r="P2213" s="391"/>
      <c r="Q2213" s="388">
        <v>27362.400000000001</v>
      </c>
      <c r="R2213" s="446">
        <f>M2213/J2213</f>
        <v>25727.25</v>
      </c>
      <c r="S2213" s="383">
        <f t="shared" si="285"/>
        <v>677209</v>
      </c>
      <c r="T2213" s="465"/>
      <c r="U2213" s="466"/>
      <c r="V2213" s="390"/>
      <c r="Z2213" s="416">
        <v>1</v>
      </c>
      <c r="AA2213" s="416">
        <f>J2213</f>
        <v>12</v>
      </c>
    </row>
    <row r="2214" spans="1:27" s="431" customFormat="1" ht="56.25" hidden="1" customHeight="1">
      <c r="A2214" s="1125"/>
      <c r="B2214" s="1113"/>
      <c r="C2214" s="455"/>
      <c r="D2214" s="606"/>
      <c r="E2214" s="391"/>
      <c r="F2214" s="391"/>
      <c r="G2214" s="391"/>
      <c r="H2214" s="528"/>
      <c r="I2214" s="528"/>
      <c r="J2214" s="528"/>
      <c r="K2214" s="458" t="s">
        <v>239</v>
      </c>
      <c r="L2214" s="1129"/>
      <c r="M2214" s="529">
        <v>660000</v>
      </c>
      <c r="N2214" s="391">
        <v>17209</v>
      </c>
      <c r="O2214" s="473"/>
      <c r="P2214" s="391"/>
      <c r="Q2214" s="388"/>
      <c r="R2214" s="446"/>
      <c r="S2214" s="383">
        <f t="shared" si="285"/>
        <v>-677209</v>
      </c>
      <c r="T2214" s="465"/>
      <c r="U2214" s="466"/>
      <c r="V2214" s="390"/>
      <c r="Z2214" s="416"/>
      <c r="AA2214" s="416"/>
    </row>
    <row r="2215" spans="1:27" s="431" customFormat="1" ht="37.5" hidden="1" customHeight="1">
      <c r="A2215" s="500">
        <f>A2213+1</f>
        <v>31</v>
      </c>
      <c r="B2215" s="403" t="s">
        <v>1861</v>
      </c>
      <c r="C2215" s="455" t="s">
        <v>222</v>
      </c>
      <c r="D2215" s="606">
        <v>63984</v>
      </c>
      <c r="E2215" s="391">
        <v>14295</v>
      </c>
      <c r="F2215" s="391" t="s">
        <v>234</v>
      </c>
      <c r="G2215" s="391">
        <v>3523</v>
      </c>
      <c r="H2215" s="528">
        <v>9</v>
      </c>
      <c r="I2215" s="528">
        <v>8</v>
      </c>
      <c r="J2215" s="528">
        <v>283</v>
      </c>
      <c r="K2215" s="458" t="s">
        <v>33</v>
      </c>
      <c r="L2215" s="519">
        <f t="shared" si="281"/>
        <v>7801439.5199999996</v>
      </c>
      <c r="M2215" s="519">
        <v>7750600</v>
      </c>
      <c r="N2215" s="388"/>
      <c r="O2215" s="473">
        <v>30939.52</v>
      </c>
      <c r="P2215" s="388"/>
      <c r="Q2215" s="388">
        <v>19900</v>
      </c>
      <c r="R2215" s="446">
        <f>M2215/G2215</f>
        <v>2200</v>
      </c>
      <c r="S2215" s="383">
        <f t="shared" si="285"/>
        <v>-4.4747139327228069E-10</v>
      </c>
      <c r="T2215" s="465"/>
      <c r="U2215" s="466"/>
      <c r="V2215" s="390"/>
    </row>
    <row r="2216" spans="1:27" s="415" customFormat="1" ht="37.5" hidden="1" customHeight="1">
      <c r="A2216" s="500">
        <f t="shared" si="284"/>
        <v>32</v>
      </c>
      <c r="B2216" s="403" t="s">
        <v>1863</v>
      </c>
      <c r="C2216" s="828" t="s">
        <v>218</v>
      </c>
      <c r="D2216" s="829">
        <v>11055</v>
      </c>
      <c r="E2216" s="482">
        <v>2044</v>
      </c>
      <c r="F2216" s="667" t="s">
        <v>234</v>
      </c>
      <c r="G2216" s="482">
        <v>837</v>
      </c>
      <c r="H2216" s="830">
        <v>5</v>
      </c>
      <c r="I2216" s="830">
        <v>3</v>
      </c>
      <c r="J2216" s="831">
        <v>43</v>
      </c>
      <c r="K2216" s="832" t="s">
        <v>237</v>
      </c>
      <c r="L2216" s="519">
        <f t="shared" si="281"/>
        <v>1882828.82</v>
      </c>
      <c r="M2216" s="519">
        <v>1841400</v>
      </c>
      <c r="N2216" s="388"/>
      <c r="O2216" s="473">
        <v>21528.82</v>
      </c>
      <c r="P2216" s="388"/>
      <c r="Q2216" s="388">
        <v>19900</v>
      </c>
      <c r="R2216" s="446">
        <f>M2216/G2216</f>
        <v>2200</v>
      </c>
      <c r="S2216" s="383">
        <f t="shared" si="285"/>
        <v>6.5483618527650833E-11</v>
      </c>
      <c r="T2216" s="467"/>
      <c r="U2216" s="466"/>
      <c r="V2216" s="390"/>
    </row>
    <row r="2217" spans="1:27" s="431" customFormat="1" ht="37.5" hidden="1" customHeight="1">
      <c r="A2217" s="500">
        <f t="shared" si="284"/>
        <v>33</v>
      </c>
      <c r="B2217" s="403" t="s">
        <v>1864</v>
      </c>
      <c r="C2217" s="455" t="s">
        <v>222</v>
      </c>
      <c r="D2217" s="606">
        <v>24760</v>
      </c>
      <c r="E2217" s="391">
        <v>4104</v>
      </c>
      <c r="F2217" s="391" t="s">
        <v>234</v>
      </c>
      <c r="G2217" s="391">
        <v>917</v>
      </c>
      <c r="H2217" s="528">
        <v>9</v>
      </c>
      <c r="I2217" s="528">
        <v>2</v>
      </c>
      <c r="J2217" s="528">
        <v>79</v>
      </c>
      <c r="K2217" s="458" t="s">
        <v>237</v>
      </c>
      <c r="L2217" s="519">
        <f t="shared" ref="L2217:L2243" si="286">M2217+N2217+O2217+P2217+Q2217</f>
        <v>2068239.52</v>
      </c>
      <c r="M2217" s="519">
        <v>2017400</v>
      </c>
      <c r="N2217" s="388"/>
      <c r="O2217" s="473">
        <v>30939.52</v>
      </c>
      <c r="P2217" s="388"/>
      <c r="Q2217" s="388">
        <v>19900</v>
      </c>
      <c r="R2217" s="446">
        <f>M2217/G2217</f>
        <v>2200</v>
      </c>
      <c r="S2217" s="383">
        <f t="shared" si="285"/>
        <v>0</v>
      </c>
      <c r="T2217" s="465"/>
      <c r="U2217" s="466"/>
      <c r="V2217" s="390"/>
    </row>
    <row r="2218" spans="1:27" s="431" customFormat="1" ht="37.5" hidden="1" customHeight="1">
      <c r="A2218" s="500">
        <f t="shared" si="284"/>
        <v>34</v>
      </c>
      <c r="B2218" s="403" t="s">
        <v>1865</v>
      </c>
      <c r="C2218" s="455" t="s">
        <v>222</v>
      </c>
      <c r="D2218" s="606">
        <v>12964</v>
      </c>
      <c r="E2218" s="391">
        <v>1446</v>
      </c>
      <c r="F2218" s="391" t="s">
        <v>234</v>
      </c>
      <c r="G2218" s="391">
        <v>926</v>
      </c>
      <c r="H2218" s="528">
        <v>5</v>
      </c>
      <c r="I2218" s="528">
        <v>4</v>
      </c>
      <c r="J2218" s="528">
        <v>40</v>
      </c>
      <c r="K2218" s="458" t="s">
        <v>33</v>
      </c>
      <c r="L2218" s="519">
        <f t="shared" si="286"/>
        <v>2079327</v>
      </c>
      <c r="M2218" s="519">
        <v>2037200</v>
      </c>
      <c r="N2218" s="388"/>
      <c r="O2218" s="473">
        <v>22227</v>
      </c>
      <c r="P2218" s="388"/>
      <c r="Q2218" s="388">
        <v>19900</v>
      </c>
      <c r="R2218" s="446">
        <f>M2218/G2218</f>
        <v>2200</v>
      </c>
      <c r="S2218" s="383">
        <f t="shared" si="285"/>
        <v>0</v>
      </c>
      <c r="T2218" s="465"/>
      <c r="U2218" s="466"/>
      <c r="V2218" s="390"/>
    </row>
    <row r="2219" spans="1:27" s="431" customFormat="1" ht="56.25" hidden="1" customHeight="1">
      <c r="A2219" s="500">
        <f t="shared" si="284"/>
        <v>35</v>
      </c>
      <c r="B2219" s="403" t="s">
        <v>1866</v>
      </c>
      <c r="C2219" s="455" t="s">
        <v>222</v>
      </c>
      <c r="D2219" s="606">
        <v>20399</v>
      </c>
      <c r="E2219" s="391">
        <v>1691</v>
      </c>
      <c r="F2219" s="391" t="s">
        <v>228</v>
      </c>
      <c r="G2219" s="391">
        <v>1442</v>
      </c>
      <c r="H2219" s="528">
        <v>5</v>
      </c>
      <c r="I2219" s="528">
        <v>3</v>
      </c>
      <c r="J2219" s="528">
        <v>60</v>
      </c>
      <c r="K2219" s="458" t="s">
        <v>30</v>
      </c>
      <c r="L2219" s="519">
        <f t="shared" si="286"/>
        <v>1555359</v>
      </c>
      <c r="M2219" s="529">
        <v>1500000</v>
      </c>
      <c r="N2219" s="391"/>
      <c r="O2219" s="473">
        <v>15559</v>
      </c>
      <c r="P2219" s="391"/>
      <c r="Q2219" s="388">
        <v>39800</v>
      </c>
      <c r="R2219" s="446">
        <f>M2219/J2219</f>
        <v>25000</v>
      </c>
      <c r="S2219" s="383">
        <f t="shared" si="285"/>
        <v>0</v>
      </c>
      <c r="T2219" s="465"/>
      <c r="U2219" s="466"/>
      <c r="V2219" s="390"/>
      <c r="Z2219" s="416">
        <v>1</v>
      </c>
      <c r="AA2219" s="416">
        <f>J2219</f>
        <v>60</v>
      </c>
    </row>
    <row r="2220" spans="1:27" s="431" customFormat="1" ht="56.25" hidden="1" customHeight="1">
      <c r="A2220" s="500">
        <f t="shared" si="284"/>
        <v>36</v>
      </c>
      <c r="B2220" s="403" t="s">
        <v>1867</v>
      </c>
      <c r="C2220" s="455" t="s">
        <v>218</v>
      </c>
      <c r="D2220" s="606">
        <v>16521</v>
      </c>
      <c r="E2220" s="391">
        <v>3064</v>
      </c>
      <c r="F2220" s="391" t="s">
        <v>234</v>
      </c>
      <c r="G2220" s="391">
        <v>1224</v>
      </c>
      <c r="H2220" s="528">
        <v>5</v>
      </c>
      <c r="I2220" s="528">
        <v>6</v>
      </c>
      <c r="J2220" s="528">
        <v>89</v>
      </c>
      <c r="K2220" s="458" t="s">
        <v>30</v>
      </c>
      <c r="L2220" s="519">
        <f t="shared" si="286"/>
        <v>2279971</v>
      </c>
      <c r="M2220" s="529">
        <v>2225000</v>
      </c>
      <c r="N2220" s="391"/>
      <c r="O2220" s="473">
        <v>15171</v>
      </c>
      <c r="P2220" s="391"/>
      <c r="Q2220" s="388">
        <v>39800</v>
      </c>
      <c r="R2220" s="446">
        <f>M2220/J2220</f>
        <v>25000</v>
      </c>
      <c r="S2220" s="383">
        <f t="shared" si="285"/>
        <v>0</v>
      </c>
      <c r="T2220" s="465"/>
      <c r="U2220" s="466"/>
      <c r="V2220" s="390"/>
      <c r="Z2220" s="416">
        <v>1</v>
      </c>
      <c r="AA2220" s="416">
        <f>J2220</f>
        <v>89</v>
      </c>
    </row>
    <row r="2221" spans="1:27" s="444" customFormat="1" ht="37.5" hidden="1" customHeight="1">
      <c r="A2221" s="500">
        <f t="shared" si="284"/>
        <v>37</v>
      </c>
      <c r="B2221" s="403" t="s">
        <v>1868</v>
      </c>
      <c r="C2221" s="455" t="s">
        <v>222</v>
      </c>
      <c r="D2221" s="606">
        <v>12194</v>
      </c>
      <c r="E2221" s="391">
        <v>1600</v>
      </c>
      <c r="F2221" s="391" t="s">
        <v>234</v>
      </c>
      <c r="G2221" s="391">
        <v>925</v>
      </c>
      <c r="H2221" s="528">
        <v>5</v>
      </c>
      <c r="I2221" s="528">
        <v>4</v>
      </c>
      <c r="J2221" s="528">
        <v>60</v>
      </c>
      <c r="K2221" s="458" t="s">
        <v>33</v>
      </c>
      <c r="L2221" s="519">
        <f t="shared" si="286"/>
        <v>2076321</v>
      </c>
      <c r="M2221" s="519">
        <v>2035000</v>
      </c>
      <c r="N2221" s="388"/>
      <c r="O2221" s="643">
        <v>21421</v>
      </c>
      <c r="P2221" s="388"/>
      <c r="Q2221" s="388">
        <v>19900</v>
      </c>
      <c r="R2221" s="446">
        <f>M2221/G2221</f>
        <v>2200</v>
      </c>
      <c r="S2221" s="383">
        <f t="shared" si="285"/>
        <v>0</v>
      </c>
      <c r="U2221" s="445"/>
      <c r="V2221" s="390"/>
    </row>
    <row r="2222" spans="1:27" s="431" customFormat="1" ht="37.5" hidden="1" customHeight="1">
      <c r="A2222" s="500">
        <f t="shared" si="284"/>
        <v>38</v>
      </c>
      <c r="B2222" s="403" t="s">
        <v>1869</v>
      </c>
      <c r="C2222" s="455" t="s">
        <v>222</v>
      </c>
      <c r="D2222" s="606">
        <v>12283</v>
      </c>
      <c r="E2222" s="391">
        <v>1272</v>
      </c>
      <c r="F2222" s="391" t="s">
        <v>266</v>
      </c>
      <c r="G2222" s="391">
        <v>876</v>
      </c>
      <c r="H2222" s="528">
        <v>5</v>
      </c>
      <c r="I2222" s="528">
        <v>4</v>
      </c>
      <c r="J2222" s="528">
        <v>60</v>
      </c>
      <c r="K2222" s="458" t="s">
        <v>239</v>
      </c>
      <c r="L2222" s="529">
        <f t="shared" si="286"/>
        <v>1848943.78</v>
      </c>
      <c r="M2222" s="529">
        <v>1800000</v>
      </c>
      <c r="N2222" s="388">
        <v>30393</v>
      </c>
      <c r="O2222" s="530"/>
      <c r="P2222" s="391"/>
      <c r="Q2222" s="388">
        <v>18550.78</v>
      </c>
      <c r="R2222" s="528">
        <f>M2222/J2222</f>
        <v>30000</v>
      </c>
      <c r="S2222" s="383">
        <f t="shared" si="285"/>
        <v>2.9103830456733704E-11</v>
      </c>
      <c r="T2222" s="465"/>
      <c r="U2222" s="466"/>
      <c r="V2222" s="390"/>
    </row>
    <row r="2223" spans="1:27" s="431" customFormat="1" ht="37.5" hidden="1" customHeight="1">
      <c r="A2223" s="500">
        <f t="shared" si="284"/>
        <v>39</v>
      </c>
      <c r="B2223" s="403" t="s">
        <v>1870</v>
      </c>
      <c r="C2223" s="455" t="s">
        <v>222</v>
      </c>
      <c r="D2223" s="606">
        <v>13475</v>
      </c>
      <c r="E2223" s="391">
        <v>2550</v>
      </c>
      <c r="F2223" s="391" t="s">
        <v>234</v>
      </c>
      <c r="G2223" s="391">
        <v>919</v>
      </c>
      <c r="H2223" s="528">
        <v>9</v>
      </c>
      <c r="I2223" s="528">
        <v>1</v>
      </c>
      <c r="J2223" s="528">
        <v>52</v>
      </c>
      <c r="K2223" s="458" t="s">
        <v>33</v>
      </c>
      <c r="L2223" s="519">
        <f t="shared" si="286"/>
        <v>2066443</v>
      </c>
      <c r="M2223" s="519">
        <v>2021800</v>
      </c>
      <c r="N2223" s="388"/>
      <c r="O2223" s="473">
        <v>24743</v>
      </c>
      <c r="P2223" s="388"/>
      <c r="Q2223" s="388">
        <v>19900</v>
      </c>
      <c r="R2223" s="446">
        <f>M2223/G2223</f>
        <v>2200</v>
      </c>
      <c r="S2223" s="383">
        <f t="shared" si="285"/>
        <v>0</v>
      </c>
      <c r="T2223" s="465"/>
      <c r="U2223" s="466"/>
      <c r="V2223" s="390"/>
    </row>
    <row r="2224" spans="1:27" s="431" customFormat="1" ht="37.5" hidden="1" customHeight="1">
      <c r="A2224" s="500">
        <f t="shared" si="284"/>
        <v>40</v>
      </c>
      <c r="B2224" s="403" t="s">
        <v>1871</v>
      </c>
      <c r="C2224" s="455" t="s">
        <v>222</v>
      </c>
      <c r="D2224" s="606">
        <v>10957</v>
      </c>
      <c r="E2224" s="391">
        <v>1390</v>
      </c>
      <c r="F2224" s="391" t="s">
        <v>223</v>
      </c>
      <c r="G2224" s="391">
        <v>982</v>
      </c>
      <c r="H2224" s="528">
        <v>4</v>
      </c>
      <c r="I2224" s="528">
        <v>3</v>
      </c>
      <c r="J2224" s="528">
        <v>31</v>
      </c>
      <c r="K2224" s="642" t="s">
        <v>225</v>
      </c>
      <c r="L2224" s="645">
        <f t="shared" si="286"/>
        <v>722881.21</v>
      </c>
      <c r="M2224" s="645">
        <v>682000</v>
      </c>
      <c r="N2224" s="646">
        <v>32328</v>
      </c>
      <c r="O2224" s="647"/>
      <c r="P2224" s="646"/>
      <c r="Q2224" s="388">
        <v>8553.2099999999991</v>
      </c>
      <c r="R2224" s="648">
        <f t="shared" ref="R2224:R2234" si="287">M2224/J2224</f>
        <v>22000</v>
      </c>
      <c r="S2224" s="383">
        <f t="shared" si="285"/>
        <v>-3.637978807091713E-11</v>
      </c>
      <c r="T2224" s="465"/>
      <c r="U2224" s="466"/>
      <c r="V2224" s="390"/>
    </row>
    <row r="2225" spans="1:27" s="431" customFormat="1" ht="37.5" hidden="1" customHeight="1">
      <c r="A2225" s="500">
        <f t="shared" si="284"/>
        <v>41</v>
      </c>
      <c r="B2225" s="403" t="s">
        <v>1872</v>
      </c>
      <c r="C2225" s="455" t="s">
        <v>222</v>
      </c>
      <c r="D2225" s="606">
        <v>21780</v>
      </c>
      <c r="E2225" s="391">
        <v>2480</v>
      </c>
      <c r="F2225" s="391" t="s">
        <v>223</v>
      </c>
      <c r="G2225" s="391">
        <v>2059</v>
      </c>
      <c r="H2225" s="528">
        <v>4</v>
      </c>
      <c r="I2225" s="528">
        <v>6</v>
      </c>
      <c r="J2225" s="528">
        <v>50</v>
      </c>
      <c r="K2225" s="642" t="s">
        <v>225</v>
      </c>
      <c r="L2225" s="645">
        <f t="shared" si="286"/>
        <v>1154458.9099999999</v>
      </c>
      <c r="M2225" s="645">
        <v>1100000</v>
      </c>
      <c r="N2225" s="646">
        <v>37454</v>
      </c>
      <c r="O2225" s="647"/>
      <c r="P2225" s="646"/>
      <c r="Q2225" s="388">
        <v>17004.91</v>
      </c>
      <c r="R2225" s="648">
        <f t="shared" si="287"/>
        <v>22000</v>
      </c>
      <c r="S2225" s="383">
        <f t="shared" si="285"/>
        <v>-8.3673512563109398E-11</v>
      </c>
      <c r="T2225" s="465"/>
      <c r="U2225" s="466"/>
      <c r="V2225" s="390"/>
    </row>
    <row r="2226" spans="1:27" s="431" customFormat="1" ht="62.25" hidden="1" customHeight="1">
      <c r="A2226" s="500">
        <f t="shared" si="284"/>
        <v>42</v>
      </c>
      <c r="B2226" s="403" t="s">
        <v>1873</v>
      </c>
      <c r="C2226" s="455" t="s">
        <v>222</v>
      </c>
      <c r="D2226" s="606">
        <v>5718</v>
      </c>
      <c r="E2226" s="391">
        <v>1158</v>
      </c>
      <c r="F2226" s="391" t="s">
        <v>223</v>
      </c>
      <c r="G2226" s="391">
        <v>826</v>
      </c>
      <c r="H2226" s="528">
        <v>3</v>
      </c>
      <c r="I2226" s="528">
        <v>3</v>
      </c>
      <c r="J2226" s="528">
        <v>24</v>
      </c>
      <c r="K2226" s="642" t="s">
        <v>30</v>
      </c>
      <c r="L2226" s="645">
        <f t="shared" si="286"/>
        <v>611368.46</v>
      </c>
      <c r="M2226" s="645">
        <v>594784</v>
      </c>
      <c r="N2226" s="646"/>
      <c r="O2226" s="647">
        <v>11913</v>
      </c>
      <c r="P2226" s="646"/>
      <c r="Q2226" s="388">
        <v>4671.46</v>
      </c>
      <c r="R2226" s="648">
        <f t="shared" si="287"/>
        <v>24782.666666666668</v>
      </c>
      <c r="S2226" s="383">
        <f t="shared" si="285"/>
        <v>-3.7289282772690058E-11</v>
      </c>
      <c r="T2226" s="465"/>
      <c r="U2226" s="466"/>
      <c r="V2226" s="390"/>
      <c r="Z2226" s="416">
        <v>1</v>
      </c>
      <c r="AA2226" s="416">
        <f>J2226</f>
        <v>24</v>
      </c>
    </row>
    <row r="2227" spans="1:27" s="431" customFormat="1" ht="37.5" hidden="1" customHeight="1">
      <c r="A2227" s="500">
        <f t="shared" si="284"/>
        <v>43</v>
      </c>
      <c r="B2227" s="403" t="s">
        <v>1874</v>
      </c>
      <c r="C2227" s="455" t="s">
        <v>222</v>
      </c>
      <c r="D2227" s="606">
        <v>19632</v>
      </c>
      <c r="E2227" s="391">
        <v>2694</v>
      </c>
      <c r="F2227" s="391" t="s">
        <v>228</v>
      </c>
      <c r="G2227" s="391">
        <v>1823</v>
      </c>
      <c r="H2227" s="528">
        <v>5</v>
      </c>
      <c r="I2227" s="528">
        <v>4</v>
      </c>
      <c r="J2227" s="528">
        <v>67</v>
      </c>
      <c r="K2227" s="458" t="s">
        <v>239</v>
      </c>
      <c r="L2227" s="529">
        <f t="shared" si="286"/>
        <v>2064946.71</v>
      </c>
      <c r="M2227" s="529">
        <v>2010000</v>
      </c>
      <c r="N2227" s="388">
        <v>32222</v>
      </c>
      <c r="O2227" s="530"/>
      <c r="P2227" s="391"/>
      <c r="Q2227" s="388">
        <v>22724.71</v>
      </c>
      <c r="R2227" s="528">
        <f t="shared" si="287"/>
        <v>30000</v>
      </c>
      <c r="S2227" s="383">
        <f t="shared" si="285"/>
        <v>-3.637978807091713E-11</v>
      </c>
      <c r="T2227" s="465"/>
      <c r="U2227" s="466"/>
      <c r="V2227" s="390"/>
    </row>
    <row r="2228" spans="1:27" s="431" customFormat="1" ht="56.25" hidden="1" customHeight="1">
      <c r="A2228" s="500">
        <f t="shared" si="284"/>
        <v>44</v>
      </c>
      <c r="B2228" s="403" t="s">
        <v>1875</v>
      </c>
      <c r="C2228" s="455" t="s">
        <v>222</v>
      </c>
      <c r="D2228" s="606">
        <v>13084</v>
      </c>
      <c r="E2228" s="391">
        <v>2538</v>
      </c>
      <c r="F2228" s="391" t="s">
        <v>223</v>
      </c>
      <c r="G2228" s="391">
        <v>1215</v>
      </c>
      <c r="H2228" s="528">
        <v>5</v>
      </c>
      <c r="I2228" s="528">
        <v>4</v>
      </c>
      <c r="J2228" s="528">
        <v>70</v>
      </c>
      <c r="K2228" s="458" t="s">
        <v>30</v>
      </c>
      <c r="L2228" s="519">
        <f t="shared" si="286"/>
        <v>1799147.94</v>
      </c>
      <c r="M2228" s="529">
        <v>1750000</v>
      </c>
      <c r="N2228" s="391"/>
      <c r="O2228" s="473">
        <v>14829</v>
      </c>
      <c r="P2228" s="391"/>
      <c r="Q2228" s="388">
        <v>34318.94</v>
      </c>
      <c r="R2228" s="446">
        <f t="shared" si="287"/>
        <v>25000</v>
      </c>
      <c r="S2228" s="383">
        <f t="shared" si="285"/>
        <v>-5.8207660913467407E-11</v>
      </c>
      <c r="T2228" s="465"/>
      <c r="U2228" s="466"/>
      <c r="V2228" s="390"/>
      <c r="Z2228" s="416">
        <v>1</v>
      </c>
      <c r="AA2228" s="416">
        <f>J2228</f>
        <v>70</v>
      </c>
    </row>
    <row r="2229" spans="1:27" s="431" customFormat="1" ht="56.25" hidden="1" customHeight="1">
      <c r="A2229" s="500">
        <f t="shared" si="284"/>
        <v>45</v>
      </c>
      <c r="B2229" s="403" t="s">
        <v>1876</v>
      </c>
      <c r="C2229" s="455" t="s">
        <v>222</v>
      </c>
      <c r="D2229" s="606">
        <v>13322</v>
      </c>
      <c r="E2229" s="391">
        <v>2642</v>
      </c>
      <c r="F2229" s="391" t="s">
        <v>223</v>
      </c>
      <c r="G2229" s="391">
        <v>1221</v>
      </c>
      <c r="H2229" s="528">
        <v>5</v>
      </c>
      <c r="I2229" s="528">
        <v>4</v>
      </c>
      <c r="J2229" s="528">
        <v>70</v>
      </c>
      <c r="K2229" s="458" t="s">
        <v>238</v>
      </c>
      <c r="L2229" s="519">
        <f t="shared" si="286"/>
        <v>1799207.94</v>
      </c>
      <c r="M2229" s="529">
        <v>1750000</v>
      </c>
      <c r="N2229" s="391"/>
      <c r="O2229" s="473">
        <v>14889</v>
      </c>
      <c r="P2229" s="391"/>
      <c r="Q2229" s="388">
        <v>34318.94</v>
      </c>
      <c r="R2229" s="446">
        <f t="shared" si="287"/>
        <v>25000</v>
      </c>
      <c r="S2229" s="383">
        <f t="shared" si="285"/>
        <v>-5.8207660913467407E-11</v>
      </c>
      <c r="T2229" s="465"/>
      <c r="U2229" s="466"/>
      <c r="V2229" s="390"/>
      <c r="Z2229" s="416">
        <v>1</v>
      </c>
      <c r="AA2229" s="416">
        <f>J2229</f>
        <v>70</v>
      </c>
    </row>
    <row r="2230" spans="1:27" s="431" customFormat="1" ht="56.25" hidden="1" customHeight="1">
      <c r="A2230" s="500">
        <f t="shared" si="284"/>
        <v>46</v>
      </c>
      <c r="B2230" s="403" t="s">
        <v>1877</v>
      </c>
      <c r="C2230" s="455" t="s">
        <v>222</v>
      </c>
      <c r="D2230" s="606">
        <v>13084</v>
      </c>
      <c r="E2230" s="391">
        <v>2538</v>
      </c>
      <c r="F2230" s="391" t="s">
        <v>223</v>
      </c>
      <c r="G2230" s="391">
        <v>1188</v>
      </c>
      <c r="H2230" s="528">
        <v>5</v>
      </c>
      <c r="I2230" s="528">
        <v>4</v>
      </c>
      <c r="J2230" s="528">
        <v>70</v>
      </c>
      <c r="K2230" s="458" t="s">
        <v>30</v>
      </c>
      <c r="L2230" s="519">
        <f t="shared" si="286"/>
        <v>1799147.94</v>
      </c>
      <c r="M2230" s="529">
        <v>1750000</v>
      </c>
      <c r="N2230" s="391"/>
      <c r="O2230" s="473">
        <v>14829</v>
      </c>
      <c r="P2230" s="391"/>
      <c r="Q2230" s="388">
        <v>34318.94</v>
      </c>
      <c r="R2230" s="446">
        <f t="shared" si="287"/>
        <v>25000</v>
      </c>
      <c r="S2230" s="383">
        <f t="shared" si="285"/>
        <v>-5.8207660913467407E-11</v>
      </c>
      <c r="T2230" s="465"/>
      <c r="U2230" s="466"/>
      <c r="V2230" s="390"/>
      <c r="Z2230" s="416">
        <v>1</v>
      </c>
      <c r="AA2230" s="416">
        <f>J2230</f>
        <v>70</v>
      </c>
    </row>
    <row r="2231" spans="1:27" s="431" customFormat="1" ht="37.5" hidden="1" customHeight="1">
      <c r="A2231" s="500">
        <f t="shared" si="284"/>
        <v>47</v>
      </c>
      <c r="B2231" s="403" t="s">
        <v>1878</v>
      </c>
      <c r="C2231" s="455" t="s">
        <v>222</v>
      </c>
      <c r="D2231" s="606">
        <v>5340</v>
      </c>
      <c r="E2231" s="391">
        <v>1128</v>
      </c>
      <c r="F2231" s="391" t="s">
        <v>223</v>
      </c>
      <c r="G2231" s="391">
        <v>586</v>
      </c>
      <c r="H2231" s="528">
        <v>4</v>
      </c>
      <c r="I2231" s="528">
        <v>2</v>
      </c>
      <c r="J2231" s="528">
        <v>32</v>
      </c>
      <c r="K2231" s="458" t="s">
        <v>225</v>
      </c>
      <c r="L2231" s="645">
        <f t="shared" si="286"/>
        <v>737506.49</v>
      </c>
      <c r="M2231" s="645">
        <v>704000</v>
      </c>
      <c r="N2231" s="646">
        <v>29202</v>
      </c>
      <c r="O2231" s="647"/>
      <c r="P2231" s="646"/>
      <c r="Q2231" s="388">
        <v>4304.49</v>
      </c>
      <c r="R2231" s="648">
        <f t="shared" si="287"/>
        <v>22000</v>
      </c>
      <c r="S2231" s="383">
        <f t="shared" si="285"/>
        <v>-9.0949470177292824E-12</v>
      </c>
      <c r="T2231" s="465"/>
      <c r="U2231" s="466"/>
      <c r="V2231" s="390"/>
    </row>
    <row r="2232" spans="1:27" s="431" customFormat="1" ht="56.25" hidden="1" customHeight="1">
      <c r="A2232" s="500">
        <f t="shared" si="284"/>
        <v>48</v>
      </c>
      <c r="B2232" s="403" t="s">
        <v>1879</v>
      </c>
      <c r="C2232" s="455" t="s">
        <v>222</v>
      </c>
      <c r="D2232" s="606">
        <v>12546</v>
      </c>
      <c r="E2232" s="391">
        <v>2420</v>
      </c>
      <c r="F2232" s="391" t="s">
        <v>223</v>
      </c>
      <c r="G2232" s="391">
        <v>1152</v>
      </c>
      <c r="H2232" s="528">
        <v>5</v>
      </c>
      <c r="I2232" s="528">
        <v>4</v>
      </c>
      <c r="J2232" s="528">
        <v>75</v>
      </c>
      <c r="K2232" s="458" t="s">
        <v>238</v>
      </c>
      <c r="L2232" s="519">
        <f t="shared" si="286"/>
        <v>1924012.94</v>
      </c>
      <c r="M2232" s="529">
        <v>1875000</v>
      </c>
      <c r="N2232" s="391"/>
      <c r="O2232" s="473">
        <v>14694</v>
      </c>
      <c r="P2232" s="391"/>
      <c r="Q2232" s="388">
        <v>34318.94</v>
      </c>
      <c r="R2232" s="446">
        <f t="shared" si="287"/>
        <v>25000</v>
      </c>
      <c r="S2232" s="383">
        <f t="shared" si="285"/>
        <v>-5.8207660913467407E-11</v>
      </c>
      <c r="T2232" s="465"/>
      <c r="U2232" s="466"/>
      <c r="V2232" s="390"/>
      <c r="Z2232" s="416">
        <v>1</v>
      </c>
      <c r="AA2232" s="416">
        <f>J2232</f>
        <v>75</v>
      </c>
    </row>
    <row r="2233" spans="1:27" s="431" customFormat="1" ht="56.25" hidden="1" customHeight="1">
      <c r="A2233" s="500">
        <f t="shared" si="284"/>
        <v>49</v>
      </c>
      <c r="B2233" s="403" t="s">
        <v>1880</v>
      </c>
      <c r="C2233" s="455" t="s">
        <v>222</v>
      </c>
      <c r="D2233" s="606">
        <v>12330</v>
      </c>
      <c r="E2233" s="391">
        <v>2440</v>
      </c>
      <c r="F2233" s="391" t="s">
        <v>223</v>
      </c>
      <c r="G2233" s="391">
        <v>1145</v>
      </c>
      <c r="H2233" s="528">
        <v>5</v>
      </c>
      <c r="I2233" s="528">
        <v>4</v>
      </c>
      <c r="J2233" s="528">
        <v>78</v>
      </c>
      <c r="K2233" s="458" t="s">
        <v>30</v>
      </c>
      <c r="L2233" s="519">
        <f t="shared" si="286"/>
        <v>1998957.94</v>
      </c>
      <c r="M2233" s="529">
        <v>1950000</v>
      </c>
      <c r="N2233" s="391"/>
      <c r="O2233" s="473">
        <v>14639</v>
      </c>
      <c r="P2233" s="391"/>
      <c r="Q2233" s="388">
        <v>34318.94</v>
      </c>
      <c r="R2233" s="446">
        <f t="shared" si="287"/>
        <v>25000</v>
      </c>
      <c r="S2233" s="383">
        <f t="shared" si="285"/>
        <v>-5.8207660913467407E-11</v>
      </c>
      <c r="T2233" s="465"/>
      <c r="U2233" s="466"/>
      <c r="V2233" s="390"/>
      <c r="Z2233" s="416">
        <v>1</v>
      </c>
      <c r="AA2233" s="416">
        <f>J2233</f>
        <v>78</v>
      </c>
    </row>
    <row r="2234" spans="1:27" s="431" customFormat="1" ht="56.25" hidden="1" customHeight="1">
      <c r="A2234" s="500">
        <f t="shared" si="284"/>
        <v>50</v>
      </c>
      <c r="B2234" s="403" t="s">
        <v>1881</v>
      </c>
      <c r="C2234" s="455" t="s">
        <v>222</v>
      </c>
      <c r="D2234" s="606">
        <v>12484</v>
      </c>
      <c r="E2234" s="391">
        <v>2460</v>
      </c>
      <c r="F2234" s="391" t="s">
        <v>223</v>
      </c>
      <c r="G2234" s="391">
        <v>1147</v>
      </c>
      <c r="H2234" s="528">
        <v>5</v>
      </c>
      <c r="I2234" s="528">
        <v>4</v>
      </c>
      <c r="J2234" s="528">
        <v>79</v>
      </c>
      <c r="K2234" s="458" t="s">
        <v>30</v>
      </c>
      <c r="L2234" s="519">
        <f t="shared" si="286"/>
        <v>2023996.94</v>
      </c>
      <c r="M2234" s="529">
        <v>1975000</v>
      </c>
      <c r="N2234" s="391"/>
      <c r="O2234" s="473">
        <v>14678</v>
      </c>
      <c r="P2234" s="391"/>
      <c r="Q2234" s="388">
        <v>34318.94</v>
      </c>
      <c r="R2234" s="446">
        <f t="shared" si="287"/>
        <v>25000</v>
      </c>
      <c r="S2234" s="383">
        <f t="shared" si="285"/>
        <v>-5.8207660913467407E-11</v>
      </c>
      <c r="T2234" s="465"/>
      <c r="U2234" s="466"/>
      <c r="V2234" s="390"/>
      <c r="Z2234" s="416">
        <v>1</v>
      </c>
      <c r="AA2234" s="416">
        <f>J2234</f>
        <v>79</v>
      </c>
    </row>
    <row r="2235" spans="1:27" s="431" customFormat="1" ht="37.5" hidden="1" customHeight="1">
      <c r="A2235" s="500">
        <f t="shared" si="284"/>
        <v>51</v>
      </c>
      <c r="B2235" s="403" t="s">
        <v>1882</v>
      </c>
      <c r="C2235" s="455" t="s">
        <v>222</v>
      </c>
      <c r="D2235" s="606">
        <v>14890</v>
      </c>
      <c r="E2235" s="391">
        <v>2500</v>
      </c>
      <c r="F2235" s="391" t="s">
        <v>228</v>
      </c>
      <c r="G2235" s="391">
        <v>846</v>
      </c>
      <c r="H2235" s="528">
        <v>5</v>
      </c>
      <c r="I2235" s="528">
        <v>1</v>
      </c>
      <c r="J2235" s="528">
        <v>69</v>
      </c>
      <c r="K2235" s="458" t="s">
        <v>33</v>
      </c>
      <c r="L2235" s="519">
        <f t="shared" si="286"/>
        <v>1902837</v>
      </c>
      <c r="M2235" s="519">
        <v>1861200</v>
      </c>
      <c r="N2235" s="388"/>
      <c r="O2235" s="473">
        <v>21737</v>
      </c>
      <c r="P2235" s="388"/>
      <c r="Q2235" s="388">
        <v>19900</v>
      </c>
      <c r="R2235" s="446">
        <f>M2235/G2235</f>
        <v>2200</v>
      </c>
      <c r="S2235" s="383">
        <f t="shared" si="285"/>
        <v>0</v>
      </c>
      <c r="T2235" s="465"/>
      <c r="U2235" s="466"/>
      <c r="V2235" s="390"/>
    </row>
    <row r="2236" spans="1:27" s="431" customFormat="1" ht="37.5" hidden="1" customHeight="1">
      <c r="A2236" s="500">
        <f t="shared" si="284"/>
        <v>52</v>
      </c>
      <c r="B2236" s="403" t="s">
        <v>1884</v>
      </c>
      <c r="C2236" s="455" t="s">
        <v>222</v>
      </c>
      <c r="D2236" s="606">
        <v>22989</v>
      </c>
      <c r="E2236" s="391">
        <v>3850</v>
      </c>
      <c r="F2236" s="391" t="s">
        <v>234</v>
      </c>
      <c r="G2236" s="391">
        <v>993</v>
      </c>
      <c r="H2236" s="528">
        <v>9</v>
      </c>
      <c r="I2236" s="528">
        <v>1</v>
      </c>
      <c r="J2236" s="528">
        <v>144</v>
      </c>
      <c r="K2236" s="458" t="s">
        <v>237</v>
      </c>
      <c r="L2236" s="519">
        <f t="shared" si="286"/>
        <v>2230675.46</v>
      </c>
      <c r="M2236" s="519">
        <v>2184600</v>
      </c>
      <c r="N2236" s="388"/>
      <c r="O2236" s="473">
        <v>26175.46</v>
      </c>
      <c r="P2236" s="388"/>
      <c r="Q2236" s="388">
        <v>19900</v>
      </c>
      <c r="R2236" s="446">
        <f>M2236/G2236</f>
        <v>2200</v>
      </c>
      <c r="S2236" s="383">
        <f t="shared" si="285"/>
        <v>-3.637978807091713E-11</v>
      </c>
      <c r="T2236" s="465"/>
      <c r="U2236" s="466"/>
      <c r="V2236" s="390"/>
    </row>
    <row r="2237" spans="1:27" s="431" customFormat="1" ht="56.25" hidden="1" customHeight="1">
      <c r="A2237" s="500">
        <f t="shared" si="284"/>
        <v>53</v>
      </c>
      <c r="B2237" s="403" t="s">
        <v>1885</v>
      </c>
      <c r="C2237" s="455" t="s">
        <v>222</v>
      </c>
      <c r="D2237" s="606">
        <v>10158</v>
      </c>
      <c r="E2237" s="391">
        <v>1300</v>
      </c>
      <c r="F2237" s="391" t="s">
        <v>234</v>
      </c>
      <c r="G2237" s="391">
        <v>907</v>
      </c>
      <c r="H2237" s="528">
        <v>4</v>
      </c>
      <c r="I2237" s="528">
        <v>3</v>
      </c>
      <c r="J2237" s="528">
        <v>36</v>
      </c>
      <c r="K2237" s="458" t="s">
        <v>30</v>
      </c>
      <c r="L2237" s="519">
        <f t="shared" si="286"/>
        <v>939768.4</v>
      </c>
      <c r="M2237" s="529">
        <v>900000</v>
      </c>
      <c r="N2237" s="391"/>
      <c r="O2237" s="473">
        <v>12406</v>
      </c>
      <c r="P2237" s="391"/>
      <c r="Q2237" s="388">
        <v>27362.400000000001</v>
      </c>
      <c r="R2237" s="446">
        <f>M2237/J2237</f>
        <v>25000</v>
      </c>
      <c r="S2237" s="383">
        <f t="shared" si="285"/>
        <v>0</v>
      </c>
      <c r="T2237" s="465"/>
      <c r="U2237" s="466"/>
      <c r="V2237" s="390"/>
      <c r="Z2237" s="416">
        <v>1</v>
      </c>
      <c r="AA2237" s="416">
        <f>J2237</f>
        <v>36</v>
      </c>
    </row>
    <row r="2238" spans="1:27" s="431" customFormat="1" ht="56.25" hidden="1" customHeight="1">
      <c r="A2238" s="500">
        <f t="shared" si="284"/>
        <v>54</v>
      </c>
      <c r="B2238" s="403" t="s">
        <v>1886</v>
      </c>
      <c r="C2238" s="455" t="s">
        <v>222</v>
      </c>
      <c r="D2238" s="606">
        <v>17150</v>
      </c>
      <c r="E2238" s="391">
        <v>2438</v>
      </c>
      <c r="F2238" s="391" t="s">
        <v>223</v>
      </c>
      <c r="G2238" s="391">
        <v>1225</v>
      </c>
      <c r="H2238" s="528">
        <v>5</v>
      </c>
      <c r="I2238" s="528">
        <v>4</v>
      </c>
      <c r="J2238" s="528">
        <v>70</v>
      </c>
      <c r="K2238" s="458" t="s">
        <v>30</v>
      </c>
      <c r="L2238" s="519">
        <f t="shared" si="286"/>
        <v>1805124</v>
      </c>
      <c r="M2238" s="529">
        <v>1750000</v>
      </c>
      <c r="N2238" s="391"/>
      <c r="O2238" s="473">
        <v>15324</v>
      </c>
      <c r="P2238" s="391"/>
      <c r="Q2238" s="388">
        <v>39800</v>
      </c>
      <c r="R2238" s="446">
        <f>M2238/J2238</f>
        <v>25000</v>
      </c>
      <c r="S2238" s="383">
        <f t="shared" si="285"/>
        <v>0</v>
      </c>
      <c r="T2238" s="465"/>
      <c r="U2238" s="466"/>
      <c r="V2238" s="390"/>
      <c r="Z2238" s="416">
        <v>1</v>
      </c>
      <c r="AA2238" s="416">
        <f>J2238</f>
        <v>70</v>
      </c>
    </row>
    <row r="2239" spans="1:27" s="431" customFormat="1" ht="56.25" hidden="1" customHeight="1">
      <c r="A2239" s="500">
        <f t="shared" si="284"/>
        <v>55</v>
      </c>
      <c r="B2239" s="403" t="s">
        <v>1887</v>
      </c>
      <c r="C2239" s="455" t="s">
        <v>222</v>
      </c>
      <c r="D2239" s="606">
        <v>6784</v>
      </c>
      <c r="E2239" s="391">
        <v>1151</v>
      </c>
      <c r="F2239" s="391" t="s">
        <v>223</v>
      </c>
      <c r="G2239" s="391">
        <v>588</v>
      </c>
      <c r="H2239" s="528">
        <v>5</v>
      </c>
      <c r="I2239" s="528">
        <v>2</v>
      </c>
      <c r="J2239" s="528">
        <v>40</v>
      </c>
      <c r="K2239" s="458" t="s">
        <v>30</v>
      </c>
      <c r="L2239" s="519">
        <f t="shared" si="286"/>
        <v>1035901.4</v>
      </c>
      <c r="M2239" s="529">
        <v>1000000</v>
      </c>
      <c r="N2239" s="391"/>
      <c r="O2239" s="473">
        <v>14568</v>
      </c>
      <c r="P2239" s="391"/>
      <c r="Q2239" s="388">
        <v>21333.4</v>
      </c>
      <c r="R2239" s="446">
        <f>M2239/J2239</f>
        <v>25000</v>
      </c>
      <c r="S2239" s="383">
        <f t="shared" si="285"/>
        <v>0</v>
      </c>
      <c r="T2239" s="465"/>
      <c r="U2239" s="466"/>
      <c r="V2239" s="390"/>
      <c r="Z2239" s="416">
        <v>1</v>
      </c>
      <c r="AA2239" s="416">
        <f>J2239</f>
        <v>40</v>
      </c>
    </row>
    <row r="2240" spans="1:27" s="431" customFormat="1" ht="56.25" hidden="1" customHeight="1">
      <c r="A2240" s="500">
        <f t="shared" si="284"/>
        <v>56</v>
      </c>
      <c r="B2240" s="403" t="s">
        <v>1888</v>
      </c>
      <c r="C2240" s="455" t="s">
        <v>222</v>
      </c>
      <c r="D2240" s="606">
        <v>10596</v>
      </c>
      <c r="E2240" s="391">
        <v>2440</v>
      </c>
      <c r="F2240" s="391" t="s">
        <v>223</v>
      </c>
      <c r="G2240" s="391">
        <v>984</v>
      </c>
      <c r="H2240" s="528">
        <v>5</v>
      </c>
      <c r="I2240" s="528">
        <v>4</v>
      </c>
      <c r="J2240" s="528">
        <v>69</v>
      </c>
      <c r="K2240" s="458" t="s">
        <v>238</v>
      </c>
      <c r="L2240" s="519">
        <f t="shared" si="286"/>
        <v>1767038.4</v>
      </c>
      <c r="M2240" s="529">
        <v>1725000</v>
      </c>
      <c r="N2240" s="391"/>
      <c r="O2240" s="473">
        <v>14676</v>
      </c>
      <c r="P2240" s="391"/>
      <c r="Q2240" s="388">
        <v>27362.400000000001</v>
      </c>
      <c r="R2240" s="446">
        <f>M2240/J2240</f>
        <v>25000</v>
      </c>
      <c r="S2240" s="383">
        <f t="shared" si="285"/>
        <v>-9.4587448984384537E-11</v>
      </c>
      <c r="T2240" s="465"/>
      <c r="U2240" s="466"/>
      <c r="V2240" s="390"/>
      <c r="Z2240" s="416">
        <v>1</v>
      </c>
      <c r="AA2240" s="416">
        <f>J2240</f>
        <v>69</v>
      </c>
    </row>
    <row r="2241" spans="1:27" s="431" customFormat="1" ht="56.25" hidden="1" customHeight="1">
      <c r="A2241" s="500">
        <f t="shared" si="284"/>
        <v>57</v>
      </c>
      <c r="B2241" s="403" t="s">
        <v>1889</v>
      </c>
      <c r="C2241" s="455" t="s">
        <v>222</v>
      </c>
      <c r="D2241" s="606">
        <v>22764</v>
      </c>
      <c r="E2241" s="391">
        <v>2400</v>
      </c>
      <c r="F2241" s="391" t="s">
        <v>223</v>
      </c>
      <c r="G2241" s="391">
        <v>1626</v>
      </c>
      <c r="H2241" s="528">
        <v>5</v>
      </c>
      <c r="I2241" s="528">
        <v>6</v>
      </c>
      <c r="J2241" s="528">
        <v>94</v>
      </c>
      <c r="K2241" s="458" t="s">
        <v>30</v>
      </c>
      <c r="L2241" s="519">
        <f t="shared" si="286"/>
        <v>2407066</v>
      </c>
      <c r="M2241" s="529">
        <v>2350000</v>
      </c>
      <c r="N2241" s="391"/>
      <c r="O2241" s="473">
        <v>17266</v>
      </c>
      <c r="P2241" s="391"/>
      <c r="Q2241" s="388">
        <v>39800</v>
      </c>
      <c r="R2241" s="446">
        <f>M2241/J2241</f>
        <v>25000</v>
      </c>
      <c r="S2241" s="383">
        <f t="shared" si="285"/>
        <v>0</v>
      </c>
      <c r="T2241" s="465"/>
      <c r="U2241" s="466"/>
      <c r="V2241" s="390"/>
      <c r="Z2241" s="416">
        <v>1</v>
      </c>
      <c r="AA2241" s="416">
        <f>J2241</f>
        <v>94</v>
      </c>
    </row>
    <row r="2242" spans="1:27" s="431" customFormat="1" ht="37.5" hidden="1" customHeight="1">
      <c r="A2242" s="500">
        <f t="shared" si="284"/>
        <v>58</v>
      </c>
      <c r="B2242" s="403" t="s">
        <v>1890</v>
      </c>
      <c r="C2242" s="455" t="s">
        <v>218</v>
      </c>
      <c r="D2242" s="606">
        <v>24557</v>
      </c>
      <c r="E2242" s="391">
        <v>2164</v>
      </c>
      <c r="F2242" s="391" t="s">
        <v>234</v>
      </c>
      <c r="G2242" s="391">
        <v>1662</v>
      </c>
      <c r="H2242" s="528">
        <v>5</v>
      </c>
      <c r="I2242" s="528">
        <v>6</v>
      </c>
      <c r="J2242" s="528">
        <v>136</v>
      </c>
      <c r="K2242" s="458" t="s">
        <v>33</v>
      </c>
      <c r="L2242" s="519">
        <f t="shared" si="286"/>
        <v>3699020.83</v>
      </c>
      <c r="M2242" s="519">
        <v>3656400</v>
      </c>
      <c r="N2242" s="388"/>
      <c r="O2242" s="473">
        <v>22720.83</v>
      </c>
      <c r="P2242" s="388"/>
      <c r="Q2242" s="388">
        <v>19900</v>
      </c>
      <c r="R2242" s="446">
        <f>M2242/G2242</f>
        <v>2200</v>
      </c>
      <c r="S2242" s="383">
        <f t="shared" si="285"/>
        <v>7.2759576141834259E-11</v>
      </c>
      <c r="T2242" s="465"/>
      <c r="U2242" s="466"/>
      <c r="V2242" s="390"/>
    </row>
    <row r="2243" spans="1:27" s="431" customFormat="1" ht="56.25" hidden="1" customHeight="1">
      <c r="A2243" s="500">
        <f t="shared" si="284"/>
        <v>59</v>
      </c>
      <c r="B2243" s="403" t="s">
        <v>1891</v>
      </c>
      <c r="C2243" s="455" t="s">
        <v>222</v>
      </c>
      <c r="D2243" s="606">
        <v>35798</v>
      </c>
      <c r="E2243" s="391">
        <v>2606</v>
      </c>
      <c r="F2243" s="391" t="s">
        <v>223</v>
      </c>
      <c r="G2243" s="391">
        <v>2557</v>
      </c>
      <c r="H2243" s="528">
        <v>5</v>
      </c>
      <c r="I2243" s="528">
        <v>6</v>
      </c>
      <c r="J2243" s="528">
        <v>98</v>
      </c>
      <c r="K2243" s="458" t="s">
        <v>238</v>
      </c>
      <c r="L2243" s="519">
        <f t="shared" si="286"/>
        <v>2506922</v>
      </c>
      <c r="M2243" s="529">
        <v>2450000</v>
      </c>
      <c r="N2243" s="391"/>
      <c r="O2243" s="473">
        <v>17122</v>
      </c>
      <c r="P2243" s="391"/>
      <c r="Q2243" s="388">
        <v>39800</v>
      </c>
      <c r="R2243" s="446">
        <f>M2243/J2243</f>
        <v>25000</v>
      </c>
      <c r="S2243" s="383">
        <f t="shared" si="285"/>
        <v>0</v>
      </c>
      <c r="T2243" s="465"/>
      <c r="U2243" s="466"/>
      <c r="V2243" s="390"/>
      <c r="Z2243" s="416">
        <v>1</v>
      </c>
      <c r="AA2243" s="416">
        <f>J2243</f>
        <v>98</v>
      </c>
    </row>
    <row r="2244" spans="1:27" s="403" customFormat="1" ht="42.75" hidden="1" customHeight="1">
      <c r="A2244" s="1112" t="s">
        <v>39</v>
      </c>
      <c r="B2244" s="1112"/>
      <c r="C2244" s="641" t="s">
        <v>28</v>
      </c>
      <c r="D2244" s="641">
        <f>SUM(D2184:D2243)</f>
        <v>1190766</v>
      </c>
      <c r="E2244" s="388">
        <f>SUM(E2184:E2243)</f>
        <v>181382.1</v>
      </c>
      <c r="F2244" s="388" t="s">
        <v>28</v>
      </c>
      <c r="G2244" s="388">
        <f>SUM(G2184:G2243)</f>
        <v>72321</v>
      </c>
      <c r="H2244" s="446" t="s">
        <v>28</v>
      </c>
      <c r="I2244" s="446" t="s">
        <v>28</v>
      </c>
      <c r="J2244" s="446">
        <f>SUM(J2184:J2243)</f>
        <v>5343</v>
      </c>
      <c r="K2244" s="389" t="s">
        <v>28</v>
      </c>
      <c r="L2244" s="519">
        <f t="shared" ref="L2244:Q2244" si="288">SUM(L2184:L2243)</f>
        <v>169627217.45000005</v>
      </c>
      <c r="M2244" s="519">
        <f t="shared" si="288"/>
        <v>165730771</v>
      </c>
      <c r="N2244" s="388">
        <f t="shared" si="288"/>
        <v>2358497</v>
      </c>
      <c r="O2244" s="473">
        <f t="shared" si="288"/>
        <v>579380.46</v>
      </c>
      <c r="P2244" s="641">
        <f t="shared" si="288"/>
        <v>0</v>
      </c>
      <c r="Q2244" s="641">
        <f t="shared" si="288"/>
        <v>958568.98999999987</v>
      </c>
      <c r="R2244" s="446" t="s">
        <v>28</v>
      </c>
      <c r="S2244" s="393">
        <f t="shared" si="285"/>
        <v>4.7846697270870209E-8</v>
      </c>
      <c r="T2244" s="468"/>
      <c r="U2244" s="466"/>
      <c r="V2244" s="390"/>
    </row>
    <row r="2245" spans="1:27" s="403" customFormat="1" ht="42.75" hidden="1" customHeight="1">
      <c r="A2245" s="1113" t="s">
        <v>42</v>
      </c>
      <c r="B2245" s="1113"/>
      <c r="C2245" s="1113"/>
      <c r="D2245" s="1113"/>
      <c r="E2245" s="1113"/>
      <c r="F2245" s="1113"/>
      <c r="G2245" s="1113"/>
      <c r="H2245" s="1113"/>
      <c r="I2245" s="1113"/>
      <c r="J2245" s="1113"/>
      <c r="K2245" s="1113"/>
      <c r="L2245" s="1113"/>
      <c r="M2245" s="1113"/>
      <c r="N2245" s="1113"/>
      <c r="O2245" s="1113"/>
      <c r="P2245" s="1113"/>
      <c r="Q2245" s="1113"/>
      <c r="R2245" s="458"/>
      <c r="T2245" s="393"/>
      <c r="U2245" s="404"/>
      <c r="V2245" s="390"/>
    </row>
    <row r="2246" spans="1:27" s="420" customFormat="1" ht="93.75" hidden="1" customHeight="1">
      <c r="A2246" s="458">
        <v>1</v>
      </c>
      <c r="B2246" s="403" t="s">
        <v>1900</v>
      </c>
      <c r="C2246" s="487" t="s">
        <v>218</v>
      </c>
      <c r="D2246" s="606">
        <f>E2246*3</f>
        <v>1764</v>
      </c>
      <c r="E2246" s="391">
        <v>588</v>
      </c>
      <c r="F2246" s="388" t="s">
        <v>223</v>
      </c>
      <c r="G2246" s="391">
        <v>660.4</v>
      </c>
      <c r="H2246" s="528">
        <v>2</v>
      </c>
      <c r="I2246" s="528">
        <v>2</v>
      </c>
      <c r="J2246" s="528">
        <v>16</v>
      </c>
      <c r="K2246" s="458" t="s">
        <v>243</v>
      </c>
      <c r="L2246" s="519">
        <f>M2246+N2246+O2246+P2246+Q2246</f>
        <v>1529068.81</v>
      </c>
      <c r="M2246" s="519">
        <v>1492689</v>
      </c>
      <c r="N2246" s="388">
        <v>27785</v>
      </c>
      <c r="O2246" s="473"/>
      <c r="P2246" s="388"/>
      <c r="Q2246" s="388">
        <v>8594.81</v>
      </c>
      <c r="R2246" s="446">
        <f>M2246/G2246</f>
        <v>2260.2801332525742</v>
      </c>
      <c r="S2246" s="383">
        <f>L2246-M2246-N2246-O2246-P2246-Q2246</f>
        <v>5.6388671509921551E-11</v>
      </c>
      <c r="U2246" s="405"/>
      <c r="V2246" s="390"/>
    </row>
    <row r="2247" spans="1:27" s="420" customFormat="1" ht="37.5" hidden="1" customHeight="1">
      <c r="A2247" s="458">
        <v>2</v>
      </c>
      <c r="B2247" s="403" t="s">
        <v>1901</v>
      </c>
      <c r="C2247" s="455" t="s">
        <v>222</v>
      </c>
      <c r="D2247" s="606">
        <f>E2247*3</f>
        <v>3948</v>
      </c>
      <c r="E2247" s="388">
        <v>1316</v>
      </c>
      <c r="F2247" s="388" t="s">
        <v>223</v>
      </c>
      <c r="G2247" s="388">
        <v>676</v>
      </c>
      <c r="H2247" s="446">
        <v>2</v>
      </c>
      <c r="I2247" s="446">
        <v>2</v>
      </c>
      <c r="J2247" s="446">
        <v>8</v>
      </c>
      <c r="K2247" s="458" t="s">
        <v>245</v>
      </c>
      <c r="L2247" s="519">
        <f>M2247+N2247+O2247+P2247+Q2247</f>
        <v>2191750.6800000002</v>
      </c>
      <c r="M2247" s="519">
        <v>2144000</v>
      </c>
      <c r="N2247" s="388">
        <v>25680.95</v>
      </c>
      <c r="O2247" s="473">
        <v>11867</v>
      </c>
      <c r="P2247" s="388"/>
      <c r="Q2247" s="388">
        <v>10202.73</v>
      </c>
      <c r="R2247" s="528">
        <f>M2247/E2247</f>
        <v>1629.1793313069909</v>
      </c>
      <c r="S2247" s="383">
        <f>L2247-M2247-N2247-O2247-P2247-Q2247</f>
        <v>1.673470251262188E-10</v>
      </c>
      <c r="U2247" s="405"/>
      <c r="V2247" s="390"/>
    </row>
    <row r="2248" spans="1:27" s="420" customFormat="1" ht="93.75" hidden="1" customHeight="1">
      <c r="A2248" s="458">
        <v>3</v>
      </c>
      <c r="B2248" s="403" t="s">
        <v>1902</v>
      </c>
      <c r="C2248" s="455" t="s">
        <v>222</v>
      </c>
      <c r="D2248" s="606">
        <f>E2248*3</f>
        <v>1764</v>
      </c>
      <c r="E2248" s="391">
        <v>588</v>
      </c>
      <c r="F2248" s="388" t="s">
        <v>223</v>
      </c>
      <c r="G2248" s="388">
        <v>633</v>
      </c>
      <c r="H2248" s="446">
        <v>2</v>
      </c>
      <c r="I2248" s="446">
        <v>2</v>
      </c>
      <c r="J2248" s="446">
        <v>16</v>
      </c>
      <c r="K2248" s="458" t="s">
        <v>243</v>
      </c>
      <c r="L2248" s="519">
        <f>M2248+N2248+O2248+P2248+Q2248</f>
        <v>1479619.81</v>
      </c>
      <c r="M2248" s="519">
        <v>1443240</v>
      </c>
      <c r="N2248" s="388">
        <v>27785</v>
      </c>
      <c r="O2248" s="473"/>
      <c r="P2248" s="388"/>
      <c r="Q2248" s="388">
        <v>8594.81</v>
      </c>
      <c r="R2248" s="446">
        <f>M2248/G2248</f>
        <v>2280</v>
      </c>
      <c r="S2248" s="383">
        <f>L2248-M2248-N2248-O2248-P2248-Q2248</f>
        <v>5.6388671509921551E-11</v>
      </c>
      <c r="U2248" s="405"/>
      <c r="V2248" s="390"/>
    </row>
    <row r="2249" spans="1:27" s="420" customFormat="1" ht="93.75" hidden="1" customHeight="1">
      <c r="A2249" s="458">
        <v>4</v>
      </c>
      <c r="B2249" s="403" t="s">
        <v>1903</v>
      </c>
      <c r="C2249" s="455" t="s">
        <v>222</v>
      </c>
      <c r="D2249" s="606">
        <f>E2249*3</f>
        <v>1728</v>
      </c>
      <c r="E2249" s="391">
        <v>576</v>
      </c>
      <c r="F2249" s="388" t="s">
        <v>223</v>
      </c>
      <c r="G2249" s="388">
        <v>608</v>
      </c>
      <c r="H2249" s="446">
        <v>2</v>
      </c>
      <c r="I2249" s="446">
        <v>2</v>
      </c>
      <c r="J2249" s="446">
        <v>12</v>
      </c>
      <c r="K2249" s="458" t="s">
        <v>243</v>
      </c>
      <c r="L2249" s="519">
        <f>M2249+N2249+O2249+P2249+Q2249</f>
        <v>1422350.69</v>
      </c>
      <c r="M2249" s="519">
        <v>1386240</v>
      </c>
      <c r="N2249" s="388">
        <v>27692</v>
      </c>
      <c r="O2249" s="473"/>
      <c r="P2249" s="388"/>
      <c r="Q2249" s="388">
        <v>8418.69</v>
      </c>
      <c r="R2249" s="446">
        <f>M2249/G2249</f>
        <v>2280</v>
      </c>
      <c r="S2249" s="383">
        <f>L2249-M2249-N2249-O2249-P2249-Q2249</f>
        <v>-5.6388671509921551E-11</v>
      </c>
      <c r="U2249" s="405"/>
      <c r="V2249" s="390"/>
    </row>
    <row r="2250" spans="1:27" s="498" customFormat="1" ht="42.75" hidden="1" customHeight="1">
      <c r="A2250" s="1137" t="s">
        <v>43</v>
      </c>
      <c r="B2250" s="1137"/>
      <c r="C2250" s="455" t="s">
        <v>28</v>
      </c>
      <c r="D2250" s="674">
        <f>SUM(D2246:D2249)</f>
        <v>9204</v>
      </c>
      <c r="E2250" s="675">
        <f>SUM(E2246:E2249)</f>
        <v>3068</v>
      </c>
      <c r="F2250" s="388" t="s">
        <v>28</v>
      </c>
      <c r="G2250" s="675">
        <f>SUM(G2246:G2249)</f>
        <v>2577.4</v>
      </c>
      <c r="H2250" s="446" t="s">
        <v>28</v>
      </c>
      <c r="I2250" s="446" t="s">
        <v>28</v>
      </c>
      <c r="J2250" s="676">
        <f>SUM(J2246:J2249)</f>
        <v>52</v>
      </c>
      <c r="K2250" s="458" t="s">
        <v>28</v>
      </c>
      <c r="L2250" s="677">
        <f>SUM(L2246:L2249)</f>
        <v>6622789.9900000002</v>
      </c>
      <c r="M2250" s="677">
        <f>SUM(M2246:M2249)</f>
        <v>6466169</v>
      </c>
      <c r="N2250" s="675">
        <f>SUM(N2246:N2249)</f>
        <v>108942.95</v>
      </c>
      <c r="O2250" s="678">
        <f>SUM(O2246:O2249)</f>
        <v>11867</v>
      </c>
      <c r="P2250" s="675"/>
      <c r="Q2250" s="675">
        <f>SUM(Q2246:Q2249)</f>
        <v>35811.040000000001</v>
      </c>
      <c r="R2250" s="446" t="s">
        <v>28</v>
      </c>
      <c r="S2250" s="393">
        <f>L2250-M2250-N2250-O2250-P2250-Q2250</f>
        <v>2.255546860396862E-10</v>
      </c>
      <c r="T2250" s="393"/>
      <c r="U2250" s="469"/>
      <c r="V2250" s="390"/>
    </row>
    <row r="2251" spans="1:27" s="403" customFormat="1" ht="42.75" hidden="1" customHeight="1">
      <c r="A2251" s="1113" t="s">
        <v>44</v>
      </c>
      <c r="B2251" s="1113"/>
      <c r="C2251" s="1113"/>
      <c r="D2251" s="1113"/>
      <c r="E2251" s="1113"/>
      <c r="F2251" s="1113"/>
      <c r="G2251" s="1113"/>
      <c r="H2251" s="1113"/>
      <c r="I2251" s="1113"/>
      <c r="J2251" s="1113"/>
      <c r="K2251" s="1113"/>
      <c r="L2251" s="1113"/>
      <c r="M2251" s="1113"/>
      <c r="N2251" s="1113"/>
      <c r="O2251" s="1113"/>
      <c r="P2251" s="1113"/>
      <c r="Q2251" s="1113"/>
      <c r="R2251" s="458"/>
      <c r="T2251" s="393"/>
      <c r="U2251" s="404"/>
      <c r="V2251" s="390"/>
    </row>
    <row r="2252" spans="1:27" s="403" customFormat="1" ht="37.5" hidden="1" customHeight="1">
      <c r="A2252" s="458">
        <v>1</v>
      </c>
      <c r="B2252" s="403" t="s">
        <v>1904</v>
      </c>
      <c r="C2252" s="455" t="s">
        <v>222</v>
      </c>
      <c r="D2252" s="641">
        <v>1038</v>
      </c>
      <c r="E2252" s="388">
        <v>435.72</v>
      </c>
      <c r="F2252" s="388" t="s">
        <v>223</v>
      </c>
      <c r="G2252" s="388">
        <v>671</v>
      </c>
      <c r="H2252" s="446">
        <v>2</v>
      </c>
      <c r="I2252" s="446">
        <v>2</v>
      </c>
      <c r="J2252" s="446">
        <v>11</v>
      </c>
      <c r="K2252" s="458" t="s">
        <v>33</v>
      </c>
      <c r="L2252" s="529">
        <f>M2252+N2252+O2252+P2252+Q2252</f>
        <v>1085632.5900000001</v>
      </c>
      <c r="M2252" s="519">
        <v>1054000</v>
      </c>
      <c r="N2252" s="388">
        <v>26575</v>
      </c>
      <c r="O2252" s="473"/>
      <c r="P2252" s="388"/>
      <c r="Q2252" s="388">
        <v>5057.59</v>
      </c>
      <c r="R2252" s="446">
        <f>M2252/G2252</f>
        <v>1570.7898658718332</v>
      </c>
      <c r="S2252" s="383">
        <f>L2252-M2252-N2252-O2252-P2252-Q2252</f>
        <v>8.3673512563109398E-11</v>
      </c>
      <c r="T2252" s="393"/>
      <c r="U2252" s="404"/>
      <c r="V2252" s="390"/>
    </row>
    <row r="2253" spans="1:27" s="403" customFormat="1" ht="42.75" hidden="1" customHeight="1">
      <c r="A2253" s="1112" t="s">
        <v>118</v>
      </c>
      <c r="B2253" s="1112"/>
      <c r="C2253" s="455" t="s">
        <v>28</v>
      </c>
      <c r="D2253" s="641">
        <f>SUM(D2252:D2252)</f>
        <v>1038</v>
      </c>
      <c r="E2253" s="388">
        <f>SUM(E2252:E2252)</f>
        <v>435.72</v>
      </c>
      <c r="F2253" s="388" t="s">
        <v>28</v>
      </c>
      <c r="G2253" s="388">
        <f>SUM(G2252:G2252)</f>
        <v>671</v>
      </c>
      <c r="H2253" s="446" t="s">
        <v>28</v>
      </c>
      <c r="I2253" s="446" t="s">
        <v>28</v>
      </c>
      <c r="J2253" s="446">
        <f>SUM(J2252:J2252)</f>
        <v>11</v>
      </c>
      <c r="K2253" s="458" t="s">
        <v>28</v>
      </c>
      <c r="L2253" s="519">
        <f>SUM(L2252:L2252)</f>
        <v>1085632.5900000001</v>
      </c>
      <c r="M2253" s="519">
        <f>SUM(M2252:M2252)</f>
        <v>1054000</v>
      </c>
      <c r="N2253" s="388">
        <f>SUM(N2252:N2252)</f>
        <v>26575</v>
      </c>
      <c r="O2253" s="473"/>
      <c r="P2253" s="388"/>
      <c r="Q2253" s="388">
        <f>SUM(Q2252:Q2252)</f>
        <v>5057.59</v>
      </c>
      <c r="R2253" s="446" t="s">
        <v>28</v>
      </c>
      <c r="S2253" s="393">
        <f>L2253-M2253-N2253-O2253-P2253-Q2253</f>
        <v>8.3673512563109398E-11</v>
      </c>
      <c r="T2253" s="393"/>
      <c r="U2253" s="404"/>
      <c r="V2253" s="390"/>
    </row>
    <row r="2254" spans="1:27" s="403" customFormat="1" ht="42.75" hidden="1" customHeight="1">
      <c r="A2254" s="1113" t="s">
        <v>45</v>
      </c>
      <c r="B2254" s="1113"/>
      <c r="C2254" s="1113"/>
      <c r="D2254" s="1113"/>
      <c r="E2254" s="1113"/>
      <c r="F2254" s="1113"/>
      <c r="G2254" s="1113"/>
      <c r="H2254" s="1113"/>
      <c r="I2254" s="1113"/>
      <c r="J2254" s="1113"/>
      <c r="K2254" s="1113"/>
      <c r="L2254" s="1113"/>
      <c r="M2254" s="1113"/>
      <c r="N2254" s="1113"/>
      <c r="O2254" s="1113"/>
      <c r="P2254" s="1113"/>
      <c r="Q2254" s="1113"/>
      <c r="R2254" s="458"/>
      <c r="T2254" s="393"/>
      <c r="U2254" s="404"/>
      <c r="V2254" s="390"/>
    </row>
    <row r="2255" spans="1:27" s="403" customFormat="1" ht="43.5" hidden="1" customHeight="1">
      <c r="A2255" s="458">
        <v>1</v>
      </c>
      <c r="B2255" s="1112" t="s">
        <v>3818</v>
      </c>
      <c r="C2255" s="455" t="s">
        <v>222</v>
      </c>
      <c r="D2255" s="641">
        <v>945</v>
      </c>
      <c r="E2255" s="388">
        <v>565</v>
      </c>
      <c r="F2255" s="388" t="s">
        <v>223</v>
      </c>
      <c r="G2255" s="388">
        <v>157.95000000000002</v>
      </c>
      <c r="H2255" s="446">
        <v>2</v>
      </c>
      <c r="I2255" s="446">
        <v>2</v>
      </c>
      <c r="J2255" s="446">
        <v>8</v>
      </c>
      <c r="K2255" s="463" t="s">
        <v>260</v>
      </c>
      <c r="L2255" s="1128">
        <f>M2255+N2255+O2255+P2255+Q2255+M2256+N2256+O2256+Q2256</f>
        <v>2035988</v>
      </c>
      <c r="M2255" s="650">
        <v>1741020</v>
      </c>
      <c r="N2255" s="651">
        <v>24614</v>
      </c>
      <c r="O2255" s="647"/>
      <c r="P2255" s="651"/>
      <c r="Q2255" s="388">
        <v>3214</v>
      </c>
      <c r="R2255" s="446">
        <f>M2255/G2255</f>
        <v>11022.602089268754</v>
      </c>
      <c r="S2255" s="383">
        <f>L2255-M2255-N2255-O2255-P2255-Q2255</f>
        <v>267140</v>
      </c>
      <c r="T2255" s="393"/>
      <c r="U2255" s="404"/>
      <c r="V2255" s="390"/>
    </row>
    <row r="2256" spans="1:27" s="403" customFormat="1" ht="37.5" hidden="1" customHeight="1">
      <c r="A2256" s="458"/>
      <c r="B2256" s="1112"/>
      <c r="C2256" s="455"/>
      <c r="D2256" s="641"/>
      <c r="E2256" s="388"/>
      <c r="F2256" s="388"/>
      <c r="G2256" s="388"/>
      <c r="H2256" s="446"/>
      <c r="I2256" s="446"/>
      <c r="J2256" s="446"/>
      <c r="K2256" s="463" t="s">
        <v>239</v>
      </c>
      <c r="L2256" s="1128"/>
      <c r="M2256" s="529">
        <v>240000</v>
      </c>
      <c r="N2256" s="388">
        <v>22945</v>
      </c>
      <c r="O2256" s="530"/>
      <c r="P2256" s="391"/>
      <c r="Q2256" s="388">
        <v>4195</v>
      </c>
      <c r="R2256" s="446">
        <f>M2256/J2255</f>
        <v>30000</v>
      </c>
      <c r="S2256" s="383">
        <f>L2256-M2256-N2256-O2256-P2256-Q2256</f>
        <v>-267140</v>
      </c>
      <c r="T2256" s="393"/>
      <c r="U2256" s="404"/>
      <c r="V2256" s="390"/>
    </row>
    <row r="2257" spans="1:27" s="403" customFormat="1" ht="42.75" hidden="1" customHeight="1">
      <c r="A2257" s="1112" t="s">
        <v>47</v>
      </c>
      <c r="B2257" s="1112"/>
      <c r="C2257" s="679" t="s">
        <v>28</v>
      </c>
      <c r="D2257" s="641">
        <f>SUM(D2255:D2256)</f>
        <v>945</v>
      </c>
      <c r="E2257" s="388">
        <f>SUM(E2255:E2256)</f>
        <v>565</v>
      </c>
      <c r="F2257" s="388" t="s">
        <v>28</v>
      </c>
      <c r="G2257" s="388">
        <f>SUM(G2255:G2256)</f>
        <v>157.95000000000002</v>
      </c>
      <c r="H2257" s="446" t="s">
        <v>28</v>
      </c>
      <c r="I2257" s="446" t="s">
        <v>28</v>
      </c>
      <c r="J2257" s="446">
        <f>SUM(J2255:J2256)</f>
        <v>8</v>
      </c>
      <c r="K2257" s="680" t="s">
        <v>28</v>
      </c>
      <c r="L2257" s="519">
        <f>SUM(L2255:L2256)</f>
        <v>2035988</v>
      </c>
      <c r="M2257" s="519">
        <f>SUM(M2255:M2256)</f>
        <v>1981020</v>
      </c>
      <c r="N2257" s="388">
        <f>SUM(N2255:N2256)</f>
        <v>47559</v>
      </c>
      <c r="O2257" s="473"/>
      <c r="P2257" s="388"/>
      <c r="Q2257" s="388">
        <f>SUM(Q2255:Q2256)</f>
        <v>7409</v>
      </c>
      <c r="R2257" s="446" t="s">
        <v>28</v>
      </c>
      <c r="S2257" s="393">
        <f>L2257-M2257-N2257-O2257-P2257-Q2257</f>
        <v>0</v>
      </c>
      <c r="T2257" s="393"/>
      <c r="U2257" s="404"/>
      <c r="V2257" s="390"/>
    </row>
    <row r="2258" spans="1:27" s="403" customFormat="1" ht="42.75" hidden="1" customHeight="1">
      <c r="A2258" s="1113" t="s">
        <v>48</v>
      </c>
      <c r="B2258" s="1113"/>
      <c r="C2258" s="1113"/>
      <c r="D2258" s="1113"/>
      <c r="E2258" s="1113"/>
      <c r="F2258" s="1113"/>
      <c r="G2258" s="1113"/>
      <c r="H2258" s="1113"/>
      <c r="I2258" s="1113"/>
      <c r="J2258" s="1113"/>
      <c r="K2258" s="1113"/>
      <c r="L2258" s="1113"/>
      <c r="M2258" s="1113"/>
      <c r="N2258" s="1113"/>
      <c r="O2258" s="1113"/>
      <c r="P2258" s="1113"/>
      <c r="Q2258" s="1113"/>
      <c r="R2258" s="458"/>
      <c r="T2258" s="393"/>
      <c r="U2258" s="404"/>
      <c r="V2258" s="390"/>
    </row>
    <row r="2259" spans="1:27" s="403" customFormat="1" ht="56.25" hidden="1" customHeight="1">
      <c r="A2259" s="458">
        <v>1</v>
      </c>
      <c r="B2259" s="403" t="s">
        <v>1905</v>
      </c>
      <c r="C2259" s="455" t="s">
        <v>222</v>
      </c>
      <c r="D2259" s="641">
        <v>3544</v>
      </c>
      <c r="E2259" s="388">
        <v>708.8</v>
      </c>
      <c r="F2259" s="388" t="s">
        <v>231</v>
      </c>
      <c r="G2259" s="388">
        <v>611</v>
      </c>
      <c r="H2259" s="446">
        <v>2</v>
      </c>
      <c r="I2259" s="446">
        <v>2</v>
      </c>
      <c r="J2259" s="446">
        <v>39</v>
      </c>
      <c r="K2259" s="458" t="s">
        <v>30</v>
      </c>
      <c r="L2259" s="519">
        <f>M2259+N2259+O2259+Q2259</f>
        <v>605633.06999999995</v>
      </c>
      <c r="M2259" s="519">
        <v>583540</v>
      </c>
      <c r="N2259" s="388"/>
      <c r="O2259" s="473">
        <v>10963</v>
      </c>
      <c r="P2259" s="388"/>
      <c r="Q2259" s="391">
        <v>11130.07</v>
      </c>
      <c r="R2259" s="446">
        <f>M2259/J2259</f>
        <v>14962.564102564103</v>
      </c>
      <c r="S2259" s="383">
        <f>L2259-M2259-N2259-O2259-P2259-Q2259</f>
        <v>-5.0931703299283981E-11</v>
      </c>
      <c r="T2259" s="393"/>
      <c r="U2259" s="404"/>
      <c r="V2259" s="390"/>
      <c r="Z2259" s="416">
        <v>1</v>
      </c>
      <c r="AA2259" s="416">
        <f>J2259</f>
        <v>39</v>
      </c>
    </row>
    <row r="2260" spans="1:27" s="403" customFormat="1" ht="42.75" hidden="1" customHeight="1">
      <c r="A2260" s="1112" t="s">
        <v>119</v>
      </c>
      <c r="B2260" s="1112"/>
      <c r="C2260" s="679" t="s">
        <v>28</v>
      </c>
      <c r="D2260" s="641">
        <f>SUM(D2259)</f>
        <v>3544</v>
      </c>
      <c r="E2260" s="388">
        <f>SUM(E2259)</f>
        <v>708.8</v>
      </c>
      <c r="F2260" s="388" t="s">
        <v>28</v>
      </c>
      <c r="G2260" s="388">
        <f>SUM(G2259)</f>
        <v>611</v>
      </c>
      <c r="H2260" s="446" t="s">
        <v>28</v>
      </c>
      <c r="I2260" s="446" t="s">
        <v>28</v>
      </c>
      <c r="J2260" s="446">
        <f>SUM(J2259)</f>
        <v>39</v>
      </c>
      <c r="K2260" s="680" t="s">
        <v>28</v>
      </c>
      <c r="L2260" s="519">
        <f>SUM(L2259)</f>
        <v>605633.06999999995</v>
      </c>
      <c r="M2260" s="519">
        <f>SUM(M2259)</f>
        <v>583540</v>
      </c>
      <c r="N2260" s="388"/>
      <c r="O2260" s="473">
        <f>SUM(O2259)</f>
        <v>10963</v>
      </c>
      <c r="P2260" s="388"/>
      <c r="Q2260" s="388">
        <f>SUM(Q2259)</f>
        <v>11130.07</v>
      </c>
      <c r="R2260" s="446" t="s">
        <v>28</v>
      </c>
      <c r="S2260" s="393">
        <f>L2260-M2260-N2260-O2260-P2260-Q2260</f>
        <v>-5.0931703299283981E-11</v>
      </c>
      <c r="T2260" s="393"/>
      <c r="U2260" s="404"/>
      <c r="V2260" s="390"/>
    </row>
    <row r="2261" spans="1:27" s="403" customFormat="1" ht="42.75" hidden="1" customHeight="1">
      <c r="A2261" s="1113" t="s">
        <v>49</v>
      </c>
      <c r="B2261" s="1113"/>
      <c r="C2261" s="1113"/>
      <c r="D2261" s="1113"/>
      <c r="E2261" s="1113"/>
      <c r="F2261" s="1113"/>
      <c r="G2261" s="1113"/>
      <c r="H2261" s="1113"/>
      <c r="I2261" s="1113"/>
      <c r="J2261" s="1113"/>
      <c r="K2261" s="1113"/>
      <c r="L2261" s="1113"/>
      <c r="M2261" s="1113"/>
      <c r="N2261" s="1113"/>
      <c r="O2261" s="1113"/>
      <c r="P2261" s="1113"/>
      <c r="Q2261" s="1113"/>
      <c r="R2261" s="458"/>
      <c r="T2261" s="393"/>
      <c r="U2261" s="404"/>
      <c r="V2261" s="390"/>
    </row>
    <row r="2262" spans="1:27" s="404" customFormat="1" ht="75" hidden="1" customHeight="1">
      <c r="A2262" s="504">
        <v>1</v>
      </c>
      <c r="B2262" s="403" t="s">
        <v>1906</v>
      </c>
      <c r="C2262" s="455" t="s">
        <v>222</v>
      </c>
      <c r="D2262" s="681">
        <v>9100</v>
      </c>
      <c r="E2262" s="646">
        <v>3085.6</v>
      </c>
      <c r="F2262" s="388" t="s">
        <v>223</v>
      </c>
      <c r="G2262" s="646">
        <v>2257</v>
      </c>
      <c r="H2262" s="446">
        <v>5</v>
      </c>
      <c r="I2262" s="446">
        <v>6</v>
      </c>
      <c r="J2262" s="648">
        <v>105</v>
      </c>
      <c r="K2262" s="458" t="s">
        <v>249</v>
      </c>
      <c r="L2262" s="519">
        <f t="shared" ref="L2262:L2293" si="289">M2262+N2262+O2262+Q2262</f>
        <v>6440234.2699999996</v>
      </c>
      <c r="M2262" s="519">
        <v>6386000</v>
      </c>
      <c r="N2262" s="388">
        <v>26178</v>
      </c>
      <c r="O2262" s="473"/>
      <c r="P2262" s="388"/>
      <c r="Q2262" s="388">
        <v>28056.27</v>
      </c>
      <c r="R2262" s="446">
        <f>M2262/G2262</f>
        <v>2829.4195835179444</v>
      </c>
      <c r="S2262" s="383">
        <f t="shared" ref="S2262:S2293" si="290">L2262-M2262-N2262-O2262-P2262-Q2262</f>
        <v>-4.4747139327228069E-10</v>
      </c>
      <c r="T2262" s="427"/>
      <c r="U2262" s="378"/>
      <c r="V2262" s="390"/>
    </row>
    <row r="2263" spans="1:27" s="404" customFormat="1" ht="37.5" hidden="1" customHeight="1">
      <c r="A2263" s="504">
        <f t="shared" ref="A2263:A2293" si="291">A2262+1</f>
        <v>2</v>
      </c>
      <c r="B2263" s="403" t="s">
        <v>1907</v>
      </c>
      <c r="C2263" s="455" t="s">
        <v>222</v>
      </c>
      <c r="D2263" s="681">
        <v>2899</v>
      </c>
      <c r="E2263" s="646">
        <v>809</v>
      </c>
      <c r="F2263" s="388" t="s">
        <v>223</v>
      </c>
      <c r="G2263" s="646">
        <v>595</v>
      </c>
      <c r="H2263" s="446">
        <v>2</v>
      </c>
      <c r="I2263" s="446">
        <v>2</v>
      </c>
      <c r="J2263" s="648">
        <v>12</v>
      </c>
      <c r="K2263" s="683" t="s">
        <v>225</v>
      </c>
      <c r="L2263" s="519">
        <f t="shared" si="289"/>
        <v>288853.15000000002</v>
      </c>
      <c r="M2263" s="519">
        <v>264000</v>
      </c>
      <c r="N2263" s="388">
        <v>22462</v>
      </c>
      <c r="O2263" s="473"/>
      <c r="P2263" s="388"/>
      <c r="Q2263" s="388">
        <v>2391.15</v>
      </c>
      <c r="R2263" s="446">
        <f>M2263/J2263</f>
        <v>22000</v>
      </c>
      <c r="S2263" s="383">
        <f t="shared" si="290"/>
        <v>2.319211489520967E-11</v>
      </c>
      <c r="T2263" s="427"/>
      <c r="U2263" s="378"/>
      <c r="V2263" s="390"/>
    </row>
    <row r="2264" spans="1:27" s="404" customFormat="1" ht="93.75" hidden="1" customHeight="1">
      <c r="A2264" s="504">
        <f t="shared" si="291"/>
        <v>3</v>
      </c>
      <c r="B2264" s="543" t="s">
        <v>1908</v>
      </c>
      <c r="C2264" s="684" t="s">
        <v>222</v>
      </c>
      <c r="D2264" s="641">
        <v>6143</v>
      </c>
      <c r="E2264" s="388">
        <v>694</v>
      </c>
      <c r="F2264" s="388" t="s">
        <v>224</v>
      </c>
      <c r="G2264" s="388">
        <v>626</v>
      </c>
      <c r="H2264" s="446">
        <v>3</v>
      </c>
      <c r="I2264" s="446">
        <v>2</v>
      </c>
      <c r="J2264" s="446">
        <v>20</v>
      </c>
      <c r="K2264" s="682" t="s">
        <v>253</v>
      </c>
      <c r="L2264" s="519">
        <f t="shared" si="289"/>
        <v>3129431</v>
      </c>
      <c r="M2264" s="519">
        <v>3081240</v>
      </c>
      <c r="N2264" s="388">
        <v>29252</v>
      </c>
      <c r="O2264" s="473"/>
      <c r="P2264" s="388"/>
      <c r="Q2264" s="388">
        <v>18939</v>
      </c>
      <c r="R2264" s="446">
        <f t="shared" ref="R2264:R2274" si="292">M2264/G2264</f>
        <v>4922.1086261980827</v>
      </c>
      <c r="S2264" s="383">
        <f t="shared" si="290"/>
        <v>0</v>
      </c>
      <c r="T2264" s="427"/>
      <c r="U2264" s="378"/>
      <c r="V2264" s="390"/>
    </row>
    <row r="2265" spans="1:27" s="403" customFormat="1" ht="75" hidden="1" customHeight="1">
      <c r="A2265" s="504">
        <f t="shared" si="291"/>
        <v>4</v>
      </c>
      <c r="B2265" s="543" t="s">
        <v>1909</v>
      </c>
      <c r="C2265" s="455" t="s">
        <v>222</v>
      </c>
      <c r="D2265" s="681">
        <v>11986</v>
      </c>
      <c r="E2265" s="646">
        <v>2542</v>
      </c>
      <c r="F2265" s="388" t="s">
        <v>223</v>
      </c>
      <c r="G2265" s="646">
        <v>1141</v>
      </c>
      <c r="H2265" s="446">
        <v>4</v>
      </c>
      <c r="I2265" s="446">
        <v>4</v>
      </c>
      <c r="J2265" s="648">
        <v>53</v>
      </c>
      <c r="K2265" s="458" t="s">
        <v>249</v>
      </c>
      <c r="L2265" s="519">
        <f t="shared" si="289"/>
        <v>3716049.12</v>
      </c>
      <c r="M2265" s="519">
        <v>3651200</v>
      </c>
      <c r="N2265" s="388">
        <v>27895</v>
      </c>
      <c r="O2265" s="473"/>
      <c r="P2265" s="388"/>
      <c r="Q2265" s="388">
        <v>36954.120000000003</v>
      </c>
      <c r="R2265" s="446">
        <f t="shared" si="292"/>
        <v>3200</v>
      </c>
      <c r="S2265" s="383">
        <f t="shared" si="290"/>
        <v>1.0913936421275139E-10</v>
      </c>
      <c r="U2265" s="378"/>
      <c r="V2265" s="390"/>
    </row>
    <row r="2266" spans="1:27" s="404" customFormat="1" ht="93.75" hidden="1" customHeight="1">
      <c r="A2266" s="504">
        <f t="shared" si="291"/>
        <v>5</v>
      </c>
      <c r="B2266" s="543" t="s">
        <v>1910</v>
      </c>
      <c r="C2266" s="684" t="s">
        <v>222</v>
      </c>
      <c r="D2266" s="641">
        <v>14780</v>
      </c>
      <c r="E2266" s="388">
        <v>2414.1999999999998</v>
      </c>
      <c r="F2266" s="388" t="s">
        <v>224</v>
      </c>
      <c r="G2266" s="388">
        <v>907.8</v>
      </c>
      <c r="H2266" s="446">
        <v>5</v>
      </c>
      <c r="I2266" s="446">
        <v>4</v>
      </c>
      <c r="J2266" s="446">
        <v>70</v>
      </c>
      <c r="K2266" s="682" t="s">
        <v>33</v>
      </c>
      <c r="L2266" s="519">
        <f t="shared" si="289"/>
        <v>2761932</v>
      </c>
      <c r="M2266" s="519">
        <v>2713147</v>
      </c>
      <c r="N2266" s="388">
        <v>28885</v>
      </c>
      <c r="O2266" s="473"/>
      <c r="P2266" s="388"/>
      <c r="Q2266" s="388">
        <v>19900</v>
      </c>
      <c r="R2266" s="446">
        <f t="shared" si="292"/>
        <v>2988.7056620400972</v>
      </c>
      <c r="S2266" s="383">
        <f t="shared" si="290"/>
        <v>0</v>
      </c>
      <c r="T2266" s="427"/>
      <c r="U2266" s="378"/>
      <c r="V2266" s="390"/>
    </row>
    <row r="2267" spans="1:27" s="404" customFormat="1" ht="75" hidden="1" customHeight="1">
      <c r="A2267" s="504">
        <f t="shared" si="291"/>
        <v>6</v>
      </c>
      <c r="B2267" s="543" t="s">
        <v>1911</v>
      </c>
      <c r="C2267" s="684" t="s">
        <v>222</v>
      </c>
      <c r="D2267" s="641">
        <v>5782</v>
      </c>
      <c r="E2267" s="388">
        <v>1203.7</v>
      </c>
      <c r="F2267" s="388" t="s">
        <v>223</v>
      </c>
      <c r="G2267" s="388">
        <v>950</v>
      </c>
      <c r="H2267" s="446">
        <v>3</v>
      </c>
      <c r="I2267" s="446">
        <v>3</v>
      </c>
      <c r="J2267" s="446">
        <v>36</v>
      </c>
      <c r="K2267" s="458" t="s">
        <v>249</v>
      </c>
      <c r="L2267" s="519">
        <f t="shared" si="289"/>
        <v>2897179.53</v>
      </c>
      <c r="M2267" s="519">
        <v>2850000</v>
      </c>
      <c r="N2267" s="388">
        <v>29353</v>
      </c>
      <c r="O2267" s="473"/>
      <c r="P2267" s="388"/>
      <c r="Q2267" s="388">
        <v>17826.53</v>
      </c>
      <c r="R2267" s="446">
        <f t="shared" si="292"/>
        <v>3000</v>
      </c>
      <c r="S2267" s="383">
        <f t="shared" si="290"/>
        <v>-2.0372681319713593E-10</v>
      </c>
      <c r="T2267" s="427"/>
      <c r="U2267" s="378"/>
      <c r="V2267" s="390"/>
    </row>
    <row r="2268" spans="1:27" s="404" customFormat="1" ht="75" hidden="1" customHeight="1">
      <c r="A2268" s="504">
        <f t="shared" si="291"/>
        <v>7</v>
      </c>
      <c r="B2268" s="403" t="s">
        <v>1912</v>
      </c>
      <c r="C2268" s="684" t="s">
        <v>222</v>
      </c>
      <c r="D2268" s="681">
        <v>15747</v>
      </c>
      <c r="E2268" s="646">
        <v>2619</v>
      </c>
      <c r="F2268" s="646" t="s">
        <v>267</v>
      </c>
      <c r="G2268" s="646">
        <v>1265.4000000000001</v>
      </c>
      <c r="H2268" s="446">
        <v>5</v>
      </c>
      <c r="I2268" s="446">
        <v>4</v>
      </c>
      <c r="J2268" s="648">
        <v>70</v>
      </c>
      <c r="K2268" s="458" t="s">
        <v>249</v>
      </c>
      <c r="L2268" s="519">
        <f t="shared" si="289"/>
        <v>4118426.0000000005</v>
      </c>
      <c r="M2268" s="519">
        <v>4049280.0000000005</v>
      </c>
      <c r="N2268" s="388">
        <v>29346</v>
      </c>
      <c r="O2268" s="473"/>
      <c r="P2268" s="388"/>
      <c r="Q2268" s="388">
        <v>39800</v>
      </c>
      <c r="R2268" s="446">
        <f t="shared" si="292"/>
        <v>3200</v>
      </c>
      <c r="S2268" s="383">
        <f t="shared" si="290"/>
        <v>0</v>
      </c>
      <c r="T2268" s="446"/>
      <c r="U2268" s="378"/>
      <c r="V2268" s="390"/>
    </row>
    <row r="2269" spans="1:27" s="404" customFormat="1" ht="93.75" hidden="1" customHeight="1">
      <c r="A2269" s="504">
        <f t="shared" si="291"/>
        <v>8</v>
      </c>
      <c r="B2269" s="403" t="s">
        <v>1913</v>
      </c>
      <c r="C2269" s="455" t="s">
        <v>222</v>
      </c>
      <c r="D2269" s="641">
        <v>16252</v>
      </c>
      <c r="E2269" s="388">
        <v>2752.4</v>
      </c>
      <c r="F2269" s="388" t="s">
        <v>224</v>
      </c>
      <c r="G2269" s="388">
        <v>1008</v>
      </c>
      <c r="H2269" s="446">
        <v>5</v>
      </c>
      <c r="I2269" s="446">
        <v>5</v>
      </c>
      <c r="J2269" s="446">
        <v>78</v>
      </c>
      <c r="K2269" s="682" t="s">
        <v>33</v>
      </c>
      <c r="L2269" s="519">
        <f t="shared" si="289"/>
        <v>3110956</v>
      </c>
      <c r="M2269" s="519">
        <v>3062703</v>
      </c>
      <c r="N2269" s="388">
        <v>28353</v>
      </c>
      <c r="O2269" s="473"/>
      <c r="P2269" s="388"/>
      <c r="Q2269" s="388">
        <v>19900</v>
      </c>
      <c r="R2269" s="446">
        <f t="shared" si="292"/>
        <v>3038.3958333333335</v>
      </c>
      <c r="S2269" s="383">
        <f t="shared" si="290"/>
        <v>0</v>
      </c>
      <c r="T2269" s="446"/>
      <c r="U2269" s="470"/>
      <c r="V2269" s="390"/>
    </row>
    <row r="2270" spans="1:27" s="404" customFormat="1" ht="56.25" hidden="1" customHeight="1">
      <c r="A2270" s="504">
        <f t="shared" si="291"/>
        <v>9</v>
      </c>
      <c r="B2270" s="403" t="s">
        <v>1914</v>
      </c>
      <c r="C2270" s="455" t="s">
        <v>222</v>
      </c>
      <c r="D2270" s="641">
        <v>2557</v>
      </c>
      <c r="E2270" s="388">
        <v>557</v>
      </c>
      <c r="F2270" s="388" t="s">
        <v>224</v>
      </c>
      <c r="G2270" s="388">
        <v>423.3</v>
      </c>
      <c r="H2270" s="446">
        <v>2</v>
      </c>
      <c r="I2270" s="446">
        <v>2</v>
      </c>
      <c r="J2270" s="446">
        <v>12</v>
      </c>
      <c r="K2270" s="458" t="s">
        <v>248</v>
      </c>
      <c r="L2270" s="519">
        <f t="shared" si="289"/>
        <v>1003285.26</v>
      </c>
      <c r="M2270" s="519">
        <v>973590</v>
      </c>
      <c r="N2270" s="388"/>
      <c r="O2270" s="473">
        <v>17237</v>
      </c>
      <c r="P2270" s="388"/>
      <c r="Q2270" s="388">
        <v>12458.26</v>
      </c>
      <c r="R2270" s="446">
        <f t="shared" si="292"/>
        <v>2300</v>
      </c>
      <c r="S2270" s="383">
        <f t="shared" si="290"/>
        <v>0</v>
      </c>
      <c r="T2270" s="427"/>
      <c r="U2270" s="378"/>
      <c r="V2270" s="390"/>
    </row>
    <row r="2271" spans="1:27" s="404" customFormat="1" ht="75" hidden="1" customHeight="1">
      <c r="A2271" s="504">
        <f t="shared" si="291"/>
        <v>10</v>
      </c>
      <c r="B2271" s="403" t="s">
        <v>1915</v>
      </c>
      <c r="C2271" s="684" t="s">
        <v>230</v>
      </c>
      <c r="D2271" s="685">
        <v>1354</v>
      </c>
      <c r="E2271" s="388">
        <v>462.5</v>
      </c>
      <c r="F2271" s="388" t="s">
        <v>223</v>
      </c>
      <c r="G2271" s="388">
        <v>698.5</v>
      </c>
      <c r="H2271" s="446">
        <v>2</v>
      </c>
      <c r="I2271" s="446">
        <v>2</v>
      </c>
      <c r="J2271" s="446">
        <v>8</v>
      </c>
      <c r="K2271" s="458" t="s">
        <v>249</v>
      </c>
      <c r="L2271" s="519">
        <f t="shared" si="289"/>
        <v>1989465.98</v>
      </c>
      <c r="M2271" s="519">
        <v>1955800</v>
      </c>
      <c r="N2271" s="388">
        <v>27069</v>
      </c>
      <c r="O2271" s="473"/>
      <c r="P2271" s="388"/>
      <c r="Q2271" s="388">
        <v>6596.98</v>
      </c>
      <c r="R2271" s="446">
        <f t="shared" si="292"/>
        <v>2800</v>
      </c>
      <c r="S2271" s="383">
        <f t="shared" si="290"/>
        <v>-1.8189894035458565E-11</v>
      </c>
      <c r="T2271" s="427"/>
      <c r="U2271" s="378"/>
      <c r="V2271" s="390"/>
    </row>
    <row r="2272" spans="1:27" s="404" customFormat="1" ht="75" hidden="1" customHeight="1">
      <c r="A2272" s="504">
        <f t="shared" si="291"/>
        <v>11</v>
      </c>
      <c r="B2272" s="403" t="s">
        <v>1916</v>
      </c>
      <c r="C2272" s="684" t="s">
        <v>230</v>
      </c>
      <c r="D2272" s="685">
        <v>1375</v>
      </c>
      <c r="E2272" s="388">
        <v>428.1</v>
      </c>
      <c r="F2272" s="388" t="s">
        <v>223</v>
      </c>
      <c r="G2272" s="388">
        <v>530</v>
      </c>
      <c r="H2272" s="446">
        <v>2</v>
      </c>
      <c r="I2272" s="446">
        <v>2</v>
      </c>
      <c r="J2272" s="446">
        <v>8</v>
      </c>
      <c r="K2272" s="458" t="s">
        <v>249</v>
      </c>
      <c r="L2272" s="519">
        <f t="shared" si="289"/>
        <v>1729823.3</v>
      </c>
      <c r="M2272" s="519">
        <v>1696000</v>
      </c>
      <c r="N2272" s="388">
        <v>27124</v>
      </c>
      <c r="O2272" s="473"/>
      <c r="P2272" s="388"/>
      <c r="Q2272" s="388">
        <v>6699.3</v>
      </c>
      <c r="R2272" s="446">
        <f t="shared" si="292"/>
        <v>3200</v>
      </c>
      <c r="S2272" s="383">
        <f t="shared" si="290"/>
        <v>4.638422979041934E-11</v>
      </c>
      <c r="T2272" s="427"/>
      <c r="U2272" s="378"/>
      <c r="V2272" s="390"/>
    </row>
    <row r="2273" spans="1:27" s="404" customFormat="1" ht="93.75" hidden="1" customHeight="1">
      <c r="A2273" s="504">
        <f t="shared" si="291"/>
        <v>12</v>
      </c>
      <c r="B2273" s="403" t="s">
        <v>1917</v>
      </c>
      <c r="C2273" s="684" t="s">
        <v>222</v>
      </c>
      <c r="D2273" s="681">
        <v>36253</v>
      </c>
      <c r="E2273" s="646">
        <v>2866</v>
      </c>
      <c r="F2273" s="646" t="s">
        <v>224</v>
      </c>
      <c r="G2273" s="646">
        <v>1438</v>
      </c>
      <c r="H2273" s="446">
        <v>6</v>
      </c>
      <c r="I2273" s="446">
        <v>8</v>
      </c>
      <c r="J2273" s="648">
        <v>132</v>
      </c>
      <c r="K2273" s="682" t="s">
        <v>33</v>
      </c>
      <c r="L2273" s="519">
        <f t="shared" si="289"/>
        <v>5092273</v>
      </c>
      <c r="M2273" s="519">
        <v>5043656</v>
      </c>
      <c r="N2273" s="388">
        <v>28717</v>
      </c>
      <c r="O2273" s="473"/>
      <c r="P2273" s="388"/>
      <c r="Q2273" s="388">
        <v>19900</v>
      </c>
      <c r="R2273" s="446">
        <f t="shared" si="292"/>
        <v>3507.4102920723226</v>
      </c>
      <c r="S2273" s="383">
        <f t="shared" si="290"/>
        <v>0</v>
      </c>
      <c r="T2273" s="403"/>
      <c r="U2273" s="378"/>
      <c r="V2273" s="390"/>
    </row>
    <row r="2274" spans="1:27" s="404" customFormat="1" ht="75" hidden="1" customHeight="1">
      <c r="A2274" s="504">
        <f t="shared" si="291"/>
        <v>13</v>
      </c>
      <c r="B2274" s="403" t="s">
        <v>1918</v>
      </c>
      <c r="C2274" s="684" t="s">
        <v>222</v>
      </c>
      <c r="D2274" s="685">
        <v>2079</v>
      </c>
      <c r="E2274" s="686">
        <v>535.1</v>
      </c>
      <c r="F2274" s="388" t="s">
        <v>223</v>
      </c>
      <c r="G2274" s="388">
        <v>672</v>
      </c>
      <c r="H2274" s="446">
        <v>2</v>
      </c>
      <c r="I2274" s="446">
        <v>2</v>
      </c>
      <c r="J2274" s="446">
        <v>8</v>
      </c>
      <c r="K2274" s="458" t="s">
        <v>249</v>
      </c>
      <c r="L2274" s="519">
        <f t="shared" si="289"/>
        <v>2189127.34</v>
      </c>
      <c r="M2274" s="519">
        <v>2150400</v>
      </c>
      <c r="N2274" s="388">
        <v>28598</v>
      </c>
      <c r="O2274" s="473"/>
      <c r="P2274" s="388"/>
      <c r="Q2274" s="388">
        <v>10129.34</v>
      </c>
      <c r="R2274" s="446">
        <f t="shared" si="292"/>
        <v>3200</v>
      </c>
      <c r="S2274" s="383">
        <f t="shared" si="290"/>
        <v>-1.4915713109076023E-10</v>
      </c>
      <c r="T2274" s="427"/>
      <c r="U2274" s="378"/>
      <c r="V2274" s="390"/>
    </row>
    <row r="2275" spans="1:27" s="404" customFormat="1" ht="75" hidden="1" customHeight="1">
      <c r="A2275" s="504">
        <f t="shared" si="291"/>
        <v>14</v>
      </c>
      <c r="B2275" s="403" t="s">
        <v>1919</v>
      </c>
      <c r="C2275" s="455" t="s">
        <v>222</v>
      </c>
      <c r="D2275" s="681">
        <v>5204</v>
      </c>
      <c r="E2275" s="646">
        <v>1455</v>
      </c>
      <c r="F2275" s="388" t="s">
        <v>223</v>
      </c>
      <c r="G2275" s="646">
        <v>928</v>
      </c>
      <c r="H2275" s="446">
        <v>3</v>
      </c>
      <c r="I2275" s="446">
        <v>3</v>
      </c>
      <c r="J2275" s="648">
        <v>27</v>
      </c>
      <c r="K2275" s="683" t="s">
        <v>418</v>
      </c>
      <c r="L2275" s="519">
        <f t="shared" si="289"/>
        <v>616725.47</v>
      </c>
      <c r="M2275" s="519">
        <v>594000</v>
      </c>
      <c r="N2275" s="388"/>
      <c r="O2275" s="473">
        <v>11595</v>
      </c>
      <c r="P2275" s="388"/>
      <c r="Q2275" s="388">
        <v>11130.47</v>
      </c>
      <c r="R2275" s="446">
        <f>M2275/J2275</f>
        <v>22000</v>
      </c>
      <c r="S2275" s="383">
        <f t="shared" si="290"/>
        <v>-2.7284841053187847E-11</v>
      </c>
      <c r="T2275" s="403"/>
      <c r="U2275" s="378"/>
      <c r="V2275" s="390"/>
      <c r="Z2275" s="416">
        <v>1</v>
      </c>
      <c r="AA2275" s="416">
        <f>J2275</f>
        <v>27</v>
      </c>
    </row>
    <row r="2276" spans="1:27" s="404" customFormat="1" ht="75" hidden="1" customHeight="1">
      <c r="A2276" s="504">
        <f t="shared" si="291"/>
        <v>15</v>
      </c>
      <c r="B2276" s="424" t="s">
        <v>3997</v>
      </c>
      <c r="C2276" s="455" t="s">
        <v>222</v>
      </c>
      <c r="D2276" s="681">
        <v>2829</v>
      </c>
      <c r="E2276" s="646">
        <v>613</v>
      </c>
      <c r="F2276" s="388" t="s">
        <v>223</v>
      </c>
      <c r="G2276" s="646">
        <v>556</v>
      </c>
      <c r="H2276" s="648">
        <v>2</v>
      </c>
      <c r="I2276" s="648">
        <v>2</v>
      </c>
      <c r="J2276" s="648">
        <v>16</v>
      </c>
      <c r="K2276" s="683" t="s">
        <v>418</v>
      </c>
      <c r="L2276" s="519">
        <f t="shared" si="289"/>
        <v>368863</v>
      </c>
      <c r="M2276" s="519">
        <v>352000</v>
      </c>
      <c r="N2276" s="388"/>
      <c r="O2276" s="473">
        <v>10338</v>
      </c>
      <c r="P2276" s="388"/>
      <c r="Q2276" s="388">
        <v>6525</v>
      </c>
      <c r="R2276" s="446">
        <f>M2276/J2276</f>
        <v>22000</v>
      </c>
      <c r="S2276" s="383">
        <f t="shared" si="290"/>
        <v>0</v>
      </c>
      <c r="T2276" s="403"/>
      <c r="U2276" s="378"/>
      <c r="V2276" s="390"/>
      <c r="Z2276" s="416">
        <v>1</v>
      </c>
      <c r="AA2276" s="416">
        <f>J2276</f>
        <v>16</v>
      </c>
    </row>
    <row r="2277" spans="1:27" s="404" customFormat="1" ht="56.25" hidden="1" customHeight="1">
      <c r="A2277" s="504">
        <f t="shared" si="291"/>
        <v>16</v>
      </c>
      <c r="B2277" s="424" t="s">
        <v>3998</v>
      </c>
      <c r="C2277" s="455" t="s">
        <v>222</v>
      </c>
      <c r="D2277" s="681">
        <v>9684</v>
      </c>
      <c r="E2277" s="646">
        <v>1607</v>
      </c>
      <c r="F2277" s="646" t="s">
        <v>224</v>
      </c>
      <c r="G2277" s="646">
        <v>712.8</v>
      </c>
      <c r="H2277" s="648">
        <v>3</v>
      </c>
      <c r="I2277" s="648">
        <v>3</v>
      </c>
      <c r="J2277" s="648">
        <v>36</v>
      </c>
      <c r="K2277" s="458" t="s">
        <v>248</v>
      </c>
      <c r="L2277" s="519">
        <f t="shared" si="289"/>
        <v>1678791</v>
      </c>
      <c r="M2277" s="519">
        <v>1639440</v>
      </c>
      <c r="N2277" s="388"/>
      <c r="O2277" s="473">
        <v>19451</v>
      </c>
      <c r="P2277" s="388"/>
      <c r="Q2277" s="388">
        <v>19900</v>
      </c>
      <c r="R2277" s="446">
        <f>M2277/G2277</f>
        <v>2300</v>
      </c>
      <c r="S2277" s="383">
        <f t="shared" si="290"/>
        <v>0</v>
      </c>
      <c r="T2277" s="403"/>
      <c r="U2277" s="378"/>
      <c r="V2277" s="390"/>
    </row>
    <row r="2278" spans="1:27" s="404" customFormat="1" ht="56.25" hidden="1" customHeight="1">
      <c r="A2278" s="504">
        <f t="shared" si="291"/>
        <v>17</v>
      </c>
      <c r="B2278" s="424" t="s">
        <v>3999</v>
      </c>
      <c r="C2278" s="455" t="s">
        <v>222</v>
      </c>
      <c r="D2278" s="681">
        <v>7780</v>
      </c>
      <c r="E2278" s="646">
        <v>1702.8</v>
      </c>
      <c r="F2278" s="646" t="s">
        <v>224</v>
      </c>
      <c r="G2278" s="646">
        <v>982.4</v>
      </c>
      <c r="H2278" s="648">
        <v>3</v>
      </c>
      <c r="I2278" s="648">
        <v>3</v>
      </c>
      <c r="J2278" s="648">
        <v>36</v>
      </c>
      <c r="K2278" s="458" t="s">
        <v>248</v>
      </c>
      <c r="L2278" s="519">
        <f t="shared" si="289"/>
        <v>2298464</v>
      </c>
      <c r="M2278" s="519">
        <v>2259520</v>
      </c>
      <c r="N2278" s="388"/>
      <c r="O2278" s="473">
        <v>19044</v>
      </c>
      <c r="P2278" s="646"/>
      <c r="Q2278" s="388">
        <v>19900</v>
      </c>
      <c r="R2278" s="446">
        <f>M2278/G2278</f>
        <v>2300</v>
      </c>
      <c r="S2278" s="383">
        <f t="shared" si="290"/>
        <v>0</v>
      </c>
      <c r="T2278" s="403"/>
      <c r="U2278" s="378"/>
      <c r="V2278" s="390"/>
    </row>
    <row r="2279" spans="1:27" s="404" customFormat="1" ht="75" hidden="1" customHeight="1">
      <c r="A2279" s="504">
        <f t="shared" si="291"/>
        <v>18</v>
      </c>
      <c r="B2279" s="733" t="s">
        <v>4000</v>
      </c>
      <c r="C2279" s="455" t="s">
        <v>222</v>
      </c>
      <c r="D2279" s="681">
        <v>12181</v>
      </c>
      <c r="E2279" s="646">
        <v>1706.8</v>
      </c>
      <c r="F2279" s="388" t="s">
        <v>223</v>
      </c>
      <c r="G2279" s="646">
        <v>1019</v>
      </c>
      <c r="H2279" s="648">
        <v>5</v>
      </c>
      <c r="I2279" s="648">
        <v>4</v>
      </c>
      <c r="J2279" s="648">
        <v>80</v>
      </c>
      <c r="K2279" s="683" t="s">
        <v>418</v>
      </c>
      <c r="L2279" s="519">
        <f t="shared" si="289"/>
        <v>1785732.47</v>
      </c>
      <c r="M2279" s="519">
        <v>1760000</v>
      </c>
      <c r="N2279" s="388"/>
      <c r="O2279" s="473">
        <v>14602</v>
      </c>
      <c r="P2279" s="388"/>
      <c r="Q2279" s="388">
        <v>11130.47</v>
      </c>
      <c r="R2279" s="446">
        <f>M2279/J2279</f>
        <v>22000</v>
      </c>
      <c r="S2279" s="383">
        <f t="shared" si="290"/>
        <v>-2.7284841053187847E-11</v>
      </c>
      <c r="T2279" s="403"/>
      <c r="U2279" s="378"/>
      <c r="V2279" s="390"/>
      <c r="Z2279" s="416">
        <v>1</v>
      </c>
      <c r="AA2279" s="416">
        <f>J2279</f>
        <v>80</v>
      </c>
    </row>
    <row r="2280" spans="1:27" s="404" customFormat="1" ht="56.25" hidden="1" customHeight="1">
      <c r="A2280" s="504">
        <f t="shared" si="291"/>
        <v>19</v>
      </c>
      <c r="B2280" s="424" t="s">
        <v>4001</v>
      </c>
      <c r="C2280" s="455" t="s">
        <v>222</v>
      </c>
      <c r="D2280" s="681">
        <v>17859</v>
      </c>
      <c r="E2280" s="646">
        <v>1266</v>
      </c>
      <c r="F2280" s="646" t="s">
        <v>224</v>
      </c>
      <c r="G2280" s="646">
        <v>1888</v>
      </c>
      <c r="H2280" s="648">
        <v>5</v>
      </c>
      <c r="I2280" s="648">
        <v>6</v>
      </c>
      <c r="J2280" s="648">
        <v>95</v>
      </c>
      <c r="K2280" s="458" t="s">
        <v>248</v>
      </c>
      <c r="L2280" s="519">
        <f t="shared" si="289"/>
        <v>4384387</v>
      </c>
      <c r="M2280" s="519">
        <v>4342400</v>
      </c>
      <c r="N2280" s="388"/>
      <c r="O2280" s="473">
        <v>22087</v>
      </c>
      <c r="P2280" s="388"/>
      <c r="Q2280" s="388">
        <v>19900</v>
      </c>
      <c r="R2280" s="446">
        <f>M2280/G2280</f>
        <v>2300</v>
      </c>
      <c r="S2280" s="383">
        <f t="shared" si="290"/>
        <v>0</v>
      </c>
      <c r="T2280" s="403"/>
      <c r="U2280" s="378"/>
      <c r="V2280" s="390"/>
    </row>
    <row r="2281" spans="1:27" s="404" customFormat="1" ht="75" hidden="1" customHeight="1">
      <c r="A2281" s="504">
        <f t="shared" si="291"/>
        <v>20</v>
      </c>
      <c r="B2281" s="733" t="s">
        <v>4002</v>
      </c>
      <c r="C2281" s="455" t="s">
        <v>222</v>
      </c>
      <c r="D2281" s="681">
        <v>2817</v>
      </c>
      <c r="E2281" s="646">
        <v>611</v>
      </c>
      <c r="F2281" s="646" t="s">
        <v>231</v>
      </c>
      <c r="G2281" s="646">
        <v>563.4</v>
      </c>
      <c r="H2281" s="648">
        <v>2</v>
      </c>
      <c r="I2281" s="648">
        <v>2</v>
      </c>
      <c r="J2281" s="648">
        <v>16</v>
      </c>
      <c r="K2281" s="683" t="s">
        <v>418</v>
      </c>
      <c r="L2281" s="519">
        <f t="shared" si="289"/>
        <v>374146.47</v>
      </c>
      <c r="M2281" s="519">
        <v>352000</v>
      </c>
      <c r="N2281" s="388"/>
      <c r="O2281" s="473">
        <v>11016</v>
      </c>
      <c r="P2281" s="388"/>
      <c r="Q2281" s="388">
        <v>11130.47</v>
      </c>
      <c r="R2281" s="446">
        <f>M2281/J2281</f>
        <v>22000</v>
      </c>
      <c r="S2281" s="383">
        <f t="shared" si="290"/>
        <v>-2.7284841053187847E-11</v>
      </c>
      <c r="T2281" s="403"/>
      <c r="U2281" s="378"/>
      <c r="V2281" s="390"/>
      <c r="Z2281" s="416">
        <v>1</v>
      </c>
      <c r="AA2281" s="416">
        <f>J2281</f>
        <v>16</v>
      </c>
    </row>
    <row r="2282" spans="1:27" s="404" customFormat="1" ht="75" hidden="1" customHeight="1">
      <c r="A2282" s="504">
        <f t="shared" si="291"/>
        <v>21</v>
      </c>
      <c r="B2282" s="424" t="s">
        <v>4003</v>
      </c>
      <c r="C2282" s="455" t="s">
        <v>222</v>
      </c>
      <c r="D2282" s="681">
        <v>2026</v>
      </c>
      <c r="E2282" s="646">
        <v>521</v>
      </c>
      <c r="F2282" s="388" t="s">
        <v>223</v>
      </c>
      <c r="G2282" s="646">
        <v>481.8</v>
      </c>
      <c r="H2282" s="648">
        <v>2</v>
      </c>
      <c r="I2282" s="648">
        <v>2</v>
      </c>
      <c r="J2282" s="648">
        <v>8</v>
      </c>
      <c r="K2282" s="458" t="s">
        <v>249</v>
      </c>
      <c r="L2282" s="519">
        <f t="shared" si="289"/>
        <v>1483732.1</v>
      </c>
      <c r="M2282" s="519">
        <v>1445400</v>
      </c>
      <c r="N2282" s="388">
        <v>28461</v>
      </c>
      <c r="O2282" s="473"/>
      <c r="P2282" s="388"/>
      <c r="Q2282" s="388">
        <v>9871.1</v>
      </c>
      <c r="R2282" s="446">
        <f>M2282/G2282</f>
        <v>3000</v>
      </c>
      <c r="S2282" s="383">
        <f t="shared" si="290"/>
        <v>9.276845958083868E-11</v>
      </c>
      <c r="T2282" s="403"/>
      <c r="U2282" s="378"/>
      <c r="V2282" s="390"/>
    </row>
    <row r="2283" spans="1:27" s="404" customFormat="1" ht="75" hidden="1" customHeight="1">
      <c r="A2283" s="504">
        <f t="shared" si="291"/>
        <v>22</v>
      </c>
      <c r="B2283" s="403" t="s">
        <v>4004</v>
      </c>
      <c r="C2283" s="455" t="s">
        <v>222</v>
      </c>
      <c r="D2283" s="641">
        <v>5955</v>
      </c>
      <c r="E2283" s="388">
        <v>1158.8</v>
      </c>
      <c r="F2283" s="388" t="s">
        <v>223</v>
      </c>
      <c r="G2283" s="388">
        <v>890</v>
      </c>
      <c r="H2283" s="446">
        <v>3</v>
      </c>
      <c r="I2283" s="446">
        <v>3</v>
      </c>
      <c r="J2283" s="446">
        <v>36</v>
      </c>
      <c r="K2283" s="683" t="s">
        <v>418</v>
      </c>
      <c r="L2283" s="519">
        <f t="shared" si="289"/>
        <v>820586.47</v>
      </c>
      <c r="M2283" s="519">
        <v>792000</v>
      </c>
      <c r="N2283" s="388"/>
      <c r="O2283" s="473">
        <v>17456</v>
      </c>
      <c r="P2283" s="388"/>
      <c r="Q2283" s="388">
        <v>11130.47</v>
      </c>
      <c r="R2283" s="446">
        <f>M2283/J2283</f>
        <v>22000</v>
      </c>
      <c r="S2283" s="383">
        <f t="shared" si="290"/>
        <v>-2.7284841053187847E-11</v>
      </c>
      <c r="T2283" s="403"/>
      <c r="U2283" s="378"/>
      <c r="V2283" s="390"/>
      <c r="Z2283" s="416">
        <v>1</v>
      </c>
      <c r="AA2283" s="416">
        <f>J2283</f>
        <v>36</v>
      </c>
    </row>
    <row r="2284" spans="1:27" s="404" customFormat="1" ht="93.75" hidden="1" customHeight="1">
      <c r="A2284" s="504">
        <f t="shared" si="291"/>
        <v>23</v>
      </c>
      <c r="B2284" s="424" t="s">
        <v>4005</v>
      </c>
      <c r="C2284" s="455" t="s">
        <v>222</v>
      </c>
      <c r="D2284" s="681">
        <v>15394</v>
      </c>
      <c r="E2284" s="646">
        <v>2797.74</v>
      </c>
      <c r="F2284" s="646" t="s">
        <v>224</v>
      </c>
      <c r="G2284" s="646">
        <v>1737</v>
      </c>
      <c r="H2284" s="648">
        <v>5</v>
      </c>
      <c r="I2284" s="648">
        <v>4</v>
      </c>
      <c r="J2284" s="648">
        <v>70</v>
      </c>
      <c r="K2284" s="682" t="s">
        <v>33</v>
      </c>
      <c r="L2284" s="519">
        <f t="shared" si="289"/>
        <v>6188869.0000000009</v>
      </c>
      <c r="M2284" s="519">
        <v>6139792.0000000009</v>
      </c>
      <c r="N2284" s="388">
        <v>29177</v>
      </c>
      <c r="O2284" s="473"/>
      <c r="P2284" s="646"/>
      <c r="Q2284" s="388">
        <v>19900</v>
      </c>
      <c r="R2284" s="446">
        <f>M2284/G2284</f>
        <v>3534.7104202648247</v>
      </c>
      <c r="S2284" s="383">
        <f t="shared" si="290"/>
        <v>0</v>
      </c>
      <c r="T2284" s="403"/>
      <c r="U2284" s="378"/>
      <c r="V2284" s="390"/>
    </row>
    <row r="2285" spans="1:27" s="404" customFormat="1" ht="75" hidden="1" customHeight="1">
      <c r="A2285" s="504">
        <f t="shared" si="291"/>
        <v>24</v>
      </c>
      <c r="B2285" s="733" t="s">
        <v>4006</v>
      </c>
      <c r="C2285" s="455" t="s">
        <v>222</v>
      </c>
      <c r="D2285" s="681">
        <v>6519</v>
      </c>
      <c r="E2285" s="646">
        <v>1269.2</v>
      </c>
      <c r="F2285" s="388" t="s">
        <v>223</v>
      </c>
      <c r="G2285" s="646">
        <v>921</v>
      </c>
      <c r="H2285" s="648">
        <v>3</v>
      </c>
      <c r="I2285" s="648">
        <v>3</v>
      </c>
      <c r="J2285" s="648">
        <v>36</v>
      </c>
      <c r="K2285" s="683" t="s">
        <v>418</v>
      </c>
      <c r="L2285" s="519">
        <f t="shared" si="289"/>
        <v>814887.47</v>
      </c>
      <c r="M2285" s="519">
        <v>792000</v>
      </c>
      <c r="N2285" s="388"/>
      <c r="O2285" s="473">
        <v>11757</v>
      </c>
      <c r="P2285" s="388"/>
      <c r="Q2285" s="388">
        <v>11130.47</v>
      </c>
      <c r="R2285" s="446">
        <f>M2285/J2285</f>
        <v>22000</v>
      </c>
      <c r="S2285" s="383">
        <f t="shared" si="290"/>
        <v>-2.7284841053187847E-11</v>
      </c>
      <c r="T2285" s="403"/>
      <c r="U2285" s="378"/>
      <c r="V2285" s="390"/>
      <c r="Z2285" s="416">
        <v>1</v>
      </c>
      <c r="AA2285" s="416">
        <f>J2285</f>
        <v>36</v>
      </c>
    </row>
    <row r="2286" spans="1:27" s="404" customFormat="1" ht="75" hidden="1" customHeight="1">
      <c r="A2286" s="504">
        <f t="shared" si="291"/>
        <v>25</v>
      </c>
      <c r="B2286" s="427" t="s">
        <v>1920</v>
      </c>
      <c r="C2286" s="455" t="s">
        <v>230</v>
      </c>
      <c r="D2286" s="641">
        <v>1446</v>
      </c>
      <c r="E2286" s="388">
        <v>640</v>
      </c>
      <c r="F2286" s="646" t="s">
        <v>231</v>
      </c>
      <c r="G2286" s="646">
        <v>391</v>
      </c>
      <c r="H2286" s="648">
        <v>2</v>
      </c>
      <c r="I2286" s="648">
        <v>2</v>
      </c>
      <c r="J2286" s="648">
        <v>8</v>
      </c>
      <c r="K2286" s="458" t="s">
        <v>249</v>
      </c>
      <c r="L2286" s="519">
        <f t="shared" si="289"/>
        <v>1277180.23</v>
      </c>
      <c r="M2286" s="519">
        <v>1242825</v>
      </c>
      <c r="N2286" s="388">
        <v>27310</v>
      </c>
      <c r="O2286" s="473"/>
      <c r="P2286" s="388"/>
      <c r="Q2286" s="388">
        <v>7045.23</v>
      </c>
      <c r="R2286" s="446">
        <f>M2286/G2286</f>
        <v>3178.5805626598467</v>
      </c>
      <c r="S2286" s="383">
        <f t="shared" si="290"/>
        <v>-1.8189894035458565E-11</v>
      </c>
      <c r="T2286" s="403"/>
      <c r="U2286" s="378"/>
      <c r="V2286" s="390"/>
    </row>
    <row r="2287" spans="1:27" s="404" customFormat="1" ht="75" hidden="1" customHeight="1">
      <c r="A2287" s="504">
        <f t="shared" si="291"/>
        <v>26</v>
      </c>
      <c r="B2287" s="733" t="s">
        <v>1921</v>
      </c>
      <c r="C2287" s="455" t="s">
        <v>222</v>
      </c>
      <c r="D2287" s="681">
        <v>2363</v>
      </c>
      <c r="E2287" s="646">
        <v>540</v>
      </c>
      <c r="F2287" s="388" t="s">
        <v>223</v>
      </c>
      <c r="G2287" s="646">
        <v>610</v>
      </c>
      <c r="H2287" s="648">
        <v>2</v>
      </c>
      <c r="I2287" s="648">
        <v>3</v>
      </c>
      <c r="J2287" s="648">
        <v>12</v>
      </c>
      <c r="K2287" s="458" t="s">
        <v>249</v>
      </c>
      <c r="L2287" s="519">
        <f t="shared" si="289"/>
        <v>1991716.05</v>
      </c>
      <c r="M2287" s="519">
        <v>1952000</v>
      </c>
      <c r="N2287" s="388">
        <v>28203</v>
      </c>
      <c r="O2287" s="473"/>
      <c r="P2287" s="388"/>
      <c r="Q2287" s="388">
        <v>11513.05</v>
      </c>
      <c r="R2287" s="446">
        <f>M2287/G2287</f>
        <v>3200</v>
      </c>
      <c r="S2287" s="383">
        <f t="shared" si="290"/>
        <v>4.7293724492192268E-11</v>
      </c>
      <c r="T2287" s="403"/>
      <c r="U2287" s="378"/>
      <c r="V2287" s="390"/>
    </row>
    <row r="2288" spans="1:27" s="404" customFormat="1" ht="93.75" hidden="1" customHeight="1">
      <c r="A2288" s="504">
        <f t="shared" si="291"/>
        <v>27</v>
      </c>
      <c r="B2288" s="403" t="s">
        <v>1922</v>
      </c>
      <c r="C2288" s="455" t="s">
        <v>222</v>
      </c>
      <c r="D2288" s="641">
        <v>2574</v>
      </c>
      <c r="E2288" s="388">
        <v>451.6</v>
      </c>
      <c r="F2288" s="388" t="s">
        <v>224</v>
      </c>
      <c r="G2288" s="388">
        <v>722</v>
      </c>
      <c r="H2288" s="446">
        <v>2</v>
      </c>
      <c r="I2288" s="446">
        <v>2</v>
      </c>
      <c r="J2288" s="446">
        <v>12</v>
      </c>
      <c r="K2288" s="682" t="s">
        <v>33</v>
      </c>
      <c r="L2288" s="519">
        <f t="shared" si="289"/>
        <v>2573410.09</v>
      </c>
      <c r="M2288" s="519">
        <v>2531760</v>
      </c>
      <c r="N2288" s="388">
        <v>29109</v>
      </c>
      <c r="O2288" s="473"/>
      <c r="P2288" s="388"/>
      <c r="Q2288" s="388">
        <v>12541.09</v>
      </c>
      <c r="R2288" s="446">
        <f>M2288/G2288</f>
        <v>3506.5927977839333</v>
      </c>
      <c r="S2288" s="383">
        <f t="shared" si="290"/>
        <v>-1.4915713109076023E-10</v>
      </c>
      <c r="T2288" s="403"/>
      <c r="U2288" s="378"/>
      <c r="V2288" s="390"/>
    </row>
    <row r="2289" spans="1:27" s="404" customFormat="1" ht="56.25" hidden="1" customHeight="1">
      <c r="A2289" s="504">
        <f t="shared" si="291"/>
        <v>28</v>
      </c>
      <c r="B2289" s="403" t="s">
        <v>4007</v>
      </c>
      <c r="C2289" s="455" t="s">
        <v>222</v>
      </c>
      <c r="D2289" s="641">
        <v>11354</v>
      </c>
      <c r="E2289" s="388">
        <v>2160</v>
      </c>
      <c r="F2289" s="388" t="s">
        <v>224</v>
      </c>
      <c r="G2289" s="388">
        <v>996</v>
      </c>
      <c r="H2289" s="446">
        <v>5</v>
      </c>
      <c r="I2289" s="446">
        <v>4</v>
      </c>
      <c r="J2289" s="446">
        <v>60</v>
      </c>
      <c r="K2289" s="682" t="s">
        <v>248</v>
      </c>
      <c r="L2289" s="519">
        <f t="shared" si="289"/>
        <v>2332550</v>
      </c>
      <c r="M2289" s="519">
        <v>2290800</v>
      </c>
      <c r="N2289" s="388"/>
      <c r="O2289" s="643">
        <v>21750</v>
      </c>
      <c r="P2289" s="646"/>
      <c r="Q2289" s="388">
        <v>20000</v>
      </c>
      <c r="R2289" s="648">
        <f>M2289/G2289</f>
        <v>2300</v>
      </c>
      <c r="S2289" s="383">
        <f t="shared" si="290"/>
        <v>0</v>
      </c>
      <c r="T2289" s="403"/>
      <c r="U2289" s="378"/>
      <c r="V2289" s="390"/>
    </row>
    <row r="2290" spans="1:27" s="403" customFormat="1" ht="75" hidden="1" customHeight="1">
      <c r="A2290" s="504">
        <f t="shared" si="291"/>
        <v>29</v>
      </c>
      <c r="B2290" s="424" t="s">
        <v>4008</v>
      </c>
      <c r="C2290" s="455" t="s">
        <v>222</v>
      </c>
      <c r="D2290" s="641">
        <v>5834</v>
      </c>
      <c r="E2290" s="388">
        <v>1045.2</v>
      </c>
      <c r="F2290" s="388" t="s">
        <v>223</v>
      </c>
      <c r="G2290" s="388">
        <v>907</v>
      </c>
      <c r="H2290" s="446">
        <v>3</v>
      </c>
      <c r="I2290" s="446">
        <v>3</v>
      </c>
      <c r="J2290" s="446">
        <v>36</v>
      </c>
      <c r="K2290" s="458" t="s">
        <v>249</v>
      </c>
      <c r="L2290" s="519">
        <f t="shared" si="289"/>
        <v>2687266.6</v>
      </c>
      <c r="M2290" s="519">
        <v>2639982.2200000002</v>
      </c>
      <c r="N2290" s="388">
        <v>19003.05</v>
      </c>
      <c r="O2290" s="473"/>
      <c r="P2290" s="388"/>
      <c r="Q2290" s="388">
        <v>28281.33</v>
      </c>
      <c r="R2290" s="648">
        <f>M2290/G2290</f>
        <v>2910.6749944873209</v>
      </c>
      <c r="S2290" s="383">
        <f t="shared" si="290"/>
        <v>-1.127773430198431E-10</v>
      </c>
      <c r="T2290" s="406"/>
      <c r="U2290" s="378"/>
      <c r="V2290" s="458"/>
    </row>
    <row r="2291" spans="1:27" s="403" customFormat="1" ht="37.5" hidden="1" customHeight="1">
      <c r="A2291" s="504">
        <f t="shared" si="291"/>
        <v>30</v>
      </c>
      <c r="B2291" s="424" t="s">
        <v>4009</v>
      </c>
      <c r="C2291" s="455" t="s">
        <v>222</v>
      </c>
      <c r="D2291" s="641">
        <v>9383</v>
      </c>
      <c r="E2291" s="388">
        <v>2112.3200000000002</v>
      </c>
      <c r="F2291" s="388" t="s">
        <v>224</v>
      </c>
      <c r="G2291" s="388">
        <v>1300</v>
      </c>
      <c r="H2291" s="446">
        <v>5</v>
      </c>
      <c r="I2291" s="446">
        <v>1</v>
      </c>
      <c r="J2291" s="446">
        <v>66</v>
      </c>
      <c r="K2291" s="458" t="s">
        <v>225</v>
      </c>
      <c r="L2291" s="519">
        <f t="shared" si="289"/>
        <v>1036247.74</v>
      </c>
      <c r="M2291" s="388">
        <v>1007146.69</v>
      </c>
      <c r="N2291" s="388">
        <v>20637.54</v>
      </c>
      <c r="O2291" s="473"/>
      <c r="P2291" s="388"/>
      <c r="Q2291" s="388">
        <v>8463.51</v>
      </c>
      <c r="R2291" s="648">
        <f>M2291/J2291</f>
        <v>15259.798333333332</v>
      </c>
      <c r="S2291" s="383">
        <f t="shared" si="290"/>
        <v>4.5474735088646412E-11</v>
      </c>
      <c r="T2291" s="406"/>
      <c r="U2291" s="378"/>
      <c r="V2291" s="458"/>
    </row>
    <row r="2292" spans="1:27" s="403" customFormat="1" ht="37.5" hidden="1" customHeight="1">
      <c r="A2292" s="504">
        <f t="shared" si="291"/>
        <v>31</v>
      </c>
      <c r="B2292" s="424" t="s">
        <v>3551</v>
      </c>
      <c r="C2292" s="455" t="s">
        <v>222</v>
      </c>
      <c r="D2292" s="641">
        <v>1806</v>
      </c>
      <c r="E2292" s="388">
        <v>725</v>
      </c>
      <c r="F2292" s="388" t="s">
        <v>229</v>
      </c>
      <c r="G2292" s="388">
        <v>560</v>
      </c>
      <c r="H2292" s="446">
        <v>2</v>
      </c>
      <c r="I2292" s="446">
        <v>2</v>
      </c>
      <c r="J2292" s="446">
        <v>12</v>
      </c>
      <c r="K2292" s="458" t="s">
        <v>38</v>
      </c>
      <c r="L2292" s="519">
        <f t="shared" si="289"/>
        <v>1227068.1700000002</v>
      </c>
      <c r="M2292" s="388">
        <v>1193374.49</v>
      </c>
      <c r="N2292" s="388">
        <v>20297</v>
      </c>
      <c r="O2292" s="643">
        <v>1994.85</v>
      </c>
      <c r="P2292" s="388"/>
      <c r="Q2292" s="388">
        <v>11401.83</v>
      </c>
      <c r="R2292" s="528">
        <f>M2292/E2292</f>
        <v>1646.0337793103449</v>
      </c>
      <c r="S2292" s="383">
        <f t="shared" si="290"/>
        <v>1.673470251262188E-10</v>
      </c>
      <c r="T2292" s="406"/>
      <c r="U2292" s="378"/>
      <c r="V2292" s="458"/>
    </row>
    <row r="2293" spans="1:27" s="404" customFormat="1" ht="75" hidden="1" customHeight="1">
      <c r="A2293" s="504">
        <f t="shared" si="291"/>
        <v>32</v>
      </c>
      <c r="B2293" s="403" t="s">
        <v>2846</v>
      </c>
      <c r="C2293" s="455" t="s">
        <v>222</v>
      </c>
      <c r="D2293" s="681">
        <v>5957</v>
      </c>
      <c r="E2293" s="646">
        <v>1118.9000000000001</v>
      </c>
      <c r="F2293" s="388" t="s">
        <v>223</v>
      </c>
      <c r="G2293" s="646">
        <v>915</v>
      </c>
      <c r="H2293" s="446">
        <v>3</v>
      </c>
      <c r="I2293" s="446">
        <v>3</v>
      </c>
      <c r="J2293" s="648">
        <v>35</v>
      </c>
      <c r="K2293" s="458" t="s">
        <v>249</v>
      </c>
      <c r="L2293" s="519">
        <f t="shared" si="289"/>
        <v>2793077</v>
      </c>
      <c r="M2293" s="519">
        <v>2745000</v>
      </c>
      <c r="N2293" s="388">
        <v>29619</v>
      </c>
      <c r="O2293" s="473"/>
      <c r="P2293" s="388"/>
      <c r="Q2293" s="388">
        <v>18458</v>
      </c>
      <c r="R2293" s="446">
        <f>M2293/G2293</f>
        <v>3000</v>
      </c>
      <c r="S2293" s="383">
        <f t="shared" si="290"/>
        <v>0</v>
      </c>
      <c r="T2293" s="427"/>
      <c r="U2293" s="464"/>
      <c r="V2293" s="389"/>
    </row>
    <row r="2294" spans="1:27" s="403" customFormat="1" ht="42.75" hidden="1" customHeight="1">
      <c r="A2294" s="1115" t="s">
        <v>50</v>
      </c>
      <c r="B2294" s="1115"/>
      <c r="C2294" s="531" t="s">
        <v>28</v>
      </c>
      <c r="D2294" s="641">
        <f>SUM(D2262:D2293)</f>
        <v>255272</v>
      </c>
      <c r="E2294" s="388">
        <f>SUM(E2262:E2293)</f>
        <v>44469.959999999992</v>
      </c>
      <c r="F2294" s="388" t="s">
        <v>28</v>
      </c>
      <c r="G2294" s="388">
        <f>SUM(G2262:G2293)</f>
        <v>29592.399999999998</v>
      </c>
      <c r="H2294" s="446" t="s">
        <v>28</v>
      </c>
      <c r="I2294" s="446" t="s">
        <v>28</v>
      </c>
      <c r="J2294" s="446">
        <f>SUM(J2262:J2293)</f>
        <v>1309</v>
      </c>
      <c r="K2294" s="504" t="s">
        <v>28</v>
      </c>
      <c r="L2294" s="519">
        <f>SUM(L2262:L2293)</f>
        <v>75200736.279999986</v>
      </c>
      <c r="M2294" s="519">
        <f>SUM(M2262:M2293)</f>
        <v>73948456.399999991</v>
      </c>
      <c r="N2294" s="388">
        <f>SUM(N2262:N2293)</f>
        <v>565048.59</v>
      </c>
      <c r="O2294" s="473">
        <f>SUM(O2262:O2293)</f>
        <v>178327.85</v>
      </c>
      <c r="P2294" s="388"/>
      <c r="Q2294" s="388">
        <f>SUM(Q2262:Q2293)</f>
        <v>508903.43999999994</v>
      </c>
      <c r="R2294" s="446" t="s">
        <v>28</v>
      </c>
      <c r="S2294" s="393">
        <f>L2294-M2294-N2294-O2294-P2294-Q2294</f>
        <v>-4.6566128730773926E-9</v>
      </c>
      <c r="T2294" s="393"/>
      <c r="U2294" s="404"/>
      <c r="V2294" s="390"/>
    </row>
    <row r="2295" spans="1:27" s="403" customFormat="1" ht="42.75" hidden="1" customHeight="1">
      <c r="A2295" s="1113" t="s">
        <v>51</v>
      </c>
      <c r="B2295" s="1113"/>
      <c r="C2295" s="1113"/>
      <c r="D2295" s="1113"/>
      <c r="E2295" s="1113"/>
      <c r="F2295" s="1113"/>
      <c r="G2295" s="1113"/>
      <c r="H2295" s="1113"/>
      <c r="I2295" s="1113"/>
      <c r="J2295" s="1113"/>
      <c r="K2295" s="1113"/>
      <c r="L2295" s="1113"/>
      <c r="M2295" s="1113"/>
      <c r="N2295" s="1113"/>
      <c r="O2295" s="1113"/>
      <c r="P2295" s="1113"/>
      <c r="Q2295" s="1113"/>
      <c r="R2295" s="458"/>
      <c r="T2295" s="393"/>
      <c r="U2295" s="404"/>
      <c r="V2295" s="390"/>
    </row>
    <row r="2296" spans="1:27" s="403" customFormat="1" ht="37.5" hidden="1" customHeight="1">
      <c r="A2296" s="458">
        <v>1</v>
      </c>
      <c r="B2296" s="403" t="s">
        <v>1923</v>
      </c>
      <c r="C2296" s="455" t="s">
        <v>240</v>
      </c>
      <c r="D2296" s="641">
        <v>1972.5</v>
      </c>
      <c r="E2296" s="388">
        <v>585</v>
      </c>
      <c r="F2296" s="388" t="s">
        <v>223</v>
      </c>
      <c r="G2296" s="388">
        <v>693</v>
      </c>
      <c r="H2296" s="446">
        <v>2</v>
      </c>
      <c r="I2296" s="446">
        <v>2</v>
      </c>
      <c r="J2296" s="446">
        <v>16</v>
      </c>
      <c r="K2296" s="458" t="s">
        <v>33</v>
      </c>
      <c r="L2296" s="529">
        <f>M2296+N2296+O2296+P2296+Q2296</f>
        <v>1222977.71</v>
      </c>
      <c r="M2296" s="519">
        <v>1185044</v>
      </c>
      <c r="N2296" s="388">
        <v>28323</v>
      </c>
      <c r="O2296" s="473"/>
      <c r="P2296" s="388"/>
      <c r="Q2296" s="388">
        <v>9610.7099999999991</v>
      </c>
      <c r="R2296" s="446">
        <f>M2296/G2296</f>
        <v>1710.0202020202021</v>
      </c>
      <c r="S2296" s="383">
        <f>L2296-M2296-N2296-O2296-P2296-Q2296</f>
        <v>-3.637978807091713E-11</v>
      </c>
      <c r="T2296" s="393"/>
      <c r="U2296" s="404"/>
      <c r="V2296" s="390"/>
    </row>
    <row r="2297" spans="1:27" s="403" customFormat="1" ht="42.75" hidden="1" customHeight="1">
      <c r="A2297" s="1112" t="s">
        <v>120</v>
      </c>
      <c r="B2297" s="1112"/>
      <c r="C2297" s="531" t="s">
        <v>28</v>
      </c>
      <c r="D2297" s="641">
        <f>SUM(D2296:D2296)</f>
        <v>1972.5</v>
      </c>
      <c r="E2297" s="388">
        <f>SUM(E2296:E2296)</f>
        <v>585</v>
      </c>
      <c r="F2297" s="388" t="s">
        <v>28</v>
      </c>
      <c r="G2297" s="388">
        <f>SUM(G2296:G2296)</f>
        <v>693</v>
      </c>
      <c r="H2297" s="446" t="s">
        <v>28</v>
      </c>
      <c r="I2297" s="446" t="s">
        <v>28</v>
      </c>
      <c r="J2297" s="446">
        <f>SUM(J2296:J2296)</f>
        <v>16</v>
      </c>
      <c r="K2297" s="504" t="s">
        <v>28</v>
      </c>
      <c r="L2297" s="519">
        <f t="shared" ref="L2297:Q2297" si="293">SUM(L2296:L2296)</f>
        <v>1222977.71</v>
      </c>
      <c r="M2297" s="519">
        <f t="shared" si="293"/>
        <v>1185044</v>
      </c>
      <c r="N2297" s="388">
        <f t="shared" si="293"/>
        <v>28323</v>
      </c>
      <c r="O2297" s="473">
        <f t="shared" si="293"/>
        <v>0</v>
      </c>
      <c r="P2297" s="388">
        <f t="shared" si="293"/>
        <v>0</v>
      </c>
      <c r="Q2297" s="388">
        <f t="shared" si="293"/>
        <v>9610.7099999999991</v>
      </c>
      <c r="R2297" s="446" t="s">
        <v>28</v>
      </c>
      <c r="S2297" s="393">
        <f>L2297-M2297-N2297-O2297-P2297-Q2297</f>
        <v>-3.637978807091713E-11</v>
      </c>
      <c r="T2297" s="393"/>
      <c r="U2297" s="404"/>
      <c r="V2297" s="390"/>
    </row>
    <row r="2298" spans="1:27" s="403" customFormat="1" ht="42.75" customHeight="1">
      <c r="A2298" s="1113" t="s">
        <v>52</v>
      </c>
      <c r="B2298" s="1113"/>
      <c r="C2298" s="1113"/>
      <c r="D2298" s="1113"/>
      <c r="E2298" s="1113"/>
      <c r="F2298" s="1113"/>
      <c r="G2298" s="1113"/>
      <c r="H2298" s="1113"/>
      <c r="I2298" s="1113"/>
      <c r="J2298" s="1113"/>
      <c r="K2298" s="1113"/>
      <c r="L2298" s="1113"/>
      <c r="M2298" s="1113"/>
      <c r="N2298" s="1113"/>
      <c r="O2298" s="1113"/>
      <c r="P2298" s="1113"/>
      <c r="Q2298" s="1113"/>
      <c r="R2298" s="458"/>
      <c r="T2298" s="393"/>
      <c r="U2298" s="404"/>
      <c r="V2298" s="390"/>
    </row>
    <row r="2299" spans="1:27" s="431" customFormat="1" ht="75" customHeight="1">
      <c r="A2299" s="458">
        <v>1</v>
      </c>
      <c r="B2299" s="403" t="s">
        <v>1924</v>
      </c>
      <c r="C2299" s="455" t="s">
        <v>222</v>
      </c>
      <c r="D2299" s="606">
        <v>3591</v>
      </c>
      <c r="E2299" s="391">
        <v>1006.4</v>
      </c>
      <c r="F2299" s="388" t="s">
        <v>223</v>
      </c>
      <c r="G2299" s="391">
        <v>865.7</v>
      </c>
      <c r="H2299" s="528">
        <v>2</v>
      </c>
      <c r="I2299" s="528">
        <v>3</v>
      </c>
      <c r="J2299" s="528">
        <v>22</v>
      </c>
      <c r="K2299" s="458" t="s">
        <v>275</v>
      </c>
      <c r="L2299" s="519">
        <f>M2299+N2299+O2299+Q2299</f>
        <v>1967241.08</v>
      </c>
      <c r="M2299" s="519">
        <v>1918911</v>
      </c>
      <c r="N2299" s="388">
        <v>30834</v>
      </c>
      <c r="O2299" s="473"/>
      <c r="P2299" s="388"/>
      <c r="Q2299" s="388">
        <v>17496.080000000002</v>
      </c>
      <c r="R2299" s="446">
        <f>M2299/G2299</f>
        <v>2216.6004389511377</v>
      </c>
      <c r="S2299" s="383">
        <f>L2299-M2299-N2299-O2299-P2299-Q2299</f>
        <v>7.2759576141834259E-11</v>
      </c>
      <c r="U2299" s="432"/>
      <c r="V2299" s="390"/>
    </row>
    <row r="2300" spans="1:27" s="431" customFormat="1" ht="56.25" customHeight="1">
      <c r="A2300" s="458">
        <f>A2299+1</f>
        <v>2</v>
      </c>
      <c r="B2300" s="403" t="s">
        <v>1925</v>
      </c>
      <c r="C2300" s="455" t="s">
        <v>240</v>
      </c>
      <c r="D2300" s="606">
        <v>3903</v>
      </c>
      <c r="E2300" s="391">
        <v>841.3</v>
      </c>
      <c r="F2300" s="388" t="s">
        <v>223</v>
      </c>
      <c r="G2300" s="391">
        <v>598.70000000000005</v>
      </c>
      <c r="H2300" s="528">
        <v>2</v>
      </c>
      <c r="I2300" s="528">
        <v>2</v>
      </c>
      <c r="J2300" s="528">
        <v>16</v>
      </c>
      <c r="K2300" s="458" t="s">
        <v>30</v>
      </c>
      <c r="L2300" s="650">
        <f>M2300+N2300+O2300+P2300+Q2300</f>
        <v>294134.07</v>
      </c>
      <c r="M2300" s="519">
        <f>J2300*17000</f>
        <v>272000</v>
      </c>
      <c r="N2300" s="388"/>
      <c r="O2300" s="473">
        <v>11004</v>
      </c>
      <c r="P2300" s="388"/>
      <c r="Q2300" s="388">
        <v>11130.07</v>
      </c>
      <c r="R2300" s="446">
        <f>M2300/J2300</f>
        <v>17000</v>
      </c>
      <c r="S2300" s="383">
        <f>L2300-M2300-N2300-O2300-P2300-Q2300</f>
        <v>0</v>
      </c>
      <c r="T2300" s="406"/>
      <c r="U2300" s="390"/>
      <c r="V2300" s="390"/>
      <c r="Z2300" s="416">
        <v>1</v>
      </c>
      <c r="AA2300" s="416">
        <f>J2300</f>
        <v>16</v>
      </c>
    </row>
    <row r="2301" spans="1:27" s="403" customFormat="1" ht="42.75" customHeight="1">
      <c r="A2301" s="1112" t="s">
        <v>53</v>
      </c>
      <c r="B2301" s="1112"/>
      <c r="C2301" s="531" t="s">
        <v>28</v>
      </c>
      <c r="D2301" s="641">
        <f>SUM(D2299:D2300)</f>
        <v>7494</v>
      </c>
      <c r="E2301" s="388">
        <f>SUM(E2299:E2300)</f>
        <v>1847.6999999999998</v>
      </c>
      <c r="F2301" s="388" t="s">
        <v>28</v>
      </c>
      <c r="G2301" s="388">
        <f>SUM(G2299:G2300)</f>
        <v>1464.4</v>
      </c>
      <c r="H2301" s="446" t="s">
        <v>28</v>
      </c>
      <c r="I2301" s="446" t="s">
        <v>28</v>
      </c>
      <c r="J2301" s="446">
        <f>SUM(J2299:J2300)</f>
        <v>38</v>
      </c>
      <c r="K2301" s="504" t="s">
        <v>28</v>
      </c>
      <c r="L2301" s="519">
        <f>SUM(L2299:L2300)</f>
        <v>2261375.15</v>
      </c>
      <c r="M2301" s="519">
        <f>SUM(M2299:M2300)</f>
        <v>2190911</v>
      </c>
      <c r="N2301" s="388">
        <f>SUM(N2299:N2300)</f>
        <v>30834</v>
      </c>
      <c r="O2301" s="473">
        <f>SUM(O2299:O2300)</f>
        <v>11004</v>
      </c>
      <c r="P2301" s="388"/>
      <c r="Q2301" s="388">
        <f>SUM(Q2299:Q2300)</f>
        <v>28626.15</v>
      </c>
      <c r="R2301" s="446" t="s">
        <v>28</v>
      </c>
      <c r="S2301" s="393">
        <f>L2301-M2301-N2301-O2301-P2301-Q2301</f>
        <v>-9.4587448984384537E-11</v>
      </c>
      <c r="T2301" s="393"/>
      <c r="U2301" s="404"/>
      <c r="V2301" s="390"/>
    </row>
    <row r="2302" spans="1:27" s="403" customFormat="1" ht="42.75" customHeight="1">
      <c r="A2302" s="1113" t="s">
        <v>54</v>
      </c>
      <c r="B2302" s="1113"/>
      <c r="C2302" s="1113"/>
      <c r="D2302" s="1113"/>
      <c r="E2302" s="1113"/>
      <c r="F2302" s="1113"/>
      <c r="G2302" s="1113"/>
      <c r="H2302" s="1113"/>
      <c r="I2302" s="1113"/>
      <c r="J2302" s="1113"/>
      <c r="K2302" s="1113"/>
      <c r="L2302" s="1113"/>
      <c r="M2302" s="1113"/>
      <c r="N2302" s="1113"/>
      <c r="O2302" s="1113"/>
      <c r="P2302" s="1113"/>
      <c r="Q2302" s="1113"/>
      <c r="R2302" s="458"/>
      <c r="T2302" s="393"/>
      <c r="U2302" s="404"/>
      <c r="V2302" s="390"/>
    </row>
    <row r="2303" spans="1:27" s="405" customFormat="1" ht="37.5">
      <c r="A2303" s="504">
        <v>1</v>
      </c>
      <c r="B2303" s="403" t="s">
        <v>1926</v>
      </c>
      <c r="C2303" s="455" t="s">
        <v>222</v>
      </c>
      <c r="D2303" s="641">
        <v>16747</v>
      </c>
      <c r="E2303" s="388">
        <v>3100</v>
      </c>
      <c r="F2303" s="388" t="s">
        <v>224</v>
      </c>
      <c r="G2303" s="388">
        <v>1274</v>
      </c>
      <c r="H2303" s="446">
        <v>5</v>
      </c>
      <c r="I2303" s="446">
        <v>6</v>
      </c>
      <c r="J2303" s="446">
        <v>77</v>
      </c>
      <c r="K2303" s="458" t="s">
        <v>239</v>
      </c>
      <c r="L2303" s="519">
        <f>M2303+N2303+O2303+Q2303</f>
        <v>2365451.71</v>
      </c>
      <c r="M2303" s="519">
        <v>2310000</v>
      </c>
      <c r="N2303" s="388">
        <v>32727</v>
      </c>
      <c r="O2303" s="473"/>
      <c r="P2303" s="388"/>
      <c r="Q2303" s="388">
        <v>22724.71</v>
      </c>
      <c r="R2303" s="446">
        <f>M2303/J2303</f>
        <v>30000</v>
      </c>
      <c r="S2303" s="383">
        <f t="shared" ref="S2303:S2321" si="294">L2303-M2303-N2303-O2303-P2303-Q2303</f>
        <v>-3.637978807091713E-11</v>
      </c>
      <c r="V2303" s="390"/>
    </row>
    <row r="2304" spans="1:27" s="405" customFormat="1" ht="37.5">
      <c r="A2304" s="504">
        <f t="shared" ref="A2304:A2321" si="295">A2303+1</f>
        <v>2</v>
      </c>
      <c r="B2304" s="543" t="s">
        <v>1927</v>
      </c>
      <c r="C2304" s="455" t="s">
        <v>222</v>
      </c>
      <c r="D2304" s="641">
        <v>1710</v>
      </c>
      <c r="E2304" s="388">
        <v>420</v>
      </c>
      <c r="F2304" s="388" t="s">
        <v>231</v>
      </c>
      <c r="G2304" s="388">
        <v>410</v>
      </c>
      <c r="H2304" s="446">
        <v>2</v>
      </c>
      <c r="I2304" s="446">
        <v>1</v>
      </c>
      <c r="J2304" s="446">
        <v>8</v>
      </c>
      <c r="K2304" s="458" t="s">
        <v>33</v>
      </c>
      <c r="L2304" s="529">
        <f>M2304+N2304+O2304+P2304+Q2304</f>
        <v>979331.49</v>
      </c>
      <c r="M2304" s="519">
        <v>943000</v>
      </c>
      <c r="N2304" s="388">
        <v>28000</v>
      </c>
      <c r="O2304" s="473"/>
      <c r="P2304" s="388"/>
      <c r="Q2304" s="388">
        <v>8331.49</v>
      </c>
      <c r="R2304" s="446">
        <f>M2304/G2304</f>
        <v>2300</v>
      </c>
      <c r="S2304" s="383">
        <f t="shared" si="294"/>
        <v>0</v>
      </c>
      <c r="V2304" s="390"/>
    </row>
    <row r="2305" spans="1:22" s="405" customFormat="1" ht="37.5">
      <c r="A2305" s="504">
        <f t="shared" si="295"/>
        <v>3</v>
      </c>
      <c r="B2305" s="403" t="s">
        <v>1928</v>
      </c>
      <c r="C2305" s="455" t="s">
        <v>222</v>
      </c>
      <c r="D2305" s="641">
        <v>8870</v>
      </c>
      <c r="E2305" s="388">
        <v>1858</v>
      </c>
      <c r="F2305" s="388" t="s">
        <v>228</v>
      </c>
      <c r="G2305" s="388">
        <v>650</v>
      </c>
      <c r="H2305" s="446">
        <v>5</v>
      </c>
      <c r="I2305" s="446">
        <v>1</v>
      </c>
      <c r="J2305" s="446">
        <v>64</v>
      </c>
      <c r="K2305" s="458" t="s">
        <v>239</v>
      </c>
      <c r="L2305" s="519">
        <f>M2305+N2305+O2305+Q2305</f>
        <v>1967158.78</v>
      </c>
      <c r="M2305" s="519">
        <v>1920000</v>
      </c>
      <c r="N2305" s="388">
        <v>28608</v>
      </c>
      <c r="O2305" s="473"/>
      <c r="P2305" s="388"/>
      <c r="Q2305" s="388">
        <v>18550.78</v>
      </c>
      <c r="R2305" s="446">
        <f>M2305/J2305</f>
        <v>30000</v>
      </c>
      <c r="S2305" s="383">
        <f t="shared" si="294"/>
        <v>2.9103830456733704E-11</v>
      </c>
      <c r="V2305" s="390"/>
    </row>
    <row r="2306" spans="1:22" s="405" customFormat="1" ht="37.5">
      <c r="A2306" s="504">
        <f t="shared" si="295"/>
        <v>4</v>
      </c>
      <c r="B2306" s="543" t="s">
        <v>1929</v>
      </c>
      <c r="C2306" s="455" t="s">
        <v>222</v>
      </c>
      <c r="D2306" s="641">
        <v>2395</v>
      </c>
      <c r="E2306" s="388">
        <v>559</v>
      </c>
      <c r="F2306" s="388" t="s">
        <v>223</v>
      </c>
      <c r="G2306" s="388">
        <v>674</v>
      </c>
      <c r="H2306" s="446">
        <v>2</v>
      </c>
      <c r="I2306" s="446">
        <v>2</v>
      </c>
      <c r="J2306" s="446">
        <v>13</v>
      </c>
      <c r="K2306" s="458" t="s">
        <v>33</v>
      </c>
      <c r="L2306" s="529">
        <f t="shared" ref="L2306:L2321" si="296">M2306+N2306+O2306+P2306+Q2306</f>
        <v>1590904.96</v>
      </c>
      <c r="M2306" s="519">
        <v>1550200</v>
      </c>
      <c r="N2306" s="388">
        <v>29036</v>
      </c>
      <c r="O2306" s="473"/>
      <c r="P2306" s="388"/>
      <c r="Q2306" s="388">
        <v>11668.96</v>
      </c>
      <c r="R2306" s="446">
        <f t="shared" ref="R2306:R2316" si="297">M2306/G2306</f>
        <v>2300</v>
      </c>
      <c r="S2306" s="383">
        <f t="shared" si="294"/>
        <v>-3.637978807091713E-11</v>
      </c>
      <c r="V2306" s="390"/>
    </row>
    <row r="2307" spans="1:22" s="405" customFormat="1" ht="37.5">
      <c r="A2307" s="504">
        <f t="shared" si="295"/>
        <v>5</v>
      </c>
      <c r="B2307" s="543" t="s">
        <v>1930</v>
      </c>
      <c r="C2307" s="455" t="s">
        <v>222</v>
      </c>
      <c r="D2307" s="641">
        <v>2463</v>
      </c>
      <c r="E2307" s="388">
        <v>530</v>
      </c>
      <c r="F2307" s="388" t="s">
        <v>223</v>
      </c>
      <c r="G2307" s="388">
        <v>674</v>
      </c>
      <c r="H2307" s="446">
        <v>2</v>
      </c>
      <c r="I2307" s="446">
        <v>2</v>
      </c>
      <c r="J2307" s="446">
        <v>16</v>
      </c>
      <c r="K2307" s="458" t="s">
        <v>33</v>
      </c>
      <c r="L2307" s="529">
        <f t="shared" si="296"/>
        <v>1591410.27</v>
      </c>
      <c r="M2307" s="519">
        <v>1550200</v>
      </c>
      <c r="N2307" s="388">
        <v>29210</v>
      </c>
      <c r="O2307" s="473"/>
      <c r="P2307" s="388"/>
      <c r="Q2307" s="388">
        <v>12000.27</v>
      </c>
      <c r="R2307" s="446">
        <f t="shared" si="297"/>
        <v>2300</v>
      </c>
      <c r="S2307" s="383">
        <f t="shared" si="294"/>
        <v>1.8189894035458565E-11</v>
      </c>
      <c r="V2307" s="390"/>
    </row>
    <row r="2308" spans="1:22" s="405" customFormat="1" ht="37.5">
      <c r="A2308" s="504">
        <f t="shared" si="295"/>
        <v>6</v>
      </c>
      <c r="B2308" s="543" t="s">
        <v>1931</v>
      </c>
      <c r="C2308" s="455" t="s">
        <v>222</v>
      </c>
      <c r="D2308" s="641">
        <v>2048</v>
      </c>
      <c r="E2308" s="388">
        <v>463</v>
      </c>
      <c r="F2308" s="388" t="s">
        <v>231</v>
      </c>
      <c r="G2308" s="388">
        <v>710</v>
      </c>
      <c r="H2308" s="446">
        <v>2</v>
      </c>
      <c r="I2308" s="446">
        <v>2</v>
      </c>
      <c r="J2308" s="446">
        <v>8</v>
      </c>
      <c r="K2308" s="458" t="s">
        <v>33</v>
      </c>
      <c r="L2308" s="529">
        <f t="shared" si="296"/>
        <v>1671496.3</v>
      </c>
      <c r="M2308" s="519">
        <v>1633000</v>
      </c>
      <c r="N2308" s="388">
        <v>28518</v>
      </c>
      <c r="O2308" s="473"/>
      <c r="P2308" s="388"/>
      <c r="Q2308" s="388">
        <v>9978.2999999999993</v>
      </c>
      <c r="R2308" s="446">
        <f t="shared" si="297"/>
        <v>2300</v>
      </c>
      <c r="S2308" s="383">
        <f t="shared" si="294"/>
        <v>4.7293724492192268E-11</v>
      </c>
      <c r="V2308" s="390"/>
    </row>
    <row r="2309" spans="1:22" s="405" customFormat="1" ht="37.5">
      <c r="A2309" s="504">
        <f t="shared" si="295"/>
        <v>7</v>
      </c>
      <c r="B2309" s="543" t="s">
        <v>1932</v>
      </c>
      <c r="C2309" s="455" t="s">
        <v>222</v>
      </c>
      <c r="D2309" s="641">
        <v>1752</v>
      </c>
      <c r="E2309" s="388">
        <v>450</v>
      </c>
      <c r="F2309" s="388" t="s">
        <v>223</v>
      </c>
      <c r="G2309" s="388">
        <v>686</v>
      </c>
      <c r="H2309" s="446">
        <v>2</v>
      </c>
      <c r="I2309" s="446">
        <v>2</v>
      </c>
      <c r="J2309" s="446">
        <v>8</v>
      </c>
      <c r="K2309" s="458" t="s">
        <v>33</v>
      </c>
      <c r="L2309" s="529">
        <f t="shared" si="296"/>
        <v>1614446.12</v>
      </c>
      <c r="M2309" s="519">
        <v>1577800</v>
      </c>
      <c r="N2309" s="388">
        <v>28110</v>
      </c>
      <c r="O2309" s="473"/>
      <c r="P2309" s="388"/>
      <c r="Q2309" s="388">
        <v>8536.1200000000008</v>
      </c>
      <c r="R2309" s="446">
        <f t="shared" si="297"/>
        <v>2300</v>
      </c>
      <c r="S2309" s="383">
        <f t="shared" si="294"/>
        <v>1.1095835361629725E-10</v>
      </c>
      <c r="V2309" s="390"/>
    </row>
    <row r="2310" spans="1:22" s="405" customFormat="1" ht="37.5">
      <c r="A2310" s="504">
        <f t="shared" si="295"/>
        <v>8</v>
      </c>
      <c r="B2310" s="543" t="s">
        <v>1933</v>
      </c>
      <c r="C2310" s="455" t="s">
        <v>222</v>
      </c>
      <c r="D2310" s="641">
        <v>2450</v>
      </c>
      <c r="E2310" s="388">
        <v>261</v>
      </c>
      <c r="F2310" s="388" t="s">
        <v>223</v>
      </c>
      <c r="G2310" s="388">
        <v>660</v>
      </c>
      <c r="H2310" s="446">
        <v>2</v>
      </c>
      <c r="I2310" s="446">
        <v>2</v>
      </c>
      <c r="J2310" s="446">
        <v>12</v>
      </c>
      <c r="K2310" s="458" t="s">
        <v>33</v>
      </c>
      <c r="L2310" s="529">
        <f t="shared" si="296"/>
        <v>1625113.94</v>
      </c>
      <c r="M2310" s="519">
        <v>1584000</v>
      </c>
      <c r="N2310" s="388">
        <v>29177</v>
      </c>
      <c r="O2310" s="473"/>
      <c r="P2310" s="388"/>
      <c r="Q2310" s="388">
        <v>11936.94</v>
      </c>
      <c r="R2310" s="446">
        <f t="shared" si="297"/>
        <v>2400</v>
      </c>
      <c r="S2310" s="383">
        <f t="shared" si="294"/>
        <v>-5.6388671509921551E-11</v>
      </c>
      <c r="V2310" s="390"/>
    </row>
    <row r="2311" spans="1:22" s="405" customFormat="1" ht="37.5">
      <c r="A2311" s="504">
        <f t="shared" si="295"/>
        <v>9</v>
      </c>
      <c r="B2311" s="543" t="s">
        <v>1934</v>
      </c>
      <c r="C2311" s="455" t="s">
        <v>222</v>
      </c>
      <c r="D2311" s="641">
        <v>6665</v>
      </c>
      <c r="E2311" s="388">
        <v>1356</v>
      </c>
      <c r="F2311" s="388" t="s">
        <v>223</v>
      </c>
      <c r="G2311" s="388">
        <v>698.18</v>
      </c>
      <c r="H2311" s="446">
        <v>3</v>
      </c>
      <c r="I2311" s="446">
        <v>2</v>
      </c>
      <c r="J2311" s="446">
        <v>32</v>
      </c>
      <c r="K2311" s="458" t="s">
        <v>33</v>
      </c>
      <c r="L2311" s="529">
        <f t="shared" si="296"/>
        <v>1738140.33</v>
      </c>
      <c r="M2311" s="519">
        <v>1675637</v>
      </c>
      <c r="N2311" s="388">
        <v>30030</v>
      </c>
      <c r="O2311" s="473"/>
      <c r="P2311" s="388"/>
      <c r="Q2311" s="388">
        <v>32473.33</v>
      </c>
      <c r="R2311" s="446">
        <f t="shared" si="297"/>
        <v>2400.0071614769831</v>
      </c>
      <c r="S2311" s="383">
        <f t="shared" si="294"/>
        <v>7.2759576141834259E-11</v>
      </c>
      <c r="U2311" s="464">
        <f>L2311-M2311-N2311-O2311-Q2311</f>
        <v>7.2759576141834259E-11</v>
      </c>
      <c r="V2311" s="390"/>
    </row>
    <row r="2312" spans="1:22" s="405" customFormat="1" ht="37.5">
      <c r="A2312" s="504">
        <f t="shared" si="295"/>
        <v>10</v>
      </c>
      <c r="B2312" s="403" t="s">
        <v>1935</v>
      </c>
      <c r="C2312" s="455" t="s">
        <v>222</v>
      </c>
      <c r="D2312" s="641">
        <v>2893</v>
      </c>
      <c r="E2312" s="388">
        <v>272</v>
      </c>
      <c r="F2312" s="388" t="s">
        <v>223</v>
      </c>
      <c r="G2312" s="388">
        <v>676</v>
      </c>
      <c r="H2312" s="446">
        <v>2</v>
      </c>
      <c r="I2312" s="446">
        <v>2</v>
      </c>
      <c r="J2312" s="446">
        <v>16</v>
      </c>
      <c r="K2312" s="458" t="s">
        <v>33</v>
      </c>
      <c r="L2312" s="529">
        <f t="shared" si="296"/>
        <v>1664703.32</v>
      </c>
      <c r="M2312" s="519">
        <v>1620696</v>
      </c>
      <c r="N2312" s="388">
        <v>29912</v>
      </c>
      <c r="O2312" s="473"/>
      <c r="P2312" s="388"/>
      <c r="Q2312" s="388">
        <v>14095.32</v>
      </c>
      <c r="R2312" s="446">
        <f t="shared" si="297"/>
        <v>2397.4792899408285</v>
      </c>
      <c r="S2312" s="383">
        <f t="shared" si="294"/>
        <v>6.5483618527650833E-11</v>
      </c>
      <c r="U2312" s="464">
        <f>L2312-M2312-N2312-O2312-Q2312</f>
        <v>6.5483618527650833E-11</v>
      </c>
      <c r="V2312" s="390"/>
    </row>
    <row r="2313" spans="1:22" s="405" customFormat="1" ht="37.5">
      <c r="A2313" s="504">
        <f t="shared" si="295"/>
        <v>11</v>
      </c>
      <c r="B2313" s="403" t="s">
        <v>1936</v>
      </c>
      <c r="C2313" s="455" t="s">
        <v>222</v>
      </c>
      <c r="D2313" s="641">
        <v>3489</v>
      </c>
      <c r="E2313" s="388">
        <v>351</v>
      </c>
      <c r="F2313" s="388" t="s">
        <v>223</v>
      </c>
      <c r="G2313" s="388">
        <v>845</v>
      </c>
      <c r="H2313" s="446">
        <v>2</v>
      </c>
      <c r="I2313" s="446">
        <v>3</v>
      </c>
      <c r="J2313" s="446">
        <v>22</v>
      </c>
      <c r="K2313" s="458" t="s">
        <v>33</v>
      </c>
      <c r="L2313" s="529">
        <f t="shared" si="296"/>
        <v>2051078.17</v>
      </c>
      <c r="M2313" s="519">
        <v>2003495</v>
      </c>
      <c r="N2313" s="388">
        <v>30584</v>
      </c>
      <c r="O2313" s="473"/>
      <c r="P2313" s="388"/>
      <c r="Q2313" s="388">
        <v>16999.169999999998</v>
      </c>
      <c r="R2313" s="446">
        <f t="shared" si="297"/>
        <v>2371</v>
      </c>
      <c r="S2313" s="383">
        <f t="shared" si="294"/>
        <v>-7.2759576141834259E-11</v>
      </c>
      <c r="V2313" s="390"/>
    </row>
    <row r="2314" spans="1:22" s="405" customFormat="1" ht="37.5">
      <c r="A2314" s="504">
        <f t="shared" si="295"/>
        <v>12</v>
      </c>
      <c r="B2314" s="543" t="s">
        <v>1937</v>
      </c>
      <c r="C2314" s="455" t="s">
        <v>222</v>
      </c>
      <c r="D2314" s="641">
        <v>1098</v>
      </c>
      <c r="E2314" s="388">
        <v>327</v>
      </c>
      <c r="F2314" s="388" t="s">
        <v>223</v>
      </c>
      <c r="G2314" s="388">
        <v>360</v>
      </c>
      <c r="H2314" s="446">
        <v>2</v>
      </c>
      <c r="I2314" s="446">
        <v>1</v>
      </c>
      <c r="J2314" s="446">
        <v>8</v>
      </c>
      <c r="K2314" s="458" t="s">
        <v>33</v>
      </c>
      <c r="L2314" s="529">
        <f t="shared" si="296"/>
        <v>878083.7</v>
      </c>
      <c r="M2314" s="519">
        <v>846000</v>
      </c>
      <c r="N2314" s="388">
        <v>26734</v>
      </c>
      <c r="O2314" s="473"/>
      <c r="P2314" s="388"/>
      <c r="Q2314" s="388">
        <v>5349.7</v>
      </c>
      <c r="R2314" s="446">
        <f t="shared" si="297"/>
        <v>2350</v>
      </c>
      <c r="S2314" s="383">
        <f t="shared" si="294"/>
        <v>-4.638422979041934E-11</v>
      </c>
      <c r="V2314" s="390"/>
    </row>
    <row r="2315" spans="1:22" s="405" customFormat="1" ht="37.5">
      <c r="A2315" s="504">
        <f t="shared" si="295"/>
        <v>13</v>
      </c>
      <c r="B2315" s="543" t="s">
        <v>1938</v>
      </c>
      <c r="C2315" s="455" t="s">
        <v>222</v>
      </c>
      <c r="D2315" s="641">
        <v>1420</v>
      </c>
      <c r="E2315" s="388">
        <v>451</v>
      </c>
      <c r="F2315" s="388" t="s">
        <v>223</v>
      </c>
      <c r="G2315" s="388">
        <v>710</v>
      </c>
      <c r="H2315" s="446">
        <v>2</v>
      </c>
      <c r="I2315" s="446">
        <v>2</v>
      </c>
      <c r="J2315" s="446">
        <v>8</v>
      </c>
      <c r="K2315" s="458" t="s">
        <v>33</v>
      </c>
      <c r="L2315" s="529">
        <f t="shared" si="296"/>
        <v>1667160.54</v>
      </c>
      <c r="M2315" s="519">
        <v>1633000</v>
      </c>
      <c r="N2315" s="388">
        <v>27242</v>
      </c>
      <c r="O2315" s="473"/>
      <c r="P2315" s="388"/>
      <c r="Q2315" s="388">
        <v>6918.54</v>
      </c>
      <c r="R2315" s="446">
        <f t="shared" si="297"/>
        <v>2300</v>
      </c>
      <c r="S2315" s="383">
        <f t="shared" si="294"/>
        <v>3.7289282772690058E-11</v>
      </c>
      <c r="V2315" s="390"/>
    </row>
    <row r="2316" spans="1:22" s="405" customFormat="1" ht="37.5">
      <c r="A2316" s="504">
        <f t="shared" si="295"/>
        <v>14</v>
      </c>
      <c r="B2316" s="543" t="s">
        <v>1939</v>
      </c>
      <c r="C2316" s="455" t="s">
        <v>222</v>
      </c>
      <c r="D2316" s="641">
        <v>1571</v>
      </c>
      <c r="E2316" s="388">
        <v>412</v>
      </c>
      <c r="F2316" s="388" t="s">
        <v>223</v>
      </c>
      <c r="G2316" s="388">
        <v>689.18</v>
      </c>
      <c r="H2316" s="446">
        <v>2</v>
      </c>
      <c r="I2316" s="446">
        <v>2</v>
      </c>
      <c r="J2316" s="446">
        <v>8</v>
      </c>
      <c r="K2316" s="458" t="s">
        <v>33</v>
      </c>
      <c r="L2316" s="529">
        <f t="shared" si="296"/>
        <v>1620404.26</v>
      </c>
      <c r="M2316" s="519">
        <v>1585114</v>
      </c>
      <c r="N2316" s="388">
        <v>27636</v>
      </c>
      <c r="O2316" s="473"/>
      <c r="P2316" s="388"/>
      <c r="Q2316" s="388">
        <v>7654.26</v>
      </c>
      <c r="R2316" s="446">
        <f t="shared" si="297"/>
        <v>2300</v>
      </c>
      <c r="S2316" s="383">
        <f t="shared" si="294"/>
        <v>9.0949470177292824E-12</v>
      </c>
      <c r="V2316" s="390"/>
    </row>
    <row r="2317" spans="1:22" s="405" customFormat="1" ht="37.5">
      <c r="A2317" s="504">
        <f t="shared" si="295"/>
        <v>15</v>
      </c>
      <c r="B2317" s="543" t="s">
        <v>1940</v>
      </c>
      <c r="C2317" s="455" t="s">
        <v>222</v>
      </c>
      <c r="D2317" s="641">
        <v>6645</v>
      </c>
      <c r="E2317" s="388">
        <v>2128</v>
      </c>
      <c r="F2317" s="388" t="s">
        <v>223</v>
      </c>
      <c r="G2317" s="388">
        <v>1240</v>
      </c>
      <c r="H2317" s="446">
        <v>3</v>
      </c>
      <c r="I2317" s="446">
        <v>3</v>
      </c>
      <c r="J2317" s="446">
        <v>30</v>
      </c>
      <c r="K2317" s="458" t="s">
        <v>225</v>
      </c>
      <c r="L2317" s="645">
        <f t="shared" si="296"/>
        <v>688227.64</v>
      </c>
      <c r="M2317" s="645">
        <v>660000</v>
      </c>
      <c r="N2317" s="646">
        <v>22305</v>
      </c>
      <c r="O2317" s="647"/>
      <c r="P2317" s="646"/>
      <c r="Q2317" s="388">
        <v>5922.64</v>
      </c>
      <c r="R2317" s="648">
        <f>M2317/J2317</f>
        <v>22000</v>
      </c>
      <c r="S2317" s="383">
        <f t="shared" si="294"/>
        <v>1.3642420526593924E-11</v>
      </c>
      <c r="V2317" s="390"/>
    </row>
    <row r="2318" spans="1:22" s="405" customFormat="1" ht="37.5" customHeight="1">
      <c r="A2318" s="504">
        <f t="shared" si="295"/>
        <v>16</v>
      </c>
      <c r="B2318" s="543" t="s">
        <v>3675</v>
      </c>
      <c r="C2318" s="455" t="s">
        <v>222</v>
      </c>
      <c r="D2318" s="641">
        <v>2567</v>
      </c>
      <c r="E2318" s="388">
        <v>556</v>
      </c>
      <c r="F2318" s="388" t="s">
        <v>223</v>
      </c>
      <c r="G2318" s="388">
        <v>674</v>
      </c>
      <c r="H2318" s="446">
        <v>2</v>
      </c>
      <c r="I2318" s="446">
        <v>1</v>
      </c>
      <c r="J2318" s="446">
        <v>8</v>
      </c>
      <c r="K2318" s="458" t="s">
        <v>33</v>
      </c>
      <c r="L2318" s="645">
        <f t="shared" si="296"/>
        <v>1592245</v>
      </c>
      <c r="M2318" s="645">
        <v>1550200</v>
      </c>
      <c r="N2318" s="388">
        <v>29475</v>
      </c>
      <c r="O2318" s="473"/>
      <c r="P2318" s="388"/>
      <c r="Q2318" s="388">
        <v>12570</v>
      </c>
      <c r="R2318" s="648">
        <f>M2318/G2318</f>
        <v>2300</v>
      </c>
      <c r="S2318" s="383">
        <f t="shared" si="294"/>
        <v>0</v>
      </c>
      <c r="V2318" s="390"/>
    </row>
    <row r="2319" spans="1:22" s="405" customFormat="1" ht="37.5" customHeight="1">
      <c r="A2319" s="504">
        <f t="shared" si="295"/>
        <v>17</v>
      </c>
      <c r="B2319" s="543" t="s">
        <v>2867</v>
      </c>
      <c r="C2319" s="455" t="s">
        <v>222</v>
      </c>
      <c r="D2319" s="641">
        <v>26480</v>
      </c>
      <c r="E2319" s="388">
        <v>2793</v>
      </c>
      <c r="F2319" s="388" t="s">
        <v>228</v>
      </c>
      <c r="G2319" s="388">
        <v>506.16</v>
      </c>
      <c r="H2319" s="446">
        <v>5</v>
      </c>
      <c r="I2319" s="446">
        <v>7</v>
      </c>
      <c r="J2319" s="446">
        <v>65</v>
      </c>
      <c r="K2319" s="458" t="s">
        <v>3819</v>
      </c>
      <c r="L2319" s="645">
        <f t="shared" si="296"/>
        <v>1192287</v>
      </c>
      <c r="M2319" s="645">
        <v>1148828</v>
      </c>
      <c r="N2319" s="388"/>
      <c r="O2319" s="473">
        <v>23459</v>
      </c>
      <c r="P2319" s="388"/>
      <c r="Q2319" s="388">
        <v>20000</v>
      </c>
      <c r="R2319" s="648">
        <f>M2319/G2319</f>
        <v>2269.6933775881143</v>
      </c>
      <c r="S2319" s="383">
        <f t="shared" si="294"/>
        <v>0</v>
      </c>
      <c r="V2319" s="390"/>
    </row>
    <row r="2320" spans="1:22" s="405" customFormat="1" ht="37.5" customHeight="1">
      <c r="A2320" s="504">
        <f t="shared" si="295"/>
        <v>18</v>
      </c>
      <c r="B2320" s="543" t="s">
        <v>3354</v>
      </c>
      <c r="C2320" s="455" t="s">
        <v>222</v>
      </c>
      <c r="D2320" s="641">
        <v>8722</v>
      </c>
      <c r="E2320" s="388">
        <v>1709</v>
      </c>
      <c r="F2320" s="388" t="s">
        <v>223</v>
      </c>
      <c r="G2320" s="388">
        <v>1330</v>
      </c>
      <c r="H2320" s="446">
        <v>3</v>
      </c>
      <c r="I2320" s="446">
        <v>2</v>
      </c>
      <c r="J2320" s="446">
        <v>90</v>
      </c>
      <c r="K2320" s="458" t="s">
        <v>33</v>
      </c>
      <c r="L2320" s="645">
        <f t="shared" si="296"/>
        <v>3397157</v>
      </c>
      <c r="M2320" s="519">
        <v>3325000</v>
      </c>
      <c r="N2320" s="388">
        <v>32357</v>
      </c>
      <c r="O2320" s="473"/>
      <c r="P2320" s="388"/>
      <c r="Q2320" s="388">
        <v>39800</v>
      </c>
      <c r="R2320" s="648">
        <f>M2320/G2320</f>
        <v>2500</v>
      </c>
      <c r="S2320" s="383">
        <f t="shared" si="294"/>
        <v>0</v>
      </c>
      <c r="V2320" s="390"/>
    </row>
    <row r="2321" spans="1:221" s="405" customFormat="1" ht="37.5" customHeight="1">
      <c r="A2321" s="504">
        <f t="shared" si="295"/>
        <v>19</v>
      </c>
      <c r="B2321" s="543" t="s">
        <v>2865</v>
      </c>
      <c r="C2321" s="455" t="s">
        <v>230</v>
      </c>
      <c r="D2321" s="641">
        <v>1718</v>
      </c>
      <c r="E2321" s="388">
        <v>345</v>
      </c>
      <c r="F2321" s="388" t="s">
        <v>223</v>
      </c>
      <c r="G2321" s="388">
        <v>400</v>
      </c>
      <c r="H2321" s="446">
        <v>2</v>
      </c>
      <c r="I2321" s="446">
        <v>1</v>
      </c>
      <c r="J2321" s="446">
        <v>8</v>
      </c>
      <c r="K2321" s="458" t="s">
        <v>33</v>
      </c>
      <c r="L2321" s="645">
        <f t="shared" si="296"/>
        <v>1036079</v>
      </c>
      <c r="M2321" s="519">
        <v>1000000</v>
      </c>
      <c r="N2321" s="388">
        <v>27666</v>
      </c>
      <c r="O2321" s="473"/>
      <c r="P2321" s="388"/>
      <c r="Q2321" s="388">
        <v>8413</v>
      </c>
      <c r="R2321" s="648">
        <f>M2321/G2321</f>
        <v>2500</v>
      </c>
      <c r="S2321" s="383">
        <f t="shared" si="294"/>
        <v>0</v>
      </c>
      <c r="V2321" s="390"/>
    </row>
    <row r="2322" spans="1:221" s="403" customFormat="1" ht="42.75" customHeight="1">
      <c r="A2322" s="1123" t="s">
        <v>121</v>
      </c>
      <c r="B2322" s="1123"/>
      <c r="C2322" s="388" t="s">
        <v>28</v>
      </c>
      <c r="D2322" s="641">
        <f>SUM(D2303:D2321)</f>
        <v>101703</v>
      </c>
      <c r="E2322" s="388">
        <f>SUM(E2303:E2321)</f>
        <v>18341</v>
      </c>
      <c r="F2322" s="388" t="s">
        <v>28</v>
      </c>
      <c r="G2322" s="388">
        <f>SUM(G2303:G2321)</f>
        <v>13866.52</v>
      </c>
      <c r="H2322" s="446" t="s">
        <v>28</v>
      </c>
      <c r="I2322" s="446" t="s">
        <v>28</v>
      </c>
      <c r="J2322" s="446">
        <f>SUM(J2303:J2321)</f>
        <v>501</v>
      </c>
      <c r="K2322" s="389" t="s">
        <v>28</v>
      </c>
      <c r="L2322" s="519">
        <f t="shared" ref="L2322:Q2322" si="298">SUM(L2303:L2321)</f>
        <v>30930879.530000001</v>
      </c>
      <c r="M2322" s="519">
        <f t="shared" si="298"/>
        <v>30116170</v>
      </c>
      <c r="N2322" s="388">
        <f t="shared" si="298"/>
        <v>517327</v>
      </c>
      <c r="O2322" s="473">
        <f t="shared" si="298"/>
        <v>23459</v>
      </c>
      <c r="P2322" s="388">
        <f t="shared" si="298"/>
        <v>0</v>
      </c>
      <c r="Q2322" s="388">
        <f t="shared" si="298"/>
        <v>273923.53000000003</v>
      </c>
      <c r="R2322" s="446" t="s">
        <v>28</v>
      </c>
      <c r="S2322" s="393">
        <f>L2322-M2322-N2322-O2322-P2322-Q2322</f>
        <v>1.1641532182693481E-9</v>
      </c>
      <c r="T2322" s="393"/>
      <c r="U2322" s="404"/>
      <c r="V2322" s="390"/>
    </row>
    <row r="2323" spans="1:221" s="403" customFormat="1" ht="42.75" customHeight="1">
      <c r="A2323" s="1113" t="s">
        <v>55</v>
      </c>
      <c r="B2323" s="1113"/>
      <c r="C2323" s="1113"/>
      <c r="D2323" s="1113"/>
      <c r="E2323" s="1113"/>
      <c r="F2323" s="1113"/>
      <c r="G2323" s="1113"/>
      <c r="H2323" s="1113"/>
      <c r="I2323" s="1113"/>
      <c r="J2323" s="1113"/>
      <c r="K2323" s="1113"/>
      <c r="L2323" s="1113"/>
      <c r="M2323" s="1113"/>
      <c r="N2323" s="1113"/>
      <c r="O2323" s="1113"/>
      <c r="P2323" s="1113"/>
      <c r="Q2323" s="1113"/>
      <c r="R2323" s="458"/>
      <c r="T2323" s="393"/>
      <c r="U2323" s="404"/>
      <c r="V2323" s="390"/>
    </row>
    <row r="2324" spans="1:221" s="471" customFormat="1" ht="75" customHeight="1">
      <c r="A2324" s="458">
        <v>1</v>
      </c>
      <c r="B2324" s="546" t="s">
        <v>1941</v>
      </c>
      <c r="C2324" s="455" t="s">
        <v>240</v>
      </c>
      <c r="D2324" s="833">
        <v>1578</v>
      </c>
      <c r="E2324" s="575">
        <v>431</v>
      </c>
      <c r="F2324" s="575" t="s">
        <v>223</v>
      </c>
      <c r="G2324" s="575">
        <v>670</v>
      </c>
      <c r="H2324" s="576">
        <v>2</v>
      </c>
      <c r="I2324" s="576">
        <v>2</v>
      </c>
      <c r="J2324" s="576">
        <v>8</v>
      </c>
      <c r="K2324" s="834" t="s">
        <v>275</v>
      </c>
      <c r="L2324" s="650">
        <f>M2324+N2324+O2324+P2324+Q2324</f>
        <v>1374740.37</v>
      </c>
      <c r="M2324" s="650">
        <v>1339397</v>
      </c>
      <c r="N2324" s="688">
        <v>27655</v>
      </c>
      <c r="O2324" s="703"/>
      <c r="P2324" s="688"/>
      <c r="Q2324" s="388">
        <v>7688.37</v>
      </c>
      <c r="R2324" s="689">
        <f>M2324/G2324</f>
        <v>1999.1</v>
      </c>
      <c r="S2324" s="383">
        <f>L2324-M2324-N2324-O2324-P2324-Q2324</f>
        <v>1.1186784831807017E-10</v>
      </c>
      <c r="U2324" s="405"/>
      <c r="V2324" s="390"/>
    </row>
    <row r="2325" spans="1:221" s="471" customFormat="1" ht="75" customHeight="1">
      <c r="A2325" s="458">
        <v>2</v>
      </c>
      <c r="B2325" s="546" t="s">
        <v>1942</v>
      </c>
      <c r="C2325" s="455" t="s">
        <v>240</v>
      </c>
      <c r="D2325" s="833">
        <v>3012</v>
      </c>
      <c r="E2325" s="575">
        <v>681</v>
      </c>
      <c r="F2325" s="575" t="s">
        <v>223</v>
      </c>
      <c r="G2325" s="575">
        <v>724</v>
      </c>
      <c r="H2325" s="576">
        <v>2</v>
      </c>
      <c r="I2325" s="576">
        <v>3</v>
      </c>
      <c r="J2325" s="576">
        <v>18</v>
      </c>
      <c r="K2325" s="834" t="s">
        <v>275</v>
      </c>
      <c r="L2325" s="650">
        <f>M2325+N2325+O2325+P2325+Q2325</f>
        <v>1491837.26</v>
      </c>
      <c r="M2325" s="650">
        <v>1447348</v>
      </c>
      <c r="N2325" s="688">
        <v>29814</v>
      </c>
      <c r="O2325" s="703"/>
      <c r="P2325" s="688"/>
      <c r="Q2325" s="388">
        <v>14675.26</v>
      </c>
      <c r="R2325" s="689">
        <f>M2325/G2325</f>
        <v>1999.0994475138123</v>
      </c>
      <c r="S2325" s="383">
        <f>L2325-M2325-N2325-O2325-P2325-Q2325</f>
        <v>0</v>
      </c>
      <c r="U2325" s="405"/>
      <c r="V2325" s="390"/>
    </row>
    <row r="2326" spans="1:221" s="403" customFormat="1" ht="42.75" customHeight="1">
      <c r="A2326" s="1112" t="s">
        <v>56</v>
      </c>
      <c r="B2326" s="1112"/>
      <c r="C2326" s="388" t="s">
        <v>28</v>
      </c>
      <c r="D2326" s="641">
        <f>SUM(D2324:D2325)</f>
        <v>4590</v>
      </c>
      <c r="E2326" s="388">
        <f>SUM(E2324:E2325)</f>
        <v>1112</v>
      </c>
      <c r="F2326" s="388" t="s">
        <v>28</v>
      </c>
      <c r="G2326" s="388">
        <f>SUM(G2324:G2325)</f>
        <v>1394</v>
      </c>
      <c r="H2326" s="446" t="s">
        <v>28</v>
      </c>
      <c r="I2326" s="446" t="s">
        <v>28</v>
      </c>
      <c r="J2326" s="446">
        <f>SUM(J2324:J2325)</f>
        <v>26</v>
      </c>
      <c r="K2326" s="389" t="s">
        <v>28</v>
      </c>
      <c r="L2326" s="519">
        <f>SUM(L2324:L2325)</f>
        <v>2866577.63</v>
      </c>
      <c r="M2326" s="519">
        <f>SUM(M2324:M2325)</f>
        <v>2786745</v>
      </c>
      <c r="N2326" s="388">
        <f>SUM(N2324:N2325)</f>
        <v>57469</v>
      </c>
      <c r="O2326" s="473"/>
      <c r="P2326" s="388"/>
      <c r="Q2326" s="388">
        <f>SUM(Q2324:Q2325)</f>
        <v>22363.63</v>
      </c>
      <c r="R2326" s="446" t="s">
        <v>28</v>
      </c>
      <c r="S2326" s="393">
        <f>L2326-M2326-N2326-O2326-P2326-Q2326</f>
        <v>-1.127773430198431E-10</v>
      </c>
      <c r="T2326" s="393"/>
      <c r="U2326" s="404"/>
      <c r="V2326" s="390"/>
    </row>
    <row r="2327" spans="1:221" s="403" customFormat="1" ht="42.75" customHeight="1">
      <c r="A2327" s="1113" t="s">
        <v>32</v>
      </c>
      <c r="B2327" s="1113"/>
      <c r="C2327" s="1113"/>
      <c r="D2327" s="1113"/>
      <c r="E2327" s="1113"/>
      <c r="F2327" s="1113"/>
      <c r="G2327" s="1113"/>
      <c r="H2327" s="1113"/>
      <c r="I2327" s="1113"/>
      <c r="J2327" s="1113"/>
      <c r="K2327" s="1113"/>
      <c r="L2327" s="1113"/>
      <c r="M2327" s="1113"/>
      <c r="N2327" s="1113"/>
      <c r="O2327" s="1113"/>
      <c r="P2327" s="1113"/>
      <c r="Q2327" s="1113"/>
      <c r="R2327" s="458"/>
      <c r="T2327" s="393"/>
      <c r="U2327" s="404"/>
      <c r="V2327" s="390"/>
    </row>
    <row r="2328" spans="1:221" s="420" customFormat="1" ht="37.5" customHeight="1">
      <c r="A2328" s="697">
        <v>1</v>
      </c>
      <c r="B2328" s="698" t="s">
        <v>1944</v>
      </c>
      <c r="C2328" s="699" t="s">
        <v>218</v>
      </c>
      <c r="D2328" s="700">
        <f>E2328*2.5</f>
        <v>5332.5</v>
      </c>
      <c r="E2328" s="391">
        <f>(26.5+13)*2*3*9</f>
        <v>2133</v>
      </c>
      <c r="F2328" s="651" t="s">
        <v>254</v>
      </c>
      <c r="G2328" s="651">
        <v>625.70000000000005</v>
      </c>
      <c r="H2328" s="701">
        <v>9</v>
      </c>
      <c r="I2328" s="701">
        <v>2</v>
      </c>
      <c r="J2328" s="701">
        <v>72</v>
      </c>
      <c r="K2328" s="697" t="s">
        <v>220</v>
      </c>
      <c r="L2328" s="519">
        <f t="shared" ref="L2328:L2341" si="299">M2328+N2328+O2328+P2328+Q2328</f>
        <v>2107900</v>
      </c>
      <c r="M2328" s="529">
        <v>2107900</v>
      </c>
      <c r="N2328" s="391"/>
      <c r="O2328" s="473"/>
      <c r="P2328" s="388"/>
      <c r="Q2328" s="388"/>
      <c r="R2328" s="446">
        <f>M2328</f>
        <v>2107900</v>
      </c>
      <c r="S2328" s="393">
        <f t="shared" ref="S2328:S2329" si="300">L2328-M2328-N2328-O2328-P2328-Q2328</f>
        <v>0</v>
      </c>
      <c r="T2328" s="437"/>
      <c r="U2328" s="436"/>
      <c r="V2328" s="390"/>
      <c r="W2328" s="435"/>
      <c r="X2328" s="435"/>
      <c r="Y2328" s="435"/>
      <c r="Z2328" s="435"/>
      <c r="AA2328" s="435"/>
      <c r="AB2328" s="435"/>
      <c r="AC2328" s="435"/>
      <c r="AD2328" s="435"/>
      <c r="AE2328" s="435"/>
      <c r="AF2328" s="435"/>
      <c r="AG2328" s="435"/>
      <c r="AH2328" s="435"/>
      <c r="AI2328" s="435"/>
      <c r="AJ2328" s="435"/>
      <c r="AK2328" s="435"/>
      <c r="AL2328" s="435"/>
      <c r="AM2328" s="435"/>
      <c r="AN2328" s="435"/>
      <c r="AO2328" s="435"/>
      <c r="AP2328" s="435"/>
      <c r="AQ2328" s="435"/>
      <c r="AR2328" s="435"/>
      <c r="AS2328" s="435"/>
      <c r="AT2328" s="435"/>
      <c r="AU2328" s="435"/>
      <c r="AV2328" s="435"/>
      <c r="AW2328" s="435"/>
      <c r="AX2328" s="435"/>
      <c r="AY2328" s="435"/>
      <c r="AZ2328" s="435"/>
      <c r="BA2328" s="435"/>
      <c r="BB2328" s="435"/>
      <c r="BC2328" s="435"/>
      <c r="BD2328" s="435"/>
      <c r="BE2328" s="435"/>
      <c r="BF2328" s="435"/>
      <c r="BG2328" s="435"/>
      <c r="BH2328" s="435"/>
      <c r="BI2328" s="435"/>
      <c r="BJ2328" s="435"/>
      <c r="BK2328" s="435"/>
      <c r="BL2328" s="435"/>
      <c r="BM2328" s="435"/>
      <c r="BN2328" s="435"/>
      <c r="BO2328" s="435"/>
      <c r="BP2328" s="435"/>
      <c r="BQ2328" s="435"/>
      <c r="BR2328" s="435"/>
      <c r="BS2328" s="435"/>
      <c r="BT2328" s="435"/>
      <c r="BU2328" s="435"/>
      <c r="BV2328" s="435"/>
      <c r="BW2328" s="435"/>
      <c r="BX2328" s="435"/>
      <c r="BY2328" s="435"/>
      <c r="BZ2328" s="435"/>
      <c r="CA2328" s="435"/>
      <c r="CB2328" s="435"/>
      <c r="CC2328" s="435"/>
      <c r="CD2328" s="435"/>
      <c r="CE2328" s="435"/>
      <c r="CF2328" s="435"/>
      <c r="CG2328" s="435"/>
      <c r="CH2328" s="435"/>
      <c r="CI2328" s="435"/>
      <c r="CJ2328" s="435"/>
      <c r="CK2328" s="435"/>
      <c r="CL2328" s="435"/>
      <c r="CM2328" s="435"/>
      <c r="CN2328" s="435"/>
      <c r="CO2328" s="435"/>
      <c r="CP2328" s="435"/>
      <c r="CQ2328" s="435"/>
      <c r="CR2328" s="435"/>
      <c r="CS2328" s="435"/>
      <c r="CT2328" s="435"/>
      <c r="CU2328" s="435"/>
      <c r="CV2328" s="435"/>
      <c r="CW2328" s="435"/>
      <c r="CX2328" s="435"/>
      <c r="CY2328" s="435"/>
      <c r="CZ2328" s="435"/>
      <c r="DA2328" s="435"/>
      <c r="DB2328" s="435"/>
      <c r="DC2328" s="435"/>
      <c r="DD2328" s="435"/>
      <c r="DE2328" s="435"/>
      <c r="DF2328" s="435"/>
      <c r="DG2328" s="435"/>
      <c r="DH2328" s="435"/>
      <c r="DI2328" s="435"/>
      <c r="DJ2328" s="435"/>
      <c r="DK2328" s="435"/>
      <c r="DL2328" s="435"/>
      <c r="DM2328" s="435"/>
      <c r="DN2328" s="435"/>
      <c r="DO2328" s="435"/>
      <c r="DP2328" s="435"/>
      <c r="DQ2328" s="435"/>
      <c r="DR2328" s="435"/>
      <c r="DS2328" s="435"/>
      <c r="DT2328" s="435"/>
      <c r="DU2328" s="435"/>
      <c r="DV2328" s="435"/>
      <c r="DW2328" s="435"/>
      <c r="DX2328" s="435"/>
      <c r="DY2328" s="435"/>
      <c r="DZ2328" s="435"/>
      <c r="EA2328" s="435"/>
      <c r="EB2328" s="435"/>
      <c r="EC2328" s="435"/>
      <c r="ED2328" s="435"/>
      <c r="EE2328" s="435"/>
      <c r="EF2328" s="435"/>
      <c r="EG2328" s="435"/>
      <c r="EH2328" s="435"/>
      <c r="EI2328" s="435"/>
      <c r="EJ2328" s="435"/>
      <c r="EK2328" s="435"/>
      <c r="EL2328" s="435"/>
      <c r="EM2328" s="435"/>
      <c r="EN2328" s="435"/>
      <c r="EO2328" s="435"/>
      <c r="EP2328" s="435"/>
      <c r="EQ2328" s="435"/>
      <c r="ER2328" s="435"/>
      <c r="ES2328" s="435"/>
      <c r="ET2328" s="435"/>
      <c r="EU2328" s="435"/>
      <c r="EV2328" s="435"/>
      <c r="EW2328" s="435"/>
      <c r="EX2328" s="435"/>
      <c r="EY2328" s="435"/>
      <c r="EZ2328" s="435"/>
      <c r="FA2328" s="435"/>
      <c r="FB2328" s="435"/>
      <c r="FC2328" s="435"/>
      <c r="FD2328" s="435"/>
      <c r="FE2328" s="435"/>
      <c r="FF2328" s="435"/>
      <c r="FG2328" s="435"/>
      <c r="FH2328" s="435"/>
      <c r="FI2328" s="435"/>
      <c r="FJ2328" s="435"/>
      <c r="FK2328" s="435"/>
      <c r="FL2328" s="435"/>
      <c r="FM2328" s="435"/>
      <c r="FN2328" s="435"/>
      <c r="FO2328" s="435"/>
      <c r="FP2328" s="435"/>
      <c r="FQ2328" s="435"/>
      <c r="FR2328" s="435"/>
      <c r="FS2328" s="435"/>
      <c r="FT2328" s="435"/>
      <c r="FU2328" s="435"/>
      <c r="FV2328" s="435"/>
      <c r="FW2328" s="435"/>
      <c r="FX2328" s="435"/>
      <c r="FY2328" s="435"/>
      <c r="FZ2328" s="435"/>
      <c r="GA2328" s="435"/>
      <c r="GB2328" s="435"/>
      <c r="GC2328" s="435"/>
      <c r="GD2328" s="435"/>
      <c r="GE2328" s="435"/>
      <c r="GF2328" s="435"/>
      <c r="GG2328" s="435"/>
      <c r="GH2328" s="435"/>
      <c r="GI2328" s="435"/>
      <c r="GJ2328" s="435"/>
      <c r="GK2328" s="435"/>
      <c r="GL2328" s="435"/>
      <c r="GM2328" s="435"/>
      <c r="GN2328" s="435"/>
      <c r="GO2328" s="435"/>
      <c r="GP2328" s="435"/>
      <c r="GQ2328" s="435"/>
      <c r="GR2328" s="435"/>
      <c r="GS2328" s="435"/>
      <c r="GT2328" s="435"/>
      <c r="GU2328" s="435"/>
      <c r="GV2328" s="435"/>
      <c r="GW2328" s="435"/>
      <c r="GX2328" s="435"/>
      <c r="GY2328" s="435"/>
      <c r="GZ2328" s="435"/>
      <c r="HA2328" s="435"/>
      <c r="HB2328" s="435"/>
    </row>
    <row r="2329" spans="1:221" s="996" customFormat="1" ht="37.5" customHeight="1">
      <c r="A2329" s="697">
        <f t="shared" ref="A2329:A2335" si="301">A2328+1</f>
        <v>2</v>
      </c>
      <c r="B2329" s="698" t="s">
        <v>3820</v>
      </c>
      <c r="C2329" s="699" t="s">
        <v>218</v>
      </c>
      <c r="D2329" s="700">
        <v>5332.5</v>
      </c>
      <c r="E2329" s="688">
        <v>2133</v>
      </c>
      <c r="F2329" s="651" t="s">
        <v>228</v>
      </c>
      <c r="G2329" s="688">
        <v>938.7</v>
      </c>
      <c r="H2329" s="689">
        <v>9</v>
      </c>
      <c r="I2329" s="689">
        <v>2</v>
      </c>
      <c r="J2329" s="689">
        <v>144</v>
      </c>
      <c r="K2329" s="697" t="s">
        <v>220</v>
      </c>
      <c r="L2329" s="650">
        <f t="shared" si="299"/>
        <v>4299210</v>
      </c>
      <c r="M2329" s="529">
        <v>4192960</v>
      </c>
      <c r="N2329" s="391">
        <f>85000*1.25</f>
        <v>106250</v>
      </c>
      <c r="O2329" s="473"/>
      <c r="P2329" s="388"/>
      <c r="Q2329" s="388"/>
      <c r="R2329" s="648">
        <f>M2329/I2329</f>
        <v>2096480</v>
      </c>
      <c r="S2329" s="393">
        <f t="shared" si="300"/>
        <v>0</v>
      </c>
      <c r="T2329" s="435"/>
      <c r="U2329" s="472"/>
      <c r="V2329" s="390"/>
      <c r="W2329" s="995"/>
      <c r="X2329" s="995"/>
      <c r="Y2329" s="995"/>
      <c r="Z2329" s="995"/>
      <c r="AA2329" s="995"/>
      <c r="AB2329" s="995"/>
      <c r="AC2329" s="995"/>
      <c r="AD2329" s="995"/>
      <c r="AE2329" s="995"/>
      <c r="AF2329" s="995"/>
      <c r="AG2329" s="995"/>
      <c r="AH2329" s="995"/>
      <c r="AI2329" s="995"/>
      <c r="AJ2329" s="995"/>
      <c r="AK2329" s="995"/>
      <c r="AL2329" s="995"/>
      <c r="AM2329" s="995"/>
      <c r="AN2329" s="995"/>
      <c r="AO2329" s="995"/>
      <c r="AP2329" s="995"/>
      <c r="AQ2329" s="995"/>
      <c r="AR2329" s="995"/>
      <c r="AS2329" s="995"/>
      <c r="AT2329" s="995"/>
      <c r="AU2329" s="995"/>
      <c r="AV2329" s="995"/>
      <c r="AW2329" s="995"/>
      <c r="AX2329" s="995"/>
      <c r="AY2329" s="995"/>
      <c r="AZ2329" s="995"/>
      <c r="BA2329" s="995"/>
      <c r="BB2329" s="995"/>
      <c r="BC2329" s="995"/>
      <c r="BD2329" s="995"/>
      <c r="BE2329" s="995"/>
      <c r="BF2329" s="995"/>
      <c r="BG2329" s="995"/>
      <c r="BH2329" s="995"/>
      <c r="BI2329" s="995"/>
      <c r="BJ2329" s="995"/>
      <c r="BK2329" s="995"/>
      <c r="BL2329" s="995"/>
      <c r="BM2329" s="995"/>
      <c r="BN2329" s="995"/>
      <c r="BO2329" s="995"/>
      <c r="BP2329" s="995"/>
      <c r="BQ2329" s="995"/>
      <c r="BR2329" s="995"/>
      <c r="BS2329" s="995"/>
      <c r="BT2329" s="995"/>
      <c r="BU2329" s="995"/>
      <c r="BV2329" s="995"/>
      <c r="BW2329" s="995"/>
      <c r="BX2329" s="995"/>
      <c r="BY2329" s="995"/>
      <c r="BZ2329" s="995"/>
      <c r="CA2329" s="995"/>
      <c r="CB2329" s="995"/>
      <c r="CC2329" s="995"/>
      <c r="CD2329" s="995"/>
      <c r="CE2329" s="995"/>
      <c r="CF2329" s="995"/>
      <c r="CG2329" s="995"/>
      <c r="CH2329" s="995"/>
      <c r="CI2329" s="995"/>
      <c r="CJ2329" s="995"/>
      <c r="CK2329" s="995"/>
      <c r="CL2329" s="995"/>
      <c r="CM2329" s="995"/>
      <c r="CN2329" s="995"/>
      <c r="CO2329" s="995"/>
      <c r="CP2329" s="995"/>
      <c r="CQ2329" s="995"/>
      <c r="CR2329" s="995"/>
      <c r="CS2329" s="995"/>
      <c r="CT2329" s="995"/>
      <c r="CU2329" s="995"/>
      <c r="CV2329" s="995"/>
      <c r="CW2329" s="995"/>
      <c r="CX2329" s="995"/>
      <c r="CY2329" s="995"/>
      <c r="CZ2329" s="995"/>
      <c r="DA2329" s="995"/>
      <c r="DB2329" s="995"/>
      <c r="DC2329" s="995"/>
      <c r="DD2329" s="995"/>
      <c r="DE2329" s="995"/>
      <c r="DF2329" s="995"/>
      <c r="DG2329" s="995"/>
      <c r="DH2329" s="995"/>
      <c r="DI2329" s="995"/>
      <c r="DJ2329" s="995"/>
      <c r="DK2329" s="995"/>
      <c r="DL2329" s="995"/>
      <c r="DM2329" s="995"/>
      <c r="DN2329" s="995"/>
      <c r="DO2329" s="995"/>
      <c r="DP2329" s="995"/>
      <c r="DQ2329" s="995"/>
      <c r="DR2329" s="995"/>
      <c r="DS2329" s="995"/>
      <c r="DT2329" s="995"/>
      <c r="DU2329" s="995"/>
      <c r="DV2329" s="995"/>
      <c r="DW2329" s="995"/>
      <c r="DX2329" s="995"/>
      <c r="DY2329" s="995"/>
      <c r="DZ2329" s="995"/>
      <c r="EA2329" s="995"/>
      <c r="EB2329" s="995"/>
      <c r="EC2329" s="995"/>
      <c r="ED2329" s="995"/>
      <c r="EE2329" s="995"/>
      <c r="EF2329" s="995"/>
      <c r="EG2329" s="995"/>
      <c r="EH2329" s="995"/>
      <c r="EI2329" s="995"/>
      <c r="EJ2329" s="995"/>
      <c r="EK2329" s="995"/>
      <c r="EL2329" s="995"/>
      <c r="EM2329" s="995"/>
      <c r="EN2329" s="995"/>
      <c r="EO2329" s="995"/>
      <c r="EP2329" s="995"/>
      <c r="EQ2329" s="995"/>
      <c r="ER2329" s="995"/>
      <c r="ES2329" s="995"/>
      <c r="ET2329" s="995"/>
      <c r="EU2329" s="995"/>
      <c r="EV2329" s="995"/>
      <c r="EW2329" s="995"/>
      <c r="EX2329" s="995"/>
      <c r="EY2329" s="995"/>
      <c r="EZ2329" s="995"/>
      <c r="FA2329" s="995"/>
      <c r="FB2329" s="995"/>
      <c r="FC2329" s="995"/>
      <c r="FD2329" s="995"/>
      <c r="FE2329" s="995"/>
      <c r="FF2329" s="995"/>
      <c r="FG2329" s="995"/>
      <c r="FH2329" s="995"/>
      <c r="FI2329" s="995"/>
      <c r="FJ2329" s="995"/>
      <c r="FK2329" s="995"/>
      <c r="FL2329" s="995"/>
      <c r="FM2329" s="995"/>
      <c r="FN2329" s="995"/>
      <c r="FO2329" s="995"/>
      <c r="FP2329" s="995"/>
      <c r="FQ2329" s="995"/>
      <c r="FR2329" s="995"/>
      <c r="FS2329" s="995"/>
      <c r="FT2329" s="995"/>
      <c r="FU2329" s="995"/>
      <c r="FV2329" s="995"/>
      <c r="FW2329" s="995"/>
      <c r="FX2329" s="995"/>
      <c r="FY2329" s="995"/>
      <c r="FZ2329" s="995"/>
      <c r="GA2329" s="995"/>
      <c r="GB2329" s="995"/>
      <c r="GC2329" s="995"/>
      <c r="GD2329" s="995"/>
      <c r="GE2329" s="995"/>
      <c r="GF2329" s="995"/>
      <c r="GG2329" s="995"/>
      <c r="GH2329" s="995"/>
      <c r="GI2329" s="995"/>
      <c r="GJ2329" s="995"/>
      <c r="GK2329" s="995"/>
      <c r="GL2329" s="995"/>
      <c r="GM2329" s="995"/>
      <c r="GN2329" s="995"/>
      <c r="GO2329" s="995"/>
      <c r="GP2329" s="995"/>
      <c r="GQ2329" s="995"/>
      <c r="GR2329" s="995"/>
      <c r="GS2329" s="995"/>
      <c r="GT2329" s="995"/>
      <c r="GU2329" s="995"/>
      <c r="GV2329" s="995"/>
      <c r="GW2329" s="995"/>
      <c r="GX2329" s="995"/>
      <c r="GY2329" s="995"/>
      <c r="GZ2329" s="995"/>
      <c r="HA2329" s="995"/>
      <c r="HB2329" s="995"/>
      <c r="HC2329" s="995"/>
      <c r="HD2329" s="995"/>
      <c r="HE2329" s="995"/>
      <c r="HF2329" s="995"/>
      <c r="HG2329" s="995"/>
      <c r="HH2329" s="995"/>
      <c r="HI2329" s="995"/>
      <c r="HJ2329" s="995"/>
      <c r="HK2329" s="995"/>
      <c r="HL2329" s="995"/>
      <c r="HM2329" s="995"/>
    </row>
    <row r="2330" spans="1:221" s="420" customFormat="1" ht="37.5" customHeight="1">
      <c r="A2330" s="697">
        <f t="shared" si="301"/>
        <v>3</v>
      </c>
      <c r="B2330" s="698" t="s">
        <v>1943</v>
      </c>
      <c r="C2330" s="699" t="s">
        <v>218</v>
      </c>
      <c r="D2330" s="700">
        <f>E2330*2.7</f>
        <v>5140.8</v>
      </c>
      <c r="E2330" s="688">
        <v>1904</v>
      </c>
      <c r="F2330" s="651" t="s">
        <v>223</v>
      </c>
      <c r="G2330" s="688">
        <v>860.2</v>
      </c>
      <c r="H2330" s="689">
        <v>2</v>
      </c>
      <c r="I2330" s="689">
        <v>3</v>
      </c>
      <c r="J2330" s="689">
        <v>22</v>
      </c>
      <c r="K2330" s="697" t="s">
        <v>33</v>
      </c>
      <c r="L2330" s="650">
        <f t="shared" si="299"/>
        <v>2131252.14</v>
      </c>
      <c r="M2330" s="650">
        <v>2072980</v>
      </c>
      <c r="N2330" s="688">
        <v>33225</v>
      </c>
      <c r="O2330" s="703"/>
      <c r="P2330" s="688"/>
      <c r="Q2330" s="388">
        <v>25047.14</v>
      </c>
      <c r="R2330" s="689">
        <f t="shared" ref="R2330:R2341" si="302">M2330/G2330</f>
        <v>2409.881422924901</v>
      </c>
      <c r="S2330" s="383">
        <f t="shared" ref="S2330:S2342" si="303">L2330-M2330-N2330-O2330-P2330-Q2330</f>
        <v>1.3096723705530167E-10</v>
      </c>
      <c r="T2330" s="435"/>
      <c r="U2330" s="436"/>
      <c r="V2330" s="390"/>
      <c r="W2330" s="435"/>
      <c r="X2330" s="435"/>
      <c r="Y2330" s="435"/>
      <c r="Z2330" s="435"/>
      <c r="AA2330" s="435"/>
      <c r="AB2330" s="435"/>
      <c r="AC2330" s="435"/>
      <c r="AD2330" s="435"/>
      <c r="AE2330" s="435"/>
      <c r="AF2330" s="435"/>
      <c r="AG2330" s="435"/>
      <c r="AH2330" s="435"/>
      <c r="AI2330" s="435"/>
      <c r="AJ2330" s="435"/>
      <c r="AK2330" s="435"/>
      <c r="AL2330" s="435"/>
      <c r="AM2330" s="435"/>
      <c r="AN2330" s="435"/>
      <c r="AO2330" s="435"/>
      <c r="AP2330" s="435"/>
      <c r="AQ2330" s="435"/>
      <c r="AR2330" s="435"/>
      <c r="AS2330" s="435"/>
      <c r="AT2330" s="435"/>
      <c r="AU2330" s="435"/>
      <c r="AV2330" s="435"/>
      <c r="AW2330" s="435"/>
      <c r="AX2330" s="435"/>
      <c r="AY2330" s="435"/>
      <c r="AZ2330" s="435"/>
      <c r="BA2330" s="435"/>
      <c r="BB2330" s="435"/>
      <c r="BC2330" s="435"/>
      <c r="BD2330" s="435"/>
      <c r="BE2330" s="435"/>
      <c r="BF2330" s="435"/>
      <c r="BG2330" s="435"/>
      <c r="BH2330" s="435"/>
      <c r="BI2330" s="435"/>
      <c r="BJ2330" s="435"/>
      <c r="BK2330" s="435"/>
      <c r="BL2330" s="435"/>
      <c r="BM2330" s="435"/>
      <c r="BN2330" s="435"/>
      <c r="BO2330" s="435"/>
      <c r="BP2330" s="435"/>
      <c r="BQ2330" s="435"/>
      <c r="BR2330" s="435"/>
      <c r="BS2330" s="435"/>
      <c r="BT2330" s="435"/>
      <c r="BU2330" s="435"/>
      <c r="BV2330" s="435"/>
      <c r="BW2330" s="435"/>
      <c r="BX2330" s="435"/>
      <c r="BY2330" s="435"/>
      <c r="BZ2330" s="435"/>
      <c r="CA2330" s="435"/>
      <c r="CB2330" s="435"/>
      <c r="CC2330" s="435"/>
      <c r="CD2330" s="435"/>
      <c r="CE2330" s="435"/>
      <c r="CF2330" s="435"/>
      <c r="CG2330" s="435"/>
      <c r="CH2330" s="435"/>
      <c r="CI2330" s="435"/>
      <c r="CJ2330" s="435"/>
      <c r="CK2330" s="435"/>
      <c r="CL2330" s="435"/>
      <c r="CM2330" s="435"/>
      <c r="CN2330" s="435"/>
      <c r="CO2330" s="435"/>
      <c r="CP2330" s="435"/>
      <c r="CQ2330" s="435"/>
      <c r="CR2330" s="435"/>
      <c r="CS2330" s="435"/>
      <c r="CT2330" s="435"/>
      <c r="CU2330" s="435"/>
      <c r="CV2330" s="435"/>
      <c r="CW2330" s="435"/>
      <c r="CX2330" s="435"/>
      <c r="CY2330" s="435"/>
      <c r="CZ2330" s="435"/>
      <c r="DA2330" s="435"/>
      <c r="DB2330" s="435"/>
      <c r="DC2330" s="435"/>
      <c r="DD2330" s="435"/>
      <c r="DE2330" s="435"/>
      <c r="DF2330" s="435"/>
      <c r="DG2330" s="435"/>
      <c r="DH2330" s="435"/>
      <c r="DI2330" s="435"/>
      <c r="DJ2330" s="435"/>
      <c r="DK2330" s="435"/>
      <c r="DL2330" s="435"/>
      <c r="DM2330" s="435"/>
      <c r="DN2330" s="435"/>
      <c r="DO2330" s="435"/>
      <c r="DP2330" s="435"/>
      <c r="DQ2330" s="435"/>
      <c r="DR2330" s="435"/>
      <c r="DS2330" s="435"/>
      <c r="DT2330" s="435"/>
      <c r="DU2330" s="435"/>
      <c r="DV2330" s="435"/>
      <c r="DW2330" s="435"/>
      <c r="DX2330" s="435"/>
      <c r="DY2330" s="435"/>
      <c r="DZ2330" s="435"/>
      <c r="EA2330" s="435"/>
      <c r="EB2330" s="435"/>
      <c r="EC2330" s="435"/>
      <c r="ED2330" s="435"/>
      <c r="EE2330" s="435"/>
      <c r="EF2330" s="435"/>
      <c r="EG2330" s="435"/>
      <c r="EH2330" s="435"/>
      <c r="EI2330" s="435"/>
      <c r="EJ2330" s="435"/>
      <c r="EK2330" s="435"/>
      <c r="EL2330" s="435"/>
      <c r="EM2330" s="435"/>
      <c r="EN2330" s="435"/>
      <c r="EO2330" s="435"/>
      <c r="EP2330" s="435"/>
      <c r="EQ2330" s="435"/>
      <c r="ER2330" s="435"/>
      <c r="ES2330" s="435"/>
      <c r="ET2330" s="435"/>
      <c r="EU2330" s="435"/>
      <c r="EV2330" s="435"/>
      <c r="EW2330" s="435"/>
      <c r="EX2330" s="435"/>
      <c r="EY2330" s="435"/>
      <c r="EZ2330" s="435"/>
      <c r="FA2330" s="435"/>
      <c r="FB2330" s="435"/>
      <c r="FC2330" s="435"/>
      <c r="FD2330" s="435"/>
      <c r="FE2330" s="435"/>
      <c r="FF2330" s="435"/>
      <c r="FG2330" s="435"/>
      <c r="FH2330" s="435"/>
      <c r="FI2330" s="435"/>
      <c r="FJ2330" s="435"/>
      <c r="FK2330" s="435"/>
      <c r="FL2330" s="435"/>
      <c r="FM2330" s="435"/>
      <c r="FN2330" s="435"/>
      <c r="FO2330" s="435"/>
      <c r="FP2330" s="435"/>
      <c r="FQ2330" s="435"/>
      <c r="FR2330" s="435"/>
      <c r="FS2330" s="435"/>
      <c r="FT2330" s="435"/>
      <c r="FU2330" s="435"/>
      <c r="FV2330" s="435"/>
      <c r="FW2330" s="435"/>
      <c r="FX2330" s="435"/>
      <c r="FY2330" s="435"/>
      <c r="FZ2330" s="435"/>
      <c r="GA2330" s="435"/>
      <c r="GB2330" s="435"/>
      <c r="GC2330" s="435"/>
      <c r="GD2330" s="435"/>
      <c r="GE2330" s="435"/>
      <c r="GF2330" s="435"/>
      <c r="GG2330" s="435"/>
      <c r="GH2330" s="435"/>
      <c r="GI2330" s="435"/>
      <c r="GJ2330" s="435"/>
      <c r="GK2330" s="435"/>
      <c r="GL2330" s="435"/>
      <c r="GM2330" s="435"/>
      <c r="GN2330" s="435"/>
      <c r="GO2330" s="435"/>
      <c r="GP2330" s="435"/>
      <c r="GQ2330" s="435"/>
      <c r="GR2330" s="435"/>
      <c r="GS2330" s="435"/>
      <c r="GT2330" s="435"/>
      <c r="GU2330" s="435"/>
      <c r="GV2330" s="435"/>
      <c r="GW2330" s="435"/>
      <c r="GX2330" s="435"/>
      <c r="GY2330" s="435"/>
      <c r="GZ2330" s="435"/>
      <c r="HA2330" s="435"/>
      <c r="HB2330" s="435"/>
    </row>
    <row r="2331" spans="1:221" s="420" customFormat="1" ht="37.5" customHeight="1">
      <c r="A2331" s="697">
        <f t="shared" si="301"/>
        <v>4</v>
      </c>
      <c r="B2331" s="698" t="s">
        <v>1945</v>
      </c>
      <c r="C2331" s="699" t="s">
        <v>218</v>
      </c>
      <c r="D2331" s="700">
        <f>E2331*2.7</f>
        <v>5143.5</v>
      </c>
      <c r="E2331" s="688">
        <v>1905</v>
      </c>
      <c r="F2331" s="651" t="s">
        <v>228</v>
      </c>
      <c r="G2331" s="688">
        <v>1728</v>
      </c>
      <c r="H2331" s="689">
        <v>5</v>
      </c>
      <c r="I2331" s="689">
        <v>6</v>
      </c>
      <c r="J2331" s="689">
        <v>90</v>
      </c>
      <c r="K2331" s="697" t="s">
        <v>33</v>
      </c>
      <c r="L2331" s="650">
        <f t="shared" si="299"/>
        <v>3346884.31</v>
      </c>
      <c r="M2331" s="650">
        <v>3309927</v>
      </c>
      <c r="N2331" s="688"/>
      <c r="O2331" s="473">
        <v>21099</v>
      </c>
      <c r="P2331" s="688"/>
      <c r="Q2331" s="388">
        <v>15858.31</v>
      </c>
      <c r="R2331" s="689">
        <f t="shared" si="302"/>
        <v>1915.4670138888889</v>
      </c>
      <c r="S2331" s="383">
        <f t="shared" si="303"/>
        <v>5.6388671509921551E-11</v>
      </c>
      <c r="T2331" s="435"/>
      <c r="U2331" s="436"/>
      <c r="V2331" s="390"/>
      <c r="W2331" s="435"/>
      <c r="X2331" s="435"/>
      <c r="Y2331" s="435"/>
      <c r="Z2331" s="435"/>
      <c r="AA2331" s="435"/>
      <c r="AB2331" s="435"/>
      <c r="AC2331" s="435"/>
      <c r="AD2331" s="435"/>
      <c r="AE2331" s="435"/>
      <c r="AF2331" s="435"/>
      <c r="AG2331" s="435"/>
      <c r="AH2331" s="435"/>
      <c r="AI2331" s="435"/>
      <c r="AJ2331" s="435"/>
      <c r="AK2331" s="435"/>
      <c r="AL2331" s="435"/>
      <c r="AM2331" s="435"/>
      <c r="AN2331" s="435"/>
      <c r="AO2331" s="435"/>
      <c r="AP2331" s="435"/>
      <c r="AQ2331" s="435"/>
      <c r="AR2331" s="435"/>
      <c r="AS2331" s="435"/>
      <c r="AT2331" s="435"/>
      <c r="AU2331" s="435"/>
      <c r="AV2331" s="435"/>
      <c r="AW2331" s="435"/>
      <c r="AX2331" s="435"/>
      <c r="AY2331" s="435"/>
      <c r="AZ2331" s="435"/>
      <c r="BA2331" s="435"/>
      <c r="BB2331" s="435"/>
      <c r="BC2331" s="435"/>
      <c r="BD2331" s="435"/>
      <c r="BE2331" s="435"/>
      <c r="BF2331" s="435"/>
      <c r="BG2331" s="435"/>
      <c r="BH2331" s="435"/>
      <c r="BI2331" s="435"/>
      <c r="BJ2331" s="435"/>
      <c r="BK2331" s="435"/>
      <c r="BL2331" s="435"/>
      <c r="BM2331" s="435"/>
      <c r="BN2331" s="435"/>
      <c r="BO2331" s="435"/>
      <c r="BP2331" s="435"/>
      <c r="BQ2331" s="435"/>
      <c r="BR2331" s="435"/>
      <c r="BS2331" s="435"/>
      <c r="BT2331" s="435"/>
      <c r="BU2331" s="435"/>
      <c r="BV2331" s="435"/>
      <c r="BW2331" s="435"/>
      <c r="BX2331" s="435"/>
      <c r="BY2331" s="435"/>
      <c r="BZ2331" s="435"/>
      <c r="CA2331" s="435"/>
      <c r="CB2331" s="435"/>
      <c r="CC2331" s="435"/>
      <c r="CD2331" s="435"/>
      <c r="CE2331" s="435"/>
      <c r="CF2331" s="435"/>
      <c r="CG2331" s="435"/>
      <c r="CH2331" s="435"/>
      <c r="CI2331" s="435"/>
      <c r="CJ2331" s="435"/>
      <c r="CK2331" s="435"/>
      <c r="CL2331" s="435"/>
      <c r="CM2331" s="435"/>
      <c r="CN2331" s="435"/>
      <c r="CO2331" s="435"/>
      <c r="CP2331" s="435"/>
      <c r="CQ2331" s="435"/>
      <c r="CR2331" s="435"/>
      <c r="CS2331" s="435"/>
      <c r="CT2331" s="435"/>
      <c r="CU2331" s="435"/>
      <c r="CV2331" s="435"/>
      <c r="CW2331" s="435"/>
      <c r="CX2331" s="435"/>
      <c r="CY2331" s="435"/>
      <c r="CZ2331" s="435"/>
      <c r="DA2331" s="435"/>
      <c r="DB2331" s="435"/>
      <c r="DC2331" s="435"/>
      <c r="DD2331" s="435"/>
      <c r="DE2331" s="435"/>
      <c r="DF2331" s="435"/>
      <c r="DG2331" s="435"/>
      <c r="DH2331" s="435"/>
      <c r="DI2331" s="435"/>
      <c r="DJ2331" s="435"/>
      <c r="DK2331" s="435"/>
      <c r="DL2331" s="435"/>
      <c r="DM2331" s="435"/>
      <c r="DN2331" s="435"/>
      <c r="DO2331" s="435"/>
      <c r="DP2331" s="435"/>
      <c r="DQ2331" s="435"/>
      <c r="DR2331" s="435"/>
      <c r="DS2331" s="435"/>
      <c r="DT2331" s="435"/>
      <c r="DU2331" s="435"/>
      <c r="DV2331" s="435"/>
      <c r="DW2331" s="435"/>
      <c r="DX2331" s="435"/>
      <c r="DY2331" s="435"/>
      <c r="DZ2331" s="435"/>
      <c r="EA2331" s="435"/>
      <c r="EB2331" s="435"/>
      <c r="EC2331" s="435"/>
      <c r="ED2331" s="435"/>
      <c r="EE2331" s="435"/>
      <c r="EF2331" s="435"/>
      <c r="EG2331" s="435"/>
      <c r="EH2331" s="435"/>
      <c r="EI2331" s="435"/>
      <c r="EJ2331" s="435"/>
      <c r="EK2331" s="435"/>
      <c r="EL2331" s="435"/>
      <c r="EM2331" s="435"/>
      <c r="EN2331" s="435"/>
      <c r="EO2331" s="435"/>
      <c r="EP2331" s="435"/>
      <c r="EQ2331" s="435"/>
      <c r="ER2331" s="435"/>
      <c r="ES2331" s="435"/>
      <c r="ET2331" s="435"/>
      <c r="EU2331" s="435"/>
      <c r="EV2331" s="435"/>
      <c r="EW2331" s="435"/>
      <c r="EX2331" s="435"/>
      <c r="EY2331" s="435"/>
      <c r="EZ2331" s="435"/>
      <c r="FA2331" s="435"/>
      <c r="FB2331" s="435"/>
      <c r="FC2331" s="435"/>
      <c r="FD2331" s="435"/>
      <c r="FE2331" s="435"/>
      <c r="FF2331" s="435"/>
      <c r="FG2331" s="435"/>
      <c r="FH2331" s="435"/>
      <c r="FI2331" s="435"/>
      <c r="FJ2331" s="435"/>
      <c r="FK2331" s="435"/>
      <c r="FL2331" s="435"/>
      <c r="FM2331" s="435"/>
      <c r="FN2331" s="435"/>
      <c r="FO2331" s="435"/>
      <c r="FP2331" s="435"/>
      <c r="FQ2331" s="435"/>
      <c r="FR2331" s="435"/>
      <c r="FS2331" s="435"/>
      <c r="FT2331" s="435"/>
      <c r="FU2331" s="435"/>
      <c r="FV2331" s="435"/>
      <c r="FW2331" s="435"/>
      <c r="FX2331" s="435"/>
      <c r="FY2331" s="435"/>
      <c r="FZ2331" s="435"/>
      <c r="GA2331" s="435"/>
      <c r="GB2331" s="435"/>
      <c r="GC2331" s="435"/>
      <c r="GD2331" s="435"/>
      <c r="GE2331" s="435"/>
      <c r="GF2331" s="435"/>
      <c r="GG2331" s="435"/>
      <c r="GH2331" s="435"/>
      <c r="GI2331" s="435"/>
      <c r="GJ2331" s="435"/>
      <c r="GK2331" s="435"/>
      <c r="GL2331" s="435"/>
      <c r="GM2331" s="435"/>
      <c r="GN2331" s="435"/>
      <c r="GO2331" s="435"/>
      <c r="GP2331" s="435"/>
      <c r="GQ2331" s="435"/>
      <c r="GR2331" s="435"/>
      <c r="GS2331" s="435"/>
      <c r="GT2331" s="435"/>
      <c r="GU2331" s="435"/>
      <c r="GV2331" s="435"/>
      <c r="GW2331" s="435"/>
      <c r="GX2331" s="435"/>
      <c r="GY2331" s="435"/>
      <c r="GZ2331" s="435"/>
      <c r="HA2331" s="435"/>
      <c r="HB2331" s="435"/>
    </row>
    <row r="2332" spans="1:221" s="420" customFormat="1" ht="37.5" customHeight="1">
      <c r="A2332" s="697">
        <f t="shared" si="301"/>
        <v>5</v>
      </c>
      <c r="B2332" s="698" t="s">
        <v>1946</v>
      </c>
      <c r="C2332" s="699" t="s">
        <v>218</v>
      </c>
      <c r="D2332" s="700">
        <f>E2332*2.7</f>
        <v>1233.9000000000001</v>
      </c>
      <c r="E2332" s="688">
        <v>457</v>
      </c>
      <c r="F2332" s="651" t="s">
        <v>223</v>
      </c>
      <c r="G2332" s="688">
        <v>822</v>
      </c>
      <c r="H2332" s="689">
        <v>2</v>
      </c>
      <c r="I2332" s="689">
        <v>2</v>
      </c>
      <c r="J2332" s="689">
        <v>16</v>
      </c>
      <c r="K2332" s="697" t="s">
        <v>33</v>
      </c>
      <c r="L2332" s="650">
        <f t="shared" si="299"/>
        <v>1679725.79</v>
      </c>
      <c r="M2332" s="650">
        <v>1646620</v>
      </c>
      <c r="N2332" s="688">
        <v>27094</v>
      </c>
      <c r="O2332" s="703"/>
      <c r="P2332" s="688"/>
      <c r="Q2332" s="388">
        <v>6011.79</v>
      </c>
      <c r="R2332" s="689">
        <f t="shared" si="302"/>
        <v>2003.1873479318735</v>
      </c>
      <c r="S2332" s="383">
        <f t="shared" si="303"/>
        <v>3.7289282772690058E-11</v>
      </c>
      <c r="T2332" s="435"/>
      <c r="U2332" s="436"/>
      <c r="V2332" s="390"/>
      <c r="W2332" s="435"/>
      <c r="X2332" s="435"/>
      <c r="Y2332" s="435"/>
      <c r="Z2332" s="435"/>
      <c r="AA2332" s="435"/>
      <c r="AB2332" s="435"/>
      <c r="AC2332" s="435"/>
      <c r="AD2332" s="435"/>
      <c r="AE2332" s="435"/>
      <c r="AF2332" s="435"/>
      <c r="AG2332" s="435"/>
      <c r="AH2332" s="435"/>
      <c r="AI2332" s="435"/>
      <c r="AJ2332" s="435"/>
      <c r="AK2332" s="435"/>
      <c r="AL2332" s="435"/>
      <c r="AM2332" s="435"/>
      <c r="AN2332" s="435"/>
      <c r="AO2332" s="435"/>
      <c r="AP2332" s="435"/>
      <c r="AQ2332" s="435"/>
      <c r="AR2332" s="435"/>
      <c r="AS2332" s="435"/>
      <c r="AT2332" s="435"/>
      <c r="AU2332" s="435"/>
      <c r="AV2332" s="435"/>
      <c r="AW2332" s="435"/>
      <c r="AX2332" s="435"/>
      <c r="AY2332" s="435"/>
      <c r="AZ2332" s="435"/>
      <c r="BA2332" s="435"/>
      <c r="BB2332" s="435"/>
      <c r="BC2332" s="435"/>
      <c r="BD2332" s="435"/>
      <c r="BE2332" s="435"/>
      <c r="BF2332" s="435"/>
      <c r="BG2332" s="435"/>
      <c r="BH2332" s="435"/>
      <c r="BI2332" s="435"/>
      <c r="BJ2332" s="435"/>
      <c r="BK2332" s="435"/>
      <c r="BL2332" s="435"/>
      <c r="BM2332" s="435"/>
      <c r="BN2332" s="435"/>
      <c r="BO2332" s="435"/>
      <c r="BP2332" s="435"/>
      <c r="BQ2332" s="435"/>
      <c r="BR2332" s="435"/>
      <c r="BS2332" s="435"/>
      <c r="BT2332" s="435"/>
      <c r="BU2332" s="435"/>
      <c r="BV2332" s="435"/>
      <c r="BW2332" s="435"/>
      <c r="BX2332" s="435"/>
      <c r="BY2332" s="435"/>
      <c r="BZ2332" s="435"/>
      <c r="CA2332" s="435"/>
      <c r="CB2332" s="435"/>
      <c r="CC2332" s="435"/>
      <c r="CD2332" s="435"/>
      <c r="CE2332" s="435"/>
      <c r="CF2332" s="435"/>
      <c r="CG2332" s="435"/>
      <c r="CH2332" s="435"/>
      <c r="CI2332" s="435"/>
      <c r="CJ2332" s="435"/>
      <c r="CK2332" s="435"/>
      <c r="CL2332" s="435"/>
      <c r="CM2332" s="435"/>
      <c r="CN2332" s="435"/>
      <c r="CO2332" s="435"/>
      <c r="CP2332" s="435"/>
      <c r="CQ2332" s="435"/>
      <c r="CR2332" s="435"/>
      <c r="CS2332" s="435"/>
      <c r="CT2332" s="435"/>
      <c r="CU2332" s="435"/>
      <c r="CV2332" s="435"/>
      <c r="CW2332" s="435"/>
      <c r="CX2332" s="435"/>
      <c r="CY2332" s="435"/>
      <c r="CZ2332" s="435"/>
      <c r="DA2332" s="435"/>
      <c r="DB2332" s="435"/>
      <c r="DC2332" s="435"/>
      <c r="DD2332" s="435"/>
      <c r="DE2332" s="435"/>
      <c r="DF2332" s="435"/>
      <c r="DG2332" s="435"/>
      <c r="DH2332" s="435"/>
      <c r="DI2332" s="435"/>
      <c r="DJ2332" s="435"/>
      <c r="DK2332" s="435"/>
      <c r="DL2332" s="435"/>
      <c r="DM2332" s="435"/>
      <c r="DN2332" s="435"/>
      <c r="DO2332" s="435"/>
      <c r="DP2332" s="435"/>
      <c r="DQ2332" s="435"/>
      <c r="DR2332" s="435"/>
      <c r="DS2332" s="435"/>
      <c r="DT2332" s="435"/>
      <c r="DU2332" s="435"/>
      <c r="DV2332" s="435"/>
      <c r="DW2332" s="435"/>
      <c r="DX2332" s="435"/>
      <c r="DY2332" s="435"/>
      <c r="DZ2332" s="435"/>
      <c r="EA2332" s="435"/>
      <c r="EB2332" s="435"/>
      <c r="EC2332" s="435"/>
      <c r="ED2332" s="435"/>
      <c r="EE2332" s="435"/>
      <c r="EF2332" s="435"/>
      <c r="EG2332" s="435"/>
      <c r="EH2332" s="435"/>
      <c r="EI2332" s="435"/>
      <c r="EJ2332" s="435"/>
      <c r="EK2332" s="435"/>
      <c r="EL2332" s="435"/>
      <c r="EM2332" s="435"/>
      <c r="EN2332" s="435"/>
      <c r="EO2332" s="435"/>
      <c r="EP2332" s="435"/>
      <c r="EQ2332" s="435"/>
      <c r="ER2332" s="435"/>
      <c r="ES2332" s="435"/>
      <c r="ET2332" s="435"/>
      <c r="EU2332" s="435"/>
      <c r="EV2332" s="435"/>
      <c r="EW2332" s="435"/>
      <c r="EX2332" s="435"/>
      <c r="EY2332" s="435"/>
      <c r="EZ2332" s="435"/>
      <c r="FA2332" s="435"/>
      <c r="FB2332" s="435"/>
      <c r="FC2332" s="435"/>
      <c r="FD2332" s="435"/>
      <c r="FE2332" s="435"/>
      <c r="FF2332" s="435"/>
      <c r="FG2332" s="435"/>
      <c r="FH2332" s="435"/>
      <c r="FI2332" s="435"/>
      <c r="FJ2332" s="435"/>
      <c r="FK2332" s="435"/>
      <c r="FL2332" s="435"/>
      <c r="FM2332" s="435"/>
      <c r="FN2332" s="435"/>
      <c r="FO2332" s="435"/>
      <c r="FP2332" s="435"/>
      <c r="FQ2332" s="435"/>
      <c r="FR2332" s="435"/>
      <c r="FS2332" s="435"/>
      <c r="FT2332" s="435"/>
      <c r="FU2332" s="435"/>
      <c r="FV2332" s="435"/>
      <c r="FW2332" s="435"/>
      <c r="FX2332" s="435"/>
      <c r="FY2332" s="435"/>
      <c r="FZ2332" s="435"/>
      <c r="GA2332" s="435"/>
      <c r="GB2332" s="435"/>
      <c r="GC2332" s="435"/>
      <c r="GD2332" s="435"/>
      <c r="GE2332" s="435"/>
      <c r="GF2332" s="435"/>
      <c r="GG2332" s="435"/>
      <c r="GH2332" s="435"/>
      <c r="GI2332" s="435"/>
      <c r="GJ2332" s="435"/>
      <c r="GK2332" s="435"/>
      <c r="GL2332" s="435"/>
      <c r="GM2332" s="435"/>
      <c r="GN2332" s="435"/>
      <c r="GO2332" s="435"/>
      <c r="GP2332" s="435"/>
      <c r="GQ2332" s="435"/>
      <c r="GR2332" s="435"/>
      <c r="GS2332" s="435"/>
      <c r="GT2332" s="435"/>
      <c r="GU2332" s="435"/>
      <c r="GV2332" s="435"/>
      <c r="GW2332" s="435"/>
      <c r="GX2332" s="435"/>
      <c r="GY2332" s="435"/>
      <c r="GZ2332" s="435"/>
      <c r="HA2332" s="435"/>
      <c r="HB2332" s="435"/>
    </row>
    <row r="2333" spans="1:221" s="420" customFormat="1" ht="37.5" customHeight="1">
      <c r="A2333" s="697">
        <f t="shared" si="301"/>
        <v>6</v>
      </c>
      <c r="B2333" s="698" t="s">
        <v>1947</v>
      </c>
      <c r="C2333" s="455" t="s">
        <v>222</v>
      </c>
      <c r="D2333" s="700">
        <f t="shared" ref="D2333:D2339" si="304">E2333*2.7</f>
        <v>1782.0000000000002</v>
      </c>
      <c r="E2333" s="651">
        <v>660</v>
      </c>
      <c r="F2333" s="651" t="s">
        <v>223</v>
      </c>
      <c r="G2333" s="651">
        <v>730</v>
      </c>
      <c r="H2333" s="701">
        <v>2</v>
      </c>
      <c r="I2333" s="701">
        <v>2</v>
      </c>
      <c r="J2333" s="701">
        <v>16</v>
      </c>
      <c r="K2333" s="697" t="s">
        <v>33</v>
      </c>
      <c r="L2333" s="650">
        <f t="shared" si="299"/>
        <v>1673970.37</v>
      </c>
      <c r="M2333" s="650">
        <v>1637100</v>
      </c>
      <c r="N2333" s="688">
        <v>28188</v>
      </c>
      <c r="O2333" s="703"/>
      <c r="P2333" s="688"/>
      <c r="Q2333" s="388">
        <v>8682.3700000000008</v>
      </c>
      <c r="R2333" s="689">
        <f t="shared" si="302"/>
        <v>2242.6027397260273</v>
      </c>
      <c r="S2333" s="383">
        <f t="shared" si="303"/>
        <v>1.1095835361629725E-10</v>
      </c>
      <c r="T2333" s="435"/>
      <c r="U2333" s="436"/>
      <c r="V2333" s="390"/>
      <c r="W2333" s="435"/>
      <c r="X2333" s="435"/>
      <c r="Y2333" s="435"/>
      <c r="Z2333" s="435"/>
      <c r="AA2333" s="435"/>
      <c r="AB2333" s="435"/>
      <c r="AC2333" s="435"/>
      <c r="AD2333" s="435"/>
      <c r="AE2333" s="435"/>
      <c r="AF2333" s="435"/>
      <c r="AG2333" s="435"/>
      <c r="AH2333" s="435"/>
      <c r="AI2333" s="435"/>
      <c r="AJ2333" s="435"/>
      <c r="AK2333" s="435"/>
      <c r="AL2333" s="435"/>
      <c r="AM2333" s="435"/>
      <c r="AN2333" s="435"/>
      <c r="AO2333" s="435"/>
      <c r="AP2333" s="435"/>
      <c r="AQ2333" s="435"/>
      <c r="AR2333" s="435"/>
      <c r="AS2333" s="435"/>
      <c r="AT2333" s="435"/>
      <c r="AU2333" s="435"/>
      <c r="AV2333" s="435"/>
      <c r="AW2333" s="435"/>
      <c r="AX2333" s="435"/>
      <c r="AY2333" s="435"/>
      <c r="AZ2333" s="435"/>
      <c r="BA2333" s="435"/>
      <c r="BB2333" s="435"/>
      <c r="BC2333" s="435"/>
      <c r="BD2333" s="435"/>
      <c r="BE2333" s="435"/>
      <c r="BF2333" s="435"/>
      <c r="BG2333" s="435"/>
      <c r="BH2333" s="435"/>
      <c r="BI2333" s="435"/>
      <c r="BJ2333" s="435"/>
      <c r="BK2333" s="435"/>
      <c r="BL2333" s="435"/>
      <c r="BM2333" s="435"/>
      <c r="BN2333" s="435"/>
      <c r="BO2333" s="435"/>
      <c r="BP2333" s="435"/>
      <c r="BQ2333" s="435"/>
      <c r="BR2333" s="435"/>
      <c r="BS2333" s="435"/>
      <c r="BT2333" s="435"/>
      <c r="BU2333" s="435"/>
      <c r="BV2333" s="435"/>
      <c r="BW2333" s="435"/>
      <c r="BX2333" s="435"/>
      <c r="BY2333" s="435"/>
      <c r="BZ2333" s="435"/>
      <c r="CA2333" s="435"/>
      <c r="CB2333" s="435"/>
      <c r="CC2333" s="435"/>
      <c r="CD2333" s="435"/>
      <c r="CE2333" s="435"/>
      <c r="CF2333" s="435"/>
      <c r="CG2333" s="435"/>
      <c r="CH2333" s="435"/>
      <c r="CI2333" s="435"/>
      <c r="CJ2333" s="435"/>
      <c r="CK2333" s="435"/>
      <c r="CL2333" s="435"/>
      <c r="CM2333" s="435"/>
      <c r="CN2333" s="435"/>
      <c r="CO2333" s="435"/>
      <c r="CP2333" s="435"/>
      <c r="CQ2333" s="435"/>
      <c r="CR2333" s="435"/>
      <c r="CS2333" s="435"/>
      <c r="CT2333" s="435"/>
      <c r="CU2333" s="435"/>
      <c r="CV2333" s="435"/>
      <c r="CW2333" s="435"/>
      <c r="CX2333" s="435"/>
      <c r="CY2333" s="435"/>
      <c r="CZ2333" s="435"/>
      <c r="DA2333" s="435"/>
      <c r="DB2333" s="435"/>
      <c r="DC2333" s="435"/>
      <c r="DD2333" s="435"/>
      <c r="DE2333" s="435"/>
      <c r="DF2333" s="435"/>
      <c r="DG2333" s="435"/>
      <c r="DH2333" s="435"/>
      <c r="DI2333" s="435"/>
      <c r="DJ2333" s="435"/>
      <c r="DK2333" s="435"/>
      <c r="DL2333" s="435"/>
      <c r="DM2333" s="435"/>
      <c r="DN2333" s="435"/>
      <c r="DO2333" s="435"/>
      <c r="DP2333" s="435"/>
      <c r="DQ2333" s="435"/>
      <c r="DR2333" s="435"/>
      <c r="DS2333" s="435"/>
      <c r="DT2333" s="435"/>
      <c r="DU2333" s="435"/>
      <c r="DV2333" s="435"/>
      <c r="DW2333" s="435"/>
      <c r="DX2333" s="435"/>
      <c r="DY2333" s="435"/>
      <c r="DZ2333" s="435"/>
      <c r="EA2333" s="435"/>
      <c r="EB2333" s="435"/>
      <c r="EC2333" s="435"/>
      <c r="ED2333" s="435"/>
      <c r="EE2333" s="435"/>
      <c r="EF2333" s="435"/>
      <c r="EG2333" s="435"/>
      <c r="EH2333" s="435"/>
      <c r="EI2333" s="435"/>
      <c r="EJ2333" s="435"/>
      <c r="EK2333" s="435"/>
      <c r="EL2333" s="435"/>
      <c r="EM2333" s="435"/>
      <c r="EN2333" s="435"/>
      <c r="EO2333" s="435"/>
      <c r="EP2333" s="435"/>
      <c r="EQ2333" s="435"/>
      <c r="ER2333" s="435"/>
      <c r="ES2333" s="435"/>
      <c r="ET2333" s="435"/>
      <c r="EU2333" s="435"/>
      <c r="EV2333" s="435"/>
      <c r="EW2333" s="435"/>
      <c r="EX2333" s="435"/>
      <c r="EY2333" s="435"/>
      <c r="EZ2333" s="435"/>
      <c r="FA2333" s="435"/>
      <c r="FB2333" s="435"/>
      <c r="FC2333" s="435"/>
      <c r="FD2333" s="435"/>
      <c r="FE2333" s="435"/>
      <c r="FF2333" s="435"/>
      <c r="FG2333" s="435"/>
      <c r="FH2333" s="435"/>
      <c r="FI2333" s="435"/>
      <c r="FJ2333" s="435"/>
      <c r="FK2333" s="435"/>
      <c r="FL2333" s="435"/>
      <c r="FM2333" s="435"/>
      <c r="FN2333" s="435"/>
      <c r="FO2333" s="435"/>
      <c r="FP2333" s="435"/>
      <c r="FQ2333" s="435"/>
      <c r="FR2333" s="435"/>
      <c r="FS2333" s="435"/>
      <c r="FT2333" s="435"/>
      <c r="FU2333" s="435"/>
      <c r="FV2333" s="435"/>
      <c r="FW2333" s="435"/>
      <c r="FX2333" s="435"/>
      <c r="FY2333" s="435"/>
      <c r="FZ2333" s="435"/>
      <c r="GA2333" s="435"/>
      <c r="GB2333" s="435"/>
      <c r="GC2333" s="435"/>
      <c r="GD2333" s="435"/>
      <c r="GE2333" s="435"/>
      <c r="GF2333" s="435"/>
      <c r="GG2333" s="435"/>
      <c r="GH2333" s="435"/>
      <c r="GI2333" s="435"/>
      <c r="GJ2333" s="435"/>
      <c r="GK2333" s="435"/>
      <c r="GL2333" s="435"/>
      <c r="GM2333" s="435"/>
      <c r="GN2333" s="435"/>
      <c r="GO2333" s="435"/>
      <c r="GP2333" s="435"/>
      <c r="GQ2333" s="435"/>
      <c r="GR2333" s="435"/>
      <c r="GS2333" s="435"/>
      <c r="GT2333" s="435"/>
      <c r="GU2333" s="435"/>
      <c r="GV2333" s="435"/>
      <c r="GW2333" s="435"/>
      <c r="GX2333" s="435"/>
      <c r="GY2333" s="435"/>
      <c r="GZ2333" s="435"/>
      <c r="HA2333" s="435"/>
      <c r="HB2333" s="435"/>
    </row>
    <row r="2334" spans="1:221" s="420" customFormat="1" ht="37.5" customHeight="1">
      <c r="A2334" s="697">
        <f t="shared" si="301"/>
        <v>7</v>
      </c>
      <c r="B2334" s="698" t="s">
        <v>1948</v>
      </c>
      <c r="C2334" s="455" t="s">
        <v>222</v>
      </c>
      <c r="D2334" s="700">
        <f t="shared" si="304"/>
        <v>1782.0000000000002</v>
      </c>
      <c r="E2334" s="651">
        <v>660</v>
      </c>
      <c r="F2334" s="651" t="s">
        <v>223</v>
      </c>
      <c r="G2334" s="651">
        <v>750</v>
      </c>
      <c r="H2334" s="701">
        <v>2</v>
      </c>
      <c r="I2334" s="701">
        <v>2</v>
      </c>
      <c r="J2334" s="701">
        <v>12</v>
      </c>
      <c r="K2334" s="697" t="s">
        <v>33</v>
      </c>
      <c r="L2334" s="650">
        <f t="shared" si="299"/>
        <v>1393470.37</v>
      </c>
      <c r="M2334" s="650">
        <v>1356600</v>
      </c>
      <c r="N2334" s="688">
        <v>28188</v>
      </c>
      <c r="O2334" s="703"/>
      <c r="P2334" s="688"/>
      <c r="Q2334" s="388">
        <v>8682.3700000000008</v>
      </c>
      <c r="R2334" s="689">
        <f t="shared" si="302"/>
        <v>1808.8</v>
      </c>
      <c r="S2334" s="383">
        <f t="shared" si="303"/>
        <v>1.1095835361629725E-10</v>
      </c>
      <c r="T2334" s="435"/>
      <c r="U2334" s="436"/>
      <c r="V2334" s="390"/>
      <c r="W2334" s="435"/>
      <c r="X2334" s="435"/>
      <c r="Y2334" s="435"/>
      <c r="Z2334" s="435"/>
      <c r="AA2334" s="435"/>
      <c r="AB2334" s="435"/>
      <c r="AC2334" s="435"/>
      <c r="AD2334" s="435"/>
      <c r="AE2334" s="435"/>
      <c r="AF2334" s="435"/>
      <c r="AG2334" s="435"/>
      <c r="AH2334" s="435"/>
      <c r="AI2334" s="435"/>
      <c r="AJ2334" s="435"/>
      <c r="AK2334" s="435"/>
      <c r="AL2334" s="435"/>
      <c r="AM2334" s="435"/>
      <c r="AN2334" s="435"/>
      <c r="AO2334" s="435"/>
      <c r="AP2334" s="435"/>
      <c r="AQ2334" s="435"/>
      <c r="AR2334" s="435"/>
      <c r="AS2334" s="435"/>
      <c r="AT2334" s="435"/>
      <c r="AU2334" s="435"/>
      <c r="AV2334" s="435"/>
      <c r="AW2334" s="435"/>
      <c r="AX2334" s="435"/>
      <c r="AY2334" s="435"/>
      <c r="AZ2334" s="435"/>
      <c r="BA2334" s="435"/>
      <c r="BB2334" s="435"/>
      <c r="BC2334" s="435"/>
      <c r="BD2334" s="435"/>
      <c r="BE2334" s="435"/>
      <c r="BF2334" s="435"/>
      <c r="BG2334" s="435"/>
      <c r="BH2334" s="435"/>
      <c r="BI2334" s="435"/>
      <c r="BJ2334" s="435"/>
      <c r="BK2334" s="435"/>
      <c r="BL2334" s="435"/>
      <c r="BM2334" s="435"/>
      <c r="BN2334" s="435"/>
      <c r="BO2334" s="435"/>
      <c r="BP2334" s="435"/>
      <c r="BQ2334" s="435"/>
      <c r="BR2334" s="435"/>
      <c r="BS2334" s="435"/>
      <c r="BT2334" s="435"/>
      <c r="BU2334" s="435"/>
      <c r="BV2334" s="435"/>
      <c r="BW2334" s="435"/>
      <c r="BX2334" s="435"/>
      <c r="BY2334" s="435"/>
      <c r="BZ2334" s="435"/>
      <c r="CA2334" s="435"/>
      <c r="CB2334" s="435"/>
      <c r="CC2334" s="435"/>
      <c r="CD2334" s="435"/>
      <c r="CE2334" s="435"/>
      <c r="CF2334" s="435"/>
      <c r="CG2334" s="435"/>
      <c r="CH2334" s="435"/>
      <c r="CI2334" s="435"/>
      <c r="CJ2334" s="435"/>
      <c r="CK2334" s="435"/>
      <c r="CL2334" s="435"/>
      <c r="CM2334" s="435"/>
      <c r="CN2334" s="435"/>
      <c r="CO2334" s="435"/>
      <c r="CP2334" s="435"/>
      <c r="CQ2334" s="435"/>
      <c r="CR2334" s="435"/>
      <c r="CS2334" s="435"/>
      <c r="CT2334" s="435"/>
      <c r="CU2334" s="435"/>
      <c r="CV2334" s="435"/>
      <c r="CW2334" s="435"/>
      <c r="CX2334" s="435"/>
      <c r="CY2334" s="435"/>
      <c r="CZ2334" s="435"/>
      <c r="DA2334" s="435"/>
      <c r="DB2334" s="435"/>
      <c r="DC2334" s="435"/>
      <c r="DD2334" s="435"/>
      <c r="DE2334" s="435"/>
      <c r="DF2334" s="435"/>
      <c r="DG2334" s="435"/>
      <c r="DH2334" s="435"/>
      <c r="DI2334" s="435"/>
      <c r="DJ2334" s="435"/>
      <c r="DK2334" s="435"/>
      <c r="DL2334" s="435"/>
      <c r="DM2334" s="435"/>
      <c r="DN2334" s="435"/>
      <c r="DO2334" s="435"/>
      <c r="DP2334" s="435"/>
      <c r="DQ2334" s="435"/>
      <c r="DR2334" s="435"/>
      <c r="DS2334" s="435"/>
      <c r="DT2334" s="435"/>
      <c r="DU2334" s="435"/>
      <c r="DV2334" s="435"/>
      <c r="DW2334" s="435"/>
      <c r="DX2334" s="435"/>
      <c r="DY2334" s="435"/>
      <c r="DZ2334" s="435"/>
      <c r="EA2334" s="435"/>
      <c r="EB2334" s="435"/>
      <c r="EC2334" s="435"/>
      <c r="ED2334" s="435"/>
      <c r="EE2334" s="435"/>
      <c r="EF2334" s="435"/>
      <c r="EG2334" s="435"/>
      <c r="EH2334" s="435"/>
      <c r="EI2334" s="435"/>
      <c r="EJ2334" s="435"/>
      <c r="EK2334" s="435"/>
      <c r="EL2334" s="435"/>
      <c r="EM2334" s="435"/>
      <c r="EN2334" s="435"/>
      <c r="EO2334" s="435"/>
      <c r="EP2334" s="435"/>
      <c r="EQ2334" s="435"/>
      <c r="ER2334" s="435"/>
      <c r="ES2334" s="435"/>
      <c r="ET2334" s="435"/>
      <c r="EU2334" s="435"/>
      <c r="EV2334" s="435"/>
      <c r="EW2334" s="435"/>
      <c r="EX2334" s="435"/>
      <c r="EY2334" s="435"/>
      <c r="EZ2334" s="435"/>
      <c r="FA2334" s="435"/>
      <c r="FB2334" s="435"/>
      <c r="FC2334" s="435"/>
      <c r="FD2334" s="435"/>
      <c r="FE2334" s="435"/>
      <c r="FF2334" s="435"/>
      <c r="FG2334" s="435"/>
      <c r="FH2334" s="435"/>
      <c r="FI2334" s="435"/>
      <c r="FJ2334" s="435"/>
      <c r="FK2334" s="435"/>
      <c r="FL2334" s="435"/>
      <c r="FM2334" s="435"/>
      <c r="FN2334" s="435"/>
      <c r="FO2334" s="435"/>
      <c r="FP2334" s="435"/>
      <c r="FQ2334" s="435"/>
      <c r="FR2334" s="435"/>
      <c r="FS2334" s="435"/>
      <c r="FT2334" s="435"/>
      <c r="FU2334" s="435"/>
      <c r="FV2334" s="435"/>
      <c r="FW2334" s="435"/>
      <c r="FX2334" s="435"/>
      <c r="FY2334" s="435"/>
      <c r="FZ2334" s="435"/>
      <c r="GA2334" s="435"/>
      <c r="GB2334" s="435"/>
      <c r="GC2334" s="435"/>
      <c r="GD2334" s="435"/>
      <c r="GE2334" s="435"/>
      <c r="GF2334" s="435"/>
      <c r="GG2334" s="435"/>
      <c r="GH2334" s="435"/>
      <c r="GI2334" s="435"/>
      <c r="GJ2334" s="435"/>
      <c r="GK2334" s="435"/>
      <c r="GL2334" s="435"/>
      <c r="GM2334" s="435"/>
      <c r="GN2334" s="435"/>
      <c r="GO2334" s="435"/>
      <c r="GP2334" s="435"/>
      <c r="GQ2334" s="435"/>
      <c r="GR2334" s="435"/>
      <c r="GS2334" s="435"/>
      <c r="GT2334" s="435"/>
      <c r="GU2334" s="435"/>
      <c r="GV2334" s="435"/>
      <c r="GW2334" s="435"/>
      <c r="GX2334" s="435"/>
      <c r="GY2334" s="435"/>
      <c r="GZ2334" s="435"/>
      <c r="HA2334" s="435"/>
      <c r="HB2334" s="435"/>
      <c r="HC2334" s="435"/>
      <c r="HD2334" s="435"/>
      <c r="HE2334" s="435"/>
      <c r="HF2334" s="435"/>
      <c r="HG2334" s="435"/>
      <c r="HH2334" s="435"/>
      <c r="HI2334" s="435"/>
      <c r="HJ2334" s="435"/>
      <c r="HK2334" s="435"/>
      <c r="HL2334" s="435"/>
      <c r="HM2334" s="435"/>
    </row>
    <row r="2335" spans="1:221" s="420" customFormat="1" ht="37.5" customHeight="1">
      <c r="A2335" s="697">
        <f t="shared" si="301"/>
        <v>8</v>
      </c>
      <c r="B2335" s="698" t="s">
        <v>1949</v>
      </c>
      <c r="C2335" s="455" t="s">
        <v>222</v>
      </c>
      <c r="D2335" s="700">
        <f t="shared" si="304"/>
        <v>1425.6000000000001</v>
      </c>
      <c r="E2335" s="651">
        <v>528</v>
      </c>
      <c r="F2335" s="651" t="s">
        <v>223</v>
      </c>
      <c r="G2335" s="651">
        <v>584.87</v>
      </c>
      <c r="H2335" s="701">
        <v>2</v>
      </c>
      <c r="I2335" s="701">
        <v>1</v>
      </c>
      <c r="J2335" s="701">
        <v>6</v>
      </c>
      <c r="K2335" s="697" t="s">
        <v>33</v>
      </c>
      <c r="L2335" s="650">
        <f t="shared" si="299"/>
        <v>1587662.1</v>
      </c>
      <c r="M2335" s="650">
        <v>1553460</v>
      </c>
      <c r="N2335" s="688">
        <v>27256</v>
      </c>
      <c r="O2335" s="703"/>
      <c r="P2335" s="688"/>
      <c r="Q2335" s="388">
        <v>6946.1</v>
      </c>
      <c r="R2335" s="689">
        <f t="shared" si="302"/>
        <v>2656.0774189136046</v>
      </c>
      <c r="S2335" s="383">
        <f t="shared" si="303"/>
        <v>9.276845958083868E-11</v>
      </c>
      <c r="T2335" s="435"/>
      <c r="U2335" s="436"/>
      <c r="V2335" s="390"/>
      <c r="W2335" s="435"/>
      <c r="X2335" s="435"/>
      <c r="Y2335" s="435"/>
      <c r="Z2335" s="435"/>
      <c r="AA2335" s="435"/>
      <c r="AB2335" s="435"/>
      <c r="AC2335" s="435"/>
      <c r="AD2335" s="435"/>
      <c r="AE2335" s="435"/>
      <c r="AF2335" s="435"/>
      <c r="AG2335" s="435"/>
      <c r="AH2335" s="435"/>
      <c r="AI2335" s="435"/>
      <c r="AJ2335" s="435"/>
      <c r="AK2335" s="435"/>
      <c r="AL2335" s="435"/>
      <c r="AM2335" s="435"/>
      <c r="AN2335" s="435"/>
      <c r="AO2335" s="435"/>
      <c r="AP2335" s="435"/>
      <c r="AQ2335" s="435"/>
      <c r="AR2335" s="435"/>
      <c r="AS2335" s="435"/>
      <c r="AT2335" s="435"/>
      <c r="AU2335" s="435"/>
      <c r="AV2335" s="435"/>
      <c r="AW2335" s="435"/>
      <c r="AX2335" s="435"/>
      <c r="AY2335" s="435"/>
      <c r="AZ2335" s="435"/>
      <c r="BA2335" s="435"/>
      <c r="BB2335" s="435"/>
      <c r="BC2335" s="435"/>
      <c r="BD2335" s="435"/>
      <c r="BE2335" s="435"/>
      <c r="BF2335" s="435"/>
      <c r="BG2335" s="435"/>
      <c r="BH2335" s="435"/>
      <c r="BI2335" s="435"/>
      <c r="BJ2335" s="435"/>
      <c r="BK2335" s="435"/>
      <c r="BL2335" s="435"/>
      <c r="BM2335" s="435"/>
      <c r="BN2335" s="435"/>
      <c r="BO2335" s="435"/>
      <c r="BP2335" s="435"/>
      <c r="BQ2335" s="435"/>
      <c r="BR2335" s="435"/>
      <c r="BS2335" s="435"/>
      <c r="BT2335" s="435"/>
      <c r="BU2335" s="435"/>
      <c r="BV2335" s="435"/>
      <c r="BW2335" s="435"/>
      <c r="BX2335" s="435"/>
      <c r="BY2335" s="435"/>
      <c r="BZ2335" s="435"/>
      <c r="CA2335" s="435"/>
      <c r="CB2335" s="435"/>
      <c r="CC2335" s="435"/>
      <c r="CD2335" s="435"/>
      <c r="CE2335" s="435"/>
      <c r="CF2335" s="435"/>
      <c r="CG2335" s="435"/>
      <c r="CH2335" s="435"/>
      <c r="CI2335" s="435"/>
      <c r="CJ2335" s="435"/>
      <c r="CK2335" s="435"/>
      <c r="CL2335" s="435"/>
      <c r="CM2335" s="435"/>
      <c r="CN2335" s="435"/>
      <c r="CO2335" s="435"/>
      <c r="CP2335" s="435"/>
      <c r="CQ2335" s="435"/>
      <c r="CR2335" s="435"/>
      <c r="CS2335" s="435"/>
      <c r="CT2335" s="435"/>
      <c r="CU2335" s="435"/>
      <c r="CV2335" s="435"/>
      <c r="CW2335" s="435"/>
      <c r="CX2335" s="435"/>
      <c r="CY2335" s="435"/>
      <c r="CZ2335" s="435"/>
      <c r="DA2335" s="435"/>
      <c r="DB2335" s="435"/>
      <c r="DC2335" s="435"/>
      <c r="DD2335" s="435"/>
      <c r="DE2335" s="435"/>
      <c r="DF2335" s="435"/>
      <c r="DG2335" s="435"/>
      <c r="DH2335" s="435"/>
      <c r="DI2335" s="435"/>
      <c r="DJ2335" s="435"/>
      <c r="DK2335" s="435"/>
      <c r="DL2335" s="435"/>
      <c r="DM2335" s="435"/>
      <c r="DN2335" s="435"/>
      <c r="DO2335" s="435"/>
      <c r="DP2335" s="435"/>
      <c r="DQ2335" s="435"/>
      <c r="DR2335" s="435"/>
      <c r="DS2335" s="435"/>
      <c r="DT2335" s="435"/>
      <c r="DU2335" s="435"/>
      <c r="DV2335" s="435"/>
      <c r="DW2335" s="435"/>
      <c r="DX2335" s="435"/>
      <c r="DY2335" s="435"/>
      <c r="DZ2335" s="435"/>
      <c r="EA2335" s="435"/>
      <c r="EB2335" s="435"/>
      <c r="EC2335" s="435"/>
      <c r="ED2335" s="435"/>
      <c r="EE2335" s="435"/>
      <c r="EF2335" s="435"/>
      <c r="EG2335" s="435"/>
      <c r="EH2335" s="435"/>
      <c r="EI2335" s="435"/>
      <c r="EJ2335" s="435"/>
      <c r="EK2335" s="435"/>
      <c r="EL2335" s="435"/>
      <c r="EM2335" s="435"/>
      <c r="EN2335" s="435"/>
      <c r="EO2335" s="435"/>
      <c r="EP2335" s="435"/>
      <c r="EQ2335" s="435"/>
      <c r="ER2335" s="435"/>
      <c r="ES2335" s="435"/>
      <c r="ET2335" s="435"/>
      <c r="EU2335" s="435"/>
      <c r="EV2335" s="435"/>
      <c r="EW2335" s="435"/>
      <c r="EX2335" s="435"/>
      <c r="EY2335" s="435"/>
      <c r="EZ2335" s="435"/>
      <c r="FA2335" s="435"/>
      <c r="FB2335" s="435"/>
      <c r="FC2335" s="435"/>
      <c r="FD2335" s="435"/>
      <c r="FE2335" s="435"/>
      <c r="FF2335" s="435"/>
      <c r="FG2335" s="435"/>
      <c r="FH2335" s="435"/>
      <c r="FI2335" s="435"/>
      <c r="FJ2335" s="435"/>
      <c r="FK2335" s="435"/>
      <c r="FL2335" s="435"/>
      <c r="FM2335" s="435"/>
      <c r="FN2335" s="435"/>
      <c r="FO2335" s="435"/>
      <c r="FP2335" s="435"/>
      <c r="FQ2335" s="435"/>
      <c r="FR2335" s="435"/>
      <c r="FS2335" s="435"/>
      <c r="FT2335" s="435"/>
      <c r="FU2335" s="435"/>
      <c r="FV2335" s="435"/>
      <c r="FW2335" s="435"/>
      <c r="FX2335" s="435"/>
      <c r="FY2335" s="435"/>
      <c r="FZ2335" s="435"/>
      <c r="GA2335" s="435"/>
      <c r="GB2335" s="435"/>
      <c r="GC2335" s="435"/>
      <c r="GD2335" s="435"/>
      <c r="GE2335" s="435"/>
      <c r="GF2335" s="435"/>
      <c r="GG2335" s="435"/>
      <c r="GH2335" s="435"/>
      <c r="GI2335" s="435"/>
      <c r="GJ2335" s="435"/>
      <c r="GK2335" s="435"/>
      <c r="GL2335" s="435"/>
      <c r="GM2335" s="435"/>
      <c r="GN2335" s="435"/>
      <c r="GO2335" s="435"/>
      <c r="GP2335" s="435"/>
      <c r="GQ2335" s="435"/>
      <c r="GR2335" s="435"/>
      <c r="GS2335" s="435"/>
      <c r="GT2335" s="435"/>
      <c r="GU2335" s="435"/>
      <c r="GV2335" s="435"/>
      <c r="GW2335" s="435"/>
      <c r="GX2335" s="435"/>
      <c r="GY2335" s="435"/>
      <c r="GZ2335" s="435"/>
      <c r="HA2335" s="435"/>
      <c r="HB2335" s="435"/>
      <c r="HC2335" s="435"/>
      <c r="HD2335" s="435"/>
      <c r="HE2335" s="435"/>
      <c r="HF2335" s="435"/>
      <c r="HG2335" s="435"/>
      <c r="HH2335" s="435"/>
      <c r="HI2335" s="435"/>
      <c r="HJ2335" s="435"/>
      <c r="HK2335" s="435"/>
      <c r="HL2335" s="435"/>
      <c r="HM2335" s="435"/>
    </row>
    <row r="2336" spans="1:221" s="420" customFormat="1" ht="37.5" customHeight="1">
      <c r="A2336" s="697">
        <f t="shared" ref="A2336:A2341" si="305">A2335+1</f>
        <v>9</v>
      </c>
      <c r="B2336" s="698" t="s">
        <v>1950</v>
      </c>
      <c r="C2336" s="455" t="s">
        <v>222</v>
      </c>
      <c r="D2336" s="700">
        <f t="shared" si="304"/>
        <v>1415.88</v>
      </c>
      <c r="E2336" s="651">
        <v>524.4</v>
      </c>
      <c r="F2336" s="651" t="s">
        <v>223</v>
      </c>
      <c r="G2336" s="651">
        <v>670.6</v>
      </c>
      <c r="H2336" s="701">
        <v>2</v>
      </c>
      <c r="I2336" s="701">
        <v>2</v>
      </c>
      <c r="J2336" s="701">
        <v>12</v>
      </c>
      <c r="K2336" s="697" t="s">
        <v>33</v>
      </c>
      <c r="L2336" s="650">
        <f t="shared" si="299"/>
        <v>1430849.33</v>
      </c>
      <c r="M2336" s="650">
        <v>1396720</v>
      </c>
      <c r="N2336" s="688">
        <v>27231</v>
      </c>
      <c r="O2336" s="703"/>
      <c r="P2336" s="688"/>
      <c r="Q2336" s="388">
        <v>6898.33</v>
      </c>
      <c r="R2336" s="689">
        <f t="shared" si="302"/>
        <v>2082.7915299731585</v>
      </c>
      <c r="S2336" s="383">
        <f t="shared" si="303"/>
        <v>7.4578565545380116E-11</v>
      </c>
      <c r="T2336" s="435"/>
      <c r="U2336" s="436"/>
      <c r="V2336" s="390"/>
      <c r="W2336" s="435"/>
      <c r="X2336" s="435"/>
      <c r="Y2336" s="435"/>
      <c r="Z2336" s="435"/>
      <c r="AA2336" s="435"/>
      <c r="AB2336" s="435"/>
      <c r="AC2336" s="435"/>
      <c r="AD2336" s="435"/>
      <c r="AE2336" s="435"/>
      <c r="AF2336" s="435"/>
      <c r="AG2336" s="435"/>
      <c r="AH2336" s="435"/>
      <c r="AI2336" s="435"/>
      <c r="AJ2336" s="435"/>
      <c r="AK2336" s="435"/>
      <c r="AL2336" s="435"/>
      <c r="AM2336" s="435"/>
      <c r="AN2336" s="435"/>
      <c r="AO2336" s="435"/>
      <c r="AP2336" s="435"/>
      <c r="AQ2336" s="435"/>
      <c r="AR2336" s="435"/>
      <c r="AS2336" s="435"/>
      <c r="AT2336" s="435"/>
      <c r="AU2336" s="435"/>
      <c r="AV2336" s="435"/>
      <c r="AW2336" s="435"/>
      <c r="AX2336" s="435"/>
      <c r="AY2336" s="435"/>
      <c r="AZ2336" s="435"/>
      <c r="BA2336" s="435"/>
      <c r="BB2336" s="435"/>
      <c r="BC2336" s="435"/>
      <c r="BD2336" s="435"/>
      <c r="BE2336" s="435"/>
      <c r="BF2336" s="435"/>
      <c r="BG2336" s="435"/>
      <c r="BH2336" s="435"/>
      <c r="BI2336" s="435"/>
      <c r="BJ2336" s="435"/>
      <c r="BK2336" s="435"/>
      <c r="BL2336" s="435"/>
      <c r="BM2336" s="435"/>
      <c r="BN2336" s="435"/>
      <c r="BO2336" s="435"/>
      <c r="BP2336" s="435"/>
      <c r="BQ2336" s="435"/>
      <c r="BR2336" s="435"/>
      <c r="BS2336" s="435"/>
      <c r="BT2336" s="435"/>
      <c r="BU2336" s="435"/>
      <c r="BV2336" s="435"/>
      <c r="BW2336" s="435"/>
      <c r="BX2336" s="435"/>
      <c r="BY2336" s="435"/>
      <c r="BZ2336" s="435"/>
      <c r="CA2336" s="435"/>
      <c r="CB2336" s="435"/>
      <c r="CC2336" s="435"/>
      <c r="CD2336" s="435"/>
      <c r="CE2336" s="435"/>
      <c r="CF2336" s="435"/>
      <c r="CG2336" s="435"/>
      <c r="CH2336" s="435"/>
      <c r="CI2336" s="435"/>
      <c r="CJ2336" s="435"/>
      <c r="CK2336" s="435"/>
      <c r="CL2336" s="435"/>
      <c r="CM2336" s="435"/>
      <c r="CN2336" s="435"/>
      <c r="CO2336" s="435"/>
      <c r="CP2336" s="435"/>
      <c r="CQ2336" s="435"/>
      <c r="CR2336" s="435"/>
      <c r="CS2336" s="435"/>
      <c r="CT2336" s="435"/>
      <c r="CU2336" s="435"/>
      <c r="CV2336" s="435"/>
      <c r="CW2336" s="435"/>
      <c r="CX2336" s="435"/>
      <c r="CY2336" s="435"/>
      <c r="CZ2336" s="435"/>
      <c r="DA2336" s="435"/>
      <c r="DB2336" s="435"/>
      <c r="DC2336" s="435"/>
      <c r="DD2336" s="435"/>
      <c r="DE2336" s="435"/>
      <c r="DF2336" s="435"/>
      <c r="DG2336" s="435"/>
      <c r="DH2336" s="435"/>
      <c r="DI2336" s="435"/>
      <c r="DJ2336" s="435"/>
      <c r="DK2336" s="435"/>
      <c r="DL2336" s="435"/>
      <c r="DM2336" s="435"/>
      <c r="DN2336" s="435"/>
      <c r="DO2336" s="435"/>
      <c r="DP2336" s="435"/>
      <c r="DQ2336" s="435"/>
      <c r="DR2336" s="435"/>
      <c r="DS2336" s="435"/>
      <c r="DT2336" s="435"/>
      <c r="DU2336" s="435"/>
      <c r="DV2336" s="435"/>
      <c r="DW2336" s="435"/>
      <c r="DX2336" s="435"/>
      <c r="DY2336" s="435"/>
      <c r="DZ2336" s="435"/>
      <c r="EA2336" s="435"/>
      <c r="EB2336" s="435"/>
      <c r="EC2336" s="435"/>
      <c r="ED2336" s="435"/>
      <c r="EE2336" s="435"/>
      <c r="EF2336" s="435"/>
      <c r="EG2336" s="435"/>
      <c r="EH2336" s="435"/>
      <c r="EI2336" s="435"/>
      <c r="EJ2336" s="435"/>
      <c r="EK2336" s="435"/>
      <c r="EL2336" s="435"/>
      <c r="EM2336" s="435"/>
      <c r="EN2336" s="435"/>
      <c r="EO2336" s="435"/>
      <c r="EP2336" s="435"/>
      <c r="EQ2336" s="435"/>
      <c r="ER2336" s="435"/>
      <c r="ES2336" s="435"/>
      <c r="ET2336" s="435"/>
      <c r="EU2336" s="435"/>
      <c r="EV2336" s="435"/>
      <c r="EW2336" s="435"/>
      <c r="EX2336" s="435"/>
      <c r="EY2336" s="435"/>
      <c r="EZ2336" s="435"/>
      <c r="FA2336" s="435"/>
      <c r="FB2336" s="435"/>
      <c r="FC2336" s="435"/>
      <c r="FD2336" s="435"/>
      <c r="FE2336" s="435"/>
      <c r="FF2336" s="435"/>
      <c r="FG2336" s="435"/>
      <c r="FH2336" s="435"/>
      <c r="FI2336" s="435"/>
      <c r="FJ2336" s="435"/>
      <c r="FK2336" s="435"/>
      <c r="FL2336" s="435"/>
      <c r="FM2336" s="435"/>
      <c r="FN2336" s="435"/>
      <c r="FO2336" s="435"/>
      <c r="FP2336" s="435"/>
      <c r="FQ2336" s="435"/>
      <c r="FR2336" s="435"/>
      <c r="FS2336" s="435"/>
      <c r="FT2336" s="435"/>
      <c r="FU2336" s="435"/>
      <c r="FV2336" s="435"/>
      <c r="FW2336" s="435"/>
      <c r="FX2336" s="435"/>
      <c r="FY2336" s="435"/>
      <c r="FZ2336" s="435"/>
      <c r="GA2336" s="435"/>
      <c r="GB2336" s="435"/>
      <c r="GC2336" s="435"/>
      <c r="GD2336" s="435"/>
      <c r="GE2336" s="435"/>
      <c r="GF2336" s="435"/>
      <c r="GG2336" s="435"/>
      <c r="GH2336" s="435"/>
      <c r="GI2336" s="435"/>
      <c r="GJ2336" s="435"/>
      <c r="GK2336" s="435"/>
      <c r="GL2336" s="435"/>
      <c r="GM2336" s="435"/>
      <c r="GN2336" s="435"/>
      <c r="GO2336" s="435"/>
      <c r="GP2336" s="435"/>
      <c r="GQ2336" s="435"/>
      <c r="GR2336" s="435"/>
      <c r="GS2336" s="435"/>
      <c r="GT2336" s="435"/>
      <c r="GU2336" s="435"/>
      <c r="GV2336" s="435"/>
      <c r="GW2336" s="435"/>
      <c r="GX2336" s="435"/>
      <c r="GY2336" s="435"/>
      <c r="GZ2336" s="435"/>
      <c r="HA2336" s="435"/>
      <c r="HB2336" s="435"/>
      <c r="HC2336" s="435"/>
      <c r="HD2336" s="435"/>
      <c r="HE2336" s="435"/>
      <c r="HF2336" s="435"/>
      <c r="HG2336" s="435"/>
      <c r="HH2336" s="435"/>
      <c r="HI2336" s="435"/>
      <c r="HJ2336" s="435"/>
      <c r="HK2336" s="435"/>
      <c r="HL2336" s="435"/>
      <c r="HM2336" s="435"/>
    </row>
    <row r="2337" spans="1:221" s="420" customFormat="1" ht="37.5" customHeight="1">
      <c r="A2337" s="697">
        <f t="shared" si="305"/>
        <v>10</v>
      </c>
      <c r="B2337" s="698" t="s">
        <v>1951</v>
      </c>
      <c r="C2337" s="455" t="s">
        <v>222</v>
      </c>
      <c r="D2337" s="700">
        <f t="shared" si="304"/>
        <v>1415.88</v>
      </c>
      <c r="E2337" s="651">
        <v>524.4</v>
      </c>
      <c r="F2337" s="651" t="s">
        <v>223</v>
      </c>
      <c r="G2337" s="651">
        <v>670.6</v>
      </c>
      <c r="H2337" s="701">
        <v>2</v>
      </c>
      <c r="I2337" s="701">
        <v>2</v>
      </c>
      <c r="J2337" s="701">
        <v>12</v>
      </c>
      <c r="K2337" s="697" t="s">
        <v>33</v>
      </c>
      <c r="L2337" s="650">
        <f t="shared" si="299"/>
        <v>1443429.33</v>
      </c>
      <c r="M2337" s="650">
        <v>1409300</v>
      </c>
      <c r="N2337" s="688">
        <v>27231</v>
      </c>
      <c r="O2337" s="703"/>
      <c r="P2337" s="688"/>
      <c r="Q2337" s="388">
        <v>6898.33</v>
      </c>
      <c r="R2337" s="689">
        <f t="shared" si="302"/>
        <v>2101.550849985088</v>
      </c>
      <c r="S2337" s="383">
        <f t="shared" si="303"/>
        <v>7.4578565545380116E-11</v>
      </c>
      <c r="T2337" s="435"/>
      <c r="U2337" s="436"/>
      <c r="V2337" s="390"/>
      <c r="W2337" s="435"/>
      <c r="X2337" s="435"/>
      <c r="Y2337" s="435"/>
      <c r="Z2337" s="435"/>
      <c r="AA2337" s="435"/>
      <c r="AB2337" s="435"/>
      <c r="AC2337" s="435"/>
      <c r="AD2337" s="435"/>
      <c r="AE2337" s="435"/>
      <c r="AF2337" s="435"/>
      <c r="AG2337" s="435"/>
      <c r="AH2337" s="435"/>
      <c r="AI2337" s="435"/>
      <c r="AJ2337" s="435"/>
      <c r="AK2337" s="435"/>
      <c r="AL2337" s="435"/>
      <c r="AM2337" s="435"/>
      <c r="AN2337" s="435"/>
      <c r="AO2337" s="435"/>
      <c r="AP2337" s="435"/>
      <c r="AQ2337" s="435"/>
      <c r="AR2337" s="435"/>
      <c r="AS2337" s="435"/>
      <c r="AT2337" s="435"/>
      <c r="AU2337" s="435"/>
      <c r="AV2337" s="435"/>
      <c r="AW2337" s="435"/>
      <c r="AX2337" s="435"/>
      <c r="AY2337" s="435"/>
      <c r="AZ2337" s="435"/>
      <c r="BA2337" s="435"/>
      <c r="BB2337" s="435"/>
      <c r="BC2337" s="435"/>
      <c r="BD2337" s="435"/>
      <c r="BE2337" s="435"/>
      <c r="BF2337" s="435"/>
      <c r="BG2337" s="435"/>
      <c r="BH2337" s="435"/>
      <c r="BI2337" s="435"/>
      <c r="BJ2337" s="435"/>
      <c r="BK2337" s="435"/>
      <c r="BL2337" s="435"/>
      <c r="BM2337" s="435"/>
      <c r="BN2337" s="435"/>
      <c r="BO2337" s="435"/>
      <c r="BP2337" s="435"/>
      <c r="BQ2337" s="435"/>
      <c r="BR2337" s="435"/>
      <c r="BS2337" s="435"/>
      <c r="BT2337" s="435"/>
      <c r="BU2337" s="435"/>
      <c r="BV2337" s="435"/>
      <c r="BW2337" s="435"/>
      <c r="BX2337" s="435"/>
      <c r="BY2337" s="435"/>
      <c r="BZ2337" s="435"/>
      <c r="CA2337" s="435"/>
      <c r="CB2337" s="435"/>
      <c r="CC2337" s="435"/>
      <c r="CD2337" s="435"/>
      <c r="CE2337" s="435"/>
      <c r="CF2337" s="435"/>
      <c r="CG2337" s="435"/>
      <c r="CH2337" s="435"/>
      <c r="CI2337" s="435"/>
      <c r="CJ2337" s="435"/>
      <c r="CK2337" s="435"/>
      <c r="CL2337" s="435"/>
      <c r="CM2337" s="435"/>
      <c r="CN2337" s="435"/>
      <c r="CO2337" s="435"/>
      <c r="CP2337" s="435"/>
      <c r="CQ2337" s="435"/>
      <c r="CR2337" s="435"/>
      <c r="CS2337" s="435"/>
      <c r="CT2337" s="435"/>
      <c r="CU2337" s="435"/>
      <c r="CV2337" s="435"/>
      <c r="CW2337" s="435"/>
      <c r="CX2337" s="435"/>
      <c r="CY2337" s="435"/>
      <c r="CZ2337" s="435"/>
      <c r="DA2337" s="435"/>
      <c r="DB2337" s="435"/>
      <c r="DC2337" s="435"/>
      <c r="DD2337" s="435"/>
      <c r="DE2337" s="435"/>
      <c r="DF2337" s="435"/>
      <c r="DG2337" s="435"/>
      <c r="DH2337" s="435"/>
      <c r="DI2337" s="435"/>
      <c r="DJ2337" s="435"/>
      <c r="DK2337" s="435"/>
      <c r="DL2337" s="435"/>
      <c r="DM2337" s="435"/>
      <c r="DN2337" s="435"/>
      <c r="DO2337" s="435"/>
      <c r="DP2337" s="435"/>
      <c r="DQ2337" s="435"/>
      <c r="DR2337" s="435"/>
      <c r="DS2337" s="435"/>
      <c r="DT2337" s="435"/>
      <c r="DU2337" s="435"/>
      <c r="DV2337" s="435"/>
      <c r="DW2337" s="435"/>
      <c r="DX2337" s="435"/>
      <c r="DY2337" s="435"/>
      <c r="DZ2337" s="435"/>
      <c r="EA2337" s="435"/>
      <c r="EB2337" s="435"/>
      <c r="EC2337" s="435"/>
      <c r="ED2337" s="435"/>
      <c r="EE2337" s="435"/>
      <c r="EF2337" s="435"/>
      <c r="EG2337" s="435"/>
      <c r="EH2337" s="435"/>
      <c r="EI2337" s="435"/>
      <c r="EJ2337" s="435"/>
      <c r="EK2337" s="435"/>
      <c r="EL2337" s="435"/>
      <c r="EM2337" s="435"/>
      <c r="EN2337" s="435"/>
      <c r="EO2337" s="435"/>
      <c r="EP2337" s="435"/>
      <c r="EQ2337" s="435"/>
      <c r="ER2337" s="435"/>
      <c r="ES2337" s="435"/>
      <c r="ET2337" s="435"/>
      <c r="EU2337" s="435"/>
      <c r="EV2337" s="435"/>
      <c r="EW2337" s="435"/>
      <c r="EX2337" s="435"/>
      <c r="EY2337" s="435"/>
      <c r="EZ2337" s="435"/>
      <c r="FA2337" s="435"/>
      <c r="FB2337" s="435"/>
      <c r="FC2337" s="435"/>
      <c r="FD2337" s="435"/>
      <c r="FE2337" s="435"/>
      <c r="FF2337" s="435"/>
      <c r="FG2337" s="435"/>
      <c r="FH2337" s="435"/>
      <c r="FI2337" s="435"/>
      <c r="FJ2337" s="435"/>
      <c r="FK2337" s="435"/>
      <c r="FL2337" s="435"/>
      <c r="FM2337" s="435"/>
      <c r="FN2337" s="435"/>
      <c r="FO2337" s="435"/>
      <c r="FP2337" s="435"/>
      <c r="FQ2337" s="435"/>
      <c r="FR2337" s="435"/>
      <c r="FS2337" s="435"/>
      <c r="FT2337" s="435"/>
      <c r="FU2337" s="435"/>
      <c r="FV2337" s="435"/>
      <c r="FW2337" s="435"/>
      <c r="FX2337" s="435"/>
      <c r="FY2337" s="435"/>
      <c r="FZ2337" s="435"/>
      <c r="GA2337" s="435"/>
      <c r="GB2337" s="435"/>
      <c r="GC2337" s="435"/>
      <c r="GD2337" s="435"/>
      <c r="GE2337" s="435"/>
      <c r="GF2337" s="435"/>
      <c r="GG2337" s="435"/>
      <c r="GH2337" s="435"/>
      <c r="GI2337" s="435"/>
      <c r="GJ2337" s="435"/>
      <c r="GK2337" s="435"/>
      <c r="GL2337" s="435"/>
      <c r="GM2337" s="435"/>
      <c r="GN2337" s="435"/>
      <c r="GO2337" s="435"/>
      <c r="GP2337" s="435"/>
      <c r="GQ2337" s="435"/>
      <c r="GR2337" s="435"/>
      <c r="GS2337" s="435"/>
      <c r="GT2337" s="435"/>
      <c r="GU2337" s="435"/>
      <c r="GV2337" s="435"/>
      <c r="GW2337" s="435"/>
      <c r="GX2337" s="435"/>
      <c r="GY2337" s="435"/>
      <c r="GZ2337" s="435"/>
      <c r="HA2337" s="435"/>
      <c r="HB2337" s="435"/>
      <c r="HC2337" s="435"/>
      <c r="HD2337" s="435"/>
      <c r="HE2337" s="435"/>
      <c r="HF2337" s="435"/>
      <c r="HG2337" s="435"/>
      <c r="HH2337" s="435"/>
      <c r="HI2337" s="435"/>
      <c r="HJ2337" s="435"/>
      <c r="HK2337" s="435"/>
      <c r="HL2337" s="435"/>
      <c r="HM2337" s="435"/>
    </row>
    <row r="2338" spans="1:221" s="420" customFormat="1" ht="37.5" customHeight="1">
      <c r="A2338" s="697">
        <f t="shared" si="305"/>
        <v>11</v>
      </c>
      <c r="B2338" s="698" t="s">
        <v>1952</v>
      </c>
      <c r="C2338" s="699" t="s">
        <v>218</v>
      </c>
      <c r="D2338" s="700">
        <f t="shared" si="304"/>
        <v>7695.0000000000009</v>
      </c>
      <c r="E2338" s="688">
        <v>2850</v>
      </c>
      <c r="F2338" s="651" t="s">
        <v>228</v>
      </c>
      <c r="G2338" s="688">
        <v>1211</v>
      </c>
      <c r="H2338" s="689">
        <v>5</v>
      </c>
      <c r="I2338" s="689">
        <v>6</v>
      </c>
      <c r="J2338" s="689">
        <v>85</v>
      </c>
      <c r="K2338" s="697" t="s">
        <v>33</v>
      </c>
      <c r="L2338" s="650">
        <f t="shared" si="299"/>
        <v>3018002</v>
      </c>
      <c r="M2338" s="650">
        <v>2976546</v>
      </c>
      <c r="N2338" s="688"/>
      <c r="O2338" s="473">
        <v>21556</v>
      </c>
      <c r="P2338" s="688"/>
      <c r="Q2338" s="388">
        <v>19900</v>
      </c>
      <c r="R2338" s="689">
        <f t="shared" si="302"/>
        <v>2457.9240297274978</v>
      </c>
      <c r="S2338" s="383">
        <f t="shared" si="303"/>
        <v>0</v>
      </c>
      <c r="T2338" s="435"/>
      <c r="U2338" s="436"/>
      <c r="V2338" s="390"/>
      <c r="W2338" s="435"/>
      <c r="X2338" s="435"/>
      <c r="Y2338" s="435"/>
      <c r="Z2338" s="435"/>
      <c r="AA2338" s="435"/>
      <c r="AB2338" s="435"/>
      <c r="AC2338" s="435"/>
      <c r="AD2338" s="435"/>
      <c r="AE2338" s="435"/>
      <c r="AF2338" s="435"/>
      <c r="AG2338" s="435"/>
      <c r="AH2338" s="435"/>
      <c r="AI2338" s="435"/>
      <c r="AJ2338" s="435"/>
      <c r="AK2338" s="435"/>
      <c r="AL2338" s="435"/>
      <c r="AM2338" s="435"/>
      <c r="AN2338" s="435"/>
      <c r="AO2338" s="435"/>
      <c r="AP2338" s="435"/>
      <c r="AQ2338" s="435"/>
      <c r="AR2338" s="435"/>
      <c r="AS2338" s="435"/>
      <c r="AT2338" s="435"/>
      <c r="AU2338" s="435"/>
      <c r="AV2338" s="435"/>
      <c r="AW2338" s="435"/>
      <c r="AX2338" s="435"/>
      <c r="AY2338" s="435"/>
      <c r="AZ2338" s="435"/>
      <c r="BA2338" s="435"/>
      <c r="BB2338" s="435"/>
      <c r="BC2338" s="435"/>
      <c r="BD2338" s="435"/>
      <c r="BE2338" s="435"/>
      <c r="BF2338" s="435"/>
      <c r="BG2338" s="435"/>
      <c r="BH2338" s="435"/>
      <c r="BI2338" s="435"/>
      <c r="BJ2338" s="435"/>
      <c r="BK2338" s="435"/>
      <c r="BL2338" s="435"/>
      <c r="BM2338" s="435"/>
      <c r="BN2338" s="435"/>
      <c r="BO2338" s="435"/>
      <c r="BP2338" s="435"/>
      <c r="BQ2338" s="435"/>
      <c r="BR2338" s="435"/>
      <c r="BS2338" s="435"/>
      <c r="BT2338" s="435"/>
      <c r="BU2338" s="435"/>
      <c r="BV2338" s="435"/>
      <c r="BW2338" s="435"/>
      <c r="BX2338" s="435"/>
      <c r="BY2338" s="435"/>
      <c r="BZ2338" s="435"/>
      <c r="CA2338" s="435"/>
      <c r="CB2338" s="435"/>
      <c r="CC2338" s="435"/>
      <c r="CD2338" s="435"/>
      <c r="CE2338" s="435"/>
      <c r="CF2338" s="435"/>
      <c r="CG2338" s="435"/>
      <c r="CH2338" s="435"/>
      <c r="CI2338" s="435"/>
      <c r="CJ2338" s="435"/>
      <c r="CK2338" s="435"/>
      <c r="CL2338" s="435"/>
      <c r="CM2338" s="435"/>
      <c r="CN2338" s="435"/>
      <c r="CO2338" s="435"/>
      <c r="CP2338" s="435"/>
      <c r="CQ2338" s="435"/>
      <c r="CR2338" s="435"/>
      <c r="CS2338" s="435"/>
      <c r="CT2338" s="435"/>
      <c r="CU2338" s="435"/>
      <c r="CV2338" s="435"/>
      <c r="CW2338" s="435"/>
      <c r="CX2338" s="435"/>
      <c r="CY2338" s="435"/>
      <c r="CZ2338" s="435"/>
      <c r="DA2338" s="435"/>
      <c r="DB2338" s="435"/>
      <c r="DC2338" s="435"/>
      <c r="DD2338" s="435"/>
      <c r="DE2338" s="435"/>
      <c r="DF2338" s="435"/>
      <c r="DG2338" s="435"/>
      <c r="DH2338" s="435"/>
      <c r="DI2338" s="435"/>
      <c r="DJ2338" s="435"/>
      <c r="DK2338" s="435"/>
      <c r="DL2338" s="435"/>
      <c r="DM2338" s="435"/>
      <c r="DN2338" s="435"/>
      <c r="DO2338" s="435"/>
      <c r="DP2338" s="435"/>
      <c r="DQ2338" s="435"/>
      <c r="DR2338" s="435"/>
      <c r="DS2338" s="435"/>
      <c r="DT2338" s="435"/>
      <c r="DU2338" s="435"/>
      <c r="DV2338" s="435"/>
      <c r="DW2338" s="435"/>
      <c r="DX2338" s="435"/>
      <c r="DY2338" s="435"/>
      <c r="DZ2338" s="435"/>
      <c r="EA2338" s="435"/>
      <c r="EB2338" s="435"/>
      <c r="EC2338" s="435"/>
      <c r="ED2338" s="435"/>
      <c r="EE2338" s="435"/>
      <c r="EF2338" s="435"/>
      <c r="EG2338" s="435"/>
      <c r="EH2338" s="435"/>
      <c r="EI2338" s="435"/>
      <c r="EJ2338" s="435"/>
      <c r="EK2338" s="435"/>
      <c r="EL2338" s="435"/>
      <c r="EM2338" s="435"/>
      <c r="EN2338" s="435"/>
      <c r="EO2338" s="435"/>
      <c r="EP2338" s="435"/>
      <c r="EQ2338" s="435"/>
      <c r="ER2338" s="435"/>
      <c r="ES2338" s="435"/>
      <c r="ET2338" s="435"/>
      <c r="EU2338" s="435"/>
      <c r="EV2338" s="435"/>
      <c r="EW2338" s="435"/>
      <c r="EX2338" s="435"/>
      <c r="EY2338" s="435"/>
      <c r="EZ2338" s="435"/>
      <c r="FA2338" s="435"/>
      <c r="FB2338" s="435"/>
      <c r="FC2338" s="435"/>
      <c r="FD2338" s="435"/>
      <c r="FE2338" s="435"/>
      <c r="FF2338" s="435"/>
      <c r="FG2338" s="435"/>
      <c r="FH2338" s="435"/>
      <c r="FI2338" s="435"/>
      <c r="FJ2338" s="435"/>
      <c r="FK2338" s="435"/>
      <c r="FL2338" s="435"/>
      <c r="FM2338" s="435"/>
      <c r="FN2338" s="435"/>
      <c r="FO2338" s="435"/>
      <c r="FP2338" s="435"/>
      <c r="FQ2338" s="435"/>
      <c r="FR2338" s="435"/>
      <c r="FS2338" s="435"/>
      <c r="FT2338" s="435"/>
      <c r="FU2338" s="435"/>
      <c r="FV2338" s="435"/>
      <c r="FW2338" s="435"/>
      <c r="FX2338" s="435"/>
      <c r="FY2338" s="435"/>
      <c r="FZ2338" s="435"/>
      <c r="GA2338" s="435"/>
      <c r="GB2338" s="435"/>
      <c r="GC2338" s="435"/>
      <c r="GD2338" s="435"/>
      <c r="GE2338" s="435"/>
      <c r="GF2338" s="435"/>
      <c r="GG2338" s="435"/>
      <c r="GH2338" s="435"/>
      <c r="GI2338" s="435"/>
      <c r="GJ2338" s="435"/>
      <c r="GK2338" s="435"/>
      <c r="GL2338" s="435"/>
      <c r="GM2338" s="435"/>
      <c r="GN2338" s="435"/>
      <c r="GO2338" s="435"/>
      <c r="GP2338" s="435"/>
      <c r="GQ2338" s="435"/>
      <c r="GR2338" s="435"/>
      <c r="GS2338" s="435"/>
      <c r="GT2338" s="435"/>
      <c r="GU2338" s="435"/>
      <c r="GV2338" s="435"/>
      <c r="GW2338" s="435"/>
      <c r="GX2338" s="435"/>
      <c r="GY2338" s="435"/>
      <c r="GZ2338" s="435"/>
      <c r="HA2338" s="435"/>
      <c r="HB2338" s="435"/>
      <c r="HC2338" s="435"/>
      <c r="HD2338" s="435"/>
      <c r="HE2338" s="435"/>
      <c r="HF2338" s="435"/>
      <c r="HG2338" s="435"/>
      <c r="HH2338" s="435"/>
      <c r="HI2338" s="435"/>
      <c r="HJ2338" s="435"/>
      <c r="HK2338" s="435"/>
      <c r="HL2338" s="435"/>
      <c r="HM2338" s="435"/>
    </row>
    <row r="2339" spans="1:221" s="420" customFormat="1" ht="37.5" customHeight="1">
      <c r="A2339" s="697">
        <f t="shared" si="305"/>
        <v>12</v>
      </c>
      <c r="B2339" s="698" t="s">
        <v>1953</v>
      </c>
      <c r="C2339" s="455" t="s">
        <v>222</v>
      </c>
      <c r="D2339" s="700">
        <f t="shared" si="304"/>
        <v>1431</v>
      </c>
      <c r="E2339" s="651">
        <v>530</v>
      </c>
      <c r="F2339" s="651" t="s">
        <v>223</v>
      </c>
      <c r="G2339" s="651">
        <v>470</v>
      </c>
      <c r="H2339" s="701">
        <v>2</v>
      </c>
      <c r="I2339" s="701">
        <v>1</v>
      </c>
      <c r="J2339" s="701">
        <v>6</v>
      </c>
      <c r="K2339" s="697" t="s">
        <v>33</v>
      </c>
      <c r="L2339" s="650">
        <f t="shared" si="299"/>
        <v>860781.97</v>
      </c>
      <c r="M2339" s="650">
        <v>826540</v>
      </c>
      <c r="N2339" s="688">
        <v>27270</v>
      </c>
      <c r="O2339" s="703"/>
      <c r="P2339" s="688"/>
      <c r="Q2339" s="388">
        <v>6971.97</v>
      </c>
      <c r="R2339" s="689">
        <f t="shared" si="302"/>
        <v>1758.5957446808511</v>
      </c>
      <c r="S2339" s="383">
        <f t="shared" si="303"/>
        <v>-2.8194335754960775E-11</v>
      </c>
      <c r="T2339" s="435"/>
      <c r="U2339" s="436"/>
      <c r="V2339" s="390"/>
      <c r="W2339" s="435"/>
      <c r="X2339" s="435"/>
      <c r="Y2339" s="435"/>
      <c r="Z2339" s="435"/>
      <c r="AA2339" s="435"/>
      <c r="AB2339" s="435"/>
      <c r="AC2339" s="435"/>
      <c r="AD2339" s="435"/>
      <c r="AE2339" s="435"/>
      <c r="AF2339" s="435"/>
      <c r="AG2339" s="435"/>
      <c r="AH2339" s="435"/>
      <c r="AI2339" s="435"/>
      <c r="AJ2339" s="435"/>
      <c r="AK2339" s="435"/>
      <c r="AL2339" s="435"/>
      <c r="AM2339" s="435"/>
      <c r="AN2339" s="435"/>
      <c r="AO2339" s="435"/>
      <c r="AP2339" s="435"/>
      <c r="AQ2339" s="435"/>
      <c r="AR2339" s="435"/>
      <c r="AS2339" s="435"/>
      <c r="AT2339" s="435"/>
      <c r="AU2339" s="435"/>
      <c r="AV2339" s="435"/>
      <c r="AW2339" s="435"/>
      <c r="AX2339" s="435"/>
      <c r="AY2339" s="435"/>
      <c r="AZ2339" s="435"/>
      <c r="BA2339" s="435"/>
      <c r="BB2339" s="435"/>
      <c r="BC2339" s="435"/>
      <c r="BD2339" s="435"/>
      <c r="BE2339" s="435"/>
      <c r="BF2339" s="435"/>
      <c r="BG2339" s="435"/>
      <c r="BH2339" s="435"/>
      <c r="BI2339" s="435"/>
      <c r="BJ2339" s="435"/>
      <c r="BK2339" s="435"/>
      <c r="BL2339" s="435"/>
      <c r="BM2339" s="435"/>
      <c r="BN2339" s="435"/>
      <c r="BO2339" s="435"/>
      <c r="BP2339" s="435"/>
      <c r="BQ2339" s="435"/>
      <c r="BR2339" s="435"/>
      <c r="BS2339" s="435"/>
      <c r="BT2339" s="435"/>
      <c r="BU2339" s="435"/>
      <c r="BV2339" s="435"/>
      <c r="BW2339" s="435"/>
      <c r="BX2339" s="435"/>
      <c r="BY2339" s="435"/>
      <c r="BZ2339" s="435"/>
      <c r="CA2339" s="435"/>
      <c r="CB2339" s="435"/>
      <c r="CC2339" s="435"/>
      <c r="CD2339" s="435"/>
      <c r="CE2339" s="435"/>
      <c r="CF2339" s="435"/>
      <c r="CG2339" s="435"/>
      <c r="CH2339" s="435"/>
      <c r="CI2339" s="435"/>
      <c r="CJ2339" s="435"/>
      <c r="CK2339" s="435"/>
      <c r="CL2339" s="435"/>
      <c r="CM2339" s="435"/>
      <c r="CN2339" s="435"/>
      <c r="CO2339" s="435"/>
      <c r="CP2339" s="435"/>
      <c r="CQ2339" s="435"/>
      <c r="CR2339" s="435"/>
      <c r="CS2339" s="435"/>
      <c r="CT2339" s="435"/>
      <c r="CU2339" s="435"/>
      <c r="CV2339" s="435"/>
      <c r="CW2339" s="435"/>
      <c r="CX2339" s="435"/>
      <c r="CY2339" s="435"/>
      <c r="CZ2339" s="435"/>
      <c r="DA2339" s="435"/>
      <c r="DB2339" s="435"/>
      <c r="DC2339" s="435"/>
      <c r="DD2339" s="435"/>
      <c r="DE2339" s="435"/>
      <c r="DF2339" s="435"/>
      <c r="DG2339" s="435"/>
      <c r="DH2339" s="435"/>
      <c r="DI2339" s="435"/>
      <c r="DJ2339" s="435"/>
      <c r="DK2339" s="435"/>
      <c r="DL2339" s="435"/>
      <c r="DM2339" s="435"/>
      <c r="DN2339" s="435"/>
      <c r="DO2339" s="435"/>
      <c r="DP2339" s="435"/>
      <c r="DQ2339" s="435"/>
      <c r="DR2339" s="435"/>
      <c r="DS2339" s="435"/>
      <c r="DT2339" s="435"/>
      <c r="DU2339" s="435"/>
      <c r="DV2339" s="435"/>
      <c r="DW2339" s="435"/>
      <c r="DX2339" s="435"/>
      <c r="DY2339" s="435"/>
      <c r="DZ2339" s="435"/>
      <c r="EA2339" s="435"/>
      <c r="EB2339" s="435"/>
      <c r="EC2339" s="435"/>
      <c r="ED2339" s="435"/>
      <c r="EE2339" s="435"/>
      <c r="EF2339" s="435"/>
      <c r="EG2339" s="435"/>
      <c r="EH2339" s="435"/>
      <c r="EI2339" s="435"/>
      <c r="EJ2339" s="435"/>
      <c r="EK2339" s="435"/>
      <c r="EL2339" s="435"/>
      <c r="EM2339" s="435"/>
      <c r="EN2339" s="435"/>
      <c r="EO2339" s="435"/>
      <c r="EP2339" s="435"/>
      <c r="EQ2339" s="435"/>
      <c r="ER2339" s="435"/>
      <c r="ES2339" s="435"/>
      <c r="ET2339" s="435"/>
      <c r="EU2339" s="435"/>
      <c r="EV2339" s="435"/>
      <c r="EW2339" s="435"/>
      <c r="EX2339" s="435"/>
      <c r="EY2339" s="435"/>
      <c r="EZ2339" s="435"/>
      <c r="FA2339" s="435"/>
      <c r="FB2339" s="435"/>
      <c r="FC2339" s="435"/>
      <c r="FD2339" s="435"/>
      <c r="FE2339" s="435"/>
      <c r="FF2339" s="435"/>
      <c r="FG2339" s="435"/>
      <c r="FH2339" s="435"/>
      <c r="FI2339" s="435"/>
      <c r="FJ2339" s="435"/>
      <c r="FK2339" s="435"/>
      <c r="FL2339" s="435"/>
      <c r="FM2339" s="435"/>
      <c r="FN2339" s="435"/>
      <c r="FO2339" s="435"/>
      <c r="FP2339" s="435"/>
      <c r="FQ2339" s="435"/>
      <c r="FR2339" s="435"/>
      <c r="FS2339" s="435"/>
      <c r="FT2339" s="435"/>
      <c r="FU2339" s="435"/>
      <c r="FV2339" s="435"/>
      <c r="FW2339" s="435"/>
      <c r="FX2339" s="435"/>
      <c r="FY2339" s="435"/>
      <c r="FZ2339" s="435"/>
      <c r="GA2339" s="435"/>
      <c r="GB2339" s="435"/>
      <c r="GC2339" s="435"/>
      <c r="GD2339" s="435"/>
      <c r="GE2339" s="435"/>
      <c r="GF2339" s="435"/>
      <c r="GG2339" s="435"/>
      <c r="GH2339" s="435"/>
      <c r="GI2339" s="435"/>
      <c r="GJ2339" s="435"/>
      <c r="GK2339" s="435"/>
      <c r="GL2339" s="435"/>
      <c r="GM2339" s="435"/>
      <c r="GN2339" s="435"/>
      <c r="GO2339" s="435"/>
      <c r="GP2339" s="435"/>
      <c r="GQ2339" s="435"/>
      <c r="GR2339" s="435"/>
      <c r="GS2339" s="435"/>
      <c r="GT2339" s="435"/>
      <c r="GU2339" s="435"/>
      <c r="GV2339" s="435"/>
      <c r="GW2339" s="435"/>
      <c r="GX2339" s="435"/>
      <c r="GY2339" s="435"/>
      <c r="GZ2339" s="435"/>
      <c r="HA2339" s="435"/>
      <c r="HB2339" s="435"/>
      <c r="HC2339" s="435"/>
      <c r="HD2339" s="435"/>
      <c r="HE2339" s="435"/>
      <c r="HF2339" s="435"/>
      <c r="HG2339" s="435"/>
      <c r="HH2339" s="435"/>
      <c r="HI2339" s="435"/>
      <c r="HJ2339" s="435"/>
      <c r="HK2339" s="435"/>
      <c r="HL2339" s="435"/>
      <c r="HM2339" s="435"/>
    </row>
    <row r="2340" spans="1:221" s="996" customFormat="1" ht="37.5" customHeight="1">
      <c r="A2340" s="697">
        <f t="shared" si="305"/>
        <v>13</v>
      </c>
      <c r="B2340" s="698" t="s">
        <v>1954</v>
      </c>
      <c r="C2340" s="699" t="s">
        <v>218</v>
      </c>
      <c r="D2340" s="700">
        <f>E2340*2.7</f>
        <v>7492.5000000000009</v>
      </c>
      <c r="E2340" s="688">
        <v>2775</v>
      </c>
      <c r="F2340" s="651" t="s">
        <v>228</v>
      </c>
      <c r="G2340" s="688">
        <v>1187</v>
      </c>
      <c r="H2340" s="689">
        <v>5</v>
      </c>
      <c r="I2340" s="689">
        <v>2</v>
      </c>
      <c r="J2340" s="689">
        <v>124</v>
      </c>
      <c r="K2340" s="697" t="s">
        <v>33</v>
      </c>
      <c r="L2340" s="650">
        <f t="shared" si="299"/>
        <v>2902861</v>
      </c>
      <c r="M2340" s="650">
        <v>2861486</v>
      </c>
      <c r="N2340" s="688"/>
      <c r="O2340" s="473">
        <v>21475</v>
      </c>
      <c r="P2340" s="688"/>
      <c r="Q2340" s="388">
        <v>19900</v>
      </c>
      <c r="R2340" s="689">
        <f t="shared" si="302"/>
        <v>2410.6874473462512</v>
      </c>
      <c r="S2340" s="383">
        <f t="shared" si="303"/>
        <v>0</v>
      </c>
      <c r="T2340" s="435"/>
      <c r="U2340" s="472"/>
      <c r="V2340" s="390"/>
      <c r="W2340" s="995"/>
      <c r="X2340" s="995"/>
      <c r="Y2340" s="995"/>
      <c r="Z2340" s="995"/>
      <c r="AA2340" s="995"/>
      <c r="AB2340" s="995"/>
      <c r="AC2340" s="995"/>
      <c r="AD2340" s="995"/>
      <c r="AE2340" s="995"/>
      <c r="AF2340" s="995"/>
      <c r="AG2340" s="995"/>
      <c r="AH2340" s="995"/>
      <c r="AI2340" s="995"/>
      <c r="AJ2340" s="995"/>
      <c r="AK2340" s="995"/>
      <c r="AL2340" s="995"/>
      <c r="AM2340" s="995"/>
      <c r="AN2340" s="995"/>
      <c r="AO2340" s="995"/>
      <c r="AP2340" s="995"/>
      <c r="AQ2340" s="995"/>
      <c r="AR2340" s="995"/>
      <c r="AS2340" s="995"/>
      <c r="AT2340" s="995"/>
      <c r="AU2340" s="995"/>
      <c r="AV2340" s="995"/>
      <c r="AW2340" s="995"/>
      <c r="AX2340" s="995"/>
      <c r="AY2340" s="995"/>
      <c r="AZ2340" s="995"/>
      <c r="BA2340" s="995"/>
      <c r="BB2340" s="995"/>
      <c r="BC2340" s="995"/>
      <c r="BD2340" s="995"/>
      <c r="BE2340" s="995"/>
      <c r="BF2340" s="995"/>
      <c r="BG2340" s="995"/>
      <c r="BH2340" s="995"/>
      <c r="BI2340" s="995"/>
      <c r="BJ2340" s="995"/>
      <c r="BK2340" s="995"/>
      <c r="BL2340" s="995"/>
      <c r="BM2340" s="995"/>
      <c r="BN2340" s="995"/>
      <c r="BO2340" s="995"/>
      <c r="BP2340" s="995"/>
      <c r="BQ2340" s="995"/>
      <c r="BR2340" s="995"/>
      <c r="BS2340" s="995"/>
      <c r="BT2340" s="995"/>
      <c r="BU2340" s="995"/>
      <c r="BV2340" s="995"/>
      <c r="BW2340" s="995"/>
      <c r="BX2340" s="995"/>
      <c r="BY2340" s="995"/>
      <c r="BZ2340" s="995"/>
      <c r="CA2340" s="995"/>
      <c r="CB2340" s="995"/>
      <c r="CC2340" s="995"/>
      <c r="CD2340" s="995"/>
      <c r="CE2340" s="995"/>
      <c r="CF2340" s="995"/>
      <c r="CG2340" s="995"/>
      <c r="CH2340" s="995"/>
      <c r="CI2340" s="995"/>
      <c r="CJ2340" s="995"/>
      <c r="CK2340" s="995"/>
      <c r="CL2340" s="995"/>
      <c r="CM2340" s="995"/>
      <c r="CN2340" s="995"/>
      <c r="CO2340" s="995"/>
      <c r="CP2340" s="995"/>
      <c r="CQ2340" s="995"/>
      <c r="CR2340" s="995"/>
      <c r="CS2340" s="995"/>
      <c r="CT2340" s="995"/>
      <c r="CU2340" s="995"/>
      <c r="CV2340" s="995"/>
      <c r="CW2340" s="995"/>
      <c r="CX2340" s="995"/>
      <c r="CY2340" s="995"/>
      <c r="CZ2340" s="995"/>
      <c r="DA2340" s="995"/>
      <c r="DB2340" s="995"/>
      <c r="DC2340" s="995"/>
      <c r="DD2340" s="995"/>
      <c r="DE2340" s="995"/>
      <c r="DF2340" s="995"/>
      <c r="DG2340" s="995"/>
      <c r="DH2340" s="995"/>
      <c r="DI2340" s="995"/>
      <c r="DJ2340" s="995"/>
      <c r="DK2340" s="995"/>
      <c r="DL2340" s="995"/>
      <c r="DM2340" s="995"/>
      <c r="DN2340" s="995"/>
      <c r="DO2340" s="995"/>
      <c r="DP2340" s="995"/>
      <c r="DQ2340" s="995"/>
      <c r="DR2340" s="995"/>
      <c r="DS2340" s="995"/>
      <c r="DT2340" s="995"/>
      <c r="DU2340" s="995"/>
      <c r="DV2340" s="995"/>
      <c r="DW2340" s="995"/>
      <c r="DX2340" s="995"/>
      <c r="DY2340" s="995"/>
      <c r="DZ2340" s="995"/>
      <c r="EA2340" s="995"/>
      <c r="EB2340" s="995"/>
      <c r="EC2340" s="995"/>
      <c r="ED2340" s="995"/>
      <c r="EE2340" s="995"/>
      <c r="EF2340" s="995"/>
      <c r="EG2340" s="995"/>
      <c r="EH2340" s="995"/>
      <c r="EI2340" s="995"/>
      <c r="EJ2340" s="995"/>
      <c r="EK2340" s="995"/>
      <c r="EL2340" s="995"/>
      <c r="EM2340" s="995"/>
      <c r="EN2340" s="995"/>
      <c r="EO2340" s="995"/>
      <c r="EP2340" s="995"/>
      <c r="EQ2340" s="995"/>
      <c r="ER2340" s="995"/>
      <c r="ES2340" s="995"/>
      <c r="ET2340" s="995"/>
      <c r="EU2340" s="995"/>
      <c r="EV2340" s="995"/>
      <c r="EW2340" s="995"/>
      <c r="EX2340" s="995"/>
      <c r="EY2340" s="995"/>
      <c r="EZ2340" s="995"/>
      <c r="FA2340" s="995"/>
      <c r="FB2340" s="995"/>
      <c r="FC2340" s="995"/>
      <c r="FD2340" s="995"/>
      <c r="FE2340" s="995"/>
      <c r="FF2340" s="995"/>
      <c r="FG2340" s="995"/>
      <c r="FH2340" s="995"/>
      <c r="FI2340" s="995"/>
      <c r="FJ2340" s="995"/>
      <c r="FK2340" s="995"/>
      <c r="FL2340" s="995"/>
      <c r="FM2340" s="995"/>
      <c r="FN2340" s="995"/>
      <c r="FO2340" s="995"/>
      <c r="FP2340" s="995"/>
      <c r="FQ2340" s="995"/>
      <c r="FR2340" s="995"/>
      <c r="FS2340" s="995"/>
      <c r="FT2340" s="995"/>
      <c r="FU2340" s="995"/>
      <c r="FV2340" s="995"/>
      <c r="FW2340" s="995"/>
      <c r="FX2340" s="995"/>
      <c r="FY2340" s="995"/>
      <c r="FZ2340" s="995"/>
      <c r="GA2340" s="995"/>
      <c r="GB2340" s="995"/>
      <c r="GC2340" s="995"/>
      <c r="GD2340" s="995"/>
      <c r="GE2340" s="995"/>
      <c r="GF2340" s="995"/>
      <c r="GG2340" s="995"/>
      <c r="GH2340" s="995"/>
      <c r="GI2340" s="995"/>
      <c r="GJ2340" s="995"/>
      <c r="GK2340" s="995"/>
      <c r="GL2340" s="995"/>
      <c r="GM2340" s="995"/>
      <c r="GN2340" s="995"/>
      <c r="GO2340" s="995"/>
      <c r="GP2340" s="995"/>
      <c r="GQ2340" s="995"/>
      <c r="GR2340" s="995"/>
      <c r="GS2340" s="995"/>
      <c r="GT2340" s="995"/>
      <c r="GU2340" s="995"/>
      <c r="GV2340" s="995"/>
      <c r="GW2340" s="995"/>
      <c r="GX2340" s="995"/>
      <c r="GY2340" s="995"/>
      <c r="GZ2340" s="995"/>
      <c r="HA2340" s="995"/>
      <c r="HB2340" s="995"/>
      <c r="HC2340" s="995"/>
      <c r="HD2340" s="995"/>
      <c r="HE2340" s="995"/>
      <c r="HF2340" s="995"/>
      <c r="HG2340" s="995"/>
      <c r="HH2340" s="995"/>
      <c r="HI2340" s="995"/>
      <c r="HJ2340" s="995"/>
      <c r="HK2340" s="995"/>
      <c r="HL2340" s="995"/>
      <c r="HM2340" s="995"/>
    </row>
    <row r="2341" spans="1:221" s="996" customFormat="1" ht="37.5" customHeight="1">
      <c r="A2341" s="697">
        <f t="shared" si="305"/>
        <v>14</v>
      </c>
      <c r="B2341" s="698" t="s">
        <v>3566</v>
      </c>
      <c r="C2341" s="699" t="s">
        <v>218</v>
      </c>
      <c r="D2341" s="700">
        <v>3276</v>
      </c>
      <c r="E2341" s="688">
        <v>1310.4000000000001</v>
      </c>
      <c r="F2341" s="651" t="s">
        <v>231</v>
      </c>
      <c r="G2341" s="688">
        <v>766.8</v>
      </c>
      <c r="H2341" s="689">
        <v>6</v>
      </c>
      <c r="I2341" s="689">
        <v>2</v>
      </c>
      <c r="J2341" s="689">
        <v>53</v>
      </c>
      <c r="K2341" s="697" t="s">
        <v>33</v>
      </c>
      <c r="L2341" s="650">
        <f t="shared" si="299"/>
        <v>1803473.36</v>
      </c>
      <c r="M2341" s="650">
        <v>1774460</v>
      </c>
      <c r="N2341" s="688">
        <v>23314</v>
      </c>
      <c r="O2341" s="703"/>
      <c r="P2341" s="688"/>
      <c r="Q2341" s="388">
        <v>5699.36</v>
      </c>
      <c r="R2341" s="648">
        <f t="shared" si="302"/>
        <v>2314.1105894627021</v>
      </c>
      <c r="S2341" s="383">
        <f t="shared" si="303"/>
        <v>1.0277290130034089E-10</v>
      </c>
      <c r="T2341" s="435"/>
      <c r="U2341" s="472"/>
      <c r="V2341" s="390"/>
      <c r="W2341" s="995"/>
      <c r="X2341" s="995"/>
      <c r="Y2341" s="995"/>
      <c r="Z2341" s="995"/>
      <c r="AA2341" s="995"/>
      <c r="AB2341" s="995"/>
      <c r="AC2341" s="995"/>
      <c r="AD2341" s="995"/>
      <c r="AE2341" s="995"/>
      <c r="AF2341" s="995"/>
      <c r="AG2341" s="995"/>
      <c r="AH2341" s="995"/>
      <c r="AI2341" s="995"/>
      <c r="AJ2341" s="995"/>
      <c r="AK2341" s="995"/>
      <c r="AL2341" s="995"/>
      <c r="AM2341" s="995"/>
      <c r="AN2341" s="995"/>
      <c r="AO2341" s="995"/>
      <c r="AP2341" s="995"/>
      <c r="AQ2341" s="995"/>
      <c r="AR2341" s="995"/>
      <c r="AS2341" s="995"/>
      <c r="AT2341" s="995"/>
      <c r="AU2341" s="995"/>
      <c r="AV2341" s="995"/>
      <c r="AW2341" s="995"/>
      <c r="AX2341" s="995"/>
      <c r="AY2341" s="995"/>
      <c r="AZ2341" s="995"/>
      <c r="BA2341" s="995"/>
      <c r="BB2341" s="995"/>
      <c r="BC2341" s="995"/>
      <c r="BD2341" s="995"/>
      <c r="BE2341" s="995"/>
      <c r="BF2341" s="995"/>
      <c r="BG2341" s="995"/>
      <c r="BH2341" s="995"/>
      <c r="BI2341" s="995"/>
      <c r="BJ2341" s="995"/>
      <c r="BK2341" s="995"/>
      <c r="BL2341" s="995"/>
      <c r="BM2341" s="995"/>
      <c r="BN2341" s="995"/>
      <c r="BO2341" s="995"/>
      <c r="BP2341" s="995"/>
      <c r="BQ2341" s="995"/>
      <c r="BR2341" s="995"/>
      <c r="BS2341" s="995"/>
      <c r="BT2341" s="995"/>
      <c r="BU2341" s="995"/>
      <c r="BV2341" s="995"/>
      <c r="BW2341" s="995"/>
      <c r="BX2341" s="995"/>
      <c r="BY2341" s="995"/>
      <c r="BZ2341" s="995"/>
      <c r="CA2341" s="995"/>
      <c r="CB2341" s="995"/>
      <c r="CC2341" s="995"/>
      <c r="CD2341" s="995"/>
      <c r="CE2341" s="995"/>
      <c r="CF2341" s="995"/>
      <c r="CG2341" s="995"/>
      <c r="CH2341" s="995"/>
      <c r="CI2341" s="995"/>
      <c r="CJ2341" s="995"/>
      <c r="CK2341" s="995"/>
      <c r="CL2341" s="995"/>
      <c r="CM2341" s="995"/>
      <c r="CN2341" s="995"/>
      <c r="CO2341" s="995"/>
      <c r="CP2341" s="995"/>
      <c r="CQ2341" s="995"/>
      <c r="CR2341" s="995"/>
      <c r="CS2341" s="995"/>
      <c r="CT2341" s="995"/>
      <c r="CU2341" s="995"/>
      <c r="CV2341" s="995"/>
      <c r="CW2341" s="995"/>
      <c r="CX2341" s="995"/>
      <c r="CY2341" s="995"/>
      <c r="CZ2341" s="995"/>
      <c r="DA2341" s="995"/>
      <c r="DB2341" s="995"/>
      <c r="DC2341" s="995"/>
      <c r="DD2341" s="995"/>
      <c r="DE2341" s="995"/>
      <c r="DF2341" s="995"/>
      <c r="DG2341" s="995"/>
      <c r="DH2341" s="995"/>
      <c r="DI2341" s="995"/>
      <c r="DJ2341" s="995"/>
      <c r="DK2341" s="995"/>
      <c r="DL2341" s="995"/>
      <c r="DM2341" s="995"/>
      <c r="DN2341" s="995"/>
      <c r="DO2341" s="995"/>
      <c r="DP2341" s="995"/>
      <c r="DQ2341" s="995"/>
      <c r="DR2341" s="995"/>
      <c r="DS2341" s="995"/>
      <c r="DT2341" s="995"/>
      <c r="DU2341" s="995"/>
      <c r="DV2341" s="995"/>
      <c r="DW2341" s="995"/>
      <c r="DX2341" s="995"/>
      <c r="DY2341" s="995"/>
      <c r="DZ2341" s="995"/>
      <c r="EA2341" s="995"/>
      <c r="EB2341" s="995"/>
      <c r="EC2341" s="995"/>
      <c r="ED2341" s="995"/>
      <c r="EE2341" s="995"/>
      <c r="EF2341" s="995"/>
      <c r="EG2341" s="995"/>
      <c r="EH2341" s="995"/>
      <c r="EI2341" s="995"/>
      <c r="EJ2341" s="995"/>
      <c r="EK2341" s="995"/>
      <c r="EL2341" s="995"/>
      <c r="EM2341" s="995"/>
      <c r="EN2341" s="995"/>
      <c r="EO2341" s="995"/>
      <c r="EP2341" s="995"/>
      <c r="EQ2341" s="995"/>
      <c r="ER2341" s="995"/>
      <c r="ES2341" s="995"/>
      <c r="ET2341" s="995"/>
      <c r="EU2341" s="995"/>
      <c r="EV2341" s="995"/>
      <c r="EW2341" s="995"/>
      <c r="EX2341" s="995"/>
      <c r="EY2341" s="995"/>
      <c r="EZ2341" s="995"/>
      <c r="FA2341" s="995"/>
      <c r="FB2341" s="995"/>
      <c r="FC2341" s="995"/>
      <c r="FD2341" s="995"/>
      <c r="FE2341" s="995"/>
      <c r="FF2341" s="995"/>
      <c r="FG2341" s="995"/>
      <c r="FH2341" s="995"/>
      <c r="FI2341" s="995"/>
      <c r="FJ2341" s="995"/>
      <c r="FK2341" s="995"/>
      <c r="FL2341" s="995"/>
      <c r="FM2341" s="995"/>
      <c r="FN2341" s="995"/>
      <c r="FO2341" s="995"/>
      <c r="FP2341" s="995"/>
      <c r="FQ2341" s="995"/>
      <c r="FR2341" s="995"/>
      <c r="FS2341" s="995"/>
      <c r="FT2341" s="995"/>
      <c r="FU2341" s="995"/>
      <c r="FV2341" s="995"/>
      <c r="FW2341" s="995"/>
      <c r="FX2341" s="995"/>
      <c r="FY2341" s="995"/>
      <c r="FZ2341" s="995"/>
      <c r="GA2341" s="995"/>
      <c r="GB2341" s="995"/>
      <c r="GC2341" s="995"/>
      <c r="GD2341" s="995"/>
      <c r="GE2341" s="995"/>
      <c r="GF2341" s="995"/>
      <c r="GG2341" s="995"/>
      <c r="GH2341" s="995"/>
      <c r="GI2341" s="995"/>
      <c r="GJ2341" s="995"/>
      <c r="GK2341" s="995"/>
      <c r="GL2341" s="995"/>
      <c r="GM2341" s="995"/>
      <c r="GN2341" s="995"/>
      <c r="GO2341" s="995"/>
      <c r="GP2341" s="995"/>
      <c r="GQ2341" s="995"/>
      <c r="GR2341" s="995"/>
      <c r="GS2341" s="995"/>
      <c r="GT2341" s="995"/>
      <c r="GU2341" s="995"/>
      <c r="GV2341" s="995"/>
      <c r="GW2341" s="995"/>
      <c r="GX2341" s="995"/>
      <c r="GY2341" s="995"/>
      <c r="GZ2341" s="995"/>
      <c r="HA2341" s="995"/>
      <c r="HB2341" s="995"/>
      <c r="HC2341" s="995"/>
      <c r="HD2341" s="995"/>
      <c r="HE2341" s="995"/>
      <c r="HF2341" s="995"/>
      <c r="HG2341" s="995"/>
      <c r="HH2341" s="995"/>
      <c r="HI2341" s="995"/>
      <c r="HJ2341" s="995"/>
      <c r="HK2341" s="995"/>
      <c r="HL2341" s="995"/>
      <c r="HM2341" s="995"/>
    </row>
    <row r="2342" spans="1:221" s="403" customFormat="1" ht="42.75" customHeight="1">
      <c r="A2342" s="1155" t="s">
        <v>34</v>
      </c>
      <c r="B2342" s="1155"/>
      <c r="C2342" s="641" t="s">
        <v>28</v>
      </c>
      <c r="D2342" s="641">
        <f>SUM(D2328:D2341)</f>
        <v>49899.060000000005</v>
      </c>
      <c r="E2342" s="388">
        <f>SUM(E2328:E2341)</f>
        <v>18894.2</v>
      </c>
      <c r="F2342" s="388" t="s">
        <v>28</v>
      </c>
      <c r="G2342" s="388">
        <f>SUM(G2328:G2341)</f>
        <v>12015.47</v>
      </c>
      <c r="H2342" s="446" t="s">
        <v>28</v>
      </c>
      <c r="I2342" s="446" t="s">
        <v>28</v>
      </c>
      <c r="J2342" s="446">
        <f>SUM(J2328:J2341)</f>
        <v>670</v>
      </c>
      <c r="K2342" s="389" t="s">
        <v>28</v>
      </c>
      <c r="L2342" s="519">
        <f>SUM(L2328:L2341)</f>
        <v>29679472.07</v>
      </c>
      <c r="M2342" s="519">
        <f>SUM(M2328:M2341)</f>
        <v>29122599</v>
      </c>
      <c r="N2342" s="388">
        <f>SUM(N2328:N2341)</f>
        <v>355247</v>
      </c>
      <c r="O2342" s="473">
        <f>SUM(O2328:O2341)</f>
        <v>64130</v>
      </c>
      <c r="P2342" s="388"/>
      <c r="Q2342" s="388">
        <f>SUM(Q2328:Q2341)</f>
        <v>137496.07</v>
      </c>
      <c r="R2342" s="446" t="s">
        <v>28</v>
      </c>
      <c r="S2342" s="393">
        <f t="shared" si="303"/>
        <v>2.9103830456733704E-10</v>
      </c>
      <c r="T2342" s="393"/>
      <c r="U2342" s="404"/>
      <c r="V2342" s="390"/>
    </row>
    <row r="2343" spans="1:221" s="403" customFormat="1" ht="42.75" customHeight="1">
      <c r="A2343" s="1113" t="s">
        <v>57</v>
      </c>
      <c r="B2343" s="1113"/>
      <c r="C2343" s="1113"/>
      <c r="D2343" s="1113"/>
      <c r="E2343" s="1113"/>
      <c r="F2343" s="1113"/>
      <c r="G2343" s="1113"/>
      <c r="H2343" s="1113"/>
      <c r="I2343" s="1113"/>
      <c r="J2343" s="1113"/>
      <c r="K2343" s="1113"/>
      <c r="L2343" s="1113"/>
      <c r="M2343" s="1113"/>
      <c r="N2343" s="1113"/>
      <c r="O2343" s="1113"/>
      <c r="P2343" s="1113"/>
      <c r="Q2343" s="1113"/>
      <c r="R2343" s="458"/>
      <c r="T2343" s="393"/>
      <c r="U2343" s="404"/>
      <c r="V2343" s="390"/>
    </row>
    <row r="2344" spans="1:221" s="403" customFormat="1" ht="75" customHeight="1">
      <c r="A2344" s="458">
        <v>1</v>
      </c>
      <c r="B2344" s="424" t="s">
        <v>1955</v>
      </c>
      <c r="C2344" s="648" t="s">
        <v>222</v>
      </c>
      <c r="D2344" s="681">
        <v>1748</v>
      </c>
      <c r="E2344" s="646">
        <v>524.70000000000005</v>
      </c>
      <c r="F2344" s="646" t="s">
        <v>223</v>
      </c>
      <c r="G2344" s="646">
        <v>586.29999999999995</v>
      </c>
      <c r="H2344" s="648">
        <v>2</v>
      </c>
      <c r="I2344" s="648">
        <v>2</v>
      </c>
      <c r="J2344" s="648">
        <v>16</v>
      </c>
      <c r="K2344" s="458" t="s">
        <v>418</v>
      </c>
      <c r="L2344" s="519">
        <f>M2344+N2344+O2344+P2344+Q2344</f>
        <v>238819.03</v>
      </c>
      <c r="M2344" s="645">
        <f>J2344*14000</f>
        <v>224000</v>
      </c>
      <c r="N2344" s="646"/>
      <c r="O2344" s="473">
        <v>10645</v>
      </c>
      <c r="P2344" s="646"/>
      <c r="Q2344" s="388">
        <v>4174.03</v>
      </c>
      <c r="R2344" s="648">
        <f>M2344/J2344</f>
        <v>14000</v>
      </c>
      <c r="S2344" s="383">
        <f>L2344-M2344-N2344-O2344-P2344-Q2344</f>
        <v>0</v>
      </c>
      <c r="T2344" s="406">
        <f>L2344-M2344-N2344-O2344-Q2344</f>
        <v>0</v>
      </c>
      <c r="U2344" s="404"/>
      <c r="V2344" s="390"/>
      <c r="Z2344" s="416">
        <v>1</v>
      </c>
      <c r="AA2344" s="416">
        <f>J2344</f>
        <v>16</v>
      </c>
    </row>
    <row r="2345" spans="1:221" s="403" customFormat="1" ht="75" customHeight="1">
      <c r="A2345" s="458">
        <v>2</v>
      </c>
      <c r="B2345" s="403" t="s">
        <v>1956</v>
      </c>
      <c r="C2345" s="455" t="s">
        <v>218</v>
      </c>
      <c r="D2345" s="641">
        <v>1920</v>
      </c>
      <c r="E2345" s="388">
        <v>1404</v>
      </c>
      <c r="F2345" s="388" t="s">
        <v>223</v>
      </c>
      <c r="G2345" s="388">
        <v>511</v>
      </c>
      <c r="H2345" s="446">
        <v>2</v>
      </c>
      <c r="I2345" s="446">
        <v>2</v>
      </c>
      <c r="J2345" s="446">
        <v>16</v>
      </c>
      <c r="K2345" s="458" t="s">
        <v>3766</v>
      </c>
      <c r="L2345" s="519">
        <f>M2345+N2345+O2345+P2345+Q2345</f>
        <v>2380241.7799999998</v>
      </c>
      <c r="M2345" s="650">
        <v>2341948</v>
      </c>
      <c r="N2345" s="388">
        <v>26111</v>
      </c>
      <c r="O2345" s="473"/>
      <c r="P2345" s="688"/>
      <c r="Q2345" s="388">
        <v>12182.78</v>
      </c>
      <c r="R2345" s="528">
        <f>M2345/E2345</f>
        <v>1668.0541310541309</v>
      </c>
      <c r="S2345" s="383">
        <f>L2345-M2345-N2345-O2345-P2345-Q2345</f>
        <v>-2.0554580260068178E-10</v>
      </c>
      <c r="T2345" s="393"/>
      <c r="U2345" s="404"/>
      <c r="V2345" s="390"/>
    </row>
    <row r="2346" spans="1:221" s="403" customFormat="1" ht="75" customHeight="1">
      <c r="A2346" s="458">
        <v>3</v>
      </c>
      <c r="B2346" s="403" t="s">
        <v>1957</v>
      </c>
      <c r="C2346" s="455" t="s">
        <v>222</v>
      </c>
      <c r="D2346" s="641">
        <v>1190</v>
      </c>
      <c r="E2346" s="388">
        <v>297.5</v>
      </c>
      <c r="F2346" s="388" t="s">
        <v>223</v>
      </c>
      <c r="G2346" s="388">
        <v>670</v>
      </c>
      <c r="H2346" s="446">
        <v>2</v>
      </c>
      <c r="I2346" s="446">
        <v>2</v>
      </c>
      <c r="J2346" s="446">
        <v>12</v>
      </c>
      <c r="K2346" s="458" t="s">
        <v>256</v>
      </c>
      <c r="L2346" s="650">
        <f>M2346+N2346+O2346+P2346+Q2346</f>
        <v>1430280.87</v>
      </c>
      <c r="M2346" s="650">
        <v>1397506</v>
      </c>
      <c r="N2346" s="688">
        <v>26977</v>
      </c>
      <c r="O2346" s="703"/>
      <c r="P2346" s="688"/>
      <c r="Q2346" s="388">
        <v>5797.87</v>
      </c>
      <c r="R2346" s="689">
        <f>M2346/G2346</f>
        <v>2085.8298507462687</v>
      </c>
      <c r="S2346" s="383">
        <f>L2346-M2346-N2346-O2346-P2346-Q2346</f>
        <v>1.1186784831807017E-10</v>
      </c>
      <c r="T2346" s="393"/>
      <c r="U2346" s="404"/>
      <c r="V2346" s="390"/>
    </row>
    <row r="2347" spans="1:221" s="403" customFormat="1" ht="42.75" customHeight="1">
      <c r="A2347" s="1112" t="s">
        <v>58</v>
      </c>
      <c r="B2347" s="1112"/>
      <c r="C2347" s="388" t="s">
        <v>28</v>
      </c>
      <c r="D2347" s="641">
        <f>SUM(D2344:D2346)</f>
        <v>4858</v>
      </c>
      <c r="E2347" s="388">
        <f>SUM(E2344:E2346)</f>
        <v>2226.1999999999998</v>
      </c>
      <c r="F2347" s="388" t="s">
        <v>28</v>
      </c>
      <c r="G2347" s="388">
        <f>SUM(G2344:G2346)</f>
        <v>1767.3</v>
      </c>
      <c r="H2347" s="446" t="s">
        <v>28</v>
      </c>
      <c r="I2347" s="446" t="s">
        <v>28</v>
      </c>
      <c r="J2347" s="446">
        <f>SUM(J2344:J2346)</f>
        <v>44</v>
      </c>
      <c r="K2347" s="389" t="s">
        <v>28</v>
      </c>
      <c r="L2347" s="519">
        <f t="shared" ref="L2347:Q2347" si="306">SUM(L2344:L2346)</f>
        <v>4049341.6799999997</v>
      </c>
      <c r="M2347" s="519">
        <f t="shared" si="306"/>
        <v>3963454</v>
      </c>
      <c r="N2347" s="388">
        <f t="shared" si="306"/>
        <v>53088</v>
      </c>
      <c r="O2347" s="473">
        <f t="shared" si="306"/>
        <v>10645</v>
      </c>
      <c r="P2347" s="388">
        <f t="shared" si="306"/>
        <v>0</v>
      </c>
      <c r="Q2347" s="388">
        <f t="shared" si="306"/>
        <v>22154.68</v>
      </c>
      <c r="R2347" s="446" t="s">
        <v>28</v>
      </c>
      <c r="S2347" s="393">
        <f>L2347-M2347-N2347-O2347-P2347-Q2347</f>
        <v>-2.9831426218152046E-10</v>
      </c>
      <c r="T2347" s="393"/>
      <c r="U2347" s="404"/>
      <c r="V2347" s="390"/>
    </row>
    <row r="2348" spans="1:221" s="403" customFormat="1" ht="42.75" customHeight="1">
      <c r="A2348" s="1113" t="s">
        <v>59</v>
      </c>
      <c r="B2348" s="1113"/>
      <c r="C2348" s="1113"/>
      <c r="D2348" s="1113"/>
      <c r="E2348" s="1113"/>
      <c r="F2348" s="1113"/>
      <c r="G2348" s="1113"/>
      <c r="H2348" s="1113"/>
      <c r="I2348" s="1113"/>
      <c r="J2348" s="1113"/>
      <c r="K2348" s="1113"/>
      <c r="L2348" s="1113"/>
      <c r="M2348" s="1113"/>
      <c r="N2348" s="1113"/>
      <c r="O2348" s="1113"/>
      <c r="P2348" s="1113"/>
      <c r="Q2348" s="1113"/>
      <c r="R2348" s="458"/>
      <c r="T2348" s="393"/>
      <c r="U2348" s="404"/>
      <c r="V2348" s="390"/>
    </row>
    <row r="2349" spans="1:221" s="403" customFormat="1" ht="78" customHeight="1">
      <c r="A2349" s="704">
        <v>1</v>
      </c>
      <c r="B2349" s="705" t="s">
        <v>3385</v>
      </c>
      <c r="C2349" s="706" t="s">
        <v>222</v>
      </c>
      <c r="D2349" s="707">
        <v>1227.6000000000001</v>
      </c>
      <c r="E2349" s="388">
        <v>409.20000000000005</v>
      </c>
      <c r="F2349" s="388" t="s">
        <v>223</v>
      </c>
      <c r="G2349" s="644">
        <v>746.5</v>
      </c>
      <c r="H2349" s="708">
        <v>2</v>
      </c>
      <c r="I2349" s="708">
        <v>1</v>
      </c>
      <c r="J2349" s="708">
        <v>17</v>
      </c>
      <c r="K2349" s="697" t="s">
        <v>4284</v>
      </c>
      <c r="L2349" s="650">
        <f>M2349+N2349+O2349+P2349+Q2349</f>
        <v>1527356.91</v>
      </c>
      <c r="M2349" s="650">
        <v>1493000</v>
      </c>
      <c r="N2349" s="688">
        <v>25385</v>
      </c>
      <c r="O2349" s="703"/>
      <c r="P2349" s="688"/>
      <c r="Q2349" s="388">
        <v>8971.91</v>
      </c>
      <c r="R2349" s="689">
        <f>M2349/G2349</f>
        <v>2000</v>
      </c>
      <c r="S2349" s="383">
        <f t="shared" ref="S2349:S2356" si="307">L2349-M2349-N2349-O2349-P2349-Q2349</f>
        <v>-8.3673512563109398E-11</v>
      </c>
      <c r="T2349" s="393"/>
      <c r="U2349" s="404"/>
      <c r="V2349" s="390"/>
    </row>
    <row r="2350" spans="1:221" s="403" customFormat="1" ht="42.75" customHeight="1">
      <c r="A2350" s="1112" t="s">
        <v>60</v>
      </c>
      <c r="B2350" s="1112"/>
      <c r="C2350" s="388" t="s">
        <v>28</v>
      </c>
      <c r="D2350" s="641">
        <f>SUM(D2349)</f>
        <v>1227.6000000000001</v>
      </c>
      <c r="E2350" s="388">
        <f>SUM(E2349)</f>
        <v>409.20000000000005</v>
      </c>
      <c r="F2350" s="388" t="s">
        <v>28</v>
      </c>
      <c r="G2350" s="388">
        <f>SUM(G2349)</f>
        <v>746.5</v>
      </c>
      <c r="H2350" s="446" t="s">
        <v>28</v>
      </c>
      <c r="I2350" s="446" t="s">
        <v>28</v>
      </c>
      <c r="J2350" s="446">
        <f>SUM(J2349)</f>
        <v>17</v>
      </c>
      <c r="K2350" s="389" t="s">
        <v>28</v>
      </c>
      <c r="L2350" s="519">
        <f>SUM(L2349)</f>
        <v>1527356.91</v>
      </c>
      <c r="M2350" s="519">
        <f>SUM(M2349)</f>
        <v>1493000</v>
      </c>
      <c r="N2350" s="388">
        <f>SUM(N2349)</f>
        <v>25385</v>
      </c>
      <c r="O2350" s="473"/>
      <c r="P2350" s="388"/>
      <c r="Q2350" s="388">
        <f>SUM(Q2349)</f>
        <v>8971.91</v>
      </c>
      <c r="R2350" s="446" t="s">
        <v>28</v>
      </c>
      <c r="S2350" s="383">
        <f t="shared" si="307"/>
        <v>-8.3673512563109398E-11</v>
      </c>
      <c r="T2350" s="393"/>
      <c r="U2350" s="404"/>
      <c r="V2350" s="390"/>
    </row>
    <row r="2351" spans="1:221" s="403" customFormat="1" ht="42.75" customHeight="1">
      <c r="A2351" s="1113" t="s">
        <v>61</v>
      </c>
      <c r="B2351" s="1113"/>
      <c r="C2351" s="1113"/>
      <c r="D2351" s="1113"/>
      <c r="E2351" s="1113"/>
      <c r="F2351" s="1113"/>
      <c r="G2351" s="1113"/>
      <c r="H2351" s="1113"/>
      <c r="I2351" s="1113"/>
      <c r="J2351" s="1113"/>
      <c r="K2351" s="1113"/>
      <c r="L2351" s="1113"/>
      <c r="M2351" s="1113"/>
      <c r="N2351" s="1113"/>
      <c r="O2351" s="1113"/>
      <c r="P2351" s="1113"/>
      <c r="Q2351" s="1113"/>
      <c r="R2351" s="458"/>
      <c r="S2351" s="383">
        <f t="shared" si="307"/>
        <v>0</v>
      </c>
      <c r="T2351" s="393"/>
      <c r="U2351" s="404"/>
      <c r="V2351" s="390"/>
    </row>
    <row r="2352" spans="1:221" s="405" customFormat="1" ht="75" customHeight="1">
      <c r="A2352" s="500">
        <v>1</v>
      </c>
      <c r="B2352" s="403" t="s">
        <v>1959</v>
      </c>
      <c r="C2352" s="455" t="s">
        <v>222</v>
      </c>
      <c r="D2352" s="606">
        <v>3500</v>
      </c>
      <c r="E2352" s="391">
        <v>769</v>
      </c>
      <c r="F2352" s="388" t="s">
        <v>224</v>
      </c>
      <c r="G2352" s="391">
        <v>1560</v>
      </c>
      <c r="H2352" s="528">
        <v>6</v>
      </c>
      <c r="I2352" s="528">
        <v>5</v>
      </c>
      <c r="J2352" s="528">
        <v>112</v>
      </c>
      <c r="K2352" s="458" t="s">
        <v>33</v>
      </c>
      <c r="L2352" s="519">
        <f>M2352+N2352+O2352+P2352+Q2352</f>
        <v>4331025.41</v>
      </c>
      <c r="M2352" s="519">
        <v>4299469</v>
      </c>
      <c r="N2352" s="388">
        <v>25468</v>
      </c>
      <c r="O2352" s="473"/>
      <c r="P2352" s="388"/>
      <c r="Q2352" s="388">
        <v>6088.41</v>
      </c>
      <c r="R2352" s="528">
        <f>M2352/G2352</f>
        <v>2756.0698717948717</v>
      </c>
      <c r="S2352" s="383">
        <f t="shared" si="307"/>
        <v>1.4915713109076023E-10</v>
      </c>
      <c r="V2352" s="390"/>
    </row>
    <row r="2353" spans="1:22" s="403" customFormat="1" ht="37.5" customHeight="1">
      <c r="A2353" s="458">
        <v>2</v>
      </c>
      <c r="B2353" s="403" t="s">
        <v>1960</v>
      </c>
      <c r="C2353" s="648" t="s">
        <v>222</v>
      </c>
      <c r="D2353" s="641">
        <f>E2353*2.8</f>
        <v>2688</v>
      </c>
      <c r="E2353" s="388">
        <v>960</v>
      </c>
      <c r="F2353" s="646" t="s">
        <v>242</v>
      </c>
      <c r="G2353" s="388">
        <f>(20*I2353)*12.2*1.3</f>
        <v>951.6</v>
      </c>
      <c r="H2353" s="446">
        <v>2</v>
      </c>
      <c r="I2353" s="446">
        <v>3</v>
      </c>
      <c r="J2353" s="446">
        <v>24</v>
      </c>
      <c r="K2353" s="458" t="s">
        <v>235</v>
      </c>
      <c r="L2353" s="519">
        <f>M2353+N2353+O2353+Q2353</f>
        <v>2665102.19</v>
      </c>
      <c r="M2353" s="519">
        <v>2622610</v>
      </c>
      <c r="N2353" s="388">
        <v>29396</v>
      </c>
      <c r="O2353" s="473"/>
      <c r="P2353" s="388"/>
      <c r="Q2353" s="388">
        <v>13096.19</v>
      </c>
      <c r="R2353" s="446">
        <f>M2353/G2353</f>
        <v>2756.0004203446824</v>
      </c>
      <c r="S2353" s="383">
        <f t="shared" si="307"/>
        <v>-5.6388671509921551E-11</v>
      </c>
      <c r="T2353" s="393"/>
      <c r="U2353" s="404"/>
      <c r="V2353" s="390"/>
    </row>
    <row r="2354" spans="1:22" s="403" customFormat="1" ht="37.5" customHeight="1">
      <c r="A2354" s="458">
        <v>3</v>
      </c>
      <c r="B2354" s="403" t="s">
        <v>1961</v>
      </c>
      <c r="C2354" s="648" t="s">
        <v>222</v>
      </c>
      <c r="D2354" s="641">
        <f>E2354*2.8</f>
        <v>2157.5679999999998</v>
      </c>
      <c r="E2354" s="388">
        <v>770.56</v>
      </c>
      <c r="F2354" s="646" t="s">
        <v>242</v>
      </c>
      <c r="G2354" s="388">
        <v>970</v>
      </c>
      <c r="H2354" s="446">
        <v>2</v>
      </c>
      <c r="I2354" s="446">
        <v>3</v>
      </c>
      <c r="J2354" s="446">
        <v>22</v>
      </c>
      <c r="K2354" s="458" t="s">
        <v>235</v>
      </c>
      <c r="L2354" s="519">
        <f>M2354+N2354+O2354+Q2354</f>
        <v>2754943.17</v>
      </c>
      <c r="M2354" s="519">
        <v>2716000</v>
      </c>
      <c r="N2354" s="388">
        <v>28431</v>
      </c>
      <c r="O2354" s="473"/>
      <c r="P2354" s="388"/>
      <c r="Q2354" s="388">
        <v>10512.17</v>
      </c>
      <c r="R2354" s="446">
        <f>M2354/G2354</f>
        <v>2800</v>
      </c>
      <c r="S2354" s="383">
        <f t="shared" si="307"/>
        <v>-7.4578565545380116E-11</v>
      </c>
      <c r="T2354" s="393"/>
      <c r="U2354" s="404"/>
      <c r="V2354" s="390"/>
    </row>
    <row r="2355" spans="1:22" s="403" customFormat="1" ht="37.5" customHeight="1">
      <c r="A2355" s="458">
        <f>A2354+1</f>
        <v>4</v>
      </c>
      <c r="B2355" s="403" t="s">
        <v>1962</v>
      </c>
      <c r="C2355" s="648" t="s">
        <v>222</v>
      </c>
      <c r="D2355" s="641">
        <v>1881.6</v>
      </c>
      <c r="E2355" s="388">
        <v>672</v>
      </c>
      <c r="F2355" s="388" t="s">
        <v>224</v>
      </c>
      <c r="G2355" s="388">
        <v>850</v>
      </c>
      <c r="H2355" s="446">
        <v>2</v>
      </c>
      <c r="I2355" s="446">
        <v>1</v>
      </c>
      <c r="J2355" s="446">
        <v>44</v>
      </c>
      <c r="K2355" s="458" t="s">
        <v>33</v>
      </c>
      <c r="L2355" s="519">
        <f>M2355+N2355+O2355+P2355+Q2355</f>
        <v>1288709.93</v>
      </c>
      <c r="M2355" s="519">
        <v>1262500</v>
      </c>
      <c r="N2355" s="388"/>
      <c r="O2355" s="473">
        <v>17042</v>
      </c>
      <c r="P2355" s="388"/>
      <c r="Q2355" s="388">
        <v>9167.93</v>
      </c>
      <c r="R2355" s="446">
        <f>M2355/G2355</f>
        <v>1485.2941176470588</v>
      </c>
      <c r="S2355" s="383">
        <f t="shared" si="307"/>
        <v>-6.5483618527650833E-11</v>
      </c>
      <c r="T2355" s="406">
        <f>L2355-M2355-N2355-O2355-Q2355</f>
        <v>-6.5483618527650833E-11</v>
      </c>
      <c r="U2355" s="404"/>
      <c r="V2355" s="390"/>
    </row>
    <row r="2356" spans="1:22" s="403" customFormat="1" ht="42.75" customHeight="1">
      <c r="A2356" s="1112" t="s">
        <v>62</v>
      </c>
      <c r="B2356" s="1112"/>
      <c r="C2356" s="455" t="s">
        <v>28</v>
      </c>
      <c r="D2356" s="641">
        <f>SUM(D2352:D2355)</f>
        <v>10227.168</v>
      </c>
      <c r="E2356" s="388">
        <f>SUM(E2352:E2355)</f>
        <v>3171.56</v>
      </c>
      <c r="F2356" s="388" t="s">
        <v>28</v>
      </c>
      <c r="G2356" s="388">
        <f>SUM(G2352:G2355)</f>
        <v>4331.6000000000004</v>
      </c>
      <c r="H2356" s="446" t="s">
        <v>28</v>
      </c>
      <c r="I2356" s="446" t="s">
        <v>28</v>
      </c>
      <c r="J2356" s="446">
        <f>SUM(J2352:J2355)</f>
        <v>202</v>
      </c>
      <c r="K2356" s="458" t="s">
        <v>28</v>
      </c>
      <c r="L2356" s="519">
        <f>SUM(L2352:L2355)</f>
        <v>11039780.699999999</v>
      </c>
      <c r="M2356" s="519">
        <f>SUM(M2352:M2355)</f>
        <v>10900579</v>
      </c>
      <c r="N2356" s="388">
        <f>SUM(N2352:N2355)</f>
        <v>83295</v>
      </c>
      <c r="O2356" s="473">
        <f>SUM(O2352:O2355)</f>
        <v>17042</v>
      </c>
      <c r="P2356" s="388"/>
      <c r="Q2356" s="388">
        <f>SUM(Q2352:Q2355)</f>
        <v>38864.699999999997</v>
      </c>
      <c r="R2356" s="446" t="s">
        <v>28</v>
      </c>
      <c r="S2356" s="393">
        <f t="shared" si="307"/>
        <v>-7.4214767664670944E-10</v>
      </c>
      <c r="T2356" s="393"/>
      <c r="U2356" s="404"/>
      <c r="V2356" s="390"/>
    </row>
    <row r="2357" spans="1:22" s="403" customFormat="1" ht="42.75" customHeight="1">
      <c r="A2357" s="1113" t="s">
        <v>63</v>
      </c>
      <c r="B2357" s="1113"/>
      <c r="C2357" s="1113"/>
      <c r="D2357" s="1113"/>
      <c r="E2357" s="1113"/>
      <c r="F2357" s="1113"/>
      <c r="G2357" s="1113"/>
      <c r="H2357" s="1113"/>
      <c r="I2357" s="1113"/>
      <c r="J2357" s="1113"/>
      <c r="K2357" s="1113"/>
      <c r="L2357" s="1113"/>
      <c r="M2357" s="1113"/>
      <c r="N2357" s="1113"/>
      <c r="O2357" s="1113"/>
      <c r="P2357" s="1113"/>
      <c r="Q2357" s="1113"/>
      <c r="R2357" s="458"/>
      <c r="T2357" s="393"/>
      <c r="U2357" s="404"/>
      <c r="V2357" s="390"/>
    </row>
    <row r="2358" spans="1:22" s="424" customFormat="1" ht="37.5" customHeight="1">
      <c r="A2358" s="682">
        <v>1</v>
      </c>
      <c r="B2358" s="733" t="s">
        <v>1963</v>
      </c>
      <c r="C2358" s="648" t="s">
        <v>222</v>
      </c>
      <c r="D2358" s="681">
        <v>3745</v>
      </c>
      <c r="E2358" s="646">
        <v>739.67</v>
      </c>
      <c r="F2358" s="646" t="s">
        <v>242</v>
      </c>
      <c r="G2358" s="644">
        <f>(20*I2358)*13*1.2</f>
        <v>936</v>
      </c>
      <c r="H2358" s="648">
        <v>2</v>
      </c>
      <c r="I2358" s="648">
        <v>3</v>
      </c>
      <c r="J2358" s="648">
        <v>38</v>
      </c>
      <c r="K2358" s="642" t="s">
        <v>33</v>
      </c>
      <c r="L2358" s="519">
        <f>M2358+N2358+O2358+Q2358</f>
        <v>2349819.31</v>
      </c>
      <c r="M2358" s="650">
        <v>2300362</v>
      </c>
      <c r="N2358" s="688">
        <v>31211</v>
      </c>
      <c r="O2358" s="703"/>
      <c r="P2358" s="688"/>
      <c r="Q2358" s="388">
        <v>18246.310000000001</v>
      </c>
      <c r="R2358" s="689">
        <f>M2358/G2358</f>
        <v>2457.6517094017095</v>
      </c>
      <c r="S2358" s="383">
        <f>L2358-M2358-N2358-O2358-P2358-Q2358</f>
        <v>5.4569682106375694E-11</v>
      </c>
      <c r="U2358" s="426"/>
      <c r="V2358" s="390"/>
    </row>
    <row r="2359" spans="1:22" s="403" customFormat="1" ht="42.75" customHeight="1">
      <c r="A2359" s="1112" t="s">
        <v>122</v>
      </c>
      <c r="B2359" s="1112"/>
      <c r="C2359" s="455" t="s">
        <v>28</v>
      </c>
      <c r="D2359" s="641">
        <f>SUM(D2358)</f>
        <v>3745</v>
      </c>
      <c r="E2359" s="388">
        <f>SUM(E2358)</f>
        <v>739.67</v>
      </c>
      <c r="F2359" s="388" t="s">
        <v>28</v>
      </c>
      <c r="G2359" s="388">
        <f>SUM(G2358)</f>
        <v>936</v>
      </c>
      <c r="H2359" s="446" t="s">
        <v>28</v>
      </c>
      <c r="I2359" s="446" t="s">
        <v>28</v>
      </c>
      <c r="J2359" s="446">
        <f>SUM(J2358)</f>
        <v>38</v>
      </c>
      <c r="K2359" s="458" t="s">
        <v>28</v>
      </c>
      <c r="L2359" s="519">
        <f t="shared" ref="L2359:Q2359" si="308">SUM(L2358)</f>
        <v>2349819.31</v>
      </c>
      <c r="M2359" s="519">
        <f t="shared" si="308"/>
        <v>2300362</v>
      </c>
      <c r="N2359" s="388">
        <f t="shared" si="308"/>
        <v>31211</v>
      </c>
      <c r="O2359" s="473">
        <f t="shared" si="308"/>
        <v>0</v>
      </c>
      <c r="P2359" s="388">
        <f t="shared" si="308"/>
        <v>0</v>
      </c>
      <c r="Q2359" s="388">
        <f t="shared" si="308"/>
        <v>18246.310000000001</v>
      </c>
      <c r="R2359" s="446" t="s">
        <v>28</v>
      </c>
      <c r="S2359" s="393">
        <f>L2359-M2359-N2359-O2359-P2359-Q2359</f>
        <v>5.4569682106375694E-11</v>
      </c>
      <c r="T2359" s="393"/>
      <c r="U2359" s="404"/>
      <c r="V2359" s="390"/>
    </row>
    <row r="2360" spans="1:22" s="403" customFormat="1" ht="42.75" customHeight="1">
      <c r="A2360" s="1113" t="s">
        <v>65</v>
      </c>
      <c r="B2360" s="1113"/>
      <c r="C2360" s="1113"/>
      <c r="D2360" s="1113"/>
      <c r="E2360" s="1113"/>
      <c r="F2360" s="1113"/>
      <c r="G2360" s="1113"/>
      <c r="H2360" s="1113"/>
      <c r="I2360" s="1113"/>
      <c r="J2360" s="1113"/>
      <c r="K2360" s="1113"/>
      <c r="L2360" s="1113"/>
      <c r="M2360" s="1113"/>
      <c r="N2360" s="1113"/>
      <c r="O2360" s="1113"/>
      <c r="P2360" s="1113"/>
      <c r="Q2360" s="1113"/>
      <c r="R2360" s="458"/>
      <c r="T2360" s="393"/>
      <c r="U2360" s="404"/>
      <c r="V2360" s="390"/>
    </row>
    <row r="2361" spans="1:22" s="420" customFormat="1" ht="37.5" customHeight="1">
      <c r="A2361" s="500">
        <v>1</v>
      </c>
      <c r="B2361" s="403" t="s">
        <v>1964</v>
      </c>
      <c r="C2361" s="648" t="s">
        <v>222</v>
      </c>
      <c r="D2361" s="712">
        <v>12258</v>
      </c>
      <c r="E2361" s="644">
        <v>2489</v>
      </c>
      <c r="F2361" s="694" t="s">
        <v>223</v>
      </c>
      <c r="G2361" s="383">
        <v>1056</v>
      </c>
      <c r="H2361" s="528">
        <v>5</v>
      </c>
      <c r="I2361" s="528">
        <v>4</v>
      </c>
      <c r="J2361" s="528">
        <v>76</v>
      </c>
      <c r="K2361" s="458" t="s">
        <v>237</v>
      </c>
      <c r="L2361" s="529">
        <f t="shared" ref="L2361:L2373" si="309">M2361+N2361+O2361+P2361+Q2361</f>
        <v>2705475.73</v>
      </c>
      <c r="M2361" s="650">
        <f>G2361*2500</f>
        <v>2640000</v>
      </c>
      <c r="N2361" s="688">
        <v>27683</v>
      </c>
      <c r="O2361" s="703"/>
      <c r="P2361" s="688"/>
      <c r="Q2361" s="388">
        <v>37792.730000000003</v>
      </c>
      <c r="R2361" s="689">
        <f>M2361/G2361</f>
        <v>2500</v>
      </c>
      <c r="S2361" s="383">
        <f t="shared" ref="S2361:S2373" si="310">L2361-M2361-N2361-O2361-P2361-Q2361</f>
        <v>0</v>
      </c>
      <c r="U2361" s="406"/>
      <c r="V2361" s="390"/>
    </row>
    <row r="2362" spans="1:22" s="420" customFormat="1" ht="37.5" customHeight="1">
      <c r="A2362" s="500">
        <f t="shared" ref="A2362:A2373" si="311">A2361+1</f>
        <v>2</v>
      </c>
      <c r="B2362" s="403" t="s">
        <v>1965</v>
      </c>
      <c r="C2362" s="648" t="s">
        <v>222</v>
      </c>
      <c r="D2362" s="712">
        <v>11024</v>
      </c>
      <c r="E2362" s="644">
        <v>2129.1</v>
      </c>
      <c r="F2362" s="694" t="s">
        <v>234</v>
      </c>
      <c r="G2362" s="383">
        <v>712</v>
      </c>
      <c r="H2362" s="528">
        <v>5</v>
      </c>
      <c r="I2362" s="528">
        <v>1</v>
      </c>
      <c r="J2362" s="528">
        <v>70</v>
      </c>
      <c r="K2362" s="458" t="s">
        <v>237</v>
      </c>
      <c r="L2362" s="529">
        <f t="shared" si="309"/>
        <v>1821416.87</v>
      </c>
      <c r="M2362" s="529">
        <v>1780000</v>
      </c>
      <c r="N2362" s="688"/>
      <c r="O2362" s="473">
        <v>21516.87</v>
      </c>
      <c r="P2362" s="688"/>
      <c r="Q2362" s="388">
        <v>19900</v>
      </c>
      <c r="R2362" s="528">
        <f>M2362/J2362</f>
        <v>25428.571428571428</v>
      </c>
      <c r="S2362" s="383">
        <f t="shared" si="310"/>
        <v>1.127773430198431E-10</v>
      </c>
      <c r="U2362" s="406"/>
      <c r="V2362" s="390"/>
    </row>
    <row r="2363" spans="1:22" s="420" customFormat="1" ht="37.5" customHeight="1">
      <c r="A2363" s="500">
        <f t="shared" si="311"/>
        <v>3</v>
      </c>
      <c r="B2363" s="711" t="s">
        <v>1966</v>
      </c>
      <c r="C2363" s="648" t="s">
        <v>222</v>
      </c>
      <c r="D2363" s="712">
        <v>4566</v>
      </c>
      <c r="E2363" s="644">
        <v>914.4</v>
      </c>
      <c r="F2363" s="694" t="s">
        <v>223</v>
      </c>
      <c r="G2363" s="383">
        <v>810</v>
      </c>
      <c r="H2363" s="713">
        <v>2</v>
      </c>
      <c r="I2363" s="713">
        <v>3</v>
      </c>
      <c r="J2363" s="713">
        <v>24</v>
      </c>
      <c r="K2363" s="682" t="s">
        <v>239</v>
      </c>
      <c r="L2363" s="529">
        <f t="shared" si="309"/>
        <v>1471027.24</v>
      </c>
      <c r="M2363" s="529">
        <v>1431611</v>
      </c>
      <c r="N2363" s="391">
        <v>27822</v>
      </c>
      <c r="O2363" s="530"/>
      <c r="P2363" s="391"/>
      <c r="Q2363" s="388">
        <v>11594.24</v>
      </c>
      <c r="R2363" s="528">
        <f>M2363/J2363</f>
        <v>59650.458333333336</v>
      </c>
      <c r="S2363" s="383">
        <f t="shared" si="310"/>
        <v>0</v>
      </c>
      <c r="U2363" s="406"/>
      <c r="V2363" s="390"/>
    </row>
    <row r="2364" spans="1:22" s="420" customFormat="1" ht="37.5" customHeight="1">
      <c r="A2364" s="500">
        <f t="shared" si="311"/>
        <v>4</v>
      </c>
      <c r="B2364" s="403" t="s">
        <v>1967</v>
      </c>
      <c r="C2364" s="648" t="s">
        <v>222</v>
      </c>
      <c r="D2364" s="641">
        <v>13150</v>
      </c>
      <c r="E2364" s="388">
        <v>2398</v>
      </c>
      <c r="F2364" s="388" t="s">
        <v>223</v>
      </c>
      <c r="G2364" s="383">
        <v>1168</v>
      </c>
      <c r="H2364" s="446">
        <v>5</v>
      </c>
      <c r="I2364" s="446">
        <v>4</v>
      </c>
      <c r="J2364" s="446">
        <v>81</v>
      </c>
      <c r="K2364" s="458" t="s">
        <v>237</v>
      </c>
      <c r="L2364" s="529">
        <f t="shared" si="309"/>
        <v>2987908</v>
      </c>
      <c r="M2364" s="650">
        <f>G2364*2500</f>
        <v>2920000</v>
      </c>
      <c r="N2364" s="688">
        <v>28108</v>
      </c>
      <c r="O2364" s="703"/>
      <c r="P2364" s="688"/>
      <c r="Q2364" s="388">
        <v>39800</v>
      </c>
      <c r="R2364" s="689">
        <f t="shared" ref="R2364:R2369" si="312">M2364/G2364</f>
        <v>2500</v>
      </c>
      <c r="S2364" s="383">
        <f t="shared" si="310"/>
        <v>0</v>
      </c>
      <c r="U2364" s="406"/>
      <c r="V2364" s="390"/>
    </row>
    <row r="2365" spans="1:22" s="420" customFormat="1" ht="37.5" customHeight="1">
      <c r="A2365" s="500">
        <f t="shared" si="311"/>
        <v>5</v>
      </c>
      <c r="B2365" s="711" t="s">
        <v>1969</v>
      </c>
      <c r="C2365" s="648" t="s">
        <v>222</v>
      </c>
      <c r="D2365" s="712">
        <v>9707</v>
      </c>
      <c r="E2365" s="644">
        <v>1264.9000000000001</v>
      </c>
      <c r="F2365" s="694" t="s">
        <v>223</v>
      </c>
      <c r="G2365" s="383">
        <v>897</v>
      </c>
      <c r="H2365" s="713">
        <v>3</v>
      </c>
      <c r="I2365" s="713">
        <v>3</v>
      </c>
      <c r="J2365" s="713">
        <v>27</v>
      </c>
      <c r="K2365" s="682" t="s">
        <v>33</v>
      </c>
      <c r="L2365" s="529">
        <f t="shared" si="309"/>
        <v>2305451.7200000002</v>
      </c>
      <c r="M2365" s="650">
        <f>G2365*2500</f>
        <v>2242500</v>
      </c>
      <c r="N2365" s="688">
        <v>33024</v>
      </c>
      <c r="O2365" s="703"/>
      <c r="P2365" s="688"/>
      <c r="Q2365" s="388">
        <v>29927.72</v>
      </c>
      <c r="R2365" s="689">
        <f t="shared" si="312"/>
        <v>2500</v>
      </c>
      <c r="S2365" s="383">
        <f t="shared" si="310"/>
        <v>2.0372681319713593E-10</v>
      </c>
      <c r="U2365" s="406"/>
      <c r="V2365" s="390"/>
    </row>
    <row r="2366" spans="1:22" s="420" customFormat="1" ht="37.5" customHeight="1">
      <c r="A2366" s="500">
        <f t="shared" si="311"/>
        <v>6</v>
      </c>
      <c r="B2366" s="403" t="s">
        <v>1970</v>
      </c>
      <c r="C2366" s="648" t="s">
        <v>222</v>
      </c>
      <c r="D2366" s="606">
        <v>2485</v>
      </c>
      <c r="E2366" s="391">
        <v>480</v>
      </c>
      <c r="F2366" s="388" t="s">
        <v>223</v>
      </c>
      <c r="G2366" s="383">
        <v>703</v>
      </c>
      <c r="H2366" s="528">
        <v>2</v>
      </c>
      <c r="I2366" s="528">
        <v>2</v>
      </c>
      <c r="J2366" s="528">
        <v>16</v>
      </c>
      <c r="K2366" s="682" t="s">
        <v>33</v>
      </c>
      <c r="L2366" s="529">
        <f t="shared" si="309"/>
        <v>1799253.46</v>
      </c>
      <c r="M2366" s="650">
        <f>G2366*2500</f>
        <v>1757500</v>
      </c>
      <c r="N2366" s="688">
        <v>29646</v>
      </c>
      <c r="O2366" s="703"/>
      <c r="P2366" s="688"/>
      <c r="Q2366" s="388">
        <v>12107.46</v>
      </c>
      <c r="R2366" s="689">
        <f t="shared" si="312"/>
        <v>2500</v>
      </c>
      <c r="S2366" s="383">
        <f t="shared" si="310"/>
        <v>-3.637978807091713E-11</v>
      </c>
      <c r="U2366" s="406"/>
      <c r="V2366" s="390"/>
    </row>
    <row r="2367" spans="1:22" s="420" customFormat="1" ht="37.5" customHeight="1">
      <c r="A2367" s="500">
        <f t="shared" si="311"/>
        <v>7</v>
      </c>
      <c r="B2367" s="403" t="s">
        <v>3393</v>
      </c>
      <c r="C2367" s="648" t="s">
        <v>222</v>
      </c>
      <c r="D2367" s="606">
        <v>21213</v>
      </c>
      <c r="E2367" s="391">
        <v>3334</v>
      </c>
      <c r="F2367" s="388" t="s">
        <v>234</v>
      </c>
      <c r="G2367" s="383">
        <v>1728</v>
      </c>
      <c r="H2367" s="528">
        <v>5</v>
      </c>
      <c r="I2367" s="528">
        <v>6</v>
      </c>
      <c r="J2367" s="528">
        <v>108</v>
      </c>
      <c r="K2367" s="682" t="s">
        <v>237</v>
      </c>
      <c r="L2367" s="529">
        <f t="shared" si="309"/>
        <v>4362400</v>
      </c>
      <c r="M2367" s="650">
        <v>4320000</v>
      </c>
      <c r="N2367" s="688"/>
      <c r="O2367" s="703">
        <v>22500</v>
      </c>
      <c r="P2367" s="688"/>
      <c r="Q2367" s="519">
        <v>19900</v>
      </c>
      <c r="R2367" s="648">
        <f t="shared" si="312"/>
        <v>2500</v>
      </c>
      <c r="S2367" s="383">
        <f t="shared" si="310"/>
        <v>0</v>
      </c>
      <c r="U2367" s="406"/>
      <c r="V2367" s="390"/>
    </row>
    <row r="2368" spans="1:22" s="420" customFormat="1" ht="37.5" customHeight="1">
      <c r="A2368" s="500">
        <f t="shared" si="311"/>
        <v>8</v>
      </c>
      <c r="B2368" s="403" t="s">
        <v>3821</v>
      </c>
      <c r="C2368" s="648" t="s">
        <v>222</v>
      </c>
      <c r="D2368" s="606">
        <v>21780</v>
      </c>
      <c r="E2368" s="391">
        <v>3696</v>
      </c>
      <c r="F2368" s="388" t="s">
        <v>223</v>
      </c>
      <c r="G2368" s="383">
        <v>1887.6000000000001</v>
      </c>
      <c r="H2368" s="528">
        <v>5</v>
      </c>
      <c r="I2368" s="528">
        <v>6</v>
      </c>
      <c r="J2368" s="528">
        <v>106</v>
      </c>
      <c r="K2368" s="682" t="s">
        <v>237</v>
      </c>
      <c r="L2368" s="529">
        <f t="shared" si="309"/>
        <v>4789678</v>
      </c>
      <c r="M2368" s="650">
        <v>4719000</v>
      </c>
      <c r="N2368" s="688">
        <v>30878</v>
      </c>
      <c r="O2368" s="703"/>
      <c r="P2368" s="688"/>
      <c r="Q2368" s="519">
        <v>39800</v>
      </c>
      <c r="R2368" s="648">
        <f t="shared" si="312"/>
        <v>2500</v>
      </c>
      <c r="S2368" s="383">
        <f t="shared" si="310"/>
        <v>0</v>
      </c>
      <c r="U2368" s="406"/>
      <c r="V2368" s="390"/>
    </row>
    <row r="2369" spans="1:22" s="420" customFormat="1" ht="37.5" customHeight="1">
      <c r="A2369" s="500">
        <f t="shared" si="311"/>
        <v>9</v>
      </c>
      <c r="B2369" s="403" t="s">
        <v>3822</v>
      </c>
      <c r="C2369" s="648" t="s">
        <v>222</v>
      </c>
      <c r="D2369" s="606">
        <v>11232</v>
      </c>
      <c r="E2369" s="391">
        <v>2550</v>
      </c>
      <c r="F2369" s="388" t="s">
        <v>223</v>
      </c>
      <c r="G2369" s="383">
        <v>1216.8</v>
      </c>
      <c r="H2369" s="528">
        <v>5</v>
      </c>
      <c r="I2369" s="528">
        <v>4</v>
      </c>
      <c r="J2369" s="528">
        <v>70</v>
      </c>
      <c r="K2369" s="682" t="s">
        <v>237</v>
      </c>
      <c r="L2369" s="529">
        <f t="shared" si="309"/>
        <v>3103687.02</v>
      </c>
      <c r="M2369" s="650">
        <v>3042000</v>
      </c>
      <c r="N2369" s="688">
        <v>27058.03</v>
      </c>
      <c r="O2369" s="703"/>
      <c r="P2369" s="688"/>
      <c r="Q2369" s="519">
        <v>34628.99</v>
      </c>
      <c r="R2369" s="648">
        <f t="shared" si="312"/>
        <v>2500</v>
      </c>
      <c r="S2369" s="383">
        <f t="shared" si="310"/>
        <v>0</v>
      </c>
      <c r="U2369" s="406"/>
      <c r="V2369" s="390"/>
    </row>
    <row r="2370" spans="1:22" s="420" customFormat="1" ht="37.5" customHeight="1">
      <c r="A2370" s="500">
        <f t="shared" si="311"/>
        <v>10</v>
      </c>
      <c r="B2370" s="403" t="s">
        <v>3823</v>
      </c>
      <c r="C2370" s="648" t="s">
        <v>222</v>
      </c>
      <c r="D2370" s="606">
        <v>2767.05</v>
      </c>
      <c r="E2370" s="391">
        <v>550.79999999999995</v>
      </c>
      <c r="F2370" s="388" t="s">
        <v>224</v>
      </c>
      <c r="G2370" s="383">
        <v>425.7</v>
      </c>
      <c r="H2370" s="528">
        <v>5</v>
      </c>
      <c r="I2370" s="528">
        <v>2</v>
      </c>
      <c r="J2370" s="528">
        <v>30</v>
      </c>
      <c r="K2370" s="682" t="s">
        <v>239</v>
      </c>
      <c r="L2370" s="529">
        <f t="shared" si="309"/>
        <v>1546828.85</v>
      </c>
      <c r="M2370" s="529">
        <v>1509785</v>
      </c>
      <c r="N2370" s="391">
        <v>30086.81</v>
      </c>
      <c r="O2370" s="530"/>
      <c r="P2370" s="688"/>
      <c r="Q2370" s="519">
        <v>6957.04</v>
      </c>
      <c r="R2370" s="689">
        <f>M2370/J2370</f>
        <v>50326.166666666664</v>
      </c>
      <c r="S2370" s="383">
        <f t="shared" si="310"/>
        <v>9.1858964879065752E-11</v>
      </c>
      <c r="U2370" s="406"/>
      <c r="V2370" s="390"/>
    </row>
    <row r="2371" spans="1:22" s="420" customFormat="1" ht="37.5" customHeight="1">
      <c r="A2371" s="500">
        <f t="shared" si="311"/>
        <v>11</v>
      </c>
      <c r="B2371" s="403" t="s">
        <v>3824</v>
      </c>
      <c r="C2371" s="648" t="s">
        <v>222</v>
      </c>
      <c r="D2371" s="606">
        <v>1633.5</v>
      </c>
      <c r="E2371" s="391">
        <v>297</v>
      </c>
      <c r="F2371" s="388" t="s">
        <v>223</v>
      </c>
      <c r="G2371" s="383">
        <v>707.85</v>
      </c>
      <c r="H2371" s="528">
        <v>2</v>
      </c>
      <c r="I2371" s="528">
        <v>1</v>
      </c>
      <c r="J2371" s="528">
        <v>4</v>
      </c>
      <c r="K2371" s="682" t="s">
        <v>237</v>
      </c>
      <c r="L2371" s="529">
        <f t="shared" si="309"/>
        <v>1805384</v>
      </c>
      <c r="M2371" s="650">
        <v>1769625</v>
      </c>
      <c r="N2371" s="688">
        <v>27800</v>
      </c>
      <c r="O2371" s="703"/>
      <c r="P2371" s="688"/>
      <c r="Q2371" s="519">
        <v>7959</v>
      </c>
      <c r="R2371" s="648">
        <f>M2371/G2371</f>
        <v>2500</v>
      </c>
      <c r="S2371" s="383">
        <f t="shared" si="310"/>
        <v>0</v>
      </c>
      <c r="U2371" s="406"/>
      <c r="V2371" s="390"/>
    </row>
    <row r="2372" spans="1:22" s="420" customFormat="1" ht="37.5" customHeight="1">
      <c r="A2372" s="500">
        <f t="shared" si="311"/>
        <v>12</v>
      </c>
      <c r="B2372" s="403" t="s">
        <v>3825</v>
      </c>
      <c r="C2372" s="648" t="s">
        <v>222</v>
      </c>
      <c r="D2372" s="606">
        <v>1920</v>
      </c>
      <c r="E2372" s="391">
        <v>421.8</v>
      </c>
      <c r="F2372" s="388" t="s">
        <v>223</v>
      </c>
      <c r="G2372" s="383">
        <v>311.22000000000003</v>
      </c>
      <c r="H2372" s="528">
        <v>2</v>
      </c>
      <c r="I2372" s="528">
        <v>1</v>
      </c>
      <c r="J2372" s="528">
        <v>4</v>
      </c>
      <c r="K2372" s="682" t="s">
        <v>237</v>
      </c>
      <c r="L2372" s="529">
        <f t="shared" si="309"/>
        <v>812402.02000000014</v>
      </c>
      <c r="M2372" s="650">
        <v>778050.00000000012</v>
      </c>
      <c r="N2372" s="688">
        <v>28187</v>
      </c>
      <c r="O2372" s="703"/>
      <c r="P2372" s="688"/>
      <c r="Q2372" s="519">
        <v>6165.02</v>
      </c>
      <c r="R2372" s="648">
        <f>M2372/G2372</f>
        <v>2500</v>
      </c>
      <c r="S2372" s="383">
        <f t="shared" si="310"/>
        <v>1.8189894035458565E-11</v>
      </c>
      <c r="U2372" s="406"/>
      <c r="V2372" s="390"/>
    </row>
    <row r="2373" spans="1:22" s="420" customFormat="1" ht="37.5" customHeight="1">
      <c r="A2373" s="500">
        <f t="shared" si="311"/>
        <v>13</v>
      </c>
      <c r="B2373" s="403" t="s">
        <v>3826</v>
      </c>
      <c r="C2373" s="648" t="s">
        <v>222</v>
      </c>
      <c r="D2373" s="606">
        <v>1920</v>
      </c>
      <c r="E2373" s="391">
        <v>320</v>
      </c>
      <c r="F2373" s="388" t="s">
        <v>223</v>
      </c>
      <c r="G2373" s="383">
        <v>310</v>
      </c>
      <c r="H2373" s="528">
        <v>2</v>
      </c>
      <c r="I2373" s="528">
        <v>4</v>
      </c>
      <c r="J2373" s="528">
        <v>8</v>
      </c>
      <c r="K2373" s="682" t="s">
        <v>237</v>
      </c>
      <c r="L2373" s="529">
        <f t="shared" si="309"/>
        <v>842130.99</v>
      </c>
      <c r="M2373" s="650">
        <v>804589</v>
      </c>
      <c r="N2373" s="688">
        <v>28187</v>
      </c>
      <c r="O2373" s="703"/>
      <c r="P2373" s="688"/>
      <c r="Q2373" s="519">
        <v>9354.99</v>
      </c>
      <c r="R2373" s="648">
        <f>M2373/G2373</f>
        <v>2595.4483870967742</v>
      </c>
      <c r="S2373" s="383">
        <f t="shared" si="310"/>
        <v>0</v>
      </c>
      <c r="U2373" s="406"/>
      <c r="V2373" s="390"/>
    </row>
    <row r="2374" spans="1:22" s="403" customFormat="1" ht="42.75" customHeight="1">
      <c r="A2374" s="1112" t="s">
        <v>66</v>
      </c>
      <c r="B2374" s="1112"/>
      <c r="C2374" s="455" t="s">
        <v>28</v>
      </c>
      <c r="D2374" s="641">
        <f>SUM(D2361:D2373)</f>
        <v>115655.55</v>
      </c>
      <c r="E2374" s="388">
        <f>SUM(E2361:E2373)</f>
        <v>20845</v>
      </c>
      <c r="F2374" s="388" t="s">
        <v>28</v>
      </c>
      <c r="G2374" s="388">
        <f>SUM(G2361:G2373)</f>
        <v>11933.17</v>
      </c>
      <c r="H2374" s="446" t="s">
        <v>28</v>
      </c>
      <c r="I2374" s="446" t="s">
        <v>28</v>
      </c>
      <c r="J2374" s="446">
        <f>SUM(J2361:J2373)</f>
        <v>624</v>
      </c>
      <c r="K2374" s="458" t="s">
        <v>28</v>
      </c>
      <c r="L2374" s="519">
        <f>SUM(L2361:L2373)</f>
        <v>30353043.899999999</v>
      </c>
      <c r="M2374" s="519">
        <f>SUM(M2361:M2373)</f>
        <v>29714660</v>
      </c>
      <c r="N2374" s="388">
        <f>SUM(N2361:N2373)</f>
        <v>318479.83999999997</v>
      </c>
      <c r="O2374" s="473">
        <f>SUM(O2361:O2373)</f>
        <v>44016.869999999995</v>
      </c>
      <c r="P2374" s="388"/>
      <c r="Q2374" s="388">
        <f>SUM(Q2361:Q2373)</f>
        <v>275887.19</v>
      </c>
      <c r="R2374" s="446" t="s">
        <v>28</v>
      </c>
      <c r="S2374" s="393">
        <f>L2374-M2374-N2374-O2374-P2374-Q2374</f>
        <v>-1.4551915228366852E-9</v>
      </c>
      <c r="T2374" s="393"/>
      <c r="U2374" s="404"/>
      <c r="V2374" s="390"/>
    </row>
    <row r="2375" spans="1:22" s="403" customFormat="1" ht="42.75" customHeight="1">
      <c r="A2375" s="1113" t="s">
        <v>67</v>
      </c>
      <c r="B2375" s="1113"/>
      <c r="C2375" s="1113"/>
      <c r="D2375" s="1113"/>
      <c r="E2375" s="1113"/>
      <c r="F2375" s="1113"/>
      <c r="G2375" s="1113"/>
      <c r="H2375" s="1113"/>
      <c r="I2375" s="1113"/>
      <c r="J2375" s="1113"/>
      <c r="K2375" s="1113"/>
      <c r="L2375" s="1113"/>
      <c r="M2375" s="1113"/>
      <c r="N2375" s="1113"/>
      <c r="O2375" s="1113"/>
      <c r="P2375" s="1113"/>
      <c r="Q2375" s="1113"/>
      <c r="R2375" s="458"/>
      <c r="T2375" s="393"/>
      <c r="U2375" s="404"/>
      <c r="V2375" s="390"/>
    </row>
    <row r="2376" spans="1:22" s="420" customFormat="1" ht="37.5" customHeight="1">
      <c r="A2376" s="458">
        <v>1</v>
      </c>
      <c r="B2376" s="403" t="s">
        <v>1971</v>
      </c>
      <c r="C2376" s="455" t="s">
        <v>222</v>
      </c>
      <c r="D2376" s="606">
        <f>E2376*3</f>
        <v>735</v>
      </c>
      <c r="E2376" s="391">
        <v>245</v>
      </c>
      <c r="F2376" s="391" t="s">
        <v>223</v>
      </c>
      <c r="G2376" s="391">
        <v>705.9</v>
      </c>
      <c r="H2376" s="528">
        <v>2</v>
      </c>
      <c r="I2376" s="528">
        <v>2</v>
      </c>
      <c r="J2376" s="528">
        <v>12</v>
      </c>
      <c r="K2376" s="377" t="s">
        <v>33</v>
      </c>
      <c r="L2376" s="384">
        <f>M2376+N2376+O2376+P2376+Q2376</f>
        <v>1315558</v>
      </c>
      <c r="M2376" s="650">
        <v>1285882</v>
      </c>
      <c r="N2376" s="688">
        <v>26095</v>
      </c>
      <c r="O2376" s="703"/>
      <c r="P2376" s="688"/>
      <c r="Q2376" s="388">
        <v>3581</v>
      </c>
      <c r="R2376" s="689">
        <f>M2376/G2376</f>
        <v>1821.6206261510129</v>
      </c>
      <c r="S2376" s="383">
        <f>L2376-M2376-N2376-O2376-P2376-Q2376</f>
        <v>0</v>
      </c>
      <c r="U2376" s="405"/>
      <c r="V2376" s="390"/>
    </row>
    <row r="2377" spans="1:22" s="420" customFormat="1" ht="37.5" customHeight="1">
      <c r="A2377" s="458">
        <v>2</v>
      </c>
      <c r="B2377" s="403" t="s">
        <v>1972</v>
      </c>
      <c r="C2377" s="455" t="s">
        <v>222</v>
      </c>
      <c r="D2377" s="606">
        <v>1535.4</v>
      </c>
      <c r="E2377" s="391">
        <v>225.4</v>
      </c>
      <c r="F2377" s="391" t="s">
        <v>223</v>
      </c>
      <c r="G2377" s="391">
        <v>332.7</v>
      </c>
      <c r="H2377" s="528">
        <v>2</v>
      </c>
      <c r="I2377" s="528">
        <v>2</v>
      </c>
      <c r="J2377" s="528">
        <v>4</v>
      </c>
      <c r="K2377" s="458" t="s">
        <v>225</v>
      </c>
      <c r="L2377" s="519">
        <f>M2377+N2377+O2377+P2377+Q2377</f>
        <v>94092.59</v>
      </c>
      <c r="M2377" s="645">
        <v>72000</v>
      </c>
      <c r="N2377" s="646">
        <v>21214</v>
      </c>
      <c r="O2377" s="647"/>
      <c r="P2377" s="646"/>
      <c r="Q2377" s="388">
        <v>878.59</v>
      </c>
      <c r="R2377" s="648">
        <f>M2377/J2377</f>
        <v>18000</v>
      </c>
      <c r="S2377" s="383">
        <f>L2377-M2377-N2377-O2377-P2377-Q2377</f>
        <v>-3.5242919693700969E-12</v>
      </c>
      <c r="T2377" s="406">
        <f>L2377-M2377-N2377-O2377-Q2377</f>
        <v>-3.5242919693700969E-12</v>
      </c>
      <c r="U2377" s="405"/>
      <c r="V2377" s="390"/>
    </row>
    <row r="2378" spans="1:22" s="403" customFormat="1" ht="42.75" customHeight="1">
      <c r="A2378" s="1112" t="s">
        <v>68</v>
      </c>
      <c r="B2378" s="1112"/>
      <c r="C2378" s="455" t="s">
        <v>28</v>
      </c>
      <c r="D2378" s="641">
        <f>SUM(D2376:D2377)</f>
        <v>2270.4</v>
      </c>
      <c r="E2378" s="388">
        <f>SUM(E2376:E2377)</f>
        <v>470.4</v>
      </c>
      <c r="F2378" s="388" t="s">
        <v>28</v>
      </c>
      <c r="G2378" s="388">
        <f>SUM(G2376:G2377)</f>
        <v>1038.5999999999999</v>
      </c>
      <c r="H2378" s="446" t="s">
        <v>28</v>
      </c>
      <c r="I2378" s="446" t="s">
        <v>28</v>
      </c>
      <c r="J2378" s="446">
        <f>SUM(J2376:J2377)</f>
        <v>16</v>
      </c>
      <c r="K2378" s="458" t="s">
        <v>28</v>
      </c>
      <c r="L2378" s="519">
        <f t="shared" ref="L2378:Q2378" si="313">SUM(L2376:L2377)</f>
        <v>1409650.59</v>
      </c>
      <c r="M2378" s="519">
        <f t="shared" si="313"/>
        <v>1357882</v>
      </c>
      <c r="N2378" s="388">
        <f t="shared" si="313"/>
        <v>47309</v>
      </c>
      <c r="O2378" s="473">
        <f t="shared" si="313"/>
        <v>0</v>
      </c>
      <c r="P2378" s="388">
        <f t="shared" si="313"/>
        <v>0</v>
      </c>
      <c r="Q2378" s="388">
        <f t="shared" si="313"/>
        <v>4459.59</v>
      </c>
      <c r="R2378" s="446" t="s">
        <v>28</v>
      </c>
      <c r="S2378" s="393">
        <f>L2378-M2378-N2378-O2378-P2378-Q2378</f>
        <v>8.3673512563109398E-11</v>
      </c>
      <c r="T2378" s="393"/>
      <c r="U2378" s="404"/>
      <c r="V2378" s="390"/>
    </row>
    <row r="2379" spans="1:22" s="403" customFormat="1" ht="42.75" customHeight="1">
      <c r="A2379" s="1113" t="s">
        <v>92</v>
      </c>
      <c r="B2379" s="1113"/>
      <c r="C2379" s="1113"/>
      <c r="D2379" s="1113"/>
      <c r="E2379" s="1113"/>
      <c r="F2379" s="1113"/>
      <c r="G2379" s="1113"/>
      <c r="H2379" s="1113"/>
      <c r="I2379" s="1113"/>
      <c r="J2379" s="1113"/>
      <c r="K2379" s="1113"/>
      <c r="L2379" s="1113"/>
      <c r="M2379" s="1113"/>
      <c r="N2379" s="1113"/>
      <c r="O2379" s="1113"/>
      <c r="P2379" s="1113"/>
      <c r="Q2379" s="1113"/>
      <c r="R2379" s="458"/>
      <c r="T2379" s="393"/>
      <c r="U2379" s="404"/>
      <c r="V2379" s="390"/>
    </row>
    <row r="2380" spans="1:22" ht="37.5" customHeight="1">
      <c r="A2380" s="377">
        <v>1</v>
      </c>
      <c r="B2380" s="381" t="s">
        <v>1973</v>
      </c>
      <c r="C2380" s="382" t="s">
        <v>240</v>
      </c>
      <c r="D2380" s="691">
        <f>E2380*2.5</f>
        <v>7102.7249999999995</v>
      </c>
      <c r="E2380" s="383">
        <v>2841.0899999999997</v>
      </c>
      <c r="F2380" s="383" t="s">
        <v>224</v>
      </c>
      <c r="G2380" s="383">
        <f>(20*I2380)*12</f>
        <v>1200</v>
      </c>
      <c r="H2380" s="382">
        <v>5</v>
      </c>
      <c r="I2380" s="382">
        <v>5</v>
      </c>
      <c r="J2380" s="382">
        <v>75</v>
      </c>
      <c r="K2380" s="377" t="s">
        <v>239</v>
      </c>
      <c r="L2380" s="384">
        <f>M2380+N2380+O2380+P2380+Q2380</f>
        <v>2299212</v>
      </c>
      <c r="M2380" s="384">
        <v>2250000</v>
      </c>
      <c r="N2380" s="383">
        <v>29312</v>
      </c>
      <c r="O2380" s="473"/>
      <c r="Q2380" s="388">
        <v>19900</v>
      </c>
      <c r="R2380" s="382">
        <f>M2380/G2380</f>
        <v>1875</v>
      </c>
      <c r="S2380" s="383">
        <f>L2380-M2380-N2380-O2380-P2380-Q2380</f>
        <v>0</v>
      </c>
      <c r="T2380" s="381"/>
      <c r="V2380" s="390"/>
    </row>
    <row r="2381" spans="1:22" ht="37.5" customHeight="1">
      <c r="A2381" s="377">
        <v>2</v>
      </c>
      <c r="B2381" s="381" t="s">
        <v>1974</v>
      </c>
      <c r="C2381" s="382" t="s">
        <v>222</v>
      </c>
      <c r="D2381" s="691">
        <v>1607.9755999999998</v>
      </c>
      <c r="E2381" s="383">
        <v>574.27699999999993</v>
      </c>
      <c r="F2381" s="383" t="s">
        <v>223</v>
      </c>
      <c r="G2381" s="383">
        <f>(20*I2381)*12*1.2</f>
        <v>864</v>
      </c>
      <c r="H2381" s="382">
        <v>2</v>
      </c>
      <c r="I2381" s="382">
        <v>3</v>
      </c>
      <c r="J2381" s="382">
        <v>16</v>
      </c>
      <c r="K2381" s="377" t="s">
        <v>33</v>
      </c>
      <c r="L2381" s="384">
        <f>M2381+N2381+O2381+P2381+Q2381</f>
        <v>1875887.63</v>
      </c>
      <c r="M2381" s="650">
        <v>1840320</v>
      </c>
      <c r="N2381" s="688">
        <v>27733</v>
      </c>
      <c r="O2381" s="703"/>
      <c r="P2381" s="688"/>
      <c r="Q2381" s="388">
        <v>7834.63</v>
      </c>
      <c r="R2381" s="689">
        <f>M2381/G2381</f>
        <v>2130</v>
      </c>
      <c r="S2381" s="383">
        <f>L2381-M2381-N2381-O2381-P2381-Q2381</f>
        <v>-1.1186784831807017E-10</v>
      </c>
      <c r="T2381" s="381"/>
      <c r="V2381" s="390"/>
    </row>
    <row r="2382" spans="1:22" ht="37.5" customHeight="1">
      <c r="A2382" s="377">
        <v>3</v>
      </c>
      <c r="B2382" s="381" t="s">
        <v>1975</v>
      </c>
      <c r="C2382" s="382" t="s">
        <v>222</v>
      </c>
      <c r="D2382" s="691">
        <f>E2382*2.5</f>
        <v>1369.9250000000002</v>
      </c>
      <c r="E2382" s="383">
        <v>547.97</v>
      </c>
      <c r="F2382" s="383" t="s">
        <v>223</v>
      </c>
      <c r="G2382" s="383">
        <f>(20*I2382)*12*1.3</f>
        <v>624</v>
      </c>
      <c r="H2382" s="382">
        <v>2</v>
      </c>
      <c r="I2382" s="382">
        <v>2</v>
      </c>
      <c r="J2382" s="382">
        <v>15</v>
      </c>
      <c r="K2382" s="377" t="s">
        <v>33</v>
      </c>
      <c r="L2382" s="384">
        <f>M2382+N2382+O2382+P2382+Q2382</f>
        <v>1360995.46</v>
      </c>
      <c r="M2382" s="650">
        <v>1328583</v>
      </c>
      <c r="N2382" s="688">
        <v>25738</v>
      </c>
      <c r="O2382" s="703"/>
      <c r="P2382" s="688"/>
      <c r="Q2382" s="388">
        <v>6674.46</v>
      </c>
      <c r="R2382" s="689">
        <f>M2382/G2382</f>
        <v>2129.1394230769229</v>
      </c>
      <c r="S2382" s="383">
        <f>L2382-M2382-N2382-O2382-P2382-Q2382</f>
        <v>-3.7289282772690058E-11</v>
      </c>
      <c r="T2382" s="381"/>
      <c r="V2382" s="390"/>
    </row>
    <row r="2383" spans="1:22" s="403" customFormat="1" ht="42.75" customHeight="1">
      <c r="A2383" s="1112" t="s">
        <v>123</v>
      </c>
      <c r="B2383" s="1112"/>
      <c r="C2383" s="455" t="s">
        <v>28</v>
      </c>
      <c r="D2383" s="641">
        <f>SUM(D2380:D2382)</f>
        <v>10080.625599999999</v>
      </c>
      <c r="E2383" s="388">
        <f>SUM(E2380:E2382)</f>
        <v>3963.3369999999995</v>
      </c>
      <c r="F2383" s="388" t="s">
        <v>28</v>
      </c>
      <c r="G2383" s="388">
        <f>SUM(G2380:G2382)</f>
        <v>2688</v>
      </c>
      <c r="H2383" s="446" t="s">
        <v>28</v>
      </c>
      <c r="I2383" s="446" t="s">
        <v>28</v>
      </c>
      <c r="J2383" s="446">
        <f>SUM(J2380:J2382)</f>
        <v>106</v>
      </c>
      <c r="K2383" s="458" t="s">
        <v>28</v>
      </c>
      <c r="L2383" s="519">
        <f>SUM(L2380:L2382)</f>
        <v>5536095.0899999999</v>
      </c>
      <c r="M2383" s="519">
        <f>SUM(M2380:M2382)</f>
        <v>5418903</v>
      </c>
      <c r="N2383" s="388">
        <f>SUM(N2380:N2382)</f>
        <v>82783</v>
      </c>
      <c r="O2383" s="473">
        <f>SUM(O2380:O2382)</f>
        <v>0</v>
      </c>
      <c r="P2383" s="388"/>
      <c r="Q2383" s="388">
        <f>SUM(Q2380:Q2382)</f>
        <v>34409.090000000004</v>
      </c>
      <c r="R2383" s="446" t="s">
        <v>28</v>
      </c>
      <c r="S2383" s="393">
        <f>L2383-M2383-N2383-O2383-P2383-Q2383</f>
        <v>-1.5279510989785194E-10</v>
      </c>
      <c r="T2383" s="393"/>
      <c r="U2383" s="404"/>
      <c r="V2383" s="390"/>
    </row>
    <row r="2384" spans="1:22" s="403" customFormat="1" ht="42.75" customHeight="1">
      <c r="A2384" s="1113" t="s">
        <v>69</v>
      </c>
      <c r="B2384" s="1113"/>
      <c r="C2384" s="1113"/>
      <c r="D2384" s="1113"/>
      <c r="E2384" s="1113"/>
      <c r="F2384" s="1113"/>
      <c r="G2384" s="1113"/>
      <c r="H2384" s="1113"/>
      <c r="I2384" s="1113"/>
      <c r="J2384" s="1113"/>
      <c r="K2384" s="1113"/>
      <c r="L2384" s="1113"/>
      <c r="M2384" s="1113"/>
      <c r="N2384" s="1113"/>
      <c r="O2384" s="1113"/>
      <c r="P2384" s="1113"/>
      <c r="Q2384" s="1113"/>
      <c r="R2384" s="458"/>
      <c r="T2384" s="393"/>
      <c r="U2384" s="404"/>
      <c r="V2384" s="390"/>
    </row>
    <row r="2385" spans="1:27" s="403" customFormat="1" ht="75" customHeight="1">
      <c r="A2385" s="458">
        <v>1</v>
      </c>
      <c r="B2385" s="403" t="s">
        <v>3404</v>
      </c>
      <c r="C2385" s="455" t="s">
        <v>222</v>
      </c>
      <c r="D2385" s="641">
        <v>2919</v>
      </c>
      <c r="E2385" s="388">
        <v>391</v>
      </c>
      <c r="F2385" s="388" t="s">
        <v>223</v>
      </c>
      <c r="G2385" s="388">
        <v>652</v>
      </c>
      <c r="H2385" s="446">
        <v>2</v>
      </c>
      <c r="I2385" s="446">
        <v>2</v>
      </c>
      <c r="J2385" s="446">
        <v>16</v>
      </c>
      <c r="K2385" s="397" t="s">
        <v>30</v>
      </c>
      <c r="L2385" s="384">
        <f t="shared" ref="L2385:L2392" si="314">M2385+N2385+O2385+P2385+Q2385</f>
        <v>383675.04</v>
      </c>
      <c r="M2385" s="529">
        <v>351052</v>
      </c>
      <c r="N2385" s="388"/>
      <c r="O2385" s="473">
        <v>25666</v>
      </c>
      <c r="P2385" s="388"/>
      <c r="Q2385" s="388">
        <v>6957.04</v>
      </c>
      <c r="R2385" s="689">
        <f>M2385/J2385</f>
        <v>21940.75</v>
      </c>
      <c r="S2385" s="383">
        <f>L2385-M2385-N2385-O2385-P2385-Q2385</f>
        <v>-2.0918378140777349E-11</v>
      </c>
      <c r="T2385" s="393"/>
      <c r="U2385" s="404"/>
      <c r="V2385" s="390"/>
    </row>
    <row r="2386" spans="1:27" s="403" customFormat="1" ht="75" customHeight="1">
      <c r="A2386" s="458">
        <f>A2385+1</f>
        <v>2</v>
      </c>
      <c r="B2386" s="403" t="s">
        <v>3523</v>
      </c>
      <c r="C2386" s="455" t="s">
        <v>222</v>
      </c>
      <c r="D2386" s="641">
        <v>2923</v>
      </c>
      <c r="E2386" s="388">
        <v>295</v>
      </c>
      <c r="F2386" s="388" t="s">
        <v>223</v>
      </c>
      <c r="G2386" s="388">
        <v>670</v>
      </c>
      <c r="H2386" s="446">
        <v>2</v>
      </c>
      <c r="I2386" s="446">
        <v>2</v>
      </c>
      <c r="J2386" s="446">
        <v>17</v>
      </c>
      <c r="K2386" s="397" t="s">
        <v>418</v>
      </c>
      <c r="L2386" s="384">
        <f t="shared" si="314"/>
        <v>364407.37</v>
      </c>
      <c r="M2386" s="529">
        <v>347495</v>
      </c>
      <c r="N2386" s="646"/>
      <c r="O2386" s="473">
        <v>10420</v>
      </c>
      <c r="P2386" s="646"/>
      <c r="Q2386" s="388">
        <v>6492.37</v>
      </c>
      <c r="R2386" s="689">
        <f>M2386/J2386</f>
        <v>20440.882352941175</v>
      </c>
      <c r="S2386" s="383">
        <f>L2386-M2386-N2386-O2386-P2386-Q2386</f>
        <v>0</v>
      </c>
      <c r="T2386" s="393"/>
      <c r="U2386" s="404"/>
      <c r="V2386" s="390"/>
      <c r="Z2386" s="416">
        <v>1</v>
      </c>
      <c r="AA2386" s="416">
        <f>J2386</f>
        <v>17</v>
      </c>
    </row>
    <row r="2387" spans="1:27" s="424" customFormat="1" ht="37.5" customHeight="1">
      <c r="A2387" s="458">
        <f t="shared" ref="A2387:A2392" si="315">A2386+1</f>
        <v>3</v>
      </c>
      <c r="B2387" s="424" t="s">
        <v>3403</v>
      </c>
      <c r="C2387" s="648" t="s">
        <v>222</v>
      </c>
      <c r="D2387" s="681">
        <v>2890</v>
      </c>
      <c r="E2387" s="646">
        <v>481.6</v>
      </c>
      <c r="F2387" s="646" t="s">
        <v>223</v>
      </c>
      <c r="G2387" s="646">
        <v>642.79999999999995</v>
      </c>
      <c r="H2387" s="648">
        <v>2</v>
      </c>
      <c r="I2387" s="648">
        <v>2</v>
      </c>
      <c r="J2387" s="648">
        <v>16</v>
      </c>
      <c r="K2387" s="682" t="s">
        <v>33</v>
      </c>
      <c r="L2387" s="384">
        <f t="shared" si="314"/>
        <v>1649221.25</v>
      </c>
      <c r="M2387" s="645">
        <v>1607000</v>
      </c>
      <c r="N2387" s="388">
        <v>28141</v>
      </c>
      <c r="O2387" s="385"/>
      <c r="P2387" s="383"/>
      <c r="Q2387" s="388">
        <v>14080.25</v>
      </c>
      <c r="R2387" s="648">
        <f>M2387/G2387</f>
        <v>2500</v>
      </c>
      <c r="S2387" s="383">
        <f t="shared" ref="S2387:S2392" si="316">L2387-M2387-N2387-O2387-P2387-Q2387</f>
        <v>0</v>
      </c>
      <c r="T2387" s="406"/>
      <c r="U2387" s="390"/>
      <c r="V2387" s="390"/>
    </row>
    <row r="2388" spans="1:27" s="424" customFormat="1" ht="115.5" customHeight="1">
      <c r="A2388" s="458">
        <f t="shared" si="315"/>
        <v>4</v>
      </c>
      <c r="B2388" s="424" t="s">
        <v>3778</v>
      </c>
      <c r="C2388" s="648" t="s">
        <v>222</v>
      </c>
      <c r="D2388" s="681">
        <v>2797</v>
      </c>
      <c r="E2388" s="646">
        <v>480</v>
      </c>
      <c r="F2388" s="646" t="s">
        <v>229</v>
      </c>
      <c r="G2388" s="646">
        <v>864</v>
      </c>
      <c r="H2388" s="648">
        <v>2</v>
      </c>
      <c r="I2388" s="648">
        <v>3</v>
      </c>
      <c r="J2388" s="648">
        <v>22</v>
      </c>
      <c r="K2388" s="682" t="s">
        <v>280</v>
      </c>
      <c r="L2388" s="383">
        <f t="shared" si="314"/>
        <v>687433</v>
      </c>
      <c r="M2388" s="388">
        <v>660000</v>
      </c>
      <c r="N2388" s="388">
        <v>27433</v>
      </c>
      <c r="O2388" s="383"/>
      <c r="P2388" s="383"/>
      <c r="Q2388" s="388"/>
      <c r="R2388" s="446">
        <v>30000</v>
      </c>
      <c r="S2388" s="383">
        <f t="shared" si="316"/>
        <v>0</v>
      </c>
      <c r="T2388" s="406"/>
      <c r="U2388" s="390"/>
      <c r="V2388" s="390"/>
    </row>
    <row r="2389" spans="1:27" s="424" customFormat="1" ht="37.5" customHeight="1">
      <c r="A2389" s="458">
        <f t="shared" si="315"/>
        <v>5</v>
      </c>
      <c r="B2389" s="424" t="s">
        <v>4223</v>
      </c>
      <c r="C2389" s="648" t="s">
        <v>222</v>
      </c>
      <c r="D2389" s="681">
        <v>1326</v>
      </c>
      <c r="E2389" s="646">
        <v>360</v>
      </c>
      <c r="F2389" s="646" t="s">
        <v>223</v>
      </c>
      <c r="G2389" s="646">
        <v>520.29999999999995</v>
      </c>
      <c r="H2389" s="648">
        <v>2</v>
      </c>
      <c r="I2389" s="648">
        <v>1</v>
      </c>
      <c r="J2389" s="648">
        <v>16</v>
      </c>
      <c r="K2389" s="682" t="s">
        <v>33</v>
      </c>
      <c r="L2389" s="383">
        <f t="shared" si="314"/>
        <v>1847418.31</v>
      </c>
      <c r="M2389" s="388">
        <v>1820217</v>
      </c>
      <c r="N2389" s="388">
        <v>27201.31</v>
      </c>
      <c r="O2389" s="383"/>
      <c r="P2389" s="383"/>
      <c r="Q2389" s="388"/>
      <c r="R2389" s="446">
        <f>M2389/G2389</f>
        <v>3498.3990005765909</v>
      </c>
      <c r="S2389" s="383">
        <f t="shared" si="316"/>
        <v>5.4569682106375694E-11</v>
      </c>
      <c r="T2389" s="406"/>
      <c r="U2389" s="390"/>
      <c r="V2389" s="390"/>
    </row>
    <row r="2390" spans="1:27" s="424" customFormat="1" ht="60" customHeight="1">
      <c r="A2390" s="458">
        <f t="shared" si="315"/>
        <v>6</v>
      </c>
      <c r="B2390" s="424" t="s">
        <v>4222</v>
      </c>
      <c r="C2390" s="648" t="s">
        <v>222</v>
      </c>
      <c r="D2390" s="681">
        <v>4636.8</v>
      </c>
      <c r="E2390" s="646">
        <v>837.59999999999991</v>
      </c>
      <c r="F2390" s="646" t="s">
        <v>223</v>
      </c>
      <c r="G2390" s="646">
        <v>856</v>
      </c>
      <c r="H2390" s="648">
        <v>2</v>
      </c>
      <c r="I2390" s="648">
        <v>3</v>
      </c>
      <c r="J2390" s="648">
        <v>20</v>
      </c>
      <c r="K2390" s="682" t="s">
        <v>33</v>
      </c>
      <c r="L2390" s="383">
        <f t="shared" si="314"/>
        <v>2845771.2800000003</v>
      </c>
      <c r="M2390" s="388">
        <v>2812992.0000000005</v>
      </c>
      <c r="N2390" s="388">
        <v>32779.279999999999</v>
      </c>
      <c r="O2390" s="383"/>
      <c r="P2390" s="383"/>
      <c r="Q2390" s="388"/>
      <c r="R2390" s="446">
        <f>M2390/G2390</f>
        <v>3286.205607476636</v>
      </c>
      <c r="S2390" s="383">
        <f t="shared" si="316"/>
        <v>-2.0372681319713593E-10</v>
      </c>
      <c r="T2390" s="406"/>
      <c r="U2390" s="390"/>
      <c r="V2390" s="390"/>
    </row>
    <row r="2391" spans="1:27" s="424" customFormat="1" ht="37.5" customHeight="1">
      <c r="A2391" s="458">
        <f t="shared" si="315"/>
        <v>7</v>
      </c>
      <c r="B2391" s="424" t="s">
        <v>4285</v>
      </c>
      <c r="C2391" s="648" t="s">
        <v>222</v>
      </c>
      <c r="D2391" s="681">
        <v>4095</v>
      </c>
      <c r="E2391" s="646">
        <v>882</v>
      </c>
      <c r="F2391" s="646" t="s">
        <v>223</v>
      </c>
      <c r="G2391" s="646">
        <v>810</v>
      </c>
      <c r="H2391" s="648">
        <v>2</v>
      </c>
      <c r="I2391" s="648">
        <v>2</v>
      </c>
      <c r="J2391" s="648">
        <v>20</v>
      </c>
      <c r="K2391" s="682" t="s">
        <v>247</v>
      </c>
      <c r="L2391" s="383">
        <f t="shared" si="314"/>
        <v>1475333</v>
      </c>
      <c r="M2391" s="388">
        <v>1461600</v>
      </c>
      <c r="N2391" s="388"/>
      <c r="O2391" s="383">
        <v>13733</v>
      </c>
      <c r="P2391" s="383"/>
      <c r="Q2391" s="388"/>
      <c r="R2391" s="446"/>
      <c r="S2391" s="383">
        <f t="shared" si="316"/>
        <v>0</v>
      </c>
      <c r="T2391" s="406"/>
      <c r="U2391" s="390"/>
      <c r="V2391" s="390"/>
    </row>
    <row r="2392" spans="1:27" s="424" customFormat="1" ht="78" customHeight="1">
      <c r="A2392" s="458">
        <f t="shared" si="315"/>
        <v>8</v>
      </c>
      <c r="B2392" s="424" t="s">
        <v>4286</v>
      </c>
      <c r="C2392" s="648" t="s">
        <v>222</v>
      </c>
      <c r="D2392" s="681">
        <v>5147.1000000000004</v>
      </c>
      <c r="E2392" s="646">
        <v>1498.6</v>
      </c>
      <c r="F2392" s="646" t="s">
        <v>223</v>
      </c>
      <c r="G2392" s="646">
        <v>956</v>
      </c>
      <c r="H2392" s="648">
        <v>2</v>
      </c>
      <c r="I2392" s="648">
        <v>3</v>
      </c>
      <c r="J2392" s="648">
        <v>22</v>
      </c>
      <c r="K2392" s="682" t="s">
        <v>4287</v>
      </c>
      <c r="L2392" s="383">
        <f t="shared" si="314"/>
        <v>2535479</v>
      </c>
      <c r="M2392" s="388">
        <v>2514708</v>
      </c>
      <c r="N2392" s="388">
        <v>20771</v>
      </c>
      <c r="O2392" s="383"/>
      <c r="P2392" s="383"/>
      <c r="Q2392" s="388"/>
      <c r="R2392" s="446"/>
      <c r="S2392" s="383">
        <f t="shared" si="316"/>
        <v>0</v>
      </c>
      <c r="T2392" s="406"/>
      <c r="U2392" s="390"/>
      <c r="V2392" s="390"/>
    </row>
    <row r="2393" spans="1:27" s="403" customFormat="1" ht="42.75" customHeight="1">
      <c r="A2393" s="1112" t="s">
        <v>70</v>
      </c>
      <c r="B2393" s="1112"/>
      <c r="C2393" s="455" t="s">
        <v>28</v>
      </c>
      <c r="D2393" s="641">
        <f>SUM(D2385:D2392)</f>
        <v>26733.9</v>
      </c>
      <c r="E2393" s="388">
        <f>SUM(E2385:E2392)</f>
        <v>5225.7999999999993</v>
      </c>
      <c r="F2393" s="388" t="s">
        <v>28</v>
      </c>
      <c r="G2393" s="388">
        <f>SUM(G2385:G2392)</f>
        <v>5971.1</v>
      </c>
      <c r="H2393" s="446" t="s">
        <v>28</v>
      </c>
      <c r="I2393" s="446" t="s">
        <v>28</v>
      </c>
      <c r="J2393" s="446">
        <f>SUM(J2385:J2392)</f>
        <v>149</v>
      </c>
      <c r="K2393" s="458" t="s">
        <v>28</v>
      </c>
      <c r="L2393" s="519">
        <f t="shared" ref="L2393:Q2393" si="317">SUM(L2385:L2392)</f>
        <v>11788738.25</v>
      </c>
      <c r="M2393" s="519">
        <f t="shared" si="317"/>
        <v>11575064</v>
      </c>
      <c r="N2393" s="388">
        <f t="shared" si="317"/>
        <v>136325.59</v>
      </c>
      <c r="O2393" s="473">
        <f t="shared" si="317"/>
        <v>49819</v>
      </c>
      <c r="P2393" s="641">
        <f t="shared" si="317"/>
        <v>0</v>
      </c>
      <c r="Q2393" s="388">
        <f t="shared" si="317"/>
        <v>27529.66</v>
      </c>
      <c r="R2393" s="446" t="s">
        <v>28</v>
      </c>
      <c r="S2393" s="393">
        <f>L2393-M2393-N2393-O2393-P2393-Q2393</f>
        <v>0</v>
      </c>
      <c r="T2393" s="393"/>
      <c r="U2393" s="404"/>
      <c r="V2393" s="390"/>
    </row>
    <row r="2394" spans="1:27" s="403" customFormat="1" ht="42.75" customHeight="1">
      <c r="A2394" s="1113" t="s">
        <v>71</v>
      </c>
      <c r="B2394" s="1113"/>
      <c r="C2394" s="1113"/>
      <c r="D2394" s="1113"/>
      <c r="E2394" s="1113"/>
      <c r="F2394" s="1113"/>
      <c r="G2394" s="1113"/>
      <c r="H2394" s="1113"/>
      <c r="I2394" s="1113"/>
      <c r="J2394" s="1113"/>
      <c r="K2394" s="1113"/>
      <c r="L2394" s="1113"/>
      <c r="M2394" s="1113"/>
      <c r="N2394" s="1113"/>
      <c r="O2394" s="1113"/>
      <c r="P2394" s="1113"/>
      <c r="Q2394" s="1113"/>
      <c r="R2394" s="458"/>
      <c r="T2394" s="393"/>
      <c r="U2394" s="404"/>
      <c r="V2394" s="390"/>
    </row>
    <row r="2395" spans="1:27" s="420" customFormat="1" ht="37.5" customHeight="1">
      <c r="A2395" s="500">
        <v>1</v>
      </c>
      <c r="B2395" s="403" t="s">
        <v>1978</v>
      </c>
      <c r="C2395" s="455" t="s">
        <v>222</v>
      </c>
      <c r="D2395" s="606">
        <v>5253</v>
      </c>
      <c r="E2395" s="391">
        <v>628</v>
      </c>
      <c r="F2395" s="719" t="s">
        <v>223</v>
      </c>
      <c r="G2395" s="391">
        <v>950</v>
      </c>
      <c r="H2395" s="528">
        <v>3</v>
      </c>
      <c r="I2395" s="528">
        <v>2</v>
      </c>
      <c r="J2395" s="528">
        <v>18</v>
      </c>
      <c r="K2395" s="458" t="s">
        <v>33</v>
      </c>
      <c r="L2395" s="529">
        <f t="shared" ref="L2395:L2401" si="318">M2395+N2395+O2395+P2395+Q2395</f>
        <v>2135103.61</v>
      </c>
      <c r="M2395" s="519">
        <v>2090000</v>
      </c>
      <c r="N2395" s="388">
        <v>28908</v>
      </c>
      <c r="O2395" s="473"/>
      <c r="P2395" s="388"/>
      <c r="Q2395" s="388">
        <v>16195.61</v>
      </c>
      <c r="R2395" s="446">
        <f>M2395/G2395</f>
        <v>2200</v>
      </c>
      <c r="S2395" s="383">
        <f t="shared" ref="S2395:S2400" si="319">L2395-M2395-N2395-O2395-P2395-Q2395</f>
        <v>-1.3096723705530167E-10</v>
      </c>
      <c r="U2395" s="405"/>
      <c r="V2395" s="390"/>
    </row>
    <row r="2396" spans="1:27" s="420" customFormat="1" ht="37.5" customHeight="1">
      <c r="A2396" s="500">
        <f t="shared" ref="A2396:A2401" si="320">A2395+1</f>
        <v>2</v>
      </c>
      <c r="B2396" s="403" t="s">
        <v>1979</v>
      </c>
      <c r="C2396" s="455" t="s">
        <v>222</v>
      </c>
      <c r="D2396" s="606">
        <v>2968</v>
      </c>
      <c r="E2396" s="391">
        <v>2917</v>
      </c>
      <c r="F2396" s="719" t="s">
        <v>223</v>
      </c>
      <c r="G2396" s="391">
        <v>666</v>
      </c>
      <c r="H2396" s="528">
        <v>2</v>
      </c>
      <c r="I2396" s="528">
        <v>2</v>
      </c>
      <c r="J2396" s="528">
        <v>16</v>
      </c>
      <c r="K2396" s="458" t="s">
        <v>239</v>
      </c>
      <c r="L2396" s="529">
        <f t="shared" si="318"/>
        <v>512369.04</v>
      </c>
      <c r="M2396" s="529">
        <v>480000</v>
      </c>
      <c r="N2396" s="391">
        <v>25772</v>
      </c>
      <c r="O2396" s="530"/>
      <c r="P2396" s="391"/>
      <c r="Q2396" s="388">
        <v>6597.04</v>
      </c>
      <c r="R2396" s="528">
        <f>M2396/J2396</f>
        <v>30000</v>
      </c>
      <c r="S2396" s="383">
        <f t="shared" si="319"/>
        <v>-2.0918378140777349E-11</v>
      </c>
      <c r="U2396" s="405"/>
      <c r="V2396" s="390"/>
    </row>
    <row r="2397" spans="1:27" s="431" customFormat="1" ht="37.5" customHeight="1">
      <c r="A2397" s="500">
        <f t="shared" si="320"/>
        <v>3</v>
      </c>
      <c r="B2397" s="403" t="s">
        <v>1980</v>
      </c>
      <c r="C2397" s="455" t="s">
        <v>380</v>
      </c>
      <c r="D2397" s="606">
        <v>3814</v>
      </c>
      <c r="E2397" s="391">
        <v>4001</v>
      </c>
      <c r="F2397" s="646" t="s">
        <v>223</v>
      </c>
      <c r="G2397" s="391">
        <v>913</v>
      </c>
      <c r="H2397" s="528">
        <v>2</v>
      </c>
      <c r="I2397" s="528">
        <v>3</v>
      </c>
      <c r="J2397" s="528">
        <v>22</v>
      </c>
      <c r="K2397" s="458" t="s">
        <v>239</v>
      </c>
      <c r="L2397" s="529">
        <f t="shared" si="318"/>
        <v>698530.73</v>
      </c>
      <c r="M2397" s="529">
        <v>660000</v>
      </c>
      <c r="N2397" s="388">
        <v>26936</v>
      </c>
      <c r="O2397" s="530"/>
      <c r="P2397" s="391"/>
      <c r="Q2397" s="388">
        <v>11594.73</v>
      </c>
      <c r="R2397" s="528">
        <f>M2397/J2397</f>
        <v>30000</v>
      </c>
      <c r="S2397" s="383">
        <f t="shared" si="319"/>
        <v>-1.8189894035458565E-11</v>
      </c>
      <c r="U2397" s="432"/>
      <c r="V2397" s="390"/>
    </row>
    <row r="2398" spans="1:27" s="431" customFormat="1" ht="37.5" customHeight="1">
      <c r="A2398" s="500">
        <f t="shared" si="320"/>
        <v>4</v>
      </c>
      <c r="B2398" s="403" t="s">
        <v>1981</v>
      </c>
      <c r="C2398" s="455" t="s">
        <v>380</v>
      </c>
      <c r="D2398" s="606">
        <v>4037</v>
      </c>
      <c r="E2398" s="391">
        <v>3434</v>
      </c>
      <c r="F2398" s="388" t="s">
        <v>231</v>
      </c>
      <c r="G2398" s="391">
        <v>784</v>
      </c>
      <c r="H2398" s="528">
        <v>2</v>
      </c>
      <c r="I2398" s="528">
        <v>3</v>
      </c>
      <c r="J2398" s="528">
        <v>24</v>
      </c>
      <c r="K2398" s="458" t="s">
        <v>239</v>
      </c>
      <c r="L2398" s="529">
        <f t="shared" si="318"/>
        <v>758331.73</v>
      </c>
      <c r="M2398" s="529">
        <v>720000</v>
      </c>
      <c r="N2398" s="388">
        <v>26737</v>
      </c>
      <c r="O2398" s="530"/>
      <c r="P2398" s="391"/>
      <c r="Q2398" s="388">
        <v>11594.73</v>
      </c>
      <c r="R2398" s="528">
        <f>M2398/J2398</f>
        <v>30000</v>
      </c>
      <c r="S2398" s="383">
        <f t="shared" si="319"/>
        <v>-1.8189894035458565E-11</v>
      </c>
      <c r="U2398" s="432"/>
      <c r="V2398" s="390"/>
    </row>
    <row r="2399" spans="1:27" s="403" customFormat="1" ht="37.5" customHeight="1">
      <c r="A2399" s="500">
        <f t="shared" si="320"/>
        <v>5</v>
      </c>
      <c r="B2399" s="403" t="s">
        <v>1982</v>
      </c>
      <c r="C2399" s="455" t="s">
        <v>222</v>
      </c>
      <c r="D2399" s="707">
        <f>E2399*3</f>
        <v>1227.6000000000001</v>
      </c>
      <c r="E2399" s="388">
        <f>((21.7+12.4)*2)*3*H2399</f>
        <v>409.20000000000005</v>
      </c>
      <c r="F2399" s="383" t="s">
        <v>223</v>
      </c>
      <c r="G2399" s="388">
        <v>671</v>
      </c>
      <c r="H2399" s="446">
        <v>2</v>
      </c>
      <c r="I2399" s="446">
        <v>2</v>
      </c>
      <c r="J2399" s="446">
        <v>12</v>
      </c>
      <c r="K2399" s="458" t="s">
        <v>33</v>
      </c>
      <c r="L2399" s="519">
        <f t="shared" si="318"/>
        <v>1509257.95</v>
      </c>
      <c r="M2399" s="519">
        <v>1476200</v>
      </c>
      <c r="N2399" s="388">
        <v>27077</v>
      </c>
      <c r="O2399" s="385"/>
      <c r="P2399" s="383"/>
      <c r="Q2399" s="388">
        <v>5980.95</v>
      </c>
      <c r="R2399" s="446">
        <f>M2399/G2399</f>
        <v>2200</v>
      </c>
      <c r="S2399" s="383">
        <f t="shared" si="319"/>
        <v>-4.638422979041934E-11</v>
      </c>
      <c r="T2399" s="406">
        <f>L2399-M2399-N2399-O2399-Q2399</f>
        <v>-4.638422979041934E-11</v>
      </c>
      <c r="U2399" s="404"/>
      <c r="V2399" s="390"/>
    </row>
    <row r="2400" spans="1:27" s="420" customFormat="1" ht="37.5" customHeight="1">
      <c r="A2400" s="500">
        <f t="shared" si="320"/>
        <v>6</v>
      </c>
      <c r="B2400" s="403" t="s">
        <v>1983</v>
      </c>
      <c r="C2400" s="648" t="s">
        <v>222</v>
      </c>
      <c r="D2400" s="606">
        <v>3648</v>
      </c>
      <c r="E2400" s="391">
        <v>3714</v>
      </c>
      <c r="F2400" s="646" t="s">
        <v>223</v>
      </c>
      <c r="G2400" s="391">
        <v>922</v>
      </c>
      <c r="H2400" s="528">
        <v>2</v>
      </c>
      <c r="I2400" s="528">
        <v>3</v>
      </c>
      <c r="J2400" s="528">
        <v>22</v>
      </c>
      <c r="K2400" s="458" t="s">
        <v>33</v>
      </c>
      <c r="L2400" s="519">
        <f t="shared" si="318"/>
        <v>2077147.69</v>
      </c>
      <c r="M2400" s="519">
        <v>2028400</v>
      </c>
      <c r="N2400" s="388">
        <v>30974</v>
      </c>
      <c r="O2400" s="473"/>
      <c r="P2400" s="388"/>
      <c r="Q2400" s="388">
        <v>17773.689999999999</v>
      </c>
      <c r="R2400" s="446">
        <f>M2400/G2400</f>
        <v>2200</v>
      </c>
      <c r="S2400" s="383">
        <f t="shared" si="319"/>
        <v>-5.4569682106375694E-11</v>
      </c>
      <c r="T2400" s="406">
        <f>L2400-M2400-N2400-O2400-Q2400</f>
        <v>-5.4569682106375694E-11</v>
      </c>
      <c r="U2400" s="405"/>
      <c r="V2400" s="390"/>
    </row>
    <row r="2401" spans="1:22" s="379" customFormat="1" ht="37.5" customHeight="1">
      <c r="A2401" s="500">
        <f t="shared" si="320"/>
        <v>7</v>
      </c>
      <c r="B2401" s="427" t="s">
        <v>3711</v>
      </c>
      <c r="C2401" s="382" t="s">
        <v>222</v>
      </c>
      <c r="D2401" s="691">
        <f>22*13*10</f>
        <v>2860</v>
      </c>
      <c r="E2401" s="383">
        <f>(60+12)*2*9</f>
        <v>1296</v>
      </c>
      <c r="F2401" s="383" t="s">
        <v>223</v>
      </c>
      <c r="G2401" s="383">
        <f>(22*I2401)*13*1.3</f>
        <v>1115.4000000000001</v>
      </c>
      <c r="H2401" s="382">
        <v>2</v>
      </c>
      <c r="I2401" s="382">
        <v>3</v>
      </c>
      <c r="J2401" s="382">
        <v>24</v>
      </c>
      <c r="K2401" s="377" t="s">
        <v>33</v>
      </c>
      <c r="L2401" s="650">
        <f t="shared" si="318"/>
        <v>2832334</v>
      </c>
      <c r="M2401" s="519">
        <f>G2401*2500</f>
        <v>2788500</v>
      </c>
      <c r="N2401" s="388">
        <v>29829</v>
      </c>
      <c r="O2401" s="385"/>
      <c r="P2401" s="383"/>
      <c r="Q2401" s="388">
        <v>14005</v>
      </c>
      <c r="R2401" s="446">
        <f>M2401/G2401</f>
        <v>2500</v>
      </c>
    </row>
    <row r="2402" spans="1:22" s="403" customFormat="1" ht="42.75" customHeight="1">
      <c r="A2402" s="1112" t="s">
        <v>72</v>
      </c>
      <c r="B2402" s="1112"/>
      <c r="C2402" s="455" t="s">
        <v>28</v>
      </c>
      <c r="D2402" s="641">
        <f>SUM(D2395:D2401)</f>
        <v>23807.599999999999</v>
      </c>
      <c r="E2402" s="388">
        <f>SUM(E2395:E2401)</f>
        <v>16399.2</v>
      </c>
      <c r="F2402" s="388" t="s">
        <v>28</v>
      </c>
      <c r="G2402" s="388">
        <f>SUM(G2395:G2401)</f>
        <v>6021.4</v>
      </c>
      <c r="H2402" s="446" t="s">
        <v>28</v>
      </c>
      <c r="I2402" s="446" t="s">
        <v>28</v>
      </c>
      <c r="J2402" s="446">
        <f>SUM(J2395:J2401)</f>
        <v>138</v>
      </c>
      <c r="K2402" s="458" t="s">
        <v>28</v>
      </c>
      <c r="L2402" s="519">
        <f t="shared" ref="L2402:Q2402" si="321">SUM(L2395:L2401)</f>
        <v>10523074.75</v>
      </c>
      <c r="M2402" s="519">
        <f t="shared" si="321"/>
        <v>10243100</v>
      </c>
      <c r="N2402" s="388">
        <f t="shared" si="321"/>
        <v>196233</v>
      </c>
      <c r="O2402" s="473">
        <f t="shared" si="321"/>
        <v>0</v>
      </c>
      <c r="P2402" s="388">
        <f t="shared" si="321"/>
        <v>0</v>
      </c>
      <c r="Q2402" s="388">
        <f t="shared" si="321"/>
        <v>83741.75</v>
      </c>
      <c r="R2402" s="446" t="s">
        <v>28</v>
      </c>
      <c r="S2402" s="393">
        <f>L2402-M2402-N2402-O2402-P2402-Q2402</f>
        <v>0</v>
      </c>
      <c r="T2402" s="393"/>
      <c r="U2402" s="404"/>
      <c r="V2402" s="390"/>
    </row>
    <row r="2403" spans="1:22" s="403" customFormat="1" ht="42.75" customHeight="1">
      <c r="A2403" s="1113" t="s">
        <v>124</v>
      </c>
      <c r="B2403" s="1113"/>
      <c r="C2403" s="1113"/>
      <c r="D2403" s="1113"/>
      <c r="E2403" s="1113"/>
      <c r="F2403" s="1113"/>
      <c r="G2403" s="1113"/>
      <c r="H2403" s="1113"/>
      <c r="I2403" s="1113"/>
      <c r="J2403" s="1113"/>
      <c r="K2403" s="1113"/>
      <c r="L2403" s="1113"/>
      <c r="M2403" s="1113"/>
      <c r="N2403" s="1113"/>
      <c r="O2403" s="1113"/>
      <c r="P2403" s="1113"/>
      <c r="Q2403" s="1113"/>
      <c r="R2403" s="458"/>
      <c r="T2403" s="393"/>
      <c r="U2403" s="404"/>
      <c r="V2403" s="390"/>
    </row>
    <row r="2404" spans="1:22" s="420" customFormat="1" ht="37.5" customHeight="1">
      <c r="A2404" s="458">
        <v>1</v>
      </c>
      <c r="B2404" s="403" t="s">
        <v>1984</v>
      </c>
      <c r="C2404" s="455" t="s">
        <v>222</v>
      </c>
      <c r="D2404" s="641">
        <v>3923.6</v>
      </c>
      <c r="E2404" s="391">
        <v>632</v>
      </c>
      <c r="F2404" s="391" t="s">
        <v>231</v>
      </c>
      <c r="G2404" s="391">
        <v>643.5</v>
      </c>
      <c r="H2404" s="528">
        <v>2</v>
      </c>
      <c r="I2404" s="528">
        <v>1</v>
      </c>
      <c r="J2404" s="528">
        <v>15</v>
      </c>
      <c r="K2404" s="458" t="s">
        <v>33</v>
      </c>
      <c r="L2404" s="529">
        <f>M2404+N2404+Q2404</f>
        <v>1420329.94</v>
      </c>
      <c r="M2404" s="650">
        <v>1369992</v>
      </c>
      <c r="N2404" s="688">
        <v>31221</v>
      </c>
      <c r="O2404" s="703"/>
      <c r="P2404" s="688"/>
      <c r="Q2404" s="388">
        <v>19116.939999999999</v>
      </c>
      <c r="R2404" s="689">
        <f>M2404/G2404</f>
        <v>2128.969696969697</v>
      </c>
      <c r="S2404" s="383">
        <f>L2404-M2404-N2404-O2404-P2404-Q2404</f>
        <v>-5.4569682106375694E-11</v>
      </c>
      <c r="U2404" s="405"/>
      <c r="V2404" s="390"/>
    </row>
    <row r="2405" spans="1:22" s="403" customFormat="1" ht="42.75" customHeight="1">
      <c r="A2405" s="1112" t="s">
        <v>125</v>
      </c>
      <c r="B2405" s="1112"/>
      <c r="C2405" s="455" t="s">
        <v>28</v>
      </c>
      <c r="D2405" s="641">
        <f>SUM(D2404)</f>
        <v>3923.6</v>
      </c>
      <c r="E2405" s="388">
        <f>SUM(E2404)</f>
        <v>632</v>
      </c>
      <c r="F2405" s="388" t="s">
        <v>28</v>
      </c>
      <c r="G2405" s="388">
        <f>SUM(G2404)</f>
        <v>643.5</v>
      </c>
      <c r="H2405" s="446" t="s">
        <v>28</v>
      </c>
      <c r="I2405" s="446" t="s">
        <v>28</v>
      </c>
      <c r="J2405" s="446">
        <f>SUM(J2404)</f>
        <v>15</v>
      </c>
      <c r="K2405" s="458" t="s">
        <v>28</v>
      </c>
      <c r="L2405" s="519">
        <f>SUM(L2404)</f>
        <v>1420329.94</v>
      </c>
      <c r="M2405" s="519">
        <f>SUM(M2404)</f>
        <v>1369992</v>
      </c>
      <c r="N2405" s="388">
        <f>SUM(N2404)</f>
        <v>31221</v>
      </c>
      <c r="O2405" s="473"/>
      <c r="P2405" s="388"/>
      <c r="Q2405" s="388">
        <f>SUM(Q2404)</f>
        <v>19116.939999999999</v>
      </c>
      <c r="R2405" s="446" t="s">
        <v>28</v>
      </c>
      <c r="S2405" s="393">
        <f>L2405-M2405-N2405-O2405-P2405-Q2405</f>
        <v>-5.4569682106375694E-11</v>
      </c>
      <c r="T2405" s="393"/>
      <c r="U2405" s="404"/>
      <c r="V2405" s="390"/>
    </row>
    <row r="2406" spans="1:22" s="403" customFormat="1" ht="42.75" customHeight="1">
      <c r="A2406" s="1113" t="s">
        <v>74</v>
      </c>
      <c r="B2406" s="1113"/>
      <c r="C2406" s="1113"/>
      <c r="D2406" s="1113"/>
      <c r="E2406" s="1113"/>
      <c r="F2406" s="1113"/>
      <c r="G2406" s="1113"/>
      <c r="H2406" s="1113"/>
      <c r="I2406" s="1113"/>
      <c r="J2406" s="1113"/>
      <c r="K2406" s="1113"/>
      <c r="L2406" s="1113"/>
      <c r="M2406" s="1113"/>
      <c r="N2406" s="1113"/>
      <c r="O2406" s="1113"/>
      <c r="P2406" s="1113"/>
      <c r="Q2406" s="1113"/>
      <c r="R2406" s="458"/>
      <c r="T2406" s="393"/>
      <c r="U2406" s="404"/>
      <c r="V2406" s="390"/>
    </row>
    <row r="2407" spans="1:22" s="403" customFormat="1" ht="37.5" customHeight="1">
      <c r="A2407" s="458">
        <v>1</v>
      </c>
      <c r="B2407" s="403" t="s">
        <v>1985</v>
      </c>
      <c r="C2407" s="455" t="s">
        <v>218</v>
      </c>
      <c r="D2407" s="641">
        <f>E2407*2.5</f>
        <v>1537</v>
      </c>
      <c r="E2407" s="388">
        <f>((40+13)*2)*2.9*2</f>
        <v>614.79999999999995</v>
      </c>
      <c r="F2407" s="719" t="s">
        <v>223</v>
      </c>
      <c r="G2407" s="388">
        <v>650</v>
      </c>
      <c r="H2407" s="446">
        <v>2</v>
      </c>
      <c r="I2407" s="446">
        <v>2</v>
      </c>
      <c r="J2407" s="446">
        <v>16</v>
      </c>
      <c r="K2407" s="458" t="s">
        <v>33</v>
      </c>
      <c r="L2407" s="529">
        <f>M2407+N2407+Q2407</f>
        <v>1282418.3700000001</v>
      </c>
      <c r="M2407" s="650">
        <v>1247383</v>
      </c>
      <c r="N2407" s="688">
        <v>27547</v>
      </c>
      <c r="O2407" s="703"/>
      <c r="P2407" s="688"/>
      <c r="Q2407" s="388">
        <v>7488.37</v>
      </c>
      <c r="R2407" s="689">
        <f>M2407/G2407</f>
        <v>1919.0507692307692</v>
      </c>
      <c r="S2407" s="383">
        <f>L2407-M2407-N2407-O2407-P2407-Q2407</f>
        <v>1.1186784831807017E-10</v>
      </c>
      <c r="T2407" s="393"/>
      <c r="U2407" s="404"/>
      <c r="V2407" s="390"/>
    </row>
    <row r="2408" spans="1:22" s="403" customFormat="1" ht="42.75" customHeight="1">
      <c r="A2408" s="1112" t="s">
        <v>126</v>
      </c>
      <c r="B2408" s="1112"/>
      <c r="C2408" s="455" t="s">
        <v>28</v>
      </c>
      <c r="D2408" s="641">
        <f>SUM(D2407)</f>
        <v>1537</v>
      </c>
      <c r="E2408" s="388">
        <f>SUM(E2407:E2407)</f>
        <v>614.79999999999995</v>
      </c>
      <c r="F2408" s="388" t="s">
        <v>28</v>
      </c>
      <c r="G2408" s="388">
        <f>SUM(G2407:G2407)</f>
        <v>650</v>
      </c>
      <c r="H2408" s="446" t="s">
        <v>28</v>
      </c>
      <c r="I2408" s="446" t="s">
        <v>28</v>
      </c>
      <c r="J2408" s="446">
        <f>SUM(J2407:J2407)</f>
        <v>16</v>
      </c>
      <c r="K2408" s="458" t="s">
        <v>28</v>
      </c>
      <c r="L2408" s="519">
        <f>SUM(L2407:L2407)</f>
        <v>1282418.3700000001</v>
      </c>
      <c r="M2408" s="519">
        <f>SUM(M2407:M2407)</f>
        <v>1247383</v>
      </c>
      <c r="N2408" s="388">
        <f>SUM(N2407:N2407)</f>
        <v>27547</v>
      </c>
      <c r="O2408" s="473"/>
      <c r="P2408" s="388"/>
      <c r="Q2408" s="388">
        <f>SUM(Q2407:Q2407)</f>
        <v>7488.37</v>
      </c>
      <c r="R2408" s="446" t="s">
        <v>28</v>
      </c>
      <c r="S2408" s="393">
        <f>L2408-M2408-N2408-O2408-P2408-Q2408</f>
        <v>1.1186784831807017E-10</v>
      </c>
      <c r="T2408" s="393"/>
      <c r="U2408" s="404"/>
      <c r="V2408" s="390"/>
    </row>
    <row r="2409" spans="1:22" s="403" customFormat="1" ht="42.75" customHeight="1">
      <c r="A2409" s="1113" t="s">
        <v>75</v>
      </c>
      <c r="B2409" s="1113"/>
      <c r="C2409" s="1113"/>
      <c r="D2409" s="1113"/>
      <c r="E2409" s="1113"/>
      <c r="F2409" s="1113"/>
      <c r="G2409" s="1113"/>
      <c r="H2409" s="1113"/>
      <c r="I2409" s="1113"/>
      <c r="J2409" s="1113"/>
      <c r="K2409" s="1113"/>
      <c r="L2409" s="1113"/>
      <c r="M2409" s="1113"/>
      <c r="N2409" s="1113"/>
      <c r="O2409" s="1113"/>
      <c r="P2409" s="1113"/>
      <c r="Q2409" s="1113"/>
      <c r="R2409" s="458"/>
      <c r="T2409" s="393"/>
      <c r="U2409" s="404"/>
      <c r="V2409" s="390"/>
    </row>
    <row r="2410" spans="1:22" s="403" customFormat="1" ht="75" customHeight="1">
      <c r="A2410" s="500">
        <v>1</v>
      </c>
      <c r="B2410" s="403" t="s">
        <v>1986</v>
      </c>
      <c r="C2410" s="455" t="s">
        <v>218</v>
      </c>
      <c r="D2410" s="641">
        <v>4629</v>
      </c>
      <c r="E2410" s="388">
        <v>908.6</v>
      </c>
      <c r="F2410" s="719" t="s">
        <v>223</v>
      </c>
      <c r="G2410" s="388">
        <v>1030</v>
      </c>
      <c r="H2410" s="446">
        <v>2</v>
      </c>
      <c r="I2410" s="446">
        <v>4</v>
      </c>
      <c r="J2410" s="446">
        <v>24</v>
      </c>
      <c r="K2410" s="458" t="s">
        <v>275</v>
      </c>
      <c r="L2410" s="529">
        <f>M2410+N2410+Q2410</f>
        <v>2523513.04</v>
      </c>
      <c r="M2410" s="529">
        <v>2468199</v>
      </c>
      <c r="N2410" s="391">
        <v>32760.37</v>
      </c>
      <c r="O2410" s="530"/>
      <c r="P2410" s="391"/>
      <c r="Q2410" s="388">
        <v>22553.67</v>
      </c>
      <c r="R2410" s="528">
        <f>M2410/G2410</f>
        <v>2396.3097087378642</v>
      </c>
      <c r="S2410" s="383">
        <f>L2410-M2410-N2410-O2410-P2410-Q2410</f>
        <v>4.0017766878008842E-11</v>
      </c>
      <c r="T2410" s="393"/>
      <c r="U2410" s="404"/>
      <c r="V2410" s="390"/>
    </row>
    <row r="2411" spans="1:22" s="403" customFormat="1" ht="75" customHeight="1">
      <c r="A2411" s="500">
        <v>2</v>
      </c>
      <c r="B2411" s="403" t="s">
        <v>1987</v>
      </c>
      <c r="C2411" s="720" t="s">
        <v>222</v>
      </c>
      <c r="D2411" s="641">
        <v>3777</v>
      </c>
      <c r="E2411" s="388">
        <v>829.9</v>
      </c>
      <c r="F2411" s="719" t="s">
        <v>223</v>
      </c>
      <c r="G2411" s="388">
        <v>575.79999999999995</v>
      </c>
      <c r="H2411" s="446">
        <v>3</v>
      </c>
      <c r="I2411" s="446">
        <v>1</v>
      </c>
      <c r="J2411" s="446">
        <v>24</v>
      </c>
      <c r="K2411" s="458" t="s">
        <v>275</v>
      </c>
      <c r="L2411" s="529">
        <f>M2411+N2411+Q2411</f>
        <v>1425504.31</v>
      </c>
      <c r="M2411" s="529">
        <v>1379795</v>
      </c>
      <c r="N2411" s="391">
        <v>27306.78</v>
      </c>
      <c r="O2411" s="530"/>
      <c r="P2411" s="391"/>
      <c r="Q2411" s="388">
        <v>18402.53</v>
      </c>
      <c r="R2411" s="528">
        <f>M2411/G2411</f>
        <v>2396.3094824591876</v>
      </c>
      <c r="S2411" s="383">
        <f>L2411-M2411-N2411-O2411-P2411-Q2411</f>
        <v>5.8207660913467407E-11</v>
      </c>
      <c r="T2411" s="393"/>
      <c r="U2411" s="404"/>
      <c r="V2411" s="390"/>
    </row>
    <row r="2412" spans="1:22" s="403" customFormat="1" ht="42.75" customHeight="1">
      <c r="A2412" s="1112" t="s">
        <v>127</v>
      </c>
      <c r="B2412" s="1112"/>
      <c r="C2412" s="455" t="s">
        <v>28</v>
      </c>
      <c r="D2412" s="641">
        <f>SUM(D2410:D2411)</f>
        <v>8406</v>
      </c>
      <c r="E2412" s="388">
        <f>SUM(E2410:E2411)</f>
        <v>1738.5</v>
      </c>
      <c r="F2412" s="388" t="s">
        <v>28</v>
      </c>
      <c r="G2412" s="388">
        <f>SUM(G2410:G2411)</f>
        <v>1605.8</v>
      </c>
      <c r="H2412" s="446" t="s">
        <v>28</v>
      </c>
      <c r="I2412" s="446" t="s">
        <v>28</v>
      </c>
      <c r="J2412" s="446">
        <f>SUM(J2410:J2411)</f>
        <v>48</v>
      </c>
      <c r="K2412" s="458" t="s">
        <v>28</v>
      </c>
      <c r="L2412" s="519">
        <f>SUM(L2410:L2411)</f>
        <v>3949017.35</v>
      </c>
      <c r="M2412" s="519">
        <f>SUM(M2410:M2411)</f>
        <v>3847994</v>
      </c>
      <c r="N2412" s="388">
        <f>SUM(N2410:N2411)</f>
        <v>60067.149999999994</v>
      </c>
      <c r="O2412" s="473">
        <f>SUM(O2410:O2411)</f>
        <v>0</v>
      </c>
      <c r="P2412" s="388"/>
      <c r="Q2412" s="388">
        <f>SUM(Q2410:Q2411)</f>
        <v>40956.199999999997</v>
      </c>
      <c r="R2412" s="446" t="s">
        <v>28</v>
      </c>
      <c r="S2412" s="393">
        <f>L2412-M2412-N2412-O2412-P2412-Q2412</f>
        <v>1.0186340659856796E-10</v>
      </c>
      <c r="T2412" s="393"/>
      <c r="U2412" s="404"/>
      <c r="V2412" s="390"/>
    </row>
    <row r="2413" spans="1:22" s="403" customFormat="1" ht="42.75" customHeight="1">
      <c r="A2413" s="1113" t="s">
        <v>76</v>
      </c>
      <c r="B2413" s="1113"/>
      <c r="C2413" s="1113"/>
      <c r="D2413" s="1113"/>
      <c r="E2413" s="1113"/>
      <c r="F2413" s="1113"/>
      <c r="G2413" s="1113"/>
      <c r="H2413" s="1113"/>
      <c r="I2413" s="1113"/>
      <c r="J2413" s="1113"/>
      <c r="K2413" s="1113"/>
      <c r="L2413" s="1113"/>
      <c r="M2413" s="1113"/>
      <c r="N2413" s="1113"/>
      <c r="O2413" s="1113"/>
      <c r="P2413" s="1113"/>
      <c r="Q2413" s="1113"/>
      <c r="R2413" s="458"/>
      <c r="T2413" s="393"/>
      <c r="U2413" s="404"/>
      <c r="V2413" s="390"/>
    </row>
    <row r="2414" spans="1:22" s="403" customFormat="1" ht="56.25" customHeight="1">
      <c r="A2414" s="458">
        <v>1</v>
      </c>
      <c r="B2414" s="403" t="s">
        <v>1988</v>
      </c>
      <c r="C2414" s="720" t="s">
        <v>222</v>
      </c>
      <c r="D2414" s="606">
        <v>2033</v>
      </c>
      <c r="E2414" s="391">
        <v>625</v>
      </c>
      <c r="F2414" s="388" t="s">
        <v>223</v>
      </c>
      <c r="G2414" s="391">
        <v>389.1</v>
      </c>
      <c r="H2414" s="528">
        <v>2</v>
      </c>
      <c r="I2414" s="528">
        <v>2</v>
      </c>
      <c r="J2414" s="528">
        <v>8</v>
      </c>
      <c r="K2414" s="458" t="s">
        <v>268</v>
      </c>
      <c r="L2414" s="519">
        <f>M2414+N2414+O2414+P2414+Q2414</f>
        <v>1060526.17</v>
      </c>
      <c r="M2414" s="519">
        <v>1035000</v>
      </c>
      <c r="N2414" s="388"/>
      <c r="O2414" s="473">
        <v>12626</v>
      </c>
      <c r="P2414" s="388"/>
      <c r="Q2414" s="388">
        <v>12900.17</v>
      </c>
      <c r="R2414" s="528">
        <f>M2414/E2414</f>
        <v>1656</v>
      </c>
      <c r="S2414" s="383">
        <f>L2414-M2414-N2414-O2414-P2414-Q2414</f>
        <v>-7.4578565545380116E-11</v>
      </c>
      <c r="T2414" s="393"/>
      <c r="U2414" s="404"/>
      <c r="V2414" s="390"/>
    </row>
    <row r="2415" spans="1:22" s="403" customFormat="1" ht="56.25" customHeight="1">
      <c r="A2415" s="458">
        <f>A2414+1</f>
        <v>2</v>
      </c>
      <c r="B2415" s="403" t="s">
        <v>1989</v>
      </c>
      <c r="C2415" s="487" t="s">
        <v>240</v>
      </c>
      <c r="D2415" s="606">
        <v>2743</v>
      </c>
      <c r="E2415" s="391">
        <v>958.8</v>
      </c>
      <c r="F2415" s="391" t="s">
        <v>231</v>
      </c>
      <c r="G2415" s="391">
        <v>584.79999999999995</v>
      </c>
      <c r="H2415" s="528">
        <v>2</v>
      </c>
      <c r="I2415" s="528">
        <v>2</v>
      </c>
      <c r="J2415" s="528">
        <v>16</v>
      </c>
      <c r="K2415" s="458" t="s">
        <v>268</v>
      </c>
      <c r="L2415" s="519">
        <f>M2415+N2415+O2415+P2415+Q2415</f>
        <v>1614597.54</v>
      </c>
      <c r="M2415" s="519">
        <v>1584933</v>
      </c>
      <c r="N2415" s="388"/>
      <c r="O2415" s="473">
        <v>12260</v>
      </c>
      <c r="P2415" s="388"/>
      <c r="Q2415" s="388">
        <v>17404.54</v>
      </c>
      <c r="R2415" s="528">
        <f>M2415/E2415</f>
        <v>1653.0381727158949</v>
      </c>
      <c r="S2415" s="383">
        <f>L2415-M2415-N2415-O2415-P2415-Q2415</f>
        <v>3.637978807091713E-11</v>
      </c>
      <c r="T2415" s="393"/>
      <c r="U2415" s="404"/>
      <c r="V2415" s="390"/>
    </row>
    <row r="2416" spans="1:22" s="403" customFormat="1" ht="56.25" customHeight="1">
      <c r="A2416" s="458">
        <f>A2415+1</f>
        <v>3</v>
      </c>
      <c r="B2416" s="403" t="s">
        <v>3968</v>
      </c>
      <c r="C2416" s="835" t="s">
        <v>222</v>
      </c>
      <c r="D2416" s="606">
        <v>3500.6399999999994</v>
      </c>
      <c r="E2416" s="391">
        <f>(37.4+15.6)*2*6</f>
        <v>636</v>
      </c>
      <c r="F2416" s="391" t="s">
        <v>223</v>
      </c>
      <c r="G2416" s="391">
        <v>691</v>
      </c>
      <c r="H2416" s="528">
        <v>2</v>
      </c>
      <c r="I2416" s="528">
        <v>2</v>
      </c>
      <c r="J2416" s="528">
        <v>16</v>
      </c>
      <c r="K2416" s="458" t="s">
        <v>33</v>
      </c>
      <c r="L2416" s="519">
        <f>M2416+N2416+O2416+P2416+Q2416</f>
        <v>1634496.3</v>
      </c>
      <c r="M2416" s="650">
        <v>1589300</v>
      </c>
      <c r="N2416" s="688">
        <v>28141</v>
      </c>
      <c r="O2416" s="703"/>
      <c r="P2416" s="688"/>
      <c r="Q2416" s="388">
        <v>17055.3</v>
      </c>
      <c r="R2416" s="648">
        <f>M2416/G2416</f>
        <v>2300</v>
      </c>
      <c r="S2416" s="383">
        <f>L2416-M2416-N2416-O2416-P2416-Q2416</f>
        <v>4.7293724492192268E-11</v>
      </c>
      <c r="T2416" s="393"/>
      <c r="U2416" s="404"/>
      <c r="V2416" s="390"/>
    </row>
    <row r="2417" spans="1:27" s="403" customFormat="1" ht="42.75" customHeight="1">
      <c r="A2417" s="1112" t="s">
        <v>77</v>
      </c>
      <c r="B2417" s="1112"/>
      <c r="C2417" s="455" t="s">
        <v>28</v>
      </c>
      <c r="D2417" s="641">
        <f>SUM(D2414:D2416)</f>
        <v>8276.64</v>
      </c>
      <c r="E2417" s="388">
        <f>SUM(E2414:E2416)</f>
        <v>2219.8000000000002</v>
      </c>
      <c r="F2417" s="388" t="s">
        <v>28</v>
      </c>
      <c r="G2417" s="388">
        <f>SUM(G2414:G2416)</f>
        <v>1664.9</v>
      </c>
      <c r="H2417" s="446" t="s">
        <v>28</v>
      </c>
      <c r="I2417" s="446" t="s">
        <v>28</v>
      </c>
      <c r="J2417" s="446">
        <f>SUM(J2414:J2416)</f>
        <v>40</v>
      </c>
      <c r="K2417" s="458" t="s">
        <v>28</v>
      </c>
      <c r="L2417" s="519">
        <f>SUM(L2414:L2416)</f>
        <v>4309620.01</v>
      </c>
      <c r="M2417" s="519">
        <f>SUM(M2414:M2416)</f>
        <v>4209233</v>
      </c>
      <c r="N2417" s="388">
        <f>SUM(N2414:N2416)</f>
        <v>28141</v>
      </c>
      <c r="O2417" s="473">
        <f>SUM(O2414:O2416)</f>
        <v>24886</v>
      </c>
      <c r="P2417" s="388"/>
      <c r="Q2417" s="388">
        <f>SUM(Q2414:Q2416)</f>
        <v>47360.009999999995</v>
      </c>
      <c r="R2417" s="446" t="s">
        <v>28</v>
      </c>
      <c r="S2417" s="383">
        <f>L2417-M2417-N2417-O2417-P2417-Q2417</f>
        <v>-2.1827872842550278E-10</v>
      </c>
      <c r="T2417" s="393"/>
      <c r="U2417" s="404"/>
      <c r="V2417" s="390"/>
    </row>
    <row r="2418" spans="1:27" s="403" customFormat="1" ht="42.75" customHeight="1">
      <c r="A2418" s="1113" t="s">
        <v>78</v>
      </c>
      <c r="B2418" s="1113"/>
      <c r="C2418" s="1113"/>
      <c r="D2418" s="1113"/>
      <c r="E2418" s="1113"/>
      <c r="F2418" s="1113"/>
      <c r="G2418" s="1113"/>
      <c r="H2418" s="1113"/>
      <c r="I2418" s="1113"/>
      <c r="J2418" s="1113"/>
      <c r="K2418" s="1113"/>
      <c r="L2418" s="1113"/>
      <c r="M2418" s="1113"/>
      <c r="N2418" s="1113"/>
      <c r="O2418" s="1113"/>
      <c r="P2418" s="1113"/>
      <c r="Q2418" s="1113"/>
      <c r="R2418" s="458"/>
      <c r="T2418" s="393"/>
      <c r="U2418" s="404"/>
      <c r="V2418" s="390"/>
    </row>
    <row r="2419" spans="1:27" s="403" customFormat="1" ht="37.5" customHeight="1">
      <c r="A2419" s="458">
        <v>1</v>
      </c>
      <c r="B2419" s="836" t="s">
        <v>1990</v>
      </c>
      <c r="C2419" s="720" t="s">
        <v>222</v>
      </c>
      <c r="D2419" s="641">
        <v>6208</v>
      </c>
      <c r="E2419" s="388">
        <v>1060.8</v>
      </c>
      <c r="F2419" s="388" t="s">
        <v>223</v>
      </c>
      <c r="G2419" s="388">
        <v>1210</v>
      </c>
      <c r="H2419" s="446">
        <v>2</v>
      </c>
      <c r="I2419" s="446">
        <v>12</v>
      </c>
      <c r="J2419" s="446">
        <v>24</v>
      </c>
      <c r="K2419" s="458" t="s">
        <v>33</v>
      </c>
      <c r="L2419" s="519">
        <f>M2419+N2419+O2419+P2419+Q2419</f>
        <v>2485477.0099999998</v>
      </c>
      <c r="M2419" s="645">
        <v>2420000</v>
      </c>
      <c r="N2419" s="646">
        <v>35230</v>
      </c>
      <c r="O2419" s="647"/>
      <c r="P2419" s="646"/>
      <c r="Q2419" s="388">
        <v>30247.01</v>
      </c>
      <c r="R2419" s="648">
        <f>M2419/G2419</f>
        <v>2000</v>
      </c>
      <c r="S2419" s="383">
        <f>L2419-M2419-N2419-O2419-P2419-Q2419</f>
        <v>-2.2191670723259449E-10</v>
      </c>
      <c r="T2419" s="393"/>
      <c r="U2419" s="404"/>
      <c r="V2419" s="390"/>
    </row>
    <row r="2420" spans="1:27" s="403" customFormat="1" ht="42.75" customHeight="1">
      <c r="A2420" s="1112" t="s">
        <v>128</v>
      </c>
      <c r="B2420" s="1112"/>
      <c r="C2420" s="455" t="s">
        <v>28</v>
      </c>
      <c r="D2420" s="641">
        <f>SUM(D2419)</f>
        <v>6208</v>
      </c>
      <c r="E2420" s="388">
        <f>SUM(E2419)</f>
        <v>1060.8</v>
      </c>
      <c r="F2420" s="388" t="s">
        <v>28</v>
      </c>
      <c r="G2420" s="388">
        <f>SUM(G2419)</f>
        <v>1210</v>
      </c>
      <c r="H2420" s="446" t="s">
        <v>28</v>
      </c>
      <c r="I2420" s="446" t="s">
        <v>28</v>
      </c>
      <c r="J2420" s="446">
        <f>SUM(J2419)</f>
        <v>24</v>
      </c>
      <c r="K2420" s="458" t="s">
        <v>28</v>
      </c>
      <c r="L2420" s="519">
        <f t="shared" ref="L2420:Q2420" si="322">SUM(L2419)</f>
        <v>2485477.0099999998</v>
      </c>
      <c r="M2420" s="519">
        <f t="shared" si="322"/>
        <v>2420000</v>
      </c>
      <c r="N2420" s="388">
        <f t="shared" si="322"/>
        <v>35230</v>
      </c>
      <c r="O2420" s="473">
        <f t="shared" si="322"/>
        <v>0</v>
      </c>
      <c r="P2420" s="388">
        <f t="shared" si="322"/>
        <v>0</v>
      </c>
      <c r="Q2420" s="388">
        <f t="shared" si="322"/>
        <v>30247.01</v>
      </c>
      <c r="R2420" s="446" t="s">
        <v>28</v>
      </c>
      <c r="S2420" s="393">
        <f>L2420-M2420-N2420-O2420-P2420-Q2420</f>
        <v>-2.2191670723259449E-10</v>
      </c>
      <c r="T2420" s="393"/>
      <c r="U2420" s="404"/>
      <c r="V2420" s="390"/>
    </row>
    <row r="2421" spans="1:27" s="403" customFormat="1" ht="42.75" customHeight="1">
      <c r="A2421" s="1113" t="s">
        <v>79</v>
      </c>
      <c r="B2421" s="1113"/>
      <c r="C2421" s="1113"/>
      <c r="D2421" s="1113"/>
      <c r="E2421" s="1113"/>
      <c r="F2421" s="1113"/>
      <c r="G2421" s="1113"/>
      <c r="H2421" s="1113"/>
      <c r="I2421" s="1113"/>
      <c r="J2421" s="1113"/>
      <c r="K2421" s="1113"/>
      <c r="L2421" s="1113"/>
      <c r="M2421" s="1113"/>
      <c r="N2421" s="1113"/>
      <c r="O2421" s="1113"/>
      <c r="P2421" s="1113"/>
      <c r="Q2421" s="1113"/>
      <c r="R2421" s="458"/>
      <c r="T2421" s="393"/>
      <c r="U2421" s="404"/>
      <c r="V2421" s="390"/>
    </row>
    <row r="2422" spans="1:27" s="997" customFormat="1" ht="37.5" customHeight="1">
      <c r="A2422" s="682">
        <v>1</v>
      </c>
      <c r="B2422" s="424" t="s">
        <v>1033</v>
      </c>
      <c r="C2422" s="721" t="s">
        <v>240</v>
      </c>
      <c r="D2422" s="681">
        <v>2750</v>
      </c>
      <c r="E2422" s="730">
        <v>583</v>
      </c>
      <c r="F2422" s="646" t="s">
        <v>223</v>
      </c>
      <c r="G2422" s="730">
        <v>555</v>
      </c>
      <c r="H2422" s="837">
        <v>2</v>
      </c>
      <c r="I2422" s="837">
        <v>2</v>
      </c>
      <c r="J2422" s="837">
        <v>16</v>
      </c>
      <c r="K2422" s="682" t="s">
        <v>269</v>
      </c>
      <c r="L2422" s="519">
        <f>M2422+N2422+O2422+P2422+Q2422</f>
        <v>241445.38</v>
      </c>
      <c r="M2422" s="729">
        <f>J2422*14000</f>
        <v>224000</v>
      </c>
      <c r="N2422" s="730"/>
      <c r="O2422" s="473">
        <v>10953</v>
      </c>
      <c r="P2422" s="730"/>
      <c r="Q2422" s="388">
        <v>6492.38</v>
      </c>
      <c r="R2422" s="837">
        <f>M2422/J2422</f>
        <v>14000</v>
      </c>
      <c r="S2422" s="383">
        <f>L2422-M2422-N2422-O2422-P2422-Q2422</f>
        <v>0</v>
      </c>
      <c r="T2422" s="406">
        <f>L2422-M2422-N2422-O2422-Q2422</f>
        <v>0</v>
      </c>
      <c r="U2422" s="474"/>
      <c r="V2422" s="390"/>
      <c r="Z2422" s="416">
        <v>1</v>
      </c>
      <c r="AA2422" s="416">
        <f>J2422</f>
        <v>16</v>
      </c>
    </row>
    <row r="2423" spans="1:27" s="420" customFormat="1" ht="37.5" customHeight="1">
      <c r="A2423" s="682">
        <v>2</v>
      </c>
      <c r="B2423" s="424" t="s">
        <v>1991</v>
      </c>
      <c r="C2423" s="720" t="s">
        <v>240</v>
      </c>
      <c r="D2423" s="681">
        <f>E2423*3</f>
        <v>744</v>
      </c>
      <c r="E2423" s="646">
        <v>248</v>
      </c>
      <c r="F2423" s="646" t="s">
        <v>223</v>
      </c>
      <c r="G2423" s="646">
        <v>636</v>
      </c>
      <c r="H2423" s="648">
        <v>2</v>
      </c>
      <c r="I2423" s="648">
        <v>2</v>
      </c>
      <c r="J2423" s="648">
        <v>16</v>
      </c>
      <c r="K2423" s="458" t="s">
        <v>33</v>
      </c>
      <c r="L2423" s="519">
        <f>M2423+N2423+O2423+P2423+Q2423</f>
        <v>1083157.79</v>
      </c>
      <c r="M2423" s="645">
        <v>1053414</v>
      </c>
      <c r="N2423" s="646">
        <v>26119</v>
      </c>
      <c r="O2423" s="647"/>
      <c r="P2423" s="646"/>
      <c r="Q2423" s="388">
        <v>3624.79</v>
      </c>
      <c r="R2423" s="648">
        <f>M2423/G2423</f>
        <v>1656.3113207547169</v>
      </c>
      <c r="S2423" s="383">
        <f>L2423-M2423-N2423-O2423-P2423-Q2423</f>
        <v>3.7289282772690058E-11</v>
      </c>
      <c r="U2423" s="405"/>
      <c r="V2423" s="390"/>
    </row>
    <row r="2424" spans="1:27" s="403" customFormat="1" ht="42.75" customHeight="1">
      <c r="A2424" s="1112" t="s">
        <v>129</v>
      </c>
      <c r="B2424" s="1112"/>
      <c r="C2424" s="455" t="s">
        <v>28</v>
      </c>
      <c r="D2424" s="641">
        <f>SUM(D2422:D2423)</f>
        <v>3494</v>
      </c>
      <c r="E2424" s="388">
        <f>SUM(E2422:E2423)</f>
        <v>831</v>
      </c>
      <c r="F2424" s="388" t="s">
        <v>28</v>
      </c>
      <c r="G2424" s="388">
        <f>SUM(G2422:G2423)</f>
        <v>1191</v>
      </c>
      <c r="H2424" s="446" t="s">
        <v>28</v>
      </c>
      <c r="I2424" s="446" t="s">
        <v>28</v>
      </c>
      <c r="J2424" s="446">
        <f>SUM(J2422:J2423)</f>
        <v>32</v>
      </c>
      <c r="K2424" s="458" t="s">
        <v>28</v>
      </c>
      <c r="L2424" s="677">
        <f t="shared" ref="L2424:Q2424" si="323">SUM(L2422:L2423)</f>
        <v>1324603.17</v>
      </c>
      <c r="M2424" s="677">
        <f t="shared" si="323"/>
        <v>1277414</v>
      </c>
      <c r="N2424" s="675">
        <f t="shared" si="323"/>
        <v>26119</v>
      </c>
      <c r="O2424" s="678">
        <f t="shared" si="323"/>
        <v>10953</v>
      </c>
      <c r="P2424" s="675">
        <f t="shared" si="323"/>
        <v>0</v>
      </c>
      <c r="Q2424" s="675">
        <f t="shared" si="323"/>
        <v>10117.17</v>
      </c>
      <c r="R2424" s="446" t="s">
        <v>28</v>
      </c>
      <c r="S2424" s="393">
        <f>L2424-M2424-N2424-O2424-P2424-Q2424</f>
        <v>-7.4578565545380116E-11</v>
      </c>
      <c r="T2424" s="393"/>
      <c r="U2424" s="404"/>
      <c r="V2424" s="390"/>
    </row>
    <row r="2425" spans="1:27" s="403" customFormat="1" ht="42.75" customHeight="1">
      <c r="A2425" s="1113" t="s">
        <v>130</v>
      </c>
      <c r="B2425" s="1113"/>
      <c r="C2425" s="1113"/>
      <c r="D2425" s="1113"/>
      <c r="E2425" s="1113"/>
      <c r="F2425" s="1113"/>
      <c r="G2425" s="1113"/>
      <c r="H2425" s="1113"/>
      <c r="I2425" s="1113"/>
      <c r="J2425" s="1113"/>
      <c r="K2425" s="1113"/>
      <c r="L2425" s="1113"/>
      <c r="M2425" s="1113"/>
      <c r="N2425" s="1113"/>
      <c r="O2425" s="1113"/>
      <c r="P2425" s="1113"/>
      <c r="Q2425" s="1113"/>
      <c r="R2425" s="458"/>
      <c r="T2425" s="393"/>
      <c r="U2425" s="404"/>
      <c r="V2425" s="390"/>
    </row>
    <row r="2426" spans="1:27" s="416" customFormat="1" ht="37.5" customHeight="1">
      <c r="A2426" s="722">
        <v>1</v>
      </c>
      <c r="B2426" s="723" t="s">
        <v>1993</v>
      </c>
      <c r="C2426" s="455" t="s">
        <v>222</v>
      </c>
      <c r="D2426" s="724">
        <v>4428</v>
      </c>
      <c r="E2426" s="563">
        <v>683</v>
      </c>
      <c r="F2426" s="563" t="s">
        <v>229</v>
      </c>
      <c r="G2426" s="725">
        <v>727.4</v>
      </c>
      <c r="H2426" s="726">
        <v>2</v>
      </c>
      <c r="I2426" s="726">
        <v>3</v>
      </c>
      <c r="J2426" s="726">
        <v>12</v>
      </c>
      <c r="K2426" s="612" t="s">
        <v>269</v>
      </c>
      <c r="L2426" s="519">
        <f>M2426+N2426+O2426+P2426+Q2426</f>
        <v>202083.07</v>
      </c>
      <c r="M2426" s="729">
        <v>180000</v>
      </c>
      <c r="N2426" s="730"/>
      <c r="O2426" s="473">
        <v>10953</v>
      </c>
      <c r="P2426" s="730"/>
      <c r="Q2426" s="388">
        <v>11130.07</v>
      </c>
      <c r="R2426" s="689">
        <f>M2426/J2426</f>
        <v>15000</v>
      </c>
      <c r="S2426" s="383">
        <f>L2426-M2426-N2426-O2426-P2426-Q2426</f>
        <v>0</v>
      </c>
      <c r="T2426" s="406"/>
      <c r="U2426" s="414"/>
      <c r="V2426" s="390"/>
      <c r="Z2426" s="416">
        <v>1</v>
      </c>
      <c r="AA2426" s="416">
        <f>J2426</f>
        <v>12</v>
      </c>
    </row>
    <row r="2427" spans="1:27" s="416" customFormat="1" ht="37.5">
      <c r="A2427" s="722">
        <f>A2426+1</f>
        <v>2</v>
      </c>
      <c r="B2427" s="723" t="s">
        <v>1992</v>
      </c>
      <c r="C2427" s="455" t="s">
        <v>222</v>
      </c>
      <c r="D2427" s="724">
        <v>1997</v>
      </c>
      <c r="E2427" s="563">
        <v>474.4</v>
      </c>
      <c r="F2427" s="646" t="s">
        <v>223</v>
      </c>
      <c r="G2427" s="725">
        <v>679.2</v>
      </c>
      <c r="H2427" s="726">
        <v>2</v>
      </c>
      <c r="I2427" s="726">
        <v>2</v>
      </c>
      <c r="J2427" s="726">
        <v>8</v>
      </c>
      <c r="K2427" s="612" t="s">
        <v>33</v>
      </c>
      <c r="L2427" s="519">
        <f>M2427+N2427+O2427+P2427+Q2427</f>
        <v>1396516.1</v>
      </c>
      <c r="M2427" s="645">
        <v>1358400</v>
      </c>
      <c r="N2427" s="388">
        <v>28386</v>
      </c>
      <c r="O2427" s="647"/>
      <c r="P2427" s="646"/>
      <c r="Q2427" s="388">
        <v>9730.1</v>
      </c>
      <c r="R2427" s="648">
        <f>M2427/G2427</f>
        <v>1999.9999999999998</v>
      </c>
      <c r="S2427" s="383">
        <f>L2427-M2427-N2427-O2427-P2427-Q2427</f>
        <v>9.276845958083868E-11</v>
      </c>
      <c r="U2427" s="414"/>
      <c r="V2427" s="390"/>
    </row>
    <row r="2428" spans="1:27" s="403" customFormat="1" ht="42.75" customHeight="1">
      <c r="A2428" s="1139" t="s">
        <v>131</v>
      </c>
      <c r="B2428" s="1139"/>
      <c r="C2428" s="617" t="s">
        <v>28</v>
      </c>
      <c r="D2428" s="674">
        <f>SUM(D2426:D2427)</f>
        <v>6425</v>
      </c>
      <c r="E2428" s="675">
        <f>SUM(E2426:E2427)</f>
        <v>1157.4000000000001</v>
      </c>
      <c r="F2428" s="539" t="s">
        <v>28</v>
      </c>
      <c r="G2428" s="675">
        <f>SUM(G2426:G2427)</f>
        <v>1406.6</v>
      </c>
      <c r="H2428" s="599" t="s">
        <v>28</v>
      </c>
      <c r="I2428" s="599" t="s">
        <v>28</v>
      </c>
      <c r="J2428" s="676">
        <f>SUM(J2426:J2427)</f>
        <v>20</v>
      </c>
      <c r="K2428" s="728" t="s">
        <v>28</v>
      </c>
      <c r="L2428" s="677">
        <f t="shared" ref="L2428:Q2428" si="324">SUM(L2426:L2427)</f>
        <v>1598599.1700000002</v>
      </c>
      <c r="M2428" s="677">
        <f t="shared" si="324"/>
        <v>1538400</v>
      </c>
      <c r="N2428" s="675">
        <f t="shared" si="324"/>
        <v>28386</v>
      </c>
      <c r="O2428" s="678">
        <f t="shared" si="324"/>
        <v>10953</v>
      </c>
      <c r="P2428" s="675">
        <f t="shared" si="324"/>
        <v>0</v>
      </c>
      <c r="Q2428" s="675">
        <f t="shared" si="324"/>
        <v>20860.169999999998</v>
      </c>
      <c r="R2428" s="446" t="s">
        <v>28</v>
      </c>
      <c r="S2428" s="393">
        <f>L2428-M2428-N2428-O2428-P2428-Q2428</f>
        <v>1.6007106751203537E-10</v>
      </c>
      <c r="T2428" s="393"/>
      <c r="U2428" s="404"/>
      <c r="V2428" s="390"/>
    </row>
    <row r="2429" spans="1:27" s="403" customFormat="1" ht="42.75" customHeight="1">
      <c r="A2429" s="1113" t="s">
        <v>80</v>
      </c>
      <c r="B2429" s="1113"/>
      <c r="C2429" s="1113"/>
      <c r="D2429" s="1113"/>
      <c r="E2429" s="1113"/>
      <c r="F2429" s="1113"/>
      <c r="G2429" s="1113"/>
      <c r="H2429" s="1113"/>
      <c r="I2429" s="1113"/>
      <c r="J2429" s="1113"/>
      <c r="K2429" s="1113"/>
      <c r="L2429" s="1113"/>
      <c r="M2429" s="1113"/>
      <c r="N2429" s="1113"/>
      <c r="O2429" s="1113"/>
      <c r="P2429" s="1113"/>
      <c r="Q2429" s="1113"/>
      <c r="R2429" s="458"/>
      <c r="T2429" s="393"/>
      <c r="U2429" s="404"/>
      <c r="V2429" s="390"/>
    </row>
    <row r="2430" spans="1:27" s="405" customFormat="1" ht="37.5" customHeight="1">
      <c r="A2430" s="458">
        <v>1</v>
      </c>
      <c r="B2430" s="403" t="s">
        <v>1994</v>
      </c>
      <c r="C2430" s="455" t="s">
        <v>222</v>
      </c>
      <c r="D2430" s="641">
        <v>12296</v>
      </c>
      <c r="E2430" s="388">
        <v>1759</v>
      </c>
      <c r="F2430" s="388" t="s">
        <v>254</v>
      </c>
      <c r="G2430" s="388">
        <v>868</v>
      </c>
      <c r="H2430" s="446">
        <v>4</v>
      </c>
      <c r="I2430" s="446">
        <v>1</v>
      </c>
      <c r="J2430" s="446">
        <v>77</v>
      </c>
      <c r="K2430" s="458" t="s">
        <v>33</v>
      </c>
      <c r="L2430" s="519">
        <f>SUM(M2430:Q2430)</f>
        <v>1890572</v>
      </c>
      <c r="M2430" s="519">
        <v>1850576</v>
      </c>
      <c r="N2430" s="388"/>
      <c r="O2430" s="473">
        <v>20096</v>
      </c>
      <c r="P2430" s="388"/>
      <c r="Q2430" s="388">
        <v>19900</v>
      </c>
      <c r="R2430" s="648">
        <f>M2430/G2430</f>
        <v>2132</v>
      </c>
      <c r="S2430" s="383">
        <f>L2430-M2430-N2430-O2430-P2430-Q2430</f>
        <v>0</v>
      </c>
      <c r="V2430" s="390"/>
    </row>
    <row r="2431" spans="1:27" s="405" customFormat="1" ht="37.5" customHeight="1">
      <c r="A2431" s="458">
        <v>2</v>
      </c>
      <c r="B2431" s="403" t="s">
        <v>1995</v>
      </c>
      <c r="C2431" s="455" t="s">
        <v>222</v>
      </c>
      <c r="D2431" s="641">
        <v>2845</v>
      </c>
      <c r="E2431" s="388">
        <v>380</v>
      </c>
      <c r="F2431" s="388" t="s">
        <v>223</v>
      </c>
      <c r="G2431" s="388">
        <v>658</v>
      </c>
      <c r="H2431" s="446">
        <v>2</v>
      </c>
      <c r="I2431" s="446">
        <v>2</v>
      </c>
      <c r="J2431" s="446">
        <v>16</v>
      </c>
      <c r="K2431" s="458" t="s">
        <v>225</v>
      </c>
      <c r="L2431" s="519">
        <f>SUM(M2431:Q2431)</f>
        <v>368357.26</v>
      </c>
      <c r="M2431" s="519">
        <v>336000</v>
      </c>
      <c r="N2431" s="388">
        <v>22857</v>
      </c>
      <c r="O2431" s="473"/>
      <c r="P2431" s="388"/>
      <c r="Q2431" s="388">
        <v>9500.26</v>
      </c>
      <c r="R2431" s="446">
        <f>M2431/J2431</f>
        <v>21000</v>
      </c>
      <c r="S2431" s="383">
        <f>L2431-M2431-N2431-O2431-P2431-Q2431</f>
        <v>0</v>
      </c>
      <c r="V2431" s="390"/>
    </row>
    <row r="2432" spans="1:27" s="403" customFormat="1" ht="42.75" customHeight="1">
      <c r="A2432" s="1112" t="s">
        <v>132</v>
      </c>
      <c r="B2432" s="1112"/>
      <c r="C2432" s="455" t="s">
        <v>28</v>
      </c>
      <c r="D2432" s="641">
        <f>SUM(D2430:D2431)</f>
        <v>15141</v>
      </c>
      <c r="E2432" s="388">
        <f>SUM(E2430:E2431)</f>
        <v>2139</v>
      </c>
      <c r="F2432" s="388" t="s">
        <v>28</v>
      </c>
      <c r="G2432" s="388">
        <f>SUM(G2430:G2431)</f>
        <v>1526</v>
      </c>
      <c r="H2432" s="446" t="s">
        <v>28</v>
      </c>
      <c r="I2432" s="446" t="s">
        <v>28</v>
      </c>
      <c r="J2432" s="446">
        <f>SUM(J2430:J2431)</f>
        <v>93</v>
      </c>
      <c r="K2432" s="458" t="s">
        <v>28</v>
      </c>
      <c r="L2432" s="519">
        <f>SUM(L2430:L2431)</f>
        <v>2258929.2599999998</v>
      </c>
      <c r="M2432" s="519">
        <f>SUM(M2430:M2431)</f>
        <v>2186576</v>
      </c>
      <c r="N2432" s="388">
        <f>SUM(N2430:N2431)</f>
        <v>22857</v>
      </c>
      <c r="O2432" s="473">
        <f>SUM(O2430:O2431)</f>
        <v>20096</v>
      </c>
      <c r="P2432" s="388"/>
      <c r="Q2432" s="388">
        <f>SUM(Q2430:Q2431)</f>
        <v>29400.260000000002</v>
      </c>
      <c r="R2432" s="446" t="s">
        <v>28</v>
      </c>
      <c r="S2432" s="393">
        <f>L2432-M2432-N2432-O2432-P2432-Q2432</f>
        <v>-2.255546860396862E-10</v>
      </c>
      <c r="T2432" s="393"/>
      <c r="U2432" s="404"/>
      <c r="V2432" s="390"/>
    </row>
    <row r="2433" spans="1:27" s="403" customFormat="1" ht="42.75" customHeight="1">
      <c r="A2433" s="1113" t="s">
        <v>215</v>
      </c>
      <c r="B2433" s="1113"/>
      <c r="C2433" s="1113"/>
      <c r="D2433" s="1113"/>
      <c r="E2433" s="1113"/>
      <c r="F2433" s="1113"/>
      <c r="G2433" s="1113"/>
      <c r="H2433" s="1113"/>
      <c r="I2433" s="1113"/>
      <c r="J2433" s="1113"/>
      <c r="K2433" s="1113"/>
      <c r="L2433" s="1113"/>
      <c r="M2433" s="1113"/>
      <c r="N2433" s="1113"/>
      <c r="O2433" s="1113"/>
      <c r="P2433" s="1113"/>
      <c r="Q2433" s="1113"/>
      <c r="R2433" s="458"/>
      <c r="T2433" s="393"/>
      <c r="U2433" s="404"/>
      <c r="V2433" s="390"/>
    </row>
    <row r="2434" spans="1:27" s="403" customFormat="1" ht="37.5" customHeight="1">
      <c r="A2434" s="458">
        <v>1</v>
      </c>
      <c r="B2434" s="403" t="s">
        <v>1996</v>
      </c>
      <c r="C2434" s="455" t="s">
        <v>218</v>
      </c>
      <c r="D2434" s="641">
        <v>3913</v>
      </c>
      <c r="E2434" s="388">
        <v>571.20000000000005</v>
      </c>
      <c r="F2434" s="388" t="s">
        <v>254</v>
      </c>
      <c r="G2434" s="388">
        <v>699</v>
      </c>
      <c r="H2434" s="446">
        <v>2</v>
      </c>
      <c r="I2434" s="446">
        <v>2</v>
      </c>
      <c r="J2434" s="446">
        <v>12</v>
      </c>
      <c r="K2434" s="458" t="s">
        <v>33</v>
      </c>
      <c r="L2434" s="519">
        <f>SUM(M2434:Q2434)</f>
        <v>1993840.19</v>
      </c>
      <c r="M2434" s="645">
        <v>1957200</v>
      </c>
      <c r="N2434" s="646"/>
      <c r="O2434" s="473">
        <v>17575</v>
      </c>
      <c r="P2434" s="646"/>
      <c r="Q2434" s="388">
        <v>19065.189999999999</v>
      </c>
      <c r="R2434" s="648">
        <f>M2434/G2434</f>
        <v>2800</v>
      </c>
      <c r="S2434" s="383">
        <f>L2434-M2434-N2434-O2434-P2434-Q2434</f>
        <v>-5.4569682106375694E-11</v>
      </c>
      <c r="T2434" s="393"/>
      <c r="U2434" s="404"/>
      <c r="V2434" s="390"/>
    </row>
    <row r="2435" spans="1:27" s="403" customFormat="1" ht="37.5" customHeight="1">
      <c r="A2435" s="458">
        <f>A2434+1</f>
        <v>2</v>
      </c>
      <c r="B2435" s="403" t="s">
        <v>1997</v>
      </c>
      <c r="C2435" s="455" t="s">
        <v>222</v>
      </c>
      <c r="D2435" s="641">
        <v>2822</v>
      </c>
      <c r="E2435" s="388">
        <v>526</v>
      </c>
      <c r="F2435" s="388" t="s">
        <v>281</v>
      </c>
      <c r="G2435" s="388">
        <v>471</v>
      </c>
      <c r="H2435" s="446">
        <v>2</v>
      </c>
      <c r="I2435" s="446">
        <v>1</v>
      </c>
      <c r="J2435" s="446">
        <v>16</v>
      </c>
      <c r="K2435" s="458" t="s">
        <v>246</v>
      </c>
      <c r="L2435" s="519">
        <f>M2435+N2435+O2435+P2435+Q2435</f>
        <v>273512.37</v>
      </c>
      <c r="M2435" s="519">
        <v>256000</v>
      </c>
      <c r="N2435" s="388"/>
      <c r="O2435" s="473">
        <v>11020</v>
      </c>
      <c r="P2435" s="388"/>
      <c r="Q2435" s="388">
        <v>6492.37</v>
      </c>
      <c r="R2435" s="446">
        <f>M2435/J2435</f>
        <v>16000</v>
      </c>
      <c r="S2435" s="383">
        <f>L2435-M2435-N2435-O2435-P2435-Q2435</f>
        <v>0</v>
      </c>
      <c r="T2435" s="406">
        <f>L2435-M2435-N2435-O2435-Q2435</f>
        <v>0</v>
      </c>
      <c r="U2435" s="390"/>
      <c r="V2435" s="390"/>
      <c r="Z2435" s="416">
        <v>1</v>
      </c>
      <c r="AA2435" s="416">
        <f>J2435</f>
        <v>16</v>
      </c>
    </row>
    <row r="2436" spans="1:27" s="403" customFormat="1" ht="37.5" customHeight="1">
      <c r="A2436" s="458">
        <f>A2435+1</f>
        <v>3</v>
      </c>
      <c r="B2436" s="403" t="s">
        <v>1998</v>
      </c>
      <c r="C2436" s="455" t="s">
        <v>222</v>
      </c>
      <c r="D2436" s="641">
        <v>3801</v>
      </c>
      <c r="E2436" s="388">
        <v>752.8</v>
      </c>
      <c r="F2436" s="388" t="s">
        <v>281</v>
      </c>
      <c r="G2436" s="388">
        <v>485</v>
      </c>
      <c r="H2436" s="446">
        <v>2</v>
      </c>
      <c r="I2436" s="446">
        <v>1</v>
      </c>
      <c r="J2436" s="446">
        <v>16</v>
      </c>
      <c r="K2436" s="458" t="s">
        <v>246</v>
      </c>
      <c r="L2436" s="519">
        <f>M2436+N2436+O2436+P2436+Q2436</f>
        <v>273679.37</v>
      </c>
      <c r="M2436" s="519">
        <v>256000</v>
      </c>
      <c r="N2436" s="388"/>
      <c r="O2436" s="473">
        <v>11187</v>
      </c>
      <c r="P2436" s="388"/>
      <c r="Q2436" s="388">
        <v>6492.37</v>
      </c>
      <c r="R2436" s="446">
        <f>M2436/J2436</f>
        <v>16000</v>
      </c>
      <c r="S2436" s="383">
        <f>L2436-M2436-N2436-O2436-P2436-Q2436</f>
        <v>0</v>
      </c>
      <c r="T2436" s="406">
        <f>L2436-M2436-N2436-O2436-Q2436</f>
        <v>0</v>
      </c>
      <c r="U2436" s="390"/>
      <c r="V2436" s="390"/>
      <c r="Z2436" s="416">
        <v>1</v>
      </c>
      <c r="AA2436" s="416">
        <f>J2436</f>
        <v>16</v>
      </c>
    </row>
    <row r="2437" spans="1:27" s="403" customFormat="1" ht="37.5" customHeight="1">
      <c r="A2437" s="458">
        <f>A2435+1</f>
        <v>3</v>
      </c>
      <c r="B2437" s="403" t="s">
        <v>1999</v>
      </c>
      <c r="C2437" s="455" t="s">
        <v>222</v>
      </c>
      <c r="D2437" s="641">
        <v>3881</v>
      </c>
      <c r="E2437" s="388">
        <v>750.4</v>
      </c>
      <c r="F2437" s="388" t="s">
        <v>281</v>
      </c>
      <c r="G2437" s="388">
        <v>464</v>
      </c>
      <c r="H2437" s="446">
        <v>2</v>
      </c>
      <c r="I2437" s="446">
        <v>1</v>
      </c>
      <c r="J2437" s="446">
        <v>16</v>
      </c>
      <c r="K2437" s="458" t="s">
        <v>246</v>
      </c>
      <c r="L2437" s="519">
        <f>M2437+N2437+O2437+P2437+Q2437</f>
        <v>273679.37</v>
      </c>
      <c r="M2437" s="519">
        <v>256000</v>
      </c>
      <c r="N2437" s="388"/>
      <c r="O2437" s="473">
        <v>11187</v>
      </c>
      <c r="P2437" s="388"/>
      <c r="Q2437" s="388">
        <v>6492.37</v>
      </c>
      <c r="R2437" s="446">
        <f>M2437/J2437</f>
        <v>16000</v>
      </c>
      <c r="S2437" s="383">
        <f>L2437-M2437-N2437-O2437-P2437-Q2437</f>
        <v>0</v>
      </c>
      <c r="T2437" s="406">
        <f>L2437-M2437-N2437-O2437-Q2437</f>
        <v>0</v>
      </c>
      <c r="U2437" s="390"/>
      <c r="V2437" s="390"/>
      <c r="Z2437" s="416">
        <v>1</v>
      </c>
      <c r="AA2437" s="416">
        <f>J2437</f>
        <v>16</v>
      </c>
    </row>
    <row r="2438" spans="1:27" s="403" customFormat="1" ht="51" customHeight="1">
      <c r="A2438" s="458">
        <v>3</v>
      </c>
      <c r="B2438" s="543" t="s">
        <v>1039</v>
      </c>
      <c r="C2438" s="455" t="s">
        <v>218</v>
      </c>
      <c r="D2438" s="641">
        <v>4805</v>
      </c>
      <c r="E2438" s="388">
        <v>963.6</v>
      </c>
      <c r="F2438" s="575" t="s">
        <v>254</v>
      </c>
      <c r="G2438" s="388">
        <v>987</v>
      </c>
      <c r="H2438" s="446">
        <v>2</v>
      </c>
      <c r="I2438" s="446">
        <v>4</v>
      </c>
      <c r="J2438" s="446">
        <v>24</v>
      </c>
      <c r="K2438" s="458" t="s">
        <v>253</v>
      </c>
      <c r="L2438" s="519">
        <f>M2438+N2438+O2438+P2438+Q2438</f>
        <v>3562614.14</v>
      </c>
      <c r="M2438" s="519">
        <v>3516474</v>
      </c>
      <c r="N2438" s="388">
        <v>22728.79</v>
      </c>
      <c r="O2438" s="643"/>
      <c r="P2438" s="388"/>
      <c r="Q2438" s="388">
        <v>23411.35</v>
      </c>
      <c r="R2438" s="446">
        <f>M2438/G2438</f>
        <v>3562.7902735562311</v>
      </c>
      <c r="S2438" s="393"/>
      <c r="T2438" s="406">
        <f>L2438-M2438-N2438-O2438-Q2438</f>
        <v>1.3096723705530167E-10</v>
      </c>
      <c r="U2438" s="404"/>
      <c r="V2438" s="390"/>
    </row>
    <row r="2439" spans="1:27" s="403" customFormat="1" ht="42.75" customHeight="1">
      <c r="A2439" s="1112" t="s">
        <v>216</v>
      </c>
      <c r="B2439" s="1112"/>
      <c r="C2439" s="455" t="s">
        <v>28</v>
      </c>
      <c r="D2439" s="641">
        <f>SUM(D2434:D2438)</f>
        <v>19222</v>
      </c>
      <c r="E2439" s="388">
        <f>SUM(E2434:E2438)</f>
        <v>3564</v>
      </c>
      <c r="F2439" s="388" t="s">
        <v>28</v>
      </c>
      <c r="G2439" s="388">
        <f>SUM(G2434:G2438)</f>
        <v>3106</v>
      </c>
      <c r="H2439" s="446" t="s">
        <v>28</v>
      </c>
      <c r="I2439" s="446" t="s">
        <v>28</v>
      </c>
      <c r="J2439" s="446">
        <f>SUM(J2434:J2438)</f>
        <v>84</v>
      </c>
      <c r="K2439" s="458" t="s">
        <v>28</v>
      </c>
      <c r="L2439" s="519">
        <f>SUM(L2434:L2438)</f>
        <v>6377325.4400000004</v>
      </c>
      <c r="M2439" s="519">
        <f>SUM(M2434:M2438)</f>
        <v>6241674</v>
      </c>
      <c r="N2439" s="388">
        <f>SUM(N2434:N2438)</f>
        <v>22728.79</v>
      </c>
      <c r="O2439" s="473">
        <f>SUM(O2434:O2438)</f>
        <v>50969</v>
      </c>
      <c r="P2439" s="388"/>
      <c r="Q2439" s="388">
        <f>SUM(Q2434:Q2438)</f>
        <v>61953.649999999994</v>
      </c>
      <c r="R2439" s="446" t="s">
        <v>28</v>
      </c>
      <c r="S2439" s="393">
        <f>L2439-M2439-N2439-O2439-P2439-Q2439</f>
        <v>4.0745362639427185E-10</v>
      </c>
      <c r="T2439" s="393"/>
      <c r="U2439" s="404"/>
      <c r="V2439" s="390"/>
    </row>
    <row r="2440" spans="1:27" s="403" customFormat="1" ht="42.75" customHeight="1">
      <c r="A2440" s="1113" t="s">
        <v>81</v>
      </c>
      <c r="B2440" s="1113"/>
      <c r="C2440" s="1113"/>
      <c r="D2440" s="1113"/>
      <c r="E2440" s="1113"/>
      <c r="F2440" s="1113"/>
      <c r="G2440" s="1113"/>
      <c r="H2440" s="1113"/>
      <c r="I2440" s="1113"/>
      <c r="J2440" s="1113"/>
      <c r="K2440" s="1113"/>
      <c r="L2440" s="1113"/>
      <c r="M2440" s="1113"/>
      <c r="N2440" s="1113"/>
      <c r="O2440" s="1113"/>
      <c r="P2440" s="1113"/>
      <c r="Q2440" s="1113"/>
      <c r="R2440" s="458"/>
      <c r="T2440" s="393"/>
      <c r="U2440" s="404"/>
      <c r="V2440" s="390"/>
    </row>
    <row r="2441" spans="1:27" s="403" customFormat="1" ht="37.5" customHeight="1">
      <c r="A2441" s="458">
        <v>1</v>
      </c>
      <c r="B2441" s="403" t="s">
        <v>2000</v>
      </c>
      <c r="C2441" s="455" t="s">
        <v>230</v>
      </c>
      <c r="D2441" s="641">
        <v>1585</v>
      </c>
      <c r="E2441" s="388">
        <v>433</v>
      </c>
      <c r="F2441" s="391" t="s">
        <v>223</v>
      </c>
      <c r="G2441" s="388">
        <v>709</v>
      </c>
      <c r="H2441" s="446">
        <v>2</v>
      </c>
      <c r="I2441" s="446">
        <v>2</v>
      </c>
      <c r="J2441" s="446">
        <v>12</v>
      </c>
      <c r="K2441" s="458" t="s">
        <v>33</v>
      </c>
      <c r="L2441" s="529">
        <f>M2441+N2441+Q2441</f>
        <v>1311595.19</v>
      </c>
      <c r="M2441" s="645">
        <v>1276200</v>
      </c>
      <c r="N2441" s="646">
        <v>27673</v>
      </c>
      <c r="O2441" s="647"/>
      <c r="P2441" s="646"/>
      <c r="Q2441" s="388">
        <v>7722.19</v>
      </c>
      <c r="R2441" s="648">
        <f>M2441/G2441</f>
        <v>1800</v>
      </c>
      <c r="S2441" s="383">
        <f>L2441-M2441-N2441-O2441-P2441-Q2441</f>
        <v>-5.5479176808148623E-11</v>
      </c>
      <c r="T2441" s="393"/>
      <c r="U2441" s="404"/>
      <c r="V2441" s="390"/>
    </row>
    <row r="2442" spans="1:27" s="403" customFormat="1" ht="56.25" customHeight="1">
      <c r="A2442" s="458">
        <v>2</v>
      </c>
      <c r="B2442" s="403" t="s">
        <v>2001</v>
      </c>
      <c r="C2442" s="648" t="s">
        <v>222</v>
      </c>
      <c r="D2442" s="641">
        <v>2765</v>
      </c>
      <c r="E2442" s="388">
        <v>531</v>
      </c>
      <c r="F2442" s="388" t="s">
        <v>229</v>
      </c>
      <c r="G2442" s="388">
        <v>589</v>
      </c>
      <c r="H2442" s="446">
        <v>2</v>
      </c>
      <c r="I2442" s="446">
        <v>2</v>
      </c>
      <c r="J2442" s="446">
        <v>16</v>
      </c>
      <c r="K2442" s="458" t="s">
        <v>238</v>
      </c>
      <c r="L2442" s="519">
        <f>M2442+N2442+O2442+P2442+Q2442</f>
        <v>422097.07</v>
      </c>
      <c r="M2442" s="519">
        <v>400000</v>
      </c>
      <c r="N2442" s="388"/>
      <c r="O2442" s="473">
        <v>10967</v>
      </c>
      <c r="P2442" s="388"/>
      <c r="Q2442" s="388">
        <v>11130.07</v>
      </c>
      <c r="R2442" s="446">
        <f>M2442/J2442</f>
        <v>25000</v>
      </c>
      <c r="S2442" s="383">
        <f>L2442-M2442-N2442-O2442-P2442-Q2442</f>
        <v>0</v>
      </c>
      <c r="T2442" s="406">
        <f>L2442-M2442-N2442-O2442-Q2442</f>
        <v>0</v>
      </c>
      <c r="U2442" s="404"/>
      <c r="V2442" s="390"/>
      <c r="Z2442" s="416">
        <v>1</v>
      </c>
      <c r="AA2442" s="416">
        <f>J2442</f>
        <v>16</v>
      </c>
    </row>
    <row r="2443" spans="1:27" s="403" customFormat="1" ht="42.75" customHeight="1">
      <c r="A2443" s="1112" t="s">
        <v>133</v>
      </c>
      <c r="B2443" s="1112"/>
      <c r="C2443" s="455" t="s">
        <v>28</v>
      </c>
      <c r="D2443" s="641">
        <f>SUM(D2441:D2442)</f>
        <v>4350</v>
      </c>
      <c r="E2443" s="388">
        <f>SUM(E2441:E2442)</f>
        <v>964</v>
      </c>
      <c r="F2443" s="388" t="s">
        <v>28</v>
      </c>
      <c r="G2443" s="388">
        <f>SUM(G2441:G2442)</f>
        <v>1298</v>
      </c>
      <c r="H2443" s="446" t="s">
        <v>28</v>
      </c>
      <c r="I2443" s="446" t="s">
        <v>28</v>
      </c>
      <c r="J2443" s="446">
        <f>SUM(J2441:J2442)</f>
        <v>28</v>
      </c>
      <c r="K2443" s="458" t="s">
        <v>28</v>
      </c>
      <c r="L2443" s="519">
        <f t="shared" ref="L2443:Q2443" si="325">SUM(L2441:L2442)</f>
        <v>1733692.26</v>
      </c>
      <c r="M2443" s="519">
        <f t="shared" si="325"/>
        <v>1676200</v>
      </c>
      <c r="N2443" s="388">
        <f t="shared" si="325"/>
        <v>27673</v>
      </c>
      <c r="O2443" s="473">
        <f t="shared" si="325"/>
        <v>10967</v>
      </c>
      <c r="P2443" s="388">
        <f t="shared" si="325"/>
        <v>0</v>
      </c>
      <c r="Q2443" s="388">
        <f t="shared" si="325"/>
        <v>18852.259999999998</v>
      </c>
      <c r="R2443" s="446" t="s">
        <v>28</v>
      </c>
      <c r="S2443" s="393">
        <f>L2443-M2443-N2443-O2443-P2443-Q2443</f>
        <v>0</v>
      </c>
      <c r="T2443" s="393"/>
      <c r="U2443" s="404"/>
      <c r="V2443" s="390"/>
    </row>
    <row r="2444" spans="1:27" s="403" customFormat="1" ht="42.75" customHeight="1">
      <c r="A2444" s="1113" t="s">
        <v>40</v>
      </c>
      <c r="B2444" s="1113"/>
      <c r="C2444" s="1113"/>
      <c r="D2444" s="1113"/>
      <c r="E2444" s="1113"/>
      <c r="F2444" s="1113"/>
      <c r="G2444" s="1113"/>
      <c r="H2444" s="1113"/>
      <c r="I2444" s="1113"/>
      <c r="J2444" s="1113"/>
      <c r="K2444" s="1113"/>
      <c r="L2444" s="1113"/>
      <c r="M2444" s="1113"/>
      <c r="N2444" s="1113"/>
      <c r="O2444" s="1113"/>
      <c r="P2444" s="1113"/>
      <c r="Q2444" s="1113"/>
      <c r="R2444" s="458"/>
      <c r="T2444" s="393"/>
      <c r="U2444" s="404"/>
      <c r="V2444" s="390"/>
    </row>
    <row r="2445" spans="1:27" s="420" customFormat="1" ht="37.5" customHeight="1">
      <c r="A2445" s="504">
        <v>1</v>
      </c>
      <c r="B2445" s="403" t="s">
        <v>3828</v>
      </c>
      <c r="C2445" s="487" t="s">
        <v>222</v>
      </c>
      <c r="D2445" s="606">
        <v>22683</v>
      </c>
      <c r="E2445" s="391">
        <v>3802</v>
      </c>
      <c r="F2445" s="391" t="s">
        <v>228</v>
      </c>
      <c r="G2445" s="391">
        <v>845.3</v>
      </c>
      <c r="H2445" s="528" t="s">
        <v>3829</v>
      </c>
      <c r="I2445" s="528">
        <v>2</v>
      </c>
      <c r="J2445" s="528">
        <v>64</v>
      </c>
      <c r="K2445" s="458" t="s">
        <v>220</v>
      </c>
      <c r="L2445" s="519">
        <f t="shared" ref="L2445:L2485" si="326">M2445+N2445+O2445+P2445+Q2445</f>
        <v>4149210</v>
      </c>
      <c r="M2445" s="645">
        <v>4042960</v>
      </c>
      <c r="N2445" s="646">
        <v>106250</v>
      </c>
      <c r="O2445" s="647"/>
      <c r="P2445" s="388"/>
      <c r="Q2445" s="646"/>
      <c r="R2445" s="648"/>
      <c r="T2445" s="406"/>
      <c r="U2445" s="405"/>
    </row>
    <row r="2446" spans="1:27" s="420" customFormat="1" ht="37.5" customHeight="1">
      <c r="A2446" s="504">
        <f t="shared" ref="A2446:A2485" si="327">A2445+1</f>
        <v>2</v>
      </c>
      <c r="B2446" s="403" t="s">
        <v>3422</v>
      </c>
      <c r="C2446" s="487" t="s">
        <v>218</v>
      </c>
      <c r="D2446" s="606">
        <v>21169</v>
      </c>
      <c r="E2446" s="391">
        <v>4560</v>
      </c>
      <c r="F2446" s="391" t="s">
        <v>228</v>
      </c>
      <c r="G2446" s="391">
        <v>1064</v>
      </c>
      <c r="H2446" s="528">
        <v>9</v>
      </c>
      <c r="I2446" s="528">
        <v>2</v>
      </c>
      <c r="J2446" s="528">
        <v>143</v>
      </c>
      <c r="K2446" s="458" t="s">
        <v>220</v>
      </c>
      <c r="L2446" s="519">
        <f t="shared" si="326"/>
        <v>4298320</v>
      </c>
      <c r="M2446" s="645">
        <v>4192070</v>
      </c>
      <c r="N2446" s="646">
        <v>106250</v>
      </c>
      <c r="O2446" s="647"/>
      <c r="P2446" s="388"/>
      <c r="Q2446" s="646"/>
      <c r="R2446" s="648">
        <f>M2446/I2446</f>
        <v>2096035</v>
      </c>
      <c r="T2446" s="406"/>
      <c r="U2446" s="405"/>
    </row>
    <row r="2447" spans="1:27" s="447" customFormat="1" ht="56.25" customHeight="1">
      <c r="A2447" s="504">
        <f t="shared" si="327"/>
        <v>3</v>
      </c>
      <c r="B2447" s="403" t="s">
        <v>2002</v>
      </c>
      <c r="C2447" s="455" t="s">
        <v>222</v>
      </c>
      <c r="D2447" s="606">
        <v>27953</v>
      </c>
      <c r="E2447" s="391">
        <v>4766.3</v>
      </c>
      <c r="F2447" s="391" t="s">
        <v>223</v>
      </c>
      <c r="G2447" s="391">
        <v>2600</v>
      </c>
      <c r="H2447" s="528">
        <v>5</v>
      </c>
      <c r="I2447" s="528">
        <v>8</v>
      </c>
      <c r="J2447" s="528">
        <v>119</v>
      </c>
      <c r="K2447" s="458" t="s">
        <v>263</v>
      </c>
      <c r="L2447" s="529">
        <f t="shared" si="326"/>
        <v>6234584</v>
      </c>
      <c r="M2447" s="529">
        <v>6187818</v>
      </c>
      <c r="N2447" s="391">
        <v>32070.84</v>
      </c>
      <c r="O2447" s="530"/>
      <c r="P2447" s="391"/>
      <c r="Q2447" s="388">
        <v>14695.16</v>
      </c>
      <c r="R2447" s="528">
        <f t="shared" ref="R2447:R2452" si="328">M2447/G2447</f>
        <v>2379.9299999999998</v>
      </c>
      <c r="S2447" s="383">
        <f t="shared" ref="S2447:S2485" si="329">L2447-M2447-N2447-O2447-P2447-Q2447</f>
        <v>0</v>
      </c>
      <c r="U2447" s="448"/>
      <c r="V2447" s="390"/>
    </row>
    <row r="2448" spans="1:27" s="447" customFormat="1" ht="56.25" customHeight="1">
      <c r="A2448" s="504">
        <f t="shared" si="327"/>
        <v>4</v>
      </c>
      <c r="B2448" s="403" t="s">
        <v>2003</v>
      </c>
      <c r="C2448" s="455" t="s">
        <v>222</v>
      </c>
      <c r="D2448" s="606">
        <v>6849.0169999999998</v>
      </c>
      <c r="E2448" s="391">
        <v>2361.73</v>
      </c>
      <c r="F2448" s="391" t="s">
        <v>223</v>
      </c>
      <c r="G2448" s="391">
        <v>1229</v>
      </c>
      <c r="H2448" s="528">
        <v>5</v>
      </c>
      <c r="I2448" s="528">
        <v>4</v>
      </c>
      <c r="J2448" s="528">
        <v>66</v>
      </c>
      <c r="K2448" s="458" t="s">
        <v>263</v>
      </c>
      <c r="L2448" s="529">
        <f t="shared" si="326"/>
        <v>3119636.1300000004</v>
      </c>
      <c r="M2448" s="529">
        <v>3072500</v>
      </c>
      <c r="N2448" s="391">
        <v>26020.240000000002</v>
      </c>
      <c r="O2448" s="530"/>
      <c r="P2448" s="391"/>
      <c r="Q2448" s="388">
        <v>21115.89</v>
      </c>
      <c r="R2448" s="528">
        <f t="shared" si="328"/>
        <v>2500</v>
      </c>
      <c r="S2448" s="383">
        <f t="shared" si="329"/>
        <v>3.5288394428789616E-10</v>
      </c>
      <c r="U2448" s="448"/>
      <c r="V2448" s="390"/>
    </row>
    <row r="2449" spans="1:27" s="447" customFormat="1" ht="56.25" customHeight="1">
      <c r="A2449" s="504">
        <f t="shared" si="327"/>
        <v>5</v>
      </c>
      <c r="B2449" s="404" t="s">
        <v>3951</v>
      </c>
      <c r="C2449" s="455" t="s">
        <v>218</v>
      </c>
      <c r="D2449" s="606">
        <v>2900</v>
      </c>
      <c r="E2449" s="388">
        <v>876</v>
      </c>
      <c r="F2449" s="667" t="s">
        <v>223</v>
      </c>
      <c r="G2449" s="391">
        <v>992</v>
      </c>
      <c r="H2449" s="528">
        <v>2</v>
      </c>
      <c r="I2449" s="528">
        <v>3</v>
      </c>
      <c r="J2449" s="528">
        <v>18</v>
      </c>
      <c r="K2449" s="458" t="s">
        <v>263</v>
      </c>
      <c r="L2449" s="529">
        <f t="shared" si="326"/>
        <v>2523517.3199999998</v>
      </c>
      <c r="M2449" s="645">
        <v>2480000</v>
      </c>
      <c r="N2449" s="646">
        <v>29388.32</v>
      </c>
      <c r="O2449" s="647"/>
      <c r="P2449" s="646"/>
      <c r="Q2449" s="388">
        <v>14129</v>
      </c>
      <c r="R2449" s="648">
        <f t="shared" si="328"/>
        <v>2500</v>
      </c>
      <c r="S2449" s="383">
        <f t="shared" si="329"/>
        <v>-1.673470251262188E-10</v>
      </c>
      <c r="U2449" s="448"/>
      <c r="V2449" s="390"/>
    </row>
    <row r="2450" spans="1:27" s="447" customFormat="1" ht="75" customHeight="1">
      <c r="A2450" s="504">
        <f>A2449+1</f>
        <v>6</v>
      </c>
      <c r="B2450" s="403" t="s">
        <v>2004</v>
      </c>
      <c r="C2450" s="455" t="s">
        <v>222</v>
      </c>
      <c r="D2450" s="606">
        <v>12012</v>
      </c>
      <c r="E2450" s="391">
        <v>2279</v>
      </c>
      <c r="F2450" s="391" t="s">
        <v>223</v>
      </c>
      <c r="G2450" s="391">
        <v>1184</v>
      </c>
      <c r="H2450" s="528">
        <v>5</v>
      </c>
      <c r="I2450" s="528">
        <v>4</v>
      </c>
      <c r="J2450" s="528">
        <v>71</v>
      </c>
      <c r="K2450" s="458" t="s">
        <v>256</v>
      </c>
      <c r="L2450" s="529">
        <f t="shared" si="326"/>
        <v>2994454.86</v>
      </c>
      <c r="M2450" s="529">
        <v>2960000</v>
      </c>
      <c r="N2450" s="391">
        <v>27428.17</v>
      </c>
      <c r="O2450" s="530"/>
      <c r="P2450" s="391"/>
      <c r="Q2450" s="388">
        <v>7026.69</v>
      </c>
      <c r="R2450" s="528">
        <f t="shared" si="328"/>
        <v>2500</v>
      </c>
      <c r="S2450" s="383">
        <f t="shared" si="329"/>
        <v>-1.2823875294998288E-10</v>
      </c>
      <c r="U2450" s="448"/>
      <c r="V2450" s="390"/>
    </row>
    <row r="2451" spans="1:27" s="447" customFormat="1" ht="56.25" customHeight="1">
      <c r="A2451" s="504">
        <f t="shared" si="327"/>
        <v>7</v>
      </c>
      <c r="B2451" s="403" t="s">
        <v>2005</v>
      </c>
      <c r="C2451" s="455" t="s">
        <v>222</v>
      </c>
      <c r="D2451" s="606">
        <v>2941</v>
      </c>
      <c r="E2451" s="388">
        <v>876</v>
      </c>
      <c r="F2451" s="391" t="s">
        <v>223</v>
      </c>
      <c r="G2451" s="391">
        <v>945</v>
      </c>
      <c r="H2451" s="528">
        <v>2</v>
      </c>
      <c r="I2451" s="528">
        <v>3</v>
      </c>
      <c r="J2451" s="528">
        <v>17</v>
      </c>
      <c r="K2451" s="458" t="s">
        <v>263</v>
      </c>
      <c r="L2451" s="529">
        <f t="shared" si="326"/>
        <v>2406711.83</v>
      </c>
      <c r="M2451" s="645">
        <v>2362500</v>
      </c>
      <c r="N2451" s="646">
        <v>29882.83</v>
      </c>
      <c r="O2451" s="647"/>
      <c r="P2451" s="646"/>
      <c r="Q2451" s="388">
        <v>14329</v>
      </c>
      <c r="R2451" s="648">
        <f t="shared" si="328"/>
        <v>2500</v>
      </c>
      <c r="S2451" s="383">
        <f t="shared" si="329"/>
        <v>7.2759576141834259E-11</v>
      </c>
      <c r="U2451" s="448"/>
      <c r="V2451" s="390"/>
    </row>
    <row r="2452" spans="1:27" s="448" customFormat="1" ht="37.5" customHeight="1">
      <c r="A2452" s="504">
        <f t="shared" si="327"/>
        <v>8</v>
      </c>
      <c r="B2452" s="403" t="s">
        <v>3796</v>
      </c>
      <c r="C2452" s="455" t="s">
        <v>222</v>
      </c>
      <c r="D2452" s="641">
        <v>3390</v>
      </c>
      <c r="E2452" s="388">
        <v>883</v>
      </c>
      <c r="F2452" s="667" t="s">
        <v>224</v>
      </c>
      <c r="G2452" s="388">
        <v>1283.7</v>
      </c>
      <c r="H2452" s="446">
        <v>2</v>
      </c>
      <c r="I2452" s="446">
        <v>2</v>
      </c>
      <c r="J2452" s="446">
        <v>99</v>
      </c>
      <c r="K2452" s="697" t="s">
        <v>33</v>
      </c>
      <c r="L2452" s="529">
        <f t="shared" si="326"/>
        <v>2601155.38</v>
      </c>
      <c r="M2452" s="650">
        <v>2567400</v>
      </c>
      <c r="N2452" s="688"/>
      <c r="O2452" s="473">
        <v>17238.38</v>
      </c>
      <c r="P2452" s="688"/>
      <c r="Q2452" s="388">
        <v>16517</v>
      </c>
      <c r="R2452" s="689">
        <f t="shared" si="328"/>
        <v>2000</v>
      </c>
      <c r="S2452" s="383">
        <f t="shared" si="329"/>
        <v>-1.127773430198431E-10</v>
      </c>
      <c r="T2452" s="447"/>
      <c r="V2452" s="390"/>
    </row>
    <row r="2453" spans="1:27" s="447" customFormat="1" ht="71.25" customHeight="1">
      <c r="A2453" s="504">
        <f t="shared" si="327"/>
        <v>9</v>
      </c>
      <c r="B2453" s="403" t="s">
        <v>2006</v>
      </c>
      <c r="C2453" s="617" t="s">
        <v>222</v>
      </c>
      <c r="D2453" s="606">
        <v>17741</v>
      </c>
      <c r="E2453" s="388">
        <v>4081</v>
      </c>
      <c r="F2453" s="667" t="s">
        <v>223</v>
      </c>
      <c r="G2453" s="391">
        <v>650</v>
      </c>
      <c r="H2453" s="528">
        <v>5</v>
      </c>
      <c r="I2453" s="528">
        <v>1</v>
      </c>
      <c r="J2453" s="528">
        <v>172</v>
      </c>
      <c r="K2453" s="458" t="s">
        <v>30</v>
      </c>
      <c r="L2453" s="529">
        <f t="shared" si="326"/>
        <v>1233939.8</v>
      </c>
      <c r="M2453" s="519">
        <v>1179924</v>
      </c>
      <c r="N2453" s="475"/>
      <c r="O2453" s="388">
        <v>31291</v>
      </c>
      <c r="P2453" s="388"/>
      <c r="Q2453" s="388">
        <v>22724.799999999999</v>
      </c>
      <c r="R2453" s="446">
        <f>M2453/J2453</f>
        <v>6860.0232558139533</v>
      </c>
      <c r="S2453" s="383">
        <f t="shared" si="329"/>
        <v>4.7293724492192268E-11</v>
      </c>
      <c r="U2453" s="448"/>
      <c r="V2453" s="390"/>
      <c r="Z2453" s="416">
        <v>1</v>
      </c>
      <c r="AA2453" s="416">
        <f>J2453</f>
        <v>172</v>
      </c>
    </row>
    <row r="2454" spans="1:27" s="447" customFormat="1" ht="37.5" customHeight="1">
      <c r="A2454" s="504">
        <f t="shared" si="327"/>
        <v>10</v>
      </c>
      <c r="B2454" s="403" t="s">
        <v>2007</v>
      </c>
      <c r="C2454" s="455" t="s">
        <v>222</v>
      </c>
      <c r="D2454" s="641">
        <v>3390</v>
      </c>
      <c r="E2454" s="388">
        <v>2470</v>
      </c>
      <c r="F2454" s="667" t="s">
        <v>234</v>
      </c>
      <c r="G2454" s="388">
        <v>1300.7</v>
      </c>
      <c r="H2454" s="446">
        <v>5</v>
      </c>
      <c r="I2454" s="446">
        <v>6</v>
      </c>
      <c r="J2454" s="446">
        <v>90</v>
      </c>
      <c r="K2454" s="458" t="s">
        <v>33</v>
      </c>
      <c r="L2454" s="529">
        <f t="shared" si="326"/>
        <v>2642224</v>
      </c>
      <c r="M2454" s="650">
        <v>2601400</v>
      </c>
      <c r="N2454" s="688"/>
      <c r="O2454" s="473">
        <v>20924</v>
      </c>
      <c r="P2454" s="688"/>
      <c r="Q2454" s="388">
        <v>19900</v>
      </c>
      <c r="R2454" s="689">
        <f>M2454/G2454</f>
        <v>2000</v>
      </c>
      <c r="S2454" s="383">
        <f t="shared" si="329"/>
        <v>0</v>
      </c>
      <c r="U2454" s="448"/>
      <c r="V2454" s="390"/>
    </row>
    <row r="2455" spans="1:27" s="447" customFormat="1" ht="56.25" customHeight="1">
      <c r="A2455" s="504">
        <f t="shared" si="327"/>
        <v>11</v>
      </c>
      <c r="B2455" s="403" t="s">
        <v>2008</v>
      </c>
      <c r="C2455" s="455" t="s">
        <v>222</v>
      </c>
      <c r="D2455" s="606">
        <v>2678</v>
      </c>
      <c r="E2455" s="391">
        <v>602</v>
      </c>
      <c r="F2455" s="391" t="s">
        <v>223</v>
      </c>
      <c r="G2455" s="391">
        <v>700</v>
      </c>
      <c r="H2455" s="528">
        <v>2</v>
      </c>
      <c r="I2455" s="528">
        <v>2</v>
      </c>
      <c r="J2455" s="528">
        <v>36</v>
      </c>
      <c r="K2455" s="458" t="s">
        <v>263</v>
      </c>
      <c r="L2455" s="529">
        <f t="shared" si="326"/>
        <v>1782157.4</v>
      </c>
      <c r="M2455" s="529">
        <v>1750000</v>
      </c>
      <c r="N2455" s="391">
        <v>29224.14</v>
      </c>
      <c r="O2455" s="530"/>
      <c r="P2455" s="391"/>
      <c r="Q2455" s="388">
        <v>2933.26</v>
      </c>
      <c r="R2455" s="528">
        <f>M2455/G2455</f>
        <v>2500</v>
      </c>
      <c r="S2455" s="383">
        <f t="shared" si="329"/>
        <v>-9.276845958083868E-11</v>
      </c>
      <c r="U2455" s="448"/>
      <c r="V2455" s="390"/>
    </row>
    <row r="2456" spans="1:27" s="447" customFormat="1" ht="56.25" customHeight="1">
      <c r="A2456" s="504">
        <f t="shared" si="327"/>
        <v>12</v>
      </c>
      <c r="B2456" s="403" t="s">
        <v>2009</v>
      </c>
      <c r="C2456" s="455" t="s">
        <v>222</v>
      </c>
      <c r="D2456" s="641">
        <v>6478.049</v>
      </c>
      <c r="E2456" s="388">
        <v>2233.81</v>
      </c>
      <c r="F2456" s="391" t="s">
        <v>223</v>
      </c>
      <c r="G2456" s="388">
        <v>1383</v>
      </c>
      <c r="H2456" s="446">
        <v>5</v>
      </c>
      <c r="I2456" s="446">
        <v>4</v>
      </c>
      <c r="J2456" s="446">
        <v>80</v>
      </c>
      <c r="K2456" s="458" t="s">
        <v>263</v>
      </c>
      <c r="L2456" s="529">
        <f t="shared" si="326"/>
        <v>3514899.5500000003</v>
      </c>
      <c r="M2456" s="529">
        <v>3457500</v>
      </c>
      <c r="N2456" s="391">
        <v>25837.16</v>
      </c>
      <c r="O2456" s="530"/>
      <c r="P2456" s="391"/>
      <c r="Q2456" s="388">
        <v>31562.39</v>
      </c>
      <c r="R2456" s="528">
        <f>M2456/G2456</f>
        <v>2500</v>
      </c>
      <c r="S2456" s="383">
        <f t="shared" si="329"/>
        <v>2.801243681460619E-10</v>
      </c>
      <c r="U2456" s="448"/>
      <c r="V2456" s="390"/>
    </row>
    <row r="2457" spans="1:27" s="447" customFormat="1" ht="37.5" customHeight="1">
      <c r="A2457" s="504">
        <f t="shared" si="327"/>
        <v>13</v>
      </c>
      <c r="B2457" s="403" t="s">
        <v>2010</v>
      </c>
      <c r="C2457" s="455" t="s">
        <v>222</v>
      </c>
      <c r="D2457" s="606">
        <v>37765</v>
      </c>
      <c r="E2457" s="391">
        <v>480</v>
      </c>
      <c r="F2457" s="391" t="s">
        <v>234</v>
      </c>
      <c r="G2457" s="391">
        <v>2678.4</v>
      </c>
      <c r="H2457" s="528">
        <v>5</v>
      </c>
      <c r="I2457" s="528">
        <v>12</v>
      </c>
      <c r="J2457" s="528">
        <v>174</v>
      </c>
      <c r="K2457" s="458" t="s">
        <v>426</v>
      </c>
      <c r="L2457" s="529">
        <f t="shared" si="326"/>
        <v>1747534.63</v>
      </c>
      <c r="M2457" s="650">
        <v>1680000</v>
      </c>
      <c r="N2457" s="651">
        <v>37684.629999999997</v>
      </c>
      <c r="O2457" s="647"/>
      <c r="P2457" s="651"/>
      <c r="Q2457" s="388">
        <v>29850</v>
      </c>
      <c r="R2457" s="528">
        <f>M2457/E2457</f>
        <v>3500</v>
      </c>
      <c r="S2457" s="383">
        <f t="shared" si="329"/>
        <v>-1.0913936421275139E-10</v>
      </c>
      <c r="U2457" s="448"/>
      <c r="V2457" s="390"/>
    </row>
    <row r="2458" spans="1:27" s="447" customFormat="1" ht="37.5" customHeight="1">
      <c r="A2458" s="504">
        <f t="shared" si="327"/>
        <v>14</v>
      </c>
      <c r="B2458" s="403" t="s">
        <v>2011</v>
      </c>
      <c r="C2458" s="455" t="s">
        <v>222</v>
      </c>
      <c r="D2458" s="641">
        <v>12189</v>
      </c>
      <c r="E2458" s="388">
        <v>373</v>
      </c>
      <c r="F2458" s="388" t="s">
        <v>234</v>
      </c>
      <c r="G2458" s="388">
        <v>858.4</v>
      </c>
      <c r="H2458" s="446">
        <v>5</v>
      </c>
      <c r="I2458" s="446">
        <v>4</v>
      </c>
      <c r="J2458" s="446">
        <v>60</v>
      </c>
      <c r="K2458" s="458" t="s">
        <v>426</v>
      </c>
      <c r="L2458" s="529">
        <f t="shared" si="326"/>
        <v>1364464.66</v>
      </c>
      <c r="M2458" s="650">
        <v>1304100</v>
      </c>
      <c r="N2458" s="651">
        <v>30514.66</v>
      </c>
      <c r="O2458" s="647"/>
      <c r="P2458" s="651"/>
      <c r="Q2458" s="388">
        <v>29850</v>
      </c>
      <c r="R2458" s="528">
        <f>M2458/E2458</f>
        <v>3496.2466487935658</v>
      </c>
      <c r="S2458" s="383">
        <f t="shared" si="329"/>
        <v>-8.3673512563109398E-11</v>
      </c>
      <c r="U2458" s="448"/>
      <c r="V2458" s="390"/>
    </row>
    <row r="2459" spans="1:27" s="447" customFormat="1" ht="37.5" customHeight="1">
      <c r="A2459" s="504">
        <f t="shared" si="327"/>
        <v>15</v>
      </c>
      <c r="B2459" s="403" t="s">
        <v>2012</v>
      </c>
      <c r="C2459" s="455" t="s">
        <v>222</v>
      </c>
      <c r="D2459" s="641">
        <v>38054</v>
      </c>
      <c r="E2459" s="388">
        <v>7668</v>
      </c>
      <c r="F2459" s="667" t="s">
        <v>234</v>
      </c>
      <c r="G2459" s="388">
        <v>602</v>
      </c>
      <c r="H2459" s="446">
        <v>6</v>
      </c>
      <c r="I2459" s="446">
        <v>10</v>
      </c>
      <c r="J2459" s="446">
        <v>180</v>
      </c>
      <c r="K2459" s="697" t="s">
        <v>33</v>
      </c>
      <c r="L2459" s="529">
        <f t="shared" si="326"/>
        <v>1251723</v>
      </c>
      <c r="M2459" s="650">
        <v>1204000</v>
      </c>
      <c r="N2459" s="688"/>
      <c r="O2459" s="473">
        <v>27823</v>
      </c>
      <c r="P2459" s="688"/>
      <c r="Q2459" s="388">
        <v>19900</v>
      </c>
      <c r="R2459" s="689">
        <f t="shared" ref="R2459:R2471" si="330">M2459/G2459</f>
        <v>2000</v>
      </c>
      <c r="S2459" s="383">
        <f t="shared" si="329"/>
        <v>0</v>
      </c>
      <c r="U2459" s="448"/>
      <c r="V2459" s="390"/>
    </row>
    <row r="2460" spans="1:27" s="447" customFormat="1" ht="37.5" customHeight="1">
      <c r="A2460" s="504">
        <f t="shared" si="327"/>
        <v>16</v>
      </c>
      <c r="B2460" s="403" t="s">
        <v>2013</v>
      </c>
      <c r="C2460" s="455" t="s">
        <v>222</v>
      </c>
      <c r="D2460" s="606">
        <v>2628</v>
      </c>
      <c r="E2460" s="388">
        <v>876</v>
      </c>
      <c r="F2460" s="667" t="s">
        <v>224</v>
      </c>
      <c r="G2460" s="391">
        <v>1108</v>
      </c>
      <c r="H2460" s="528">
        <v>2</v>
      </c>
      <c r="I2460" s="528">
        <v>3</v>
      </c>
      <c r="J2460" s="528">
        <v>21</v>
      </c>
      <c r="K2460" s="458" t="s">
        <v>262</v>
      </c>
      <c r="L2460" s="529">
        <f t="shared" si="326"/>
        <v>4752355.43</v>
      </c>
      <c r="M2460" s="650">
        <v>4710452</v>
      </c>
      <c r="N2460" s="388">
        <v>29098.77</v>
      </c>
      <c r="O2460" s="703"/>
      <c r="P2460" s="688"/>
      <c r="Q2460" s="388">
        <v>12804.66</v>
      </c>
      <c r="R2460" s="446">
        <f t="shared" si="330"/>
        <v>4251.3104693140795</v>
      </c>
      <c r="S2460" s="383">
        <f t="shared" si="329"/>
        <v>-2.9831426218152046E-10</v>
      </c>
      <c r="U2460" s="448"/>
      <c r="V2460" s="390"/>
    </row>
    <row r="2461" spans="1:27" s="420" customFormat="1" ht="56.25">
      <c r="A2461" s="504">
        <f t="shared" si="327"/>
        <v>17</v>
      </c>
      <c r="B2461" s="403" t="s">
        <v>2014</v>
      </c>
      <c r="C2461" s="455" t="s">
        <v>222</v>
      </c>
      <c r="D2461" s="606">
        <v>3008</v>
      </c>
      <c r="E2461" s="391">
        <v>661</v>
      </c>
      <c r="F2461" s="391" t="s">
        <v>223</v>
      </c>
      <c r="G2461" s="391">
        <v>700</v>
      </c>
      <c r="H2461" s="528">
        <v>2</v>
      </c>
      <c r="I2461" s="528">
        <v>2</v>
      </c>
      <c r="J2461" s="528">
        <v>16</v>
      </c>
      <c r="K2461" s="458" t="s">
        <v>263</v>
      </c>
      <c r="L2461" s="519">
        <f t="shared" si="326"/>
        <v>1782875.79</v>
      </c>
      <c r="M2461" s="519">
        <v>1750000</v>
      </c>
      <c r="N2461" s="388">
        <v>29654.98</v>
      </c>
      <c r="O2461" s="473"/>
      <c r="P2461" s="388"/>
      <c r="Q2461" s="388">
        <v>3220.81</v>
      </c>
      <c r="R2461" s="446">
        <f t="shared" si="330"/>
        <v>2500</v>
      </c>
      <c r="S2461" s="383">
        <f t="shared" si="329"/>
        <v>3.7744030123576522E-11</v>
      </c>
      <c r="T2461" s="406">
        <f>L2461-M2461-N2461-O2461-Q2461</f>
        <v>3.7744030123576522E-11</v>
      </c>
      <c r="U2461" s="405"/>
      <c r="V2461" s="390"/>
    </row>
    <row r="2462" spans="1:27" s="420" customFormat="1" ht="56.25" customHeight="1">
      <c r="A2462" s="504">
        <f t="shared" si="327"/>
        <v>18</v>
      </c>
      <c r="B2462" s="403" t="s">
        <v>2015</v>
      </c>
      <c r="C2462" s="455" t="s">
        <v>222</v>
      </c>
      <c r="D2462" s="606">
        <v>2941</v>
      </c>
      <c r="E2462" s="391">
        <v>632</v>
      </c>
      <c r="F2462" s="391" t="s">
        <v>223</v>
      </c>
      <c r="G2462" s="391">
        <v>697</v>
      </c>
      <c r="H2462" s="528">
        <v>2</v>
      </c>
      <c r="I2462" s="528">
        <v>2</v>
      </c>
      <c r="J2462" s="528">
        <v>16</v>
      </c>
      <c r="K2462" s="458" t="s">
        <v>263</v>
      </c>
      <c r="L2462" s="519">
        <f t="shared" si="326"/>
        <v>1705762.35</v>
      </c>
      <c r="M2462" s="519">
        <v>1672800</v>
      </c>
      <c r="N2462" s="388">
        <v>29882.83</v>
      </c>
      <c r="O2462" s="473"/>
      <c r="P2462" s="388"/>
      <c r="Q2462" s="388">
        <v>3079.52</v>
      </c>
      <c r="R2462" s="446">
        <f t="shared" si="330"/>
        <v>2400</v>
      </c>
      <c r="S2462" s="383">
        <f t="shared" si="329"/>
        <v>9.1404217528179288E-11</v>
      </c>
      <c r="T2462" s="406">
        <f>L2462-M2462-N2462-O2462-Q2462</f>
        <v>9.1404217528179288E-11</v>
      </c>
      <c r="U2462" s="405"/>
      <c r="V2462" s="390"/>
    </row>
    <row r="2463" spans="1:27" s="447" customFormat="1" ht="56.25" customHeight="1">
      <c r="A2463" s="504">
        <f t="shared" si="327"/>
        <v>19</v>
      </c>
      <c r="B2463" s="403" t="s">
        <v>2016</v>
      </c>
      <c r="C2463" s="455" t="s">
        <v>222</v>
      </c>
      <c r="D2463" s="606">
        <v>2900</v>
      </c>
      <c r="E2463" s="391">
        <v>677</v>
      </c>
      <c r="F2463" s="391" t="s">
        <v>223</v>
      </c>
      <c r="G2463" s="391">
        <v>687</v>
      </c>
      <c r="H2463" s="528">
        <v>2</v>
      </c>
      <c r="I2463" s="528">
        <v>2</v>
      </c>
      <c r="J2463" s="528">
        <v>16</v>
      </c>
      <c r="K2463" s="458" t="s">
        <v>263</v>
      </c>
      <c r="L2463" s="519">
        <f t="shared" si="326"/>
        <v>1681877.78</v>
      </c>
      <c r="M2463" s="519">
        <v>1648800</v>
      </c>
      <c r="N2463" s="388">
        <v>29779.360000000001</v>
      </c>
      <c r="O2463" s="473"/>
      <c r="P2463" s="388"/>
      <c r="Q2463" s="388">
        <v>3298.42</v>
      </c>
      <c r="R2463" s="446">
        <f t="shared" si="330"/>
        <v>2400</v>
      </c>
      <c r="S2463" s="383">
        <f t="shared" si="329"/>
        <v>2.7284841053187847E-11</v>
      </c>
      <c r="T2463" s="406">
        <f>L2463-M2463-N2463-O2463-Q2463</f>
        <v>2.7284841053187847E-11</v>
      </c>
      <c r="U2463" s="390"/>
      <c r="V2463" s="390"/>
    </row>
    <row r="2464" spans="1:27" s="447" customFormat="1" ht="56.25" customHeight="1">
      <c r="A2464" s="504">
        <f t="shared" si="327"/>
        <v>20</v>
      </c>
      <c r="B2464" s="403" t="s">
        <v>2017</v>
      </c>
      <c r="C2464" s="455" t="s">
        <v>222</v>
      </c>
      <c r="D2464" s="606">
        <v>2825</v>
      </c>
      <c r="E2464" s="391">
        <v>691</v>
      </c>
      <c r="F2464" s="391" t="s">
        <v>223</v>
      </c>
      <c r="G2464" s="391">
        <v>693.2</v>
      </c>
      <c r="H2464" s="528">
        <v>2</v>
      </c>
      <c r="I2464" s="528">
        <v>2</v>
      </c>
      <c r="J2464" s="528">
        <v>16</v>
      </c>
      <c r="K2464" s="458" t="s">
        <v>263</v>
      </c>
      <c r="L2464" s="529">
        <f t="shared" si="326"/>
        <v>1707184.83</v>
      </c>
      <c r="M2464" s="529">
        <v>1663680</v>
      </c>
      <c r="N2464" s="391">
        <v>29741</v>
      </c>
      <c r="O2464" s="530"/>
      <c r="P2464" s="688"/>
      <c r="Q2464" s="388">
        <v>13763.83</v>
      </c>
      <c r="R2464" s="528">
        <f t="shared" si="330"/>
        <v>2400</v>
      </c>
      <c r="S2464" s="383">
        <f t="shared" si="329"/>
        <v>7.4578565545380116E-11</v>
      </c>
      <c r="U2464" s="448"/>
      <c r="V2464" s="390"/>
    </row>
    <row r="2465" spans="1:22 16382:16382" s="447" customFormat="1" ht="56.25" customHeight="1">
      <c r="A2465" s="504">
        <f t="shared" si="327"/>
        <v>21</v>
      </c>
      <c r="B2465" s="403" t="s">
        <v>2018</v>
      </c>
      <c r="C2465" s="455" t="s">
        <v>222</v>
      </c>
      <c r="D2465" s="606">
        <v>2495</v>
      </c>
      <c r="E2465" s="391">
        <v>538.6</v>
      </c>
      <c r="F2465" s="391" t="s">
        <v>223</v>
      </c>
      <c r="G2465" s="391">
        <v>690.9</v>
      </c>
      <c r="H2465" s="528">
        <v>2</v>
      </c>
      <c r="I2465" s="528">
        <v>2</v>
      </c>
      <c r="J2465" s="528">
        <v>16</v>
      </c>
      <c r="K2465" s="458" t="s">
        <v>263</v>
      </c>
      <c r="L2465" s="529">
        <f t="shared" si="326"/>
        <v>1699606.91</v>
      </c>
      <c r="M2465" s="529">
        <v>1658160</v>
      </c>
      <c r="N2465" s="391">
        <v>29291</v>
      </c>
      <c r="O2465" s="530"/>
      <c r="P2465" s="688"/>
      <c r="Q2465" s="388">
        <v>12155.91</v>
      </c>
      <c r="R2465" s="528">
        <f t="shared" si="330"/>
        <v>2400</v>
      </c>
      <c r="S2465" s="383">
        <f t="shared" si="329"/>
        <v>-8.3673512563109398E-11</v>
      </c>
      <c r="U2465" s="448"/>
      <c r="V2465" s="390"/>
    </row>
    <row r="2466" spans="1:22 16382:16382" s="447" customFormat="1" ht="56.25" customHeight="1">
      <c r="A2466" s="504">
        <f t="shared" si="327"/>
        <v>22</v>
      </c>
      <c r="B2466" s="403" t="s">
        <v>2019</v>
      </c>
      <c r="C2466" s="455" t="s">
        <v>222</v>
      </c>
      <c r="D2466" s="641">
        <v>3901</v>
      </c>
      <c r="E2466" s="388">
        <v>1314</v>
      </c>
      <c r="F2466" s="667" t="s">
        <v>223</v>
      </c>
      <c r="G2466" s="388">
        <v>931</v>
      </c>
      <c r="H2466" s="446">
        <v>3</v>
      </c>
      <c r="I2466" s="446">
        <v>3</v>
      </c>
      <c r="J2466" s="446">
        <v>32</v>
      </c>
      <c r="K2466" s="458" t="s">
        <v>263</v>
      </c>
      <c r="L2466" s="529">
        <f t="shared" si="326"/>
        <v>2273930.36</v>
      </c>
      <c r="M2466" s="529">
        <v>2234400</v>
      </c>
      <c r="N2466" s="391">
        <v>27502.799999999999</v>
      </c>
      <c r="O2466" s="530"/>
      <c r="P2466" s="391"/>
      <c r="Q2466" s="388">
        <v>12027.56</v>
      </c>
      <c r="R2466" s="528">
        <f t="shared" si="330"/>
        <v>2400</v>
      </c>
      <c r="S2466" s="383">
        <f t="shared" si="329"/>
        <v>-1.2914824765175581E-10</v>
      </c>
      <c r="U2466" s="448"/>
      <c r="V2466" s="390"/>
    </row>
    <row r="2467" spans="1:22 16382:16382" s="447" customFormat="1" ht="56.25" customHeight="1">
      <c r="A2467" s="504">
        <f t="shared" si="327"/>
        <v>23</v>
      </c>
      <c r="B2467" s="403" t="s">
        <v>2020</v>
      </c>
      <c r="C2467" s="455" t="s">
        <v>222</v>
      </c>
      <c r="D2467" s="641">
        <v>12189</v>
      </c>
      <c r="E2467" s="388">
        <v>1314</v>
      </c>
      <c r="F2467" s="667" t="s">
        <v>223</v>
      </c>
      <c r="G2467" s="388">
        <v>1108</v>
      </c>
      <c r="H2467" s="446">
        <v>3</v>
      </c>
      <c r="I2467" s="446">
        <v>3</v>
      </c>
      <c r="J2467" s="446">
        <v>33</v>
      </c>
      <c r="K2467" s="458" t="s">
        <v>263</v>
      </c>
      <c r="L2467" s="529">
        <f t="shared" si="326"/>
        <v>2705908.29</v>
      </c>
      <c r="M2467" s="529">
        <v>2659200</v>
      </c>
      <c r="N2467" s="391">
        <v>34680.730000000003</v>
      </c>
      <c r="O2467" s="530"/>
      <c r="P2467" s="391"/>
      <c r="Q2467" s="388">
        <v>12027.56</v>
      </c>
      <c r="R2467" s="528">
        <f t="shared" si="330"/>
        <v>2400</v>
      </c>
      <c r="S2467" s="383">
        <f t="shared" si="329"/>
        <v>3.4560798667371273E-11</v>
      </c>
      <c r="U2467" s="448"/>
      <c r="V2467" s="390"/>
    </row>
    <row r="2468" spans="1:22 16382:16382" s="447" customFormat="1" ht="56.25" customHeight="1">
      <c r="A2468" s="504">
        <f t="shared" si="327"/>
        <v>24</v>
      </c>
      <c r="B2468" s="403" t="s">
        <v>2021</v>
      </c>
      <c r="C2468" s="455" t="s">
        <v>222</v>
      </c>
      <c r="D2468" s="641">
        <v>7259</v>
      </c>
      <c r="E2468" s="388">
        <v>1314</v>
      </c>
      <c r="F2468" s="667" t="s">
        <v>223</v>
      </c>
      <c r="G2468" s="388">
        <v>939</v>
      </c>
      <c r="H2468" s="446">
        <v>3</v>
      </c>
      <c r="I2468" s="446">
        <v>3</v>
      </c>
      <c r="J2468" s="446">
        <v>36</v>
      </c>
      <c r="K2468" s="458" t="s">
        <v>263</v>
      </c>
      <c r="L2468" s="529">
        <f t="shared" si="326"/>
        <v>2296386.9900000002</v>
      </c>
      <c r="M2468" s="529">
        <v>2253600</v>
      </c>
      <c r="N2468" s="391">
        <v>30759.43</v>
      </c>
      <c r="O2468" s="530"/>
      <c r="P2468" s="391"/>
      <c r="Q2468" s="388">
        <v>12027.56</v>
      </c>
      <c r="R2468" s="528">
        <f t="shared" si="330"/>
        <v>2400</v>
      </c>
      <c r="S2468" s="383">
        <f t="shared" si="329"/>
        <v>2.2373569663614035E-10</v>
      </c>
      <c r="U2468" s="448"/>
      <c r="V2468" s="390"/>
    </row>
    <row r="2469" spans="1:22 16382:16382" s="447" customFormat="1" ht="56.25" customHeight="1">
      <c r="A2469" s="504">
        <f t="shared" si="327"/>
        <v>25</v>
      </c>
      <c r="B2469" s="403" t="s">
        <v>2022</v>
      </c>
      <c r="C2469" s="455" t="s">
        <v>222</v>
      </c>
      <c r="D2469" s="606">
        <v>5839.68</v>
      </c>
      <c r="E2469" s="388">
        <v>636</v>
      </c>
      <c r="F2469" s="667" t="s">
        <v>223</v>
      </c>
      <c r="G2469" s="391">
        <v>723</v>
      </c>
      <c r="H2469" s="528">
        <v>2</v>
      </c>
      <c r="I2469" s="528">
        <v>2</v>
      </c>
      <c r="J2469" s="528">
        <v>12</v>
      </c>
      <c r="K2469" s="458" t="s">
        <v>263</v>
      </c>
      <c r="L2469" s="529">
        <f t="shared" si="326"/>
        <v>1785481.35</v>
      </c>
      <c r="M2469" s="529">
        <v>1742567</v>
      </c>
      <c r="N2469" s="391">
        <v>34204.120000000003</v>
      </c>
      <c r="O2469" s="530"/>
      <c r="P2469" s="391"/>
      <c r="Q2469" s="388">
        <v>8710.23</v>
      </c>
      <c r="R2469" s="528">
        <f t="shared" si="330"/>
        <v>2410.1894882434303</v>
      </c>
      <c r="S2469" s="383">
        <f t="shared" si="329"/>
        <v>9.0949470177292824E-11</v>
      </c>
      <c r="U2469" s="448"/>
      <c r="V2469" s="390"/>
    </row>
    <row r="2470" spans="1:22 16382:16382" s="431" customFormat="1" ht="56.25" customHeight="1">
      <c r="A2470" s="504">
        <f t="shared" si="327"/>
        <v>26</v>
      </c>
      <c r="B2470" s="403" t="s">
        <v>2023</v>
      </c>
      <c r="C2470" s="455" t="s">
        <v>222</v>
      </c>
      <c r="D2470" s="606">
        <v>2600.3999999999996</v>
      </c>
      <c r="E2470" s="388">
        <v>396</v>
      </c>
      <c r="F2470" s="667" t="s">
        <v>223</v>
      </c>
      <c r="G2470" s="391">
        <v>625.29999999999995</v>
      </c>
      <c r="H2470" s="528">
        <v>2</v>
      </c>
      <c r="I2470" s="528">
        <v>1</v>
      </c>
      <c r="J2470" s="528">
        <v>5</v>
      </c>
      <c r="K2470" s="458" t="s">
        <v>263</v>
      </c>
      <c r="L2470" s="529">
        <f t="shared" si="326"/>
        <v>1543513.9600000002</v>
      </c>
      <c r="M2470" s="529">
        <v>1500720</v>
      </c>
      <c r="N2470" s="391">
        <v>29030.12</v>
      </c>
      <c r="O2470" s="530"/>
      <c r="P2470" s="391"/>
      <c r="Q2470" s="388">
        <v>13763.84</v>
      </c>
      <c r="R2470" s="528">
        <f t="shared" si="330"/>
        <v>2400</v>
      </c>
      <c r="S2470" s="383">
        <f t="shared" si="329"/>
        <v>1.964508555829525E-10</v>
      </c>
      <c r="U2470" s="432"/>
      <c r="V2470" s="390"/>
    </row>
    <row r="2471" spans="1:22 16382:16382" s="447" customFormat="1" ht="56.25" customHeight="1">
      <c r="A2471" s="504">
        <f t="shared" si="327"/>
        <v>27</v>
      </c>
      <c r="B2471" s="403" t="s">
        <v>2024</v>
      </c>
      <c r="C2471" s="455" t="s">
        <v>222</v>
      </c>
      <c r="D2471" s="641">
        <v>7259</v>
      </c>
      <c r="E2471" s="388">
        <v>1314</v>
      </c>
      <c r="F2471" s="667" t="s">
        <v>223</v>
      </c>
      <c r="G2471" s="388">
        <v>879</v>
      </c>
      <c r="H2471" s="446">
        <v>3</v>
      </c>
      <c r="I2471" s="446">
        <v>3</v>
      </c>
      <c r="J2471" s="446">
        <v>33</v>
      </c>
      <c r="K2471" s="458" t="s">
        <v>263</v>
      </c>
      <c r="L2471" s="529">
        <f t="shared" si="326"/>
        <v>2152541.56</v>
      </c>
      <c r="M2471" s="529">
        <v>2109600</v>
      </c>
      <c r="N2471" s="391">
        <v>30914</v>
      </c>
      <c r="O2471" s="530"/>
      <c r="P2471" s="391"/>
      <c r="Q2471" s="388">
        <v>12027.56</v>
      </c>
      <c r="R2471" s="528">
        <f t="shared" si="330"/>
        <v>2400</v>
      </c>
      <c r="S2471" s="383">
        <f t="shared" si="329"/>
        <v>5.6388671509921551E-11</v>
      </c>
      <c r="U2471" s="448"/>
      <c r="V2471" s="390"/>
    </row>
    <row r="2472" spans="1:22 16382:16382" s="447" customFormat="1" ht="32.25" customHeight="1">
      <c r="A2472" s="504">
        <f t="shared" si="327"/>
        <v>28</v>
      </c>
      <c r="B2472" s="403" t="s">
        <v>2025</v>
      </c>
      <c r="C2472" s="455" t="s">
        <v>240</v>
      </c>
      <c r="D2472" s="606">
        <v>3417</v>
      </c>
      <c r="E2472" s="388">
        <v>702</v>
      </c>
      <c r="F2472" s="667" t="s">
        <v>223</v>
      </c>
      <c r="G2472" s="391">
        <v>614</v>
      </c>
      <c r="H2472" s="528">
        <v>2</v>
      </c>
      <c r="I2472" s="528">
        <v>2</v>
      </c>
      <c r="J2472" s="528">
        <v>12</v>
      </c>
      <c r="K2472" s="458" t="s">
        <v>247</v>
      </c>
      <c r="L2472" s="519">
        <f t="shared" si="326"/>
        <v>1189783.05</v>
      </c>
      <c r="M2472" s="650">
        <v>1155600</v>
      </c>
      <c r="N2472" s="651"/>
      <c r="O2472" s="473">
        <v>12501</v>
      </c>
      <c r="P2472" s="651"/>
      <c r="Q2472" s="388">
        <v>21682.05</v>
      </c>
      <c r="R2472" s="528">
        <f>M2472/E2472</f>
        <v>1646.1538461538462</v>
      </c>
      <c r="S2472" s="383">
        <f t="shared" si="329"/>
        <v>4.7293724492192268E-11</v>
      </c>
      <c r="T2472" s="406">
        <f>L2472-M2472-N2472-O2472-Q2472</f>
        <v>4.7293724492192268E-11</v>
      </c>
      <c r="U2472" s="390"/>
      <c r="V2472" s="390"/>
    </row>
    <row r="2473" spans="1:22 16382:16382" s="447" customFormat="1" ht="39.75" customHeight="1">
      <c r="A2473" s="504">
        <f t="shared" si="327"/>
        <v>29</v>
      </c>
      <c r="B2473" s="403" t="s">
        <v>2026</v>
      </c>
      <c r="C2473" s="455" t="s">
        <v>240</v>
      </c>
      <c r="D2473" s="606">
        <v>9900</v>
      </c>
      <c r="E2473" s="388">
        <v>2937.8</v>
      </c>
      <c r="F2473" s="667" t="s">
        <v>223</v>
      </c>
      <c r="G2473" s="391">
        <v>1444.63</v>
      </c>
      <c r="H2473" s="528">
        <v>3</v>
      </c>
      <c r="I2473" s="528">
        <v>4</v>
      </c>
      <c r="J2473" s="528">
        <v>27</v>
      </c>
      <c r="K2473" s="458" t="s">
        <v>247</v>
      </c>
      <c r="L2473" s="519">
        <f t="shared" si="326"/>
        <v>4954868.75</v>
      </c>
      <c r="M2473" s="650">
        <v>4928040</v>
      </c>
      <c r="N2473" s="651"/>
      <c r="O2473" s="473">
        <v>13247</v>
      </c>
      <c r="P2473" s="651"/>
      <c r="Q2473" s="388">
        <v>13581.75</v>
      </c>
      <c r="R2473" s="528">
        <f>M2473/E2473</f>
        <v>1677.4593233031519</v>
      </c>
      <c r="S2473" s="383">
        <f t="shared" si="329"/>
        <v>0</v>
      </c>
      <c r="T2473" s="406">
        <f>L2473-M2473-N2473-O2473-Q2473</f>
        <v>0</v>
      </c>
      <c r="U2473" s="390"/>
      <c r="V2473" s="390"/>
    </row>
    <row r="2474" spans="1:22 16382:16382" s="405" customFormat="1" ht="56.25" customHeight="1">
      <c r="A2474" s="504">
        <f t="shared" si="327"/>
        <v>30</v>
      </c>
      <c r="B2474" s="403" t="s">
        <v>2027</v>
      </c>
      <c r="C2474" s="455" t="s">
        <v>240</v>
      </c>
      <c r="D2474" s="641">
        <v>3587</v>
      </c>
      <c r="E2474" s="388">
        <v>636</v>
      </c>
      <c r="F2474" s="667" t="s">
        <v>223</v>
      </c>
      <c r="G2474" s="388">
        <v>707</v>
      </c>
      <c r="H2474" s="446">
        <v>2</v>
      </c>
      <c r="I2474" s="446">
        <v>2</v>
      </c>
      <c r="J2474" s="446">
        <v>12</v>
      </c>
      <c r="K2474" s="458" t="s">
        <v>263</v>
      </c>
      <c r="L2474" s="529">
        <f t="shared" si="326"/>
        <v>1815646.0599999998</v>
      </c>
      <c r="M2474" s="529">
        <v>1767500</v>
      </c>
      <c r="N2474" s="391">
        <v>30669.88</v>
      </c>
      <c r="O2474" s="530"/>
      <c r="P2474" s="391"/>
      <c r="Q2474" s="388">
        <v>17476.18</v>
      </c>
      <c r="R2474" s="528">
        <f>M2474/G2474</f>
        <v>2500</v>
      </c>
      <c r="S2474" s="383">
        <f t="shared" si="329"/>
        <v>-1.7826096154749393E-10</v>
      </c>
      <c r="V2474" s="390"/>
    </row>
    <row r="2475" spans="1:22 16382:16382" s="405" customFormat="1" ht="56.25" customHeight="1">
      <c r="A2475" s="504">
        <f t="shared" si="327"/>
        <v>31</v>
      </c>
      <c r="B2475" s="403" t="s">
        <v>2028</v>
      </c>
      <c r="C2475" s="455" t="s">
        <v>222</v>
      </c>
      <c r="D2475" s="641">
        <v>19999</v>
      </c>
      <c r="E2475" s="388">
        <v>636</v>
      </c>
      <c r="F2475" s="667" t="s">
        <v>223</v>
      </c>
      <c r="G2475" s="388">
        <v>717</v>
      </c>
      <c r="H2475" s="446">
        <v>2</v>
      </c>
      <c r="I2475" s="446">
        <v>2</v>
      </c>
      <c r="J2475" s="446">
        <v>12</v>
      </c>
      <c r="K2475" s="458" t="s">
        <v>263</v>
      </c>
      <c r="L2475" s="529">
        <f t="shared" si="326"/>
        <v>1857243.77</v>
      </c>
      <c r="M2475" s="529">
        <v>1792500</v>
      </c>
      <c r="N2475" s="391">
        <v>47983</v>
      </c>
      <c r="O2475" s="530"/>
      <c r="P2475" s="391"/>
      <c r="Q2475" s="388">
        <v>16760.77</v>
      </c>
      <c r="R2475" s="528">
        <f>M2475/G2475</f>
        <v>2500</v>
      </c>
      <c r="S2475" s="383">
        <f t="shared" si="329"/>
        <v>0</v>
      </c>
      <c r="V2475" s="390"/>
    </row>
    <row r="2476" spans="1:22 16382:16382" s="405" customFormat="1" ht="56.25" customHeight="1">
      <c r="A2476" s="504">
        <f t="shared" si="327"/>
        <v>32</v>
      </c>
      <c r="B2476" s="403" t="s">
        <v>3849</v>
      </c>
      <c r="C2476" s="455" t="s">
        <v>240</v>
      </c>
      <c r="D2476" s="606">
        <v>3440</v>
      </c>
      <c r="E2476" s="388">
        <v>636</v>
      </c>
      <c r="F2476" s="391" t="s">
        <v>223</v>
      </c>
      <c r="G2476" s="391">
        <v>682</v>
      </c>
      <c r="H2476" s="528">
        <v>2</v>
      </c>
      <c r="I2476" s="528">
        <v>2</v>
      </c>
      <c r="J2476" s="528">
        <v>12</v>
      </c>
      <c r="K2476" s="458" t="s">
        <v>263</v>
      </c>
      <c r="L2476" s="529">
        <f t="shared" si="326"/>
        <v>1760072.45</v>
      </c>
      <c r="M2476" s="529">
        <v>1705000</v>
      </c>
      <c r="N2476" s="391">
        <v>38311.68</v>
      </c>
      <c r="O2476" s="530"/>
      <c r="P2476" s="688"/>
      <c r="Q2476" s="388">
        <v>16760.77</v>
      </c>
      <c r="R2476" s="528">
        <f>M2476/G2476</f>
        <v>2500</v>
      </c>
      <c r="S2476" s="383">
        <f t="shared" si="329"/>
        <v>-4.7293724492192268E-11</v>
      </c>
      <c r="V2476" s="390"/>
    </row>
    <row r="2477" spans="1:22 16382:16382" s="405" customFormat="1" ht="37.5" customHeight="1">
      <c r="A2477" s="504">
        <f t="shared" si="327"/>
        <v>33</v>
      </c>
      <c r="B2477" s="403" t="s">
        <v>2029</v>
      </c>
      <c r="C2477" s="455" t="s">
        <v>222</v>
      </c>
      <c r="D2477" s="641">
        <v>5806</v>
      </c>
      <c r="E2477" s="388">
        <v>3990</v>
      </c>
      <c r="F2477" s="667" t="s">
        <v>234</v>
      </c>
      <c r="G2477" s="388">
        <v>1281</v>
      </c>
      <c r="H2477" s="446">
        <v>5</v>
      </c>
      <c r="I2477" s="446">
        <v>6</v>
      </c>
      <c r="J2477" s="446">
        <v>86</v>
      </c>
      <c r="K2477" s="697" t="s">
        <v>33</v>
      </c>
      <c r="L2477" s="529">
        <f t="shared" si="326"/>
        <v>2602592.02</v>
      </c>
      <c r="M2477" s="650">
        <v>2562000</v>
      </c>
      <c r="N2477" s="688"/>
      <c r="O2477" s="473">
        <v>20692.02</v>
      </c>
      <c r="P2477" s="688"/>
      <c r="Q2477" s="388">
        <v>19900</v>
      </c>
      <c r="R2477" s="689">
        <f>M2477/G2477</f>
        <v>2000</v>
      </c>
      <c r="S2477" s="383">
        <f t="shared" si="329"/>
        <v>0</v>
      </c>
      <c r="V2477" s="390"/>
    </row>
    <row r="2478" spans="1:22 16382:16382" s="447" customFormat="1" ht="37.5" customHeight="1">
      <c r="A2478" s="504">
        <f t="shared" si="327"/>
        <v>34</v>
      </c>
      <c r="B2478" s="403" t="s">
        <v>2030</v>
      </c>
      <c r="C2478" s="455" t="s">
        <v>240</v>
      </c>
      <c r="D2478" s="641">
        <v>2842</v>
      </c>
      <c r="E2478" s="388">
        <v>713</v>
      </c>
      <c r="F2478" s="667" t="s">
        <v>223</v>
      </c>
      <c r="G2478" s="388">
        <v>544</v>
      </c>
      <c r="H2478" s="446">
        <v>2</v>
      </c>
      <c r="I2478" s="446">
        <v>2</v>
      </c>
      <c r="J2478" s="446">
        <v>8</v>
      </c>
      <c r="K2478" s="458" t="s">
        <v>247</v>
      </c>
      <c r="L2478" s="519">
        <f t="shared" si="326"/>
        <v>1205797.3799999999</v>
      </c>
      <c r="M2478" s="650">
        <v>1175400</v>
      </c>
      <c r="N2478" s="651"/>
      <c r="O2478" s="473">
        <v>12364</v>
      </c>
      <c r="P2478" s="651"/>
      <c r="Q2478" s="388">
        <v>18033.38</v>
      </c>
      <c r="R2478" s="528">
        <f>M2478/E2478</f>
        <v>1648.5273492286115</v>
      </c>
      <c r="S2478" s="383">
        <f t="shared" si="329"/>
        <v>-1.127773430198431E-10</v>
      </c>
      <c r="T2478" s="406">
        <f>L2478-M2478-N2478-O2478-Q2478</f>
        <v>-1.127773430198431E-10</v>
      </c>
      <c r="U2478" s="448"/>
      <c r="V2478" s="390"/>
      <c r="XFB2478" s="447">
        <v>5118907.46</v>
      </c>
    </row>
    <row r="2479" spans="1:22 16382:16382" s="420" customFormat="1" ht="37.5" customHeight="1">
      <c r="A2479" s="504">
        <f t="shared" si="327"/>
        <v>35</v>
      </c>
      <c r="B2479" s="403" t="s">
        <v>2032</v>
      </c>
      <c r="C2479" s="455" t="s">
        <v>222</v>
      </c>
      <c r="D2479" s="606">
        <v>17853</v>
      </c>
      <c r="E2479" s="688">
        <v>2209.8000000000002</v>
      </c>
      <c r="F2479" s="391" t="s">
        <v>234</v>
      </c>
      <c r="G2479" s="391">
        <v>1252.9000000000001</v>
      </c>
      <c r="H2479" s="528">
        <v>5</v>
      </c>
      <c r="I2479" s="528">
        <v>6</v>
      </c>
      <c r="J2479" s="528">
        <v>100</v>
      </c>
      <c r="K2479" s="458" t="s">
        <v>33</v>
      </c>
      <c r="L2479" s="529">
        <f t="shared" si="326"/>
        <v>2548383.02</v>
      </c>
      <c r="M2479" s="650">
        <v>2505800</v>
      </c>
      <c r="N2479" s="688"/>
      <c r="O2479" s="473">
        <v>22683.02</v>
      </c>
      <c r="P2479" s="688"/>
      <c r="Q2479" s="388">
        <v>19900</v>
      </c>
      <c r="R2479" s="689">
        <f>M2479/G2479</f>
        <v>1999.9999999999998</v>
      </c>
      <c r="S2479" s="383">
        <f t="shared" si="329"/>
        <v>0</v>
      </c>
      <c r="U2479" s="405"/>
      <c r="V2479" s="390"/>
    </row>
    <row r="2480" spans="1:22 16382:16382" s="447" customFormat="1" ht="56.25" customHeight="1">
      <c r="A2480" s="504">
        <f t="shared" si="327"/>
        <v>36</v>
      </c>
      <c r="B2480" s="403" t="s">
        <v>3560</v>
      </c>
      <c r="C2480" s="455" t="s">
        <v>222</v>
      </c>
      <c r="D2480" s="606">
        <v>5265</v>
      </c>
      <c r="E2480" s="391">
        <v>1139.5</v>
      </c>
      <c r="F2480" s="667" t="s">
        <v>223</v>
      </c>
      <c r="G2480" s="391">
        <v>882.34</v>
      </c>
      <c r="H2480" s="528">
        <v>4</v>
      </c>
      <c r="I2480" s="528">
        <v>2</v>
      </c>
      <c r="J2480" s="528">
        <v>32</v>
      </c>
      <c r="K2480" s="458" t="s">
        <v>263</v>
      </c>
      <c r="L2480" s="645">
        <f t="shared" si="326"/>
        <v>2512913</v>
      </c>
      <c r="M2480" s="645">
        <v>2470541</v>
      </c>
      <c r="N2480" s="688">
        <v>26058</v>
      </c>
      <c r="O2480" s="473"/>
      <c r="P2480" s="688"/>
      <c r="Q2480" s="388">
        <v>16314</v>
      </c>
      <c r="R2480" s="648">
        <v>2800.0002266710189</v>
      </c>
      <c r="S2480" s="383">
        <f t="shared" si="329"/>
        <v>0</v>
      </c>
      <c r="U2480" s="448"/>
      <c r="V2480" s="390"/>
    </row>
    <row r="2481" spans="1:27" s="420" customFormat="1" ht="37.5" customHeight="1">
      <c r="A2481" s="504">
        <f t="shared" si="327"/>
        <v>37</v>
      </c>
      <c r="B2481" s="403" t="s">
        <v>3524</v>
      </c>
      <c r="C2481" s="455" t="s">
        <v>222</v>
      </c>
      <c r="D2481" s="606">
        <v>13219</v>
      </c>
      <c r="E2481" s="688">
        <v>2432</v>
      </c>
      <c r="F2481" s="391" t="s">
        <v>223</v>
      </c>
      <c r="G2481" s="391">
        <v>1269</v>
      </c>
      <c r="H2481" s="528">
        <v>5</v>
      </c>
      <c r="I2481" s="528">
        <v>4</v>
      </c>
      <c r="J2481" s="528">
        <v>70</v>
      </c>
      <c r="K2481" s="458" t="s">
        <v>225</v>
      </c>
      <c r="L2481" s="529">
        <f t="shared" si="326"/>
        <v>1584856.91</v>
      </c>
      <c r="M2481" s="650">
        <v>1540000</v>
      </c>
      <c r="N2481" s="388">
        <v>32699</v>
      </c>
      <c r="O2481" s="703"/>
      <c r="P2481" s="688"/>
      <c r="Q2481" s="388">
        <v>12157.91</v>
      </c>
      <c r="R2481" s="689">
        <f>M2481/J2481</f>
        <v>22000</v>
      </c>
      <c r="S2481" s="383">
        <f t="shared" si="329"/>
        <v>-8.3673512563109398E-11</v>
      </c>
      <c r="U2481" s="405"/>
      <c r="V2481" s="390"/>
    </row>
    <row r="2482" spans="1:27" s="420" customFormat="1" ht="56.25" customHeight="1">
      <c r="A2482" s="504">
        <f t="shared" si="327"/>
        <v>38</v>
      </c>
      <c r="B2482" s="403" t="s">
        <v>3559</v>
      </c>
      <c r="C2482" s="487" t="s">
        <v>222</v>
      </c>
      <c r="D2482" s="606">
        <v>12235</v>
      </c>
      <c r="E2482" s="391">
        <v>2232</v>
      </c>
      <c r="F2482" s="391" t="s">
        <v>234</v>
      </c>
      <c r="G2482" s="391">
        <v>1300</v>
      </c>
      <c r="H2482" s="528">
        <v>5</v>
      </c>
      <c r="I2482" s="528">
        <v>4</v>
      </c>
      <c r="J2482" s="528">
        <v>59</v>
      </c>
      <c r="K2482" s="458" t="s">
        <v>30</v>
      </c>
      <c r="L2482" s="519">
        <f t="shared" si="326"/>
        <v>1330800.44</v>
      </c>
      <c r="M2482" s="645">
        <v>1291831.0699999998</v>
      </c>
      <c r="N2482" s="646"/>
      <c r="O2482" s="643">
        <v>4823.28</v>
      </c>
      <c r="P2482" s="388"/>
      <c r="Q2482" s="646">
        <v>34146.089999999997</v>
      </c>
      <c r="R2482" s="689">
        <f>M2482/J2482</f>
        <v>21895.441864406777</v>
      </c>
      <c r="S2482" s="383">
        <f t="shared" si="329"/>
        <v>1.1641532182693481E-10</v>
      </c>
      <c r="T2482" s="406"/>
      <c r="U2482" s="405"/>
      <c r="Z2482" s="416">
        <v>1</v>
      </c>
      <c r="AA2482" s="416">
        <f>J2482</f>
        <v>59</v>
      </c>
    </row>
    <row r="2483" spans="1:27" s="420" customFormat="1" ht="37.5" customHeight="1">
      <c r="A2483" s="504">
        <f t="shared" si="327"/>
        <v>39</v>
      </c>
      <c r="B2483" s="403" t="s">
        <v>2031</v>
      </c>
      <c r="C2483" s="487" t="s">
        <v>222</v>
      </c>
      <c r="D2483" s="606">
        <v>8305</v>
      </c>
      <c r="E2483" s="391">
        <v>3990</v>
      </c>
      <c r="F2483" s="391" t="s">
        <v>234</v>
      </c>
      <c r="G2483" s="391">
        <v>1293.4000000000001</v>
      </c>
      <c r="H2483" s="528">
        <v>5</v>
      </c>
      <c r="I2483" s="528">
        <v>6</v>
      </c>
      <c r="J2483" s="528">
        <v>60</v>
      </c>
      <c r="K2483" s="458" t="s">
        <v>33</v>
      </c>
      <c r="L2483" s="519">
        <f t="shared" si="326"/>
        <v>2607714.2200000002</v>
      </c>
      <c r="M2483" s="645">
        <v>2581918.7800000003</v>
      </c>
      <c r="N2483" s="646"/>
      <c r="O2483" s="647">
        <v>5995.44</v>
      </c>
      <c r="P2483" s="388"/>
      <c r="Q2483" s="646">
        <v>19800</v>
      </c>
      <c r="R2483" s="648">
        <f>M2483/G2483</f>
        <v>1996.2260553579713</v>
      </c>
      <c r="S2483" s="383">
        <f t="shared" si="329"/>
        <v>-5.4569682106375694E-11</v>
      </c>
      <c r="T2483" s="406"/>
      <c r="U2483" s="405"/>
    </row>
    <row r="2484" spans="1:27" s="420" customFormat="1" ht="37.5" customHeight="1">
      <c r="A2484" s="504">
        <f t="shared" si="327"/>
        <v>40</v>
      </c>
      <c r="B2484" s="403" t="s">
        <v>3830</v>
      </c>
      <c r="C2484" s="487" t="s">
        <v>222</v>
      </c>
      <c r="D2484" s="606">
        <v>2472.4699999999998</v>
      </c>
      <c r="E2484" s="391">
        <v>481.20000000000005</v>
      </c>
      <c r="F2484" s="391" t="s">
        <v>223</v>
      </c>
      <c r="G2484" s="391">
        <v>494.49</v>
      </c>
      <c r="H2484" s="528">
        <v>2</v>
      </c>
      <c r="I2484" s="528">
        <v>1</v>
      </c>
      <c r="J2484" s="528">
        <v>8</v>
      </c>
      <c r="K2484" s="458" t="s">
        <v>33</v>
      </c>
      <c r="L2484" s="519">
        <f t="shared" si="326"/>
        <v>1421059.7</v>
      </c>
      <c r="M2484" s="645">
        <v>1384583</v>
      </c>
      <c r="N2484" s="646">
        <v>28854</v>
      </c>
      <c r="O2484" s="647"/>
      <c r="P2484" s="388"/>
      <c r="Q2484" s="646">
        <v>7622.7</v>
      </c>
      <c r="R2484" s="648">
        <f>M2484/G2484</f>
        <v>2800.0222451414588</v>
      </c>
      <c r="S2484" s="383">
        <f t="shared" si="329"/>
        <v>-4.638422979041934E-11</v>
      </c>
      <c r="T2484" s="406"/>
      <c r="U2484" s="405"/>
    </row>
    <row r="2485" spans="1:27" s="420" customFormat="1" ht="37.5" customHeight="1">
      <c r="A2485" s="504">
        <f t="shared" si="327"/>
        <v>41</v>
      </c>
      <c r="B2485" s="403" t="s">
        <v>3827</v>
      </c>
      <c r="C2485" s="487" t="s">
        <v>222</v>
      </c>
      <c r="D2485" s="606">
        <v>19526.400000000001</v>
      </c>
      <c r="E2485" s="391">
        <v>2745.6</v>
      </c>
      <c r="F2485" s="391" t="s">
        <v>234</v>
      </c>
      <c r="G2485" s="391">
        <v>1586.52</v>
      </c>
      <c r="H2485" s="528">
        <v>5</v>
      </c>
      <c r="I2485" s="528">
        <v>4</v>
      </c>
      <c r="J2485" s="528">
        <v>50</v>
      </c>
      <c r="K2485" s="458" t="s">
        <v>33</v>
      </c>
      <c r="L2485" s="519">
        <f t="shared" si="326"/>
        <v>3559993</v>
      </c>
      <c r="M2485" s="645">
        <v>3490344</v>
      </c>
      <c r="N2485" s="646">
        <v>29849</v>
      </c>
      <c r="O2485" s="647"/>
      <c r="P2485" s="388"/>
      <c r="Q2485" s="646">
        <v>39800</v>
      </c>
      <c r="R2485" s="648">
        <f>M2485/G2485</f>
        <v>2200</v>
      </c>
      <c r="S2485" s="383">
        <f t="shared" si="329"/>
        <v>0</v>
      </c>
      <c r="T2485" s="406"/>
      <c r="U2485" s="405"/>
    </row>
    <row r="2486" spans="1:27" s="403" customFormat="1" ht="42.75" customHeight="1">
      <c r="A2486" s="1115" t="s">
        <v>117</v>
      </c>
      <c r="B2486" s="1115"/>
      <c r="C2486" s="779" t="s">
        <v>28</v>
      </c>
      <c r="D2486" s="641">
        <f>SUM(D2445:D2485)</f>
        <v>401904.016</v>
      </c>
      <c r="E2486" s="388">
        <f>SUM(E2445:E2485)</f>
        <v>74156.340000000011</v>
      </c>
      <c r="F2486" s="388" t="s">
        <v>28</v>
      </c>
      <c r="G2486" s="388">
        <f>SUM(G2445:G2485)</f>
        <v>42165.18</v>
      </c>
      <c r="H2486" s="446" t="s">
        <v>28</v>
      </c>
      <c r="I2486" s="446" t="s">
        <v>28</v>
      </c>
      <c r="J2486" s="446">
        <f>SUM(J2445:J2485)</f>
        <v>2189</v>
      </c>
      <c r="K2486" s="670" t="s">
        <v>28</v>
      </c>
      <c r="L2486" s="519">
        <f t="shared" ref="L2486:Q2486" si="331">SUM(L2445:L2485)</f>
        <v>98903681.929999977</v>
      </c>
      <c r="M2486" s="519">
        <f t="shared" si="331"/>
        <v>96997208.849999994</v>
      </c>
      <c r="N2486" s="388">
        <f t="shared" si="331"/>
        <v>1079514.69</v>
      </c>
      <c r="O2486" s="473">
        <f t="shared" si="331"/>
        <v>189582.13999999998</v>
      </c>
      <c r="P2486" s="641">
        <f t="shared" si="331"/>
        <v>0</v>
      </c>
      <c r="Q2486" s="388">
        <f t="shared" si="331"/>
        <v>637376.24999999988</v>
      </c>
      <c r="R2486" s="446" t="s">
        <v>28</v>
      </c>
      <c r="S2486" s="393">
        <f>L2486-M2486-N2486-O2486-P2486-Q2486</f>
        <v>-1.6530975699424744E-8</v>
      </c>
      <c r="T2486" s="393"/>
      <c r="U2486" s="404"/>
      <c r="V2486" s="390"/>
    </row>
    <row r="2487" spans="1:27" s="403" customFormat="1" ht="46.5" customHeight="1">
      <c r="A2487" s="1113" t="s">
        <v>82</v>
      </c>
      <c r="B2487" s="1113"/>
      <c r="C2487" s="1113"/>
      <c r="D2487" s="1113"/>
      <c r="E2487" s="1113"/>
      <c r="F2487" s="1113"/>
      <c r="G2487" s="1113"/>
      <c r="H2487" s="1113"/>
      <c r="I2487" s="1113"/>
      <c r="J2487" s="1113"/>
      <c r="K2487" s="1113"/>
      <c r="L2487" s="1113"/>
      <c r="M2487" s="1113"/>
      <c r="N2487" s="1113"/>
      <c r="O2487" s="1113"/>
      <c r="P2487" s="1113"/>
      <c r="Q2487" s="1113"/>
      <c r="R2487" s="446"/>
      <c r="S2487" s="393"/>
      <c r="T2487" s="393"/>
      <c r="U2487" s="404"/>
      <c r="V2487" s="390"/>
    </row>
    <row r="2488" spans="1:27" s="426" customFormat="1" ht="56.25" customHeight="1">
      <c r="A2488" s="642">
        <v>1</v>
      </c>
      <c r="B2488" s="498" t="s">
        <v>1083</v>
      </c>
      <c r="C2488" s="648" t="s">
        <v>222</v>
      </c>
      <c r="D2488" s="734">
        <v>887.6</v>
      </c>
      <c r="E2488" s="539">
        <v>746</v>
      </c>
      <c r="F2488" s="646" t="s">
        <v>223</v>
      </c>
      <c r="G2488" s="646">
        <f>(25*I2488)*13*1.2</f>
        <v>390</v>
      </c>
      <c r="H2488" s="599">
        <v>5</v>
      </c>
      <c r="I2488" s="599">
        <v>1</v>
      </c>
      <c r="J2488" s="599">
        <v>18</v>
      </c>
      <c r="K2488" s="728" t="s">
        <v>33</v>
      </c>
      <c r="L2488" s="645">
        <f>M2488+N2488+O2488+P2488+Q2488</f>
        <v>994353.75</v>
      </c>
      <c r="M2488" s="519">
        <v>965250</v>
      </c>
      <c r="N2488" s="646">
        <v>29103.75</v>
      </c>
      <c r="O2488" s="647"/>
      <c r="P2488" s="646"/>
      <c r="Q2488" s="388"/>
      <c r="R2488" s="648">
        <f>M2488/G2488</f>
        <v>2475</v>
      </c>
      <c r="S2488" s="393">
        <f>L2488-M2488-N2488-O2488-P2488-Q2488</f>
        <v>0</v>
      </c>
      <c r="V2488" s="390"/>
    </row>
    <row r="2489" spans="1:27" s="414" customFormat="1" ht="56.25" customHeight="1">
      <c r="A2489" s="642">
        <f>A2488+1</f>
        <v>2</v>
      </c>
      <c r="B2489" s="736" t="s">
        <v>1089</v>
      </c>
      <c r="C2489" s="699" t="s">
        <v>218</v>
      </c>
      <c r="D2489" s="737">
        <v>2816</v>
      </c>
      <c r="E2489" s="738">
        <v>598</v>
      </c>
      <c r="F2489" s="646" t="s">
        <v>223</v>
      </c>
      <c r="G2489" s="738">
        <v>614</v>
      </c>
      <c r="H2489" s="739">
        <v>2</v>
      </c>
      <c r="I2489" s="739">
        <v>2</v>
      </c>
      <c r="J2489" s="739">
        <v>16</v>
      </c>
      <c r="K2489" s="682" t="s">
        <v>30</v>
      </c>
      <c r="L2489" s="645">
        <f>M2489+N2489+O2489+P2489+Q2489</f>
        <v>320923.2</v>
      </c>
      <c r="M2489" s="645">
        <v>319968</v>
      </c>
      <c r="N2489" s="646"/>
      <c r="O2489" s="643">
        <v>955.2</v>
      </c>
      <c r="P2489" s="646"/>
      <c r="Q2489" s="388"/>
      <c r="R2489" s="648">
        <f>M2489/J2489</f>
        <v>19998</v>
      </c>
      <c r="S2489" s="393">
        <f t="shared" ref="S2489:S2490" si="332">L2489-M2489-N2489-O2489-P2489-Q2489</f>
        <v>1.1596057447604835E-11</v>
      </c>
      <c r="T2489" s="428"/>
      <c r="V2489" s="390"/>
      <c r="Z2489" s="416">
        <v>1</v>
      </c>
      <c r="AA2489" s="416">
        <f>J2489</f>
        <v>16</v>
      </c>
    </row>
    <row r="2490" spans="1:27" s="426" customFormat="1" ht="56.25" customHeight="1">
      <c r="A2490" s="642">
        <f>A2489+1</f>
        <v>3</v>
      </c>
      <c r="B2490" s="498" t="s">
        <v>1094</v>
      </c>
      <c r="C2490" s="648" t="s">
        <v>222</v>
      </c>
      <c r="D2490" s="606">
        <v>7383</v>
      </c>
      <c r="E2490" s="539">
        <v>3700</v>
      </c>
      <c r="F2490" s="646" t="s">
        <v>223</v>
      </c>
      <c r="G2490" s="539">
        <v>960</v>
      </c>
      <c r="H2490" s="599">
        <v>3</v>
      </c>
      <c r="I2490" s="599">
        <v>1</v>
      </c>
      <c r="J2490" s="648">
        <v>45</v>
      </c>
      <c r="K2490" s="458" t="s">
        <v>225</v>
      </c>
      <c r="L2490" s="645">
        <f>M2490+N2490+O2490+P2490+Q2490</f>
        <v>926775</v>
      </c>
      <c r="M2490" s="645">
        <v>899910</v>
      </c>
      <c r="N2490" s="646">
        <v>26865</v>
      </c>
      <c r="O2490" s="647"/>
      <c r="P2490" s="646"/>
      <c r="Q2490" s="388"/>
      <c r="R2490" s="648">
        <f>M2490/J2490</f>
        <v>19998</v>
      </c>
      <c r="S2490" s="393">
        <f t="shared" si="332"/>
        <v>0</v>
      </c>
      <c r="T2490" s="428"/>
      <c r="V2490" s="390"/>
    </row>
    <row r="2491" spans="1:27" s="403" customFormat="1" ht="42.75" customHeight="1">
      <c r="A2491" s="1112" t="s">
        <v>83</v>
      </c>
      <c r="B2491" s="1112"/>
      <c r="C2491" s="403" t="s">
        <v>28</v>
      </c>
      <c r="D2491" s="641">
        <f>SUM(D2488:D2490)</f>
        <v>11086.6</v>
      </c>
      <c r="E2491" s="388">
        <f>SUM(E2488:E2490)</f>
        <v>5044</v>
      </c>
      <c r="F2491" s="388" t="s">
        <v>28</v>
      </c>
      <c r="G2491" s="388">
        <f>SUM(G2488:G2490)</f>
        <v>1964</v>
      </c>
      <c r="H2491" s="446" t="s">
        <v>28</v>
      </c>
      <c r="I2491" s="446" t="s">
        <v>28</v>
      </c>
      <c r="J2491" s="446">
        <f>SUM(J2488:J2490)</f>
        <v>79</v>
      </c>
      <c r="K2491" s="670" t="s">
        <v>28</v>
      </c>
      <c r="L2491" s="641">
        <f t="shared" ref="L2491:Q2491" si="333">SUM(L2488:L2490)</f>
        <v>2242051.9500000002</v>
      </c>
      <c r="M2491" s="641">
        <f t="shared" si="333"/>
        <v>2185128</v>
      </c>
      <c r="N2491" s="641">
        <f t="shared" si="333"/>
        <v>55968.75</v>
      </c>
      <c r="O2491" s="641">
        <f t="shared" si="333"/>
        <v>955.2</v>
      </c>
      <c r="P2491" s="641">
        <f t="shared" si="333"/>
        <v>0</v>
      </c>
      <c r="Q2491" s="641">
        <f t="shared" si="333"/>
        <v>0</v>
      </c>
      <c r="R2491" s="446" t="s">
        <v>28</v>
      </c>
      <c r="S2491" s="393">
        <f>L2491-M2491-N2491-O2491-P2491-Q2491</f>
        <v>1.8621904018800706E-10</v>
      </c>
      <c r="T2491" s="393"/>
      <c r="U2491" s="404"/>
      <c r="V2491" s="390"/>
    </row>
    <row r="2492" spans="1:27" s="403" customFormat="1" ht="42.75" customHeight="1">
      <c r="A2492" s="1113" t="s">
        <v>84</v>
      </c>
      <c r="B2492" s="1113"/>
      <c r="C2492" s="1113"/>
      <c r="D2492" s="1113"/>
      <c r="E2492" s="1113"/>
      <c r="F2492" s="1113"/>
      <c r="G2492" s="1113"/>
      <c r="H2492" s="1113"/>
      <c r="I2492" s="1113"/>
      <c r="J2492" s="1113"/>
      <c r="K2492" s="1113"/>
      <c r="L2492" s="1113"/>
      <c r="M2492" s="1113"/>
      <c r="N2492" s="1113"/>
      <c r="O2492" s="1113"/>
      <c r="P2492" s="1113"/>
      <c r="Q2492" s="1113"/>
      <c r="R2492" s="458"/>
      <c r="S2492" s="393"/>
      <c r="T2492" s="393"/>
      <c r="U2492" s="404"/>
      <c r="V2492" s="390"/>
    </row>
    <row r="2493" spans="1:27" s="403" customFormat="1" ht="37.5" customHeight="1">
      <c r="A2493" s="500">
        <v>1</v>
      </c>
      <c r="B2493" s="403" t="s">
        <v>2044</v>
      </c>
      <c r="C2493" s="741" t="s">
        <v>222</v>
      </c>
      <c r="D2493" s="641">
        <v>6344</v>
      </c>
      <c r="E2493" s="388">
        <v>1132.08</v>
      </c>
      <c r="F2493" s="388" t="s">
        <v>223</v>
      </c>
      <c r="G2493" s="388">
        <v>1114.78</v>
      </c>
      <c r="H2493" s="446">
        <v>2</v>
      </c>
      <c r="I2493" s="446">
        <v>3</v>
      </c>
      <c r="J2493" s="446">
        <v>18</v>
      </c>
      <c r="K2493" s="458" t="s">
        <v>33</v>
      </c>
      <c r="L2493" s="645">
        <f>M2493+N2493+O2493+P2493+Q2493</f>
        <v>2473235.6800000002</v>
      </c>
      <c r="M2493" s="645">
        <v>2407289</v>
      </c>
      <c r="N2493" s="646">
        <v>35037</v>
      </c>
      <c r="O2493" s="647"/>
      <c r="P2493" s="646"/>
      <c r="Q2493" s="388">
        <v>30909.68</v>
      </c>
      <c r="R2493" s="648">
        <f>M2493/G2493</f>
        <v>2159.4296632519422</v>
      </c>
      <c r="S2493" s="393">
        <f>L2493-M2493-N2493-O2493-P2493-Q2493</f>
        <v>1.673470251262188E-10</v>
      </c>
      <c r="T2493" s="393"/>
      <c r="U2493" s="404"/>
      <c r="V2493" s="390"/>
    </row>
    <row r="2494" spans="1:27" s="403" customFormat="1" ht="37.5" customHeight="1">
      <c r="A2494" s="642">
        <f>A2493+1</f>
        <v>2</v>
      </c>
      <c r="B2494" s="403" t="s">
        <v>2045</v>
      </c>
      <c r="C2494" s="699" t="s">
        <v>222</v>
      </c>
      <c r="D2494" s="641">
        <f>E2494*2.9</f>
        <v>1995.2</v>
      </c>
      <c r="E2494" s="388">
        <v>688</v>
      </c>
      <c r="F2494" s="388" t="s">
        <v>229</v>
      </c>
      <c r="G2494" s="388">
        <v>770</v>
      </c>
      <c r="H2494" s="446">
        <v>2</v>
      </c>
      <c r="I2494" s="446">
        <v>3</v>
      </c>
      <c r="J2494" s="446">
        <v>22</v>
      </c>
      <c r="K2494" s="458" t="s">
        <v>269</v>
      </c>
      <c r="L2494" s="519">
        <f>M2494+N2494+O2494+P2494+Q2494</f>
        <v>455064.03</v>
      </c>
      <c r="M2494" s="529">
        <v>440000</v>
      </c>
      <c r="N2494" s="391"/>
      <c r="O2494" s="643">
        <v>10890</v>
      </c>
      <c r="P2494" s="391"/>
      <c r="Q2494" s="388">
        <v>4174.03</v>
      </c>
      <c r="R2494" s="446">
        <f>M2494/J2494</f>
        <v>20000</v>
      </c>
      <c r="S2494" s="393">
        <f>L2494-M2494-N2494-O2494-P2494-Q2494</f>
        <v>2.8194335754960775E-11</v>
      </c>
      <c r="T2494" s="393"/>
      <c r="U2494" s="404"/>
      <c r="V2494" s="390"/>
      <c r="Z2494" s="416">
        <v>1</v>
      </c>
      <c r="AA2494" s="416">
        <f>J2494</f>
        <v>22</v>
      </c>
    </row>
    <row r="2495" spans="1:27" s="403" customFormat="1" ht="56.25" customHeight="1">
      <c r="A2495" s="458">
        <f>A2494+1</f>
        <v>3</v>
      </c>
      <c r="B2495" s="403" t="s">
        <v>2046</v>
      </c>
      <c r="C2495" s="699" t="s">
        <v>222</v>
      </c>
      <c r="D2495" s="641">
        <v>841</v>
      </c>
      <c r="E2495" s="388">
        <v>290</v>
      </c>
      <c r="F2495" s="388" t="s">
        <v>229</v>
      </c>
      <c r="G2495" s="388">
        <v>544</v>
      </c>
      <c r="H2495" s="528">
        <v>2</v>
      </c>
      <c r="I2495" s="528">
        <v>2</v>
      </c>
      <c r="J2495" s="446">
        <v>16</v>
      </c>
      <c r="K2495" s="458" t="s">
        <v>30</v>
      </c>
      <c r="L2495" s="645">
        <f>M2495+N2495+O2495+P2495+Q2495</f>
        <v>416349.71</v>
      </c>
      <c r="M2495" s="645">
        <v>400000</v>
      </c>
      <c r="N2495" s="391"/>
      <c r="O2495" s="643">
        <v>10321</v>
      </c>
      <c r="P2495" s="391"/>
      <c r="Q2495" s="388">
        <v>6028.71</v>
      </c>
      <c r="R2495" s="689">
        <f>M2495/J2495</f>
        <v>25000</v>
      </c>
      <c r="S2495" s="383">
        <f>L2495-M2495-N2495-O2495-P2495-Q2495</f>
        <v>2.0918378140777349E-11</v>
      </c>
      <c r="T2495" s="393"/>
      <c r="U2495" s="404"/>
      <c r="V2495" s="390"/>
      <c r="Z2495" s="416">
        <v>1</v>
      </c>
      <c r="AA2495" s="416">
        <f>J2495</f>
        <v>16</v>
      </c>
    </row>
    <row r="2496" spans="1:27" s="403" customFormat="1" ht="37.5" customHeight="1">
      <c r="A2496" s="458">
        <v>4</v>
      </c>
      <c r="B2496" s="403" t="s">
        <v>2047</v>
      </c>
      <c r="C2496" s="699" t="s">
        <v>222</v>
      </c>
      <c r="D2496" s="641">
        <v>1557.3</v>
      </c>
      <c r="E2496" s="388">
        <v>537</v>
      </c>
      <c r="F2496" s="388" t="s">
        <v>229</v>
      </c>
      <c r="G2496" s="388">
        <v>592</v>
      </c>
      <c r="H2496" s="446">
        <v>2</v>
      </c>
      <c r="I2496" s="446">
        <v>1</v>
      </c>
      <c r="J2496" s="446">
        <v>16</v>
      </c>
      <c r="K2496" s="458" t="s">
        <v>225</v>
      </c>
      <c r="L2496" s="519">
        <f>M2496+N2496+O2496+P2496+Q2496</f>
        <v>378457.87</v>
      </c>
      <c r="M2496" s="529">
        <v>352000</v>
      </c>
      <c r="N2496" s="646">
        <v>21258</v>
      </c>
      <c r="O2496" s="647"/>
      <c r="P2496" s="646"/>
      <c r="Q2496" s="388">
        <v>5199.87</v>
      </c>
      <c r="R2496" s="689">
        <f>M2496/J2496</f>
        <v>22000</v>
      </c>
      <c r="S2496" s="383">
        <f>L2496-M2496-N2496-O2496-P2496-Q2496</f>
        <v>0</v>
      </c>
      <c r="T2496" s="393"/>
      <c r="U2496" s="404"/>
      <c r="V2496" s="390"/>
    </row>
    <row r="2497" spans="1:27" s="403" customFormat="1" ht="42.75" customHeight="1">
      <c r="A2497" s="1112" t="s">
        <v>135</v>
      </c>
      <c r="B2497" s="1112"/>
      <c r="C2497" s="455" t="s">
        <v>28</v>
      </c>
      <c r="D2497" s="641">
        <f>SUM(D2493:D2496)</f>
        <v>10737.5</v>
      </c>
      <c r="E2497" s="388">
        <f>SUM(E2493:E2496)</f>
        <v>2647.08</v>
      </c>
      <c r="F2497" s="388" t="s">
        <v>28</v>
      </c>
      <c r="G2497" s="388">
        <f>SUM(G2493:G2496)</f>
        <v>3020.7799999999997</v>
      </c>
      <c r="H2497" s="446" t="s">
        <v>28</v>
      </c>
      <c r="I2497" s="446" t="s">
        <v>28</v>
      </c>
      <c r="J2497" s="446">
        <f>SUM(J2493:J2496)</f>
        <v>72</v>
      </c>
      <c r="K2497" s="458" t="s">
        <v>28</v>
      </c>
      <c r="L2497" s="519">
        <f>SUM(L2493:L2496)</f>
        <v>3723107.29</v>
      </c>
      <c r="M2497" s="519">
        <f>SUM(M2493:M2496)</f>
        <v>3599289</v>
      </c>
      <c r="N2497" s="388">
        <f>SUM(N2493:N2496)</f>
        <v>56295</v>
      </c>
      <c r="O2497" s="473">
        <f>SUM(O2493:O2496)</f>
        <v>21211</v>
      </c>
      <c r="P2497" s="388"/>
      <c r="Q2497" s="388">
        <f>SUM(Q2493:Q2496)</f>
        <v>46312.29</v>
      </c>
      <c r="R2497" s="446" t="s">
        <v>28</v>
      </c>
      <c r="T2497" s="393"/>
      <c r="U2497" s="404"/>
      <c r="V2497" s="390"/>
    </row>
    <row r="2498" spans="1:27" s="403" customFormat="1" ht="42.75" customHeight="1">
      <c r="A2498" s="1113" t="s">
        <v>85</v>
      </c>
      <c r="B2498" s="1113"/>
      <c r="C2498" s="1113"/>
      <c r="D2498" s="1113"/>
      <c r="E2498" s="1113"/>
      <c r="F2498" s="1113"/>
      <c r="G2498" s="1113"/>
      <c r="H2498" s="1113"/>
      <c r="I2498" s="1113"/>
      <c r="J2498" s="1113"/>
      <c r="K2498" s="1113"/>
      <c r="L2498" s="1113"/>
      <c r="M2498" s="1113"/>
      <c r="N2498" s="1113"/>
      <c r="O2498" s="1113"/>
      <c r="P2498" s="1113"/>
      <c r="Q2498" s="1113"/>
      <c r="R2498" s="458"/>
      <c r="T2498" s="393"/>
      <c r="U2498" s="404"/>
      <c r="V2498" s="390"/>
    </row>
    <row r="2499" spans="1:27" s="424" customFormat="1" ht="37.5">
      <c r="A2499" s="682">
        <v>1</v>
      </c>
      <c r="B2499" s="424" t="s">
        <v>2048</v>
      </c>
      <c r="C2499" s="648" t="s">
        <v>222</v>
      </c>
      <c r="D2499" s="681">
        <v>9486</v>
      </c>
      <c r="E2499" s="646">
        <v>2102</v>
      </c>
      <c r="F2499" s="646" t="s">
        <v>228</v>
      </c>
      <c r="G2499" s="646">
        <v>1440</v>
      </c>
      <c r="H2499" s="648">
        <v>5</v>
      </c>
      <c r="I2499" s="648">
        <v>6</v>
      </c>
      <c r="J2499" s="648">
        <v>60</v>
      </c>
      <c r="K2499" s="682" t="s">
        <v>33</v>
      </c>
      <c r="L2499" s="645">
        <f t="shared" ref="L2499:L2504" si="334">M2499+N2499+O2499+P2499+Q2499</f>
        <v>2633559</v>
      </c>
      <c r="M2499" s="645">
        <v>2592000</v>
      </c>
      <c r="N2499" s="646"/>
      <c r="O2499" s="643">
        <v>21659</v>
      </c>
      <c r="P2499" s="646"/>
      <c r="Q2499" s="388">
        <v>19900</v>
      </c>
      <c r="R2499" s="648">
        <f t="shared" ref="R2499:R2504" si="335">M2499/G2499</f>
        <v>1800</v>
      </c>
      <c r="S2499" s="383">
        <f t="shared" ref="S2499:S2504" si="336">L2499-M2499-N2499-O2499-P2499-Q2499</f>
        <v>0</v>
      </c>
      <c r="U2499" s="426"/>
      <c r="V2499" s="390"/>
    </row>
    <row r="2500" spans="1:27" s="424" customFormat="1" ht="37.5">
      <c r="A2500" s="682">
        <f>A2499+1</f>
        <v>2</v>
      </c>
      <c r="B2500" s="733" t="s">
        <v>2049</v>
      </c>
      <c r="C2500" s="648" t="s">
        <v>222</v>
      </c>
      <c r="D2500" s="681">
        <v>9368</v>
      </c>
      <c r="E2500" s="646">
        <f>(20*I2500)*13*1.3</f>
        <v>1014</v>
      </c>
      <c r="F2500" s="646" t="s">
        <v>228</v>
      </c>
      <c r="G2500" s="646">
        <v>1235</v>
      </c>
      <c r="H2500" s="648">
        <v>3</v>
      </c>
      <c r="I2500" s="648">
        <v>3</v>
      </c>
      <c r="J2500" s="648">
        <v>27</v>
      </c>
      <c r="K2500" s="458" t="s">
        <v>262</v>
      </c>
      <c r="L2500" s="645">
        <f t="shared" si="334"/>
        <v>4799407</v>
      </c>
      <c r="M2500" s="645">
        <v>4746209</v>
      </c>
      <c r="N2500" s="646">
        <v>33298</v>
      </c>
      <c r="O2500" s="647"/>
      <c r="P2500" s="646"/>
      <c r="Q2500" s="388">
        <v>19900</v>
      </c>
      <c r="R2500" s="446">
        <f t="shared" si="335"/>
        <v>3843.0842105263159</v>
      </c>
      <c r="S2500" s="383">
        <f t="shared" si="336"/>
        <v>0</v>
      </c>
      <c r="U2500" s="426"/>
      <c r="V2500" s="390"/>
    </row>
    <row r="2501" spans="1:27" s="424" customFormat="1" ht="37.5">
      <c r="A2501" s="682">
        <v>3</v>
      </c>
      <c r="B2501" s="424" t="s">
        <v>2050</v>
      </c>
      <c r="C2501" s="648" t="s">
        <v>222</v>
      </c>
      <c r="D2501" s="681">
        <v>4719</v>
      </c>
      <c r="E2501" s="646">
        <f>(20*I2501)*13*1.3</f>
        <v>1014</v>
      </c>
      <c r="F2501" s="646" t="s">
        <v>228</v>
      </c>
      <c r="G2501" s="646">
        <v>996</v>
      </c>
      <c r="H2501" s="648">
        <v>2</v>
      </c>
      <c r="I2501" s="648">
        <v>3</v>
      </c>
      <c r="J2501" s="648">
        <v>22</v>
      </c>
      <c r="K2501" s="458" t="s">
        <v>262</v>
      </c>
      <c r="L2501" s="645">
        <f t="shared" si="334"/>
        <v>5525327</v>
      </c>
      <c r="M2501" s="645">
        <v>5472739</v>
      </c>
      <c r="N2501" s="646">
        <v>32688</v>
      </c>
      <c r="O2501" s="647"/>
      <c r="P2501" s="646"/>
      <c r="Q2501" s="388">
        <v>19900</v>
      </c>
      <c r="R2501" s="446">
        <f t="shared" si="335"/>
        <v>5494.7178714859438</v>
      </c>
      <c r="S2501" s="383">
        <f t="shared" si="336"/>
        <v>0</v>
      </c>
      <c r="U2501" s="426"/>
      <c r="V2501" s="390"/>
    </row>
    <row r="2502" spans="1:27" s="424" customFormat="1" ht="37.5">
      <c r="A2502" s="682">
        <f>A2501+1</f>
        <v>4</v>
      </c>
      <c r="B2502" s="424" t="s">
        <v>2051</v>
      </c>
      <c r="C2502" s="648" t="s">
        <v>222</v>
      </c>
      <c r="D2502" s="681">
        <v>4306</v>
      </c>
      <c r="E2502" s="646">
        <f>(20*I2502)*13*1.3</f>
        <v>676</v>
      </c>
      <c r="F2502" s="646" t="s">
        <v>228</v>
      </c>
      <c r="G2502" s="646">
        <v>797</v>
      </c>
      <c r="H2502" s="648">
        <v>3</v>
      </c>
      <c r="I2502" s="648">
        <v>2</v>
      </c>
      <c r="J2502" s="648">
        <v>18</v>
      </c>
      <c r="K2502" s="458" t="s">
        <v>262</v>
      </c>
      <c r="L2502" s="645">
        <f t="shared" si="334"/>
        <v>3028571.28</v>
      </c>
      <c r="M2502" s="645">
        <v>2987600</v>
      </c>
      <c r="N2502" s="646">
        <v>27695</v>
      </c>
      <c r="O2502" s="647"/>
      <c r="P2502" s="646"/>
      <c r="Q2502" s="388">
        <v>13276.28</v>
      </c>
      <c r="R2502" s="446">
        <f t="shared" si="335"/>
        <v>3748.5570890840654</v>
      </c>
      <c r="S2502" s="383">
        <f t="shared" si="336"/>
        <v>-2.0554580260068178E-10</v>
      </c>
      <c r="U2502" s="426"/>
      <c r="V2502" s="390"/>
    </row>
    <row r="2503" spans="1:27" s="424" customFormat="1" ht="37.5">
      <c r="A2503" s="682">
        <v>5</v>
      </c>
      <c r="B2503" s="424" t="s">
        <v>2052</v>
      </c>
      <c r="C2503" s="648" t="s">
        <v>222</v>
      </c>
      <c r="D2503" s="681">
        <v>6920</v>
      </c>
      <c r="E2503" s="646">
        <f>(20*I2503)*13*1.3</f>
        <v>676</v>
      </c>
      <c r="F2503" s="646" t="s">
        <v>228</v>
      </c>
      <c r="G2503" s="646">
        <v>719</v>
      </c>
      <c r="H2503" s="648">
        <v>4</v>
      </c>
      <c r="I2503" s="648">
        <v>2</v>
      </c>
      <c r="J2503" s="648">
        <v>24</v>
      </c>
      <c r="K2503" s="458" t="s">
        <v>262</v>
      </c>
      <c r="L2503" s="645">
        <f t="shared" si="334"/>
        <v>3841885</v>
      </c>
      <c r="M2503" s="645">
        <v>3795609</v>
      </c>
      <c r="N2503" s="646">
        <v>26376</v>
      </c>
      <c r="O2503" s="647"/>
      <c r="P2503" s="646"/>
      <c r="Q2503" s="388">
        <v>19900</v>
      </c>
      <c r="R2503" s="446">
        <f t="shared" si="335"/>
        <v>5279.0111265646728</v>
      </c>
      <c r="S2503" s="383">
        <f t="shared" si="336"/>
        <v>0</v>
      </c>
      <c r="U2503" s="426"/>
      <c r="V2503" s="390"/>
    </row>
    <row r="2504" spans="1:27" s="424" customFormat="1" ht="37.5" customHeight="1">
      <c r="A2504" s="682">
        <v>6</v>
      </c>
      <c r="B2504" s="424" t="s">
        <v>2053</v>
      </c>
      <c r="C2504" s="455" t="s">
        <v>222</v>
      </c>
      <c r="D2504" s="681">
        <v>7414</v>
      </c>
      <c r="E2504" s="646">
        <v>1214</v>
      </c>
      <c r="F2504" s="646" t="s">
        <v>223</v>
      </c>
      <c r="G2504" s="646">
        <v>680</v>
      </c>
      <c r="H2504" s="648">
        <v>4</v>
      </c>
      <c r="I2504" s="648">
        <v>2</v>
      </c>
      <c r="J2504" s="648">
        <v>53</v>
      </c>
      <c r="K2504" s="682" t="s">
        <v>33</v>
      </c>
      <c r="L2504" s="645">
        <f t="shared" si="334"/>
        <v>1409557.13</v>
      </c>
      <c r="M2504" s="645">
        <v>1360000</v>
      </c>
      <c r="N2504" s="646">
        <v>26699</v>
      </c>
      <c r="O2504" s="647"/>
      <c r="P2504" s="646"/>
      <c r="Q2504" s="388">
        <v>22858.13</v>
      </c>
      <c r="R2504" s="648">
        <f t="shared" si="335"/>
        <v>2000</v>
      </c>
      <c r="S2504" s="383">
        <f t="shared" si="336"/>
        <v>-1.127773430198431E-10</v>
      </c>
      <c r="U2504" s="426"/>
      <c r="V2504" s="390"/>
    </row>
    <row r="2505" spans="1:27" s="403" customFormat="1" ht="42.75" customHeight="1">
      <c r="A2505" s="1112" t="s">
        <v>86</v>
      </c>
      <c r="B2505" s="1112"/>
      <c r="C2505" s="455" t="s">
        <v>28</v>
      </c>
      <c r="D2505" s="641">
        <f>SUM(D2499:D2504)</f>
        <v>42213</v>
      </c>
      <c r="E2505" s="388">
        <f>SUM(E2499:E2504)</f>
        <v>6696</v>
      </c>
      <c r="F2505" s="388" t="s">
        <v>28</v>
      </c>
      <c r="G2505" s="388">
        <f>SUM(G2499:G2504)</f>
        <v>5867</v>
      </c>
      <c r="H2505" s="446" t="s">
        <v>28</v>
      </c>
      <c r="I2505" s="446" t="s">
        <v>28</v>
      </c>
      <c r="J2505" s="446">
        <f>SUM(J2499:J2504)</f>
        <v>204</v>
      </c>
      <c r="K2505" s="458" t="s">
        <v>28</v>
      </c>
      <c r="L2505" s="519">
        <f t="shared" ref="L2505:Q2505" si="337">SUM(L2499:L2504)</f>
        <v>21238306.41</v>
      </c>
      <c r="M2505" s="519">
        <f t="shared" si="337"/>
        <v>20954157</v>
      </c>
      <c r="N2505" s="388">
        <f t="shared" si="337"/>
        <v>146756</v>
      </c>
      <c r="O2505" s="473">
        <f t="shared" si="337"/>
        <v>21659</v>
      </c>
      <c r="P2505" s="641">
        <f t="shared" si="337"/>
        <v>0</v>
      </c>
      <c r="Q2505" s="388">
        <f t="shared" si="337"/>
        <v>115734.41</v>
      </c>
      <c r="R2505" s="446" t="s">
        <v>28</v>
      </c>
      <c r="T2505" s="393"/>
      <c r="U2505" s="404"/>
      <c r="V2505" s="390"/>
    </row>
    <row r="2506" spans="1:27" s="403" customFormat="1" ht="42.75" customHeight="1">
      <c r="A2506" s="1113" t="s">
        <v>87</v>
      </c>
      <c r="B2506" s="1113"/>
      <c r="C2506" s="1113"/>
      <c r="D2506" s="1113"/>
      <c r="E2506" s="1113"/>
      <c r="F2506" s="1113"/>
      <c r="G2506" s="1113"/>
      <c r="H2506" s="1113"/>
      <c r="I2506" s="1113"/>
      <c r="J2506" s="1113"/>
      <c r="K2506" s="1113"/>
      <c r="L2506" s="1113"/>
      <c r="M2506" s="1113"/>
      <c r="N2506" s="1113"/>
      <c r="O2506" s="1113"/>
      <c r="P2506" s="1113"/>
      <c r="Q2506" s="1113"/>
      <c r="R2506" s="458"/>
      <c r="T2506" s="393"/>
      <c r="U2506" s="404"/>
      <c r="V2506" s="390"/>
    </row>
    <row r="2507" spans="1:27" s="420" customFormat="1" ht="56.25" customHeight="1">
      <c r="A2507" s="612">
        <v>1</v>
      </c>
      <c r="B2507" s="740" t="s">
        <v>2054</v>
      </c>
      <c r="C2507" s="741" t="s">
        <v>222</v>
      </c>
      <c r="D2507" s="724">
        <v>3009</v>
      </c>
      <c r="E2507" s="742">
        <v>311.22000000000003</v>
      </c>
      <c r="F2507" s="742" t="s">
        <v>223</v>
      </c>
      <c r="G2507" s="742">
        <v>686</v>
      </c>
      <c r="H2507" s="726">
        <v>2</v>
      </c>
      <c r="I2507" s="726">
        <v>2</v>
      </c>
      <c r="J2507" s="726">
        <v>16</v>
      </c>
      <c r="K2507" s="458" t="s">
        <v>238</v>
      </c>
      <c r="L2507" s="519">
        <f>M2507+N2507+O2507+P2507+Q2507</f>
        <v>422325.07</v>
      </c>
      <c r="M2507" s="529">
        <f>J2507*25000</f>
        <v>400000</v>
      </c>
      <c r="N2507" s="391"/>
      <c r="O2507" s="473">
        <v>11195</v>
      </c>
      <c r="P2507" s="391"/>
      <c r="Q2507" s="388">
        <v>11130.07</v>
      </c>
      <c r="R2507" s="446">
        <f>M2507/J2507</f>
        <v>25000</v>
      </c>
      <c r="S2507" s="383">
        <f>L2507-M2507-N2507-O2507-P2507-Q2507</f>
        <v>0</v>
      </c>
      <c r="U2507" s="405"/>
      <c r="V2507" s="390"/>
      <c r="Z2507" s="416">
        <v>1</v>
      </c>
      <c r="AA2507" s="416">
        <f>J2507</f>
        <v>16</v>
      </c>
    </row>
    <row r="2508" spans="1:27" s="420" customFormat="1" ht="56.25" customHeight="1">
      <c r="A2508" s="682">
        <f>A2507+1</f>
        <v>2</v>
      </c>
      <c r="B2508" s="740" t="s">
        <v>2055</v>
      </c>
      <c r="C2508" s="741" t="s">
        <v>222</v>
      </c>
      <c r="D2508" s="724">
        <v>3585</v>
      </c>
      <c r="E2508" s="742">
        <v>334.23</v>
      </c>
      <c r="F2508" s="742" t="s">
        <v>223</v>
      </c>
      <c r="G2508" s="742">
        <v>519.6</v>
      </c>
      <c r="H2508" s="726">
        <v>2</v>
      </c>
      <c r="I2508" s="726">
        <v>2</v>
      </c>
      <c r="J2508" s="726">
        <v>16</v>
      </c>
      <c r="K2508" s="458" t="s">
        <v>30</v>
      </c>
      <c r="L2508" s="519">
        <f>M2508+N2508+O2508+P2508+Q2508</f>
        <v>422862.07</v>
      </c>
      <c r="M2508" s="529">
        <f>J2508*25000</f>
        <v>400000</v>
      </c>
      <c r="N2508" s="391"/>
      <c r="O2508" s="473">
        <v>11732</v>
      </c>
      <c r="P2508" s="391"/>
      <c r="Q2508" s="388">
        <v>11130.07</v>
      </c>
      <c r="R2508" s="446">
        <f>M2508/J2508</f>
        <v>25000</v>
      </c>
      <c r="S2508" s="383">
        <f>L2508-M2508-N2508-O2508-P2508-Q2508</f>
        <v>0</v>
      </c>
      <c r="U2508" s="405"/>
      <c r="V2508" s="390"/>
      <c r="Z2508" s="416">
        <v>1</v>
      </c>
      <c r="AA2508" s="416">
        <f>J2508</f>
        <v>16</v>
      </c>
    </row>
    <row r="2509" spans="1:27" s="420" customFormat="1" ht="56.25" customHeight="1">
      <c r="A2509" s="682">
        <f>A2508+1</f>
        <v>3</v>
      </c>
      <c r="B2509" s="740" t="s">
        <v>2056</v>
      </c>
      <c r="C2509" s="741" t="s">
        <v>222</v>
      </c>
      <c r="D2509" s="724">
        <v>7481</v>
      </c>
      <c r="E2509" s="742">
        <v>313.3</v>
      </c>
      <c r="F2509" s="742" t="s">
        <v>223</v>
      </c>
      <c r="G2509" s="742">
        <v>808.9</v>
      </c>
      <c r="H2509" s="726">
        <v>2</v>
      </c>
      <c r="I2509" s="726">
        <v>3</v>
      </c>
      <c r="J2509" s="726">
        <v>22</v>
      </c>
      <c r="K2509" s="458" t="s">
        <v>238</v>
      </c>
      <c r="L2509" s="519">
        <f>M2509+N2509+O2509+P2509+Q2509</f>
        <v>582856.80000000005</v>
      </c>
      <c r="M2509" s="529">
        <f>J2509*25000</f>
        <v>550000</v>
      </c>
      <c r="N2509" s="391"/>
      <c r="O2509" s="473">
        <v>11523</v>
      </c>
      <c r="P2509" s="391"/>
      <c r="Q2509" s="388">
        <v>21333.8</v>
      </c>
      <c r="R2509" s="446">
        <f>M2509/J2509</f>
        <v>25000</v>
      </c>
      <c r="S2509" s="383">
        <f>L2509-M2509-N2509-O2509-P2509-Q2509</f>
        <v>4.7293724492192268E-11</v>
      </c>
      <c r="U2509" s="405"/>
      <c r="V2509" s="390"/>
      <c r="Z2509" s="416">
        <v>1</v>
      </c>
      <c r="AA2509" s="998">
        <f>J2509</f>
        <v>22</v>
      </c>
    </row>
    <row r="2510" spans="1:27" s="403" customFormat="1" ht="42.75" customHeight="1">
      <c r="A2510" s="1112" t="s">
        <v>88</v>
      </c>
      <c r="B2510" s="1112"/>
      <c r="C2510" s="455" t="s">
        <v>28</v>
      </c>
      <c r="D2510" s="641">
        <f>SUM(D2507:D2509)</f>
        <v>14075</v>
      </c>
      <c r="E2510" s="388">
        <f>SUM(E2507:E2509)</f>
        <v>958.75</v>
      </c>
      <c r="F2510" s="388" t="s">
        <v>28</v>
      </c>
      <c r="G2510" s="388">
        <f>SUM(G2507:G2509)</f>
        <v>2014.5</v>
      </c>
      <c r="H2510" s="446" t="s">
        <v>28</v>
      </c>
      <c r="I2510" s="446" t="s">
        <v>28</v>
      </c>
      <c r="J2510" s="446">
        <f>SUM(J2507:J2509)</f>
        <v>54</v>
      </c>
      <c r="K2510" s="458" t="s">
        <v>28</v>
      </c>
      <c r="L2510" s="519">
        <f>SUM(L2507:L2509)</f>
        <v>1428043.94</v>
      </c>
      <c r="M2510" s="519">
        <f>SUM(M2507:M2509)</f>
        <v>1350000</v>
      </c>
      <c r="N2510" s="388"/>
      <c r="O2510" s="473">
        <f>SUM(O2507:O2509)</f>
        <v>34450</v>
      </c>
      <c r="P2510" s="388"/>
      <c r="Q2510" s="388">
        <f>SUM(Q2507:Q2509)</f>
        <v>43593.94</v>
      </c>
      <c r="R2510" s="446" t="s">
        <v>28</v>
      </c>
      <c r="T2510" s="393"/>
      <c r="U2510" s="404"/>
      <c r="V2510" s="390"/>
    </row>
    <row r="2511" spans="1:27" s="403" customFormat="1" ht="42.75" customHeight="1">
      <c r="A2511" s="1113" t="s">
        <v>89</v>
      </c>
      <c r="B2511" s="1113"/>
      <c r="C2511" s="1113"/>
      <c r="D2511" s="1113"/>
      <c r="E2511" s="1113"/>
      <c r="F2511" s="1113"/>
      <c r="G2511" s="1113"/>
      <c r="H2511" s="1113"/>
      <c r="I2511" s="1113"/>
      <c r="J2511" s="1113"/>
      <c r="K2511" s="1113"/>
      <c r="L2511" s="1113"/>
      <c r="M2511" s="1113"/>
      <c r="N2511" s="1113"/>
      <c r="O2511" s="1113"/>
      <c r="P2511" s="1113"/>
      <c r="Q2511" s="1113"/>
      <c r="R2511" s="458"/>
      <c r="T2511" s="393"/>
      <c r="U2511" s="404"/>
      <c r="V2511" s="390"/>
    </row>
    <row r="2512" spans="1:27" s="420" customFormat="1" ht="36" customHeight="1">
      <c r="A2512" s="682">
        <v>1</v>
      </c>
      <c r="B2512" s="743" t="s">
        <v>2057</v>
      </c>
      <c r="C2512" s="699" t="s">
        <v>218</v>
      </c>
      <c r="D2512" s="700">
        <v>15996</v>
      </c>
      <c r="E2512" s="651">
        <v>3100.7</v>
      </c>
      <c r="F2512" s="651" t="s">
        <v>234</v>
      </c>
      <c r="G2512" s="651">
        <v>1114.7</v>
      </c>
      <c r="H2512" s="732">
        <v>5</v>
      </c>
      <c r="I2512" s="732">
        <v>6</v>
      </c>
      <c r="J2512" s="732">
        <v>90</v>
      </c>
      <c r="K2512" s="697" t="s">
        <v>33</v>
      </c>
      <c r="L2512" s="650">
        <f t="shared" ref="L2512:L2519" si="338">M2512+N2512+O2512+P2512+Q2512</f>
        <v>2271433</v>
      </c>
      <c r="M2512" s="650">
        <v>2229400</v>
      </c>
      <c r="N2512" s="651"/>
      <c r="O2512" s="473">
        <v>22133</v>
      </c>
      <c r="P2512" s="823"/>
      <c r="Q2512" s="388">
        <v>19900</v>
      </c>
      <c r="R2512" s="732">
        <f>M2512/G2512</f>
        <v>2000</v>
      </c>
      <c r="S2512" s="383">
        <f t="shared" ref="S2512:S2519" si="339">L2512-M2512-N2512-O2512-P2512-Q2512</f>
        <v>0</v>
      </c>
      <c r="U2512" s="464"/>
      <c r="V2512" s="390"/>
    </row>
    <row r="2513" spans="1:27" s="420" customFormat="1" ht="36" customHeight="1">
      <c r="A2513" s="697">
        <f t="shared" ref="A2513:A2519" si="340">A2512+1</f>
        <v>2</v>
      </c>
      <c r="B2513" s="743" t="s">
        <v>2058</v>
      </c>
      <c r="C2513" s="699" t="s">
        <v>218</v>
      </c>
      <c r="D2513" s="700">
        <v>15772</v>
      </c>
      <c r="E2513" s="651">
        <v>3063</v>
      </c>
      <c r="F2513" s="646" t="s">
        <v>234</v>
      </c>
      <c r="G2513" s="651">
        <v>1118</v>
      </c>
      <c r="H2513" s="746">
        <v>5</v>
      </c>
      <c r="I2513" s="746">
        <v>6</v>
      </c>
      <c r="J2513" s="746">
        <v>90</v>
      </c>
      <c r="K2513" s="697" t="s">
        <v>33</v>
      </c>
      <c r="L2513" s="519">
        <f t="shared" si="338"/>
        <v>2277953</v>
      </c>
      <c r="M2513" s="519">
        <v>2236000</v>
      </c>
      <c r="N2513" s="388"/>
      <c r="O2513" s="473">
        <v>22053</v>
      </c>
      <c r="P2513" s="388"/>
      <c r="Q2513" s="388">
        <v>19900</v>
      </c>
      <c r="R2513" s="446">
        <f>M2513/G2513</f>
        <v>2000</v>
      </c>
      <c r="S2513" s="383">
        <f t="shared" si="339"/>
        <v>0</v>
      </c>
      <c r="U2513" s="405"/>
      <c r="V2513" s="390"/>
    </row>
    <row r="2514" spans="1:27" s="420" customFormat="1" ht="56.25" customHeight="1">
      <c r="A2514" s="697">
        <f t="shared" si="340"/>
        <v>3</v>
      </c>
      <c r="B2514" s="743" t="s">
        <v>2059</v>
      </c>
      <c r="C2514" s="699" t="s">
        <v>218</v>
      </c>
      <c r="D2514" s="700">
        <v>14254</v>
      </c>
      <c r="E2514" s="651">
        <v>2500</v>
      </c>
      <c r="F2514" s="651" t="s">
        <v>234</v>
      </c>
      <c r="G2514" s="651">
        <v>914.3</v>
      </c>
      <c r="H2514" s="732">
        <v>5</v>
      </c>
      <c r="I2514" s="732">
        <v>4</v>
      </c>
      <c r="J2514" s="732">
        <v>60</v>
      </c>
      <c r="K2514" s="697" t="s">
        <v>238</v>
      </c>
      <c r="L2514" s="650">
        <f t="shared" si="338"/>
        <v>1249442.55</v>
      </c>
      <c r="M2514" s="650">
        <v>1200000</v>
      </c>
      <c r="N2514" s="388"/>
      <c r="O2514" s="473">
        <v>15124</v>
      </c>
      <c r="P2514" s="651"/>
      <c r="Q2514" s="388">
        <v>34318.550000000003</v>
      </c>
      <c r="R2514" s="732">
        <f>M2514/J2514</f>
        <v>20000</v>
      </c>
      <c r="S2514" s="383">
        <f t="shared" si="339"/>
        <v>0</v>
      </c>
      <c r="U2514" s="464"/>
      <c r="V2514" s="390"/>
      <c r="Z2514" s="416">
        <v>1</v>
      </c>
      <c r="AA2514" s="416">
        <f>J2514</f>
        <v>60</v>
      </c>
    </row>
    <row r="2515" spans="1:27" s="420" customFormat="1" ht="75" customHeight="1">
      <c r="A2515" s="697">
        <f t="shared" si="340"/>
        <v>4</v>
      </c>
      <c r="B2515" s="743" t="s">
        <v>2060</v>
      </c>
      <c r="C2515" s="699" t="s">
        <v>218</v>
      </c>
      <c r="D2515" s="700">
        <v>17692</v>
      </c>
      <c r="E2515" s="651">
        <v>3278</v>
      </c>
      <c r="F2515" s="651" t="s">
        <v>234</v>
      </c>
      <c r="G2515" s="651">
        <v>1244</v>
      </c>
      <c r="H2515" s="732">
        <v>5</v>
      </c>
      <c r="I2515" s="732">
        <v>6</v>
      </c>
      <c r="J2515" s="732">
        <v>90</v>
      </c>
      <c r="K2515" s="697" t="s">
        <v>270</v>
      </c>
      <c r="L2515" s="650">
        <f t="shared" si="338"/>
        <v>1585256</v>
      </c>
      <c r="M2515" s="650">
        <v>1530000</v>
      </c>
      <c r="N2515" s="651"/>
      <c r="O2515" s="473">
        <v>15456</v>
      </c>
      <c r="P2515" s="651"/>
      <c r="Q2515" s="388">
        <v>39800</v>
      </c>
      <c r="R2515" s="732">
        <f>M2515/J2515</f>
        <v>17000</v>
      </c>
      <c r="S2515" s="383">
        <f t="shared" si="339"/>
        <v>0</v>
      </c>
      <c r="T2515" s="476"/>
      <c r="U2515" s="405"/>
      <c r="V2515" s="390"/>
      <c r="Z2515" s="416">
        <v>1</v>
      </c>
      <c r="AA2515" s="416">
        <f>J2515</f>
        <v>90</v>
      </c>
    </row>
    <row r="2516" spans="1:27" s="420" customFormat="1" ht="56.25" customHeight="1">
      <c r="A2516" s="697">
        <f t="shared" si="340"/>
        <v>5</v>
      </c>
      <c r="B2516" s="743" t="s">
        <v>2061</v>
      </c>
      <c r="C2516" s="699" t="s">
        <v>222</v>
      </c>
      <c r="D2516" s="700">
        <v>13149</v>
      </c>
      <c r="E2516" s="651">
        <v>2080</v>
      </c>
      <c r="F2516" s="646" t="s">
        <v>223</v>
      </c>
      <c r="G2516" s="651">
        <v>1123</v>
      </c>
      <c r="H2516" s="732">
        <v>5</v>
      </c>
      <c r="I2516" s="732">
        <v>4</v>
      </c>
      <c r="J2516" s="732">
        <v>70</v>
      </c>
      <c r="K2516" s="697" t="s">
        <v>264</v>
      </c>
      <c r="L2516" s="650">
        <f t="shared" si="338"/>
        <v>3517005</v>
      </c>
      <c r="M2516" s="744">
        <v>3470000</v>
      </c>
      <c r="N2516" s="651"/>
      <c r="O2516" s="473">
        <v>17155</v>
      </c>
      <c r="P2516" s="651"/>
      <c r="Q2516" s="388">
        <v>29850</v>
      </c>
      <c r="R2516" s="528">
        <f>M2516/E2516</f>
        <v>1668.2692307692307</v>
      </c>
      <c r="S2516" s="383">
        <f t="shared" si="339"/>
        <v>0</v>
      </c>
      <c r="T2516" s="476"/>
      <c r="U2516" s="405"/>
      <c r="V2516" s="390"/>
    </row>
    <row r="2517" spans="1:27" s="420" customFormat="1" ht="56.25" customHeight="1">
      <c r="A2517" s="697">
        <f t="shared" si="340"/>
        <v>6</v>
      </c>
      <c r="B2517" s="743" t="s">
        <v>2062</v>
      </c>
      <c r="C2517" s="699" t="s">
        <v>222</v>
      </c>
      <c r="D2517" s="700">
        <v>21660</v>
      </c>
      <c r="E2517" s="651">
        <v>3961.2</v>
      </c>
      <c r="F2517" s="646" t="s">
        <v>223</v>
      </c>
      <c r="G2517" s="651">
        <v>2206</v>
      </c>
      <c r="H2517" s="746">
        <v>5</v>
      </c>
      <c r="I2517" s="746">
        <v>6</v>
      </c>
      <c r="J2517" s="746">
        <v>73</v>
      </c>
      <c r="K2517" s="697" t="s">
        <v>263</v>
      </c>
      <c r="L2517" s="650">
        <f t="shared" si="338"/>
        <v>4482623</v>
      </c>
      <c r="M2517" s="645">
        <v>4412000</v>
      </c>
      <c r="N2517" s="646">
        <v>30823</v>
      </c>
      <c r="O2517" s="647"/>
      <c r="P2517" s="646"/>
      <c r="Q2517" s="388">
        <v>39800</v>
      </c>
      <c r="R2517" s="648">
        <f>M2517/G2517</f>
        <v>2000</v>
      </c>
      <c r="S2517" s="383">
        <f t="shared" si="339"/>
        <v>0</v>
      </c>
      <c r="T2517" s="476"/>
      <c r="U2517" s="405"/>
      <c r="V2517" s="390"/>
    </row>
    <row r="2518" spans="1:27" s="420" customFormat="1" ht="56.25" customHeight="1">
      <c r="A2518" s="697">
        <f t="shared" si="340"/>
        <v>7</v>
      </c>
      <c r="B2518" s="743" t="s">
        <v>2063</v>
      </c>
      <c r="C2518" s="699" t="s">
        <v>222</v>
      </c>
      <c r="D2518" s="700">
        <v>3313</v>
      </c>
      <c r="E2518" s="651">
        <v>893</v>
      </c>
      <c r="F2518" s="646" t="s">
        <v>223</v>
      </c>
      <c r="G2518" s="651">
        <v>845</v>
      </c>
      <c r="H2518" s="746">
        <v>2</v>
      </c>
      <c r="I2518" s="746">
        <v>2</v>
      </c>
      <c r="J2518" s="746">
        <v>16</v>
      </c>
      <c r="K2518" s="697" t="s">
        <v>263</v>
      </c>
      <c r="L2518" s="650">
        <f t="shared" si="338"/>
        <v>1738829.88</v>
      </c>
      <c r="M2518" s="645">
        <v>1692535</v>
      </c>
      <c r="N2518" s="646">
        <v>30153</v>
      </c>
      <c r="O2518" s="647"/>
      <c r="P2518" s="646"/>
      <c r="Q2518" s="388">
        <v>16141.88</v>
      </c>
      <c r="R2518" s="648">
        <f>M2518/G2518</f>
        <v>2003</v>
      </c>
      <c r="S2518" s="383">
        <f t="shared" si="339"/>
        <v>-1.1095835361629725E-10</v>
      </c>
      <c r="U2518" s="405"/>
      <c r="V2518" s="390"/>
    </row>
    <row r="2519" spans="1:27" s="420" customFormat="1" ht="56.25" customHeight="1">
      <c r="A2519" s="697">
        <f t="shared" si="340"/>
        <v>8</v>
      </c>
      <c r="B2519" s="743" t="s">
        <v>2064</v>
      </c>
      <c r="C2519" s="699" t="s">
        <v>222</v>
      </c>
      <c r="D2519" s="700">
        <v>4826</v>
      </c>
      <c r="E2519" s="651">
        <v>1408.1</v>
      </c>
      <c r="F2519" s="651" t="s">
        <v>223</v>
      </c>
      <c r="G2519" s="651">
        <v>1200</v>
      </c>
      <c r="H2519" s="746">
        <v>2</v>
      </c>
      <c r="I2519" s="746">
        <v>3</v>
      </c>
      <c r="J2519" s="746">
        <v>24</v>
      </c>
      <c r="K2519" s="697" t="s">
        <v>263</v>
      </c>
      <c r="L2519" s="650">
        <f t="shared" si="338"/>
        <v>2575998.85</v>
      </c>
      <c r="M2519" s="645">
        <v>2520000</v>
      </c>
      <c r="N2519" s="646">
        <v>32486</v>
      </c>
      <c r="O2519" s="647"/>
      <c r="P2519" s="646"/>
      <c r="Q2519" s="388">
        <v>23512.85</v>
      </c>
      <c r="R2519" s="648">
        <f>M2519/G2519</f>
        <v>2100</v>
      </c>
      <c r="S2519" s="383">
        <f t="shared" si="339"/>
        <v>9.4587448984384537E-11</v>
      </c>
      <c r="U2519" s="464"/>
      <c r="V2519" s="390"/>
    </row>
    <row r="2520" spans="1:27" s="403" customFormat="1" ht="42.75" customHeight="1">
      <c r="A2520" s="1112" t="s">
        <v>136</v>
      </c>
      <c r="B2520" s="1112"/>
      <c r="C2520" s="455" t="s">
        <v>28</v>
      </c>
      <c r="D2520" s="641">
        <f>SUM(D2512:D2519)</f>
        <v>106662</v>
      </c>
      <c r="E2520" s="388">
        <f>SUM(E2512:E2519)</f>
        <v>20284</v>
      </c>
      <c r="F2520" s="388" t="s">
        <v>28</v>
      </c>
      <c r="G2520" s="388">
        <f>SUM(G2512:G2519)</f>
        <v>9765</v>
      </c>
      <c r="H2520" s="446" t="s">
        <v>28</v>
      </c>
      <c r="I2520" s="446" t="s">
        <v>28</v>
      </c>
      <c r="J2520" s="446">
        <f>SUM(J2512:J2519)</f>
        <v>513</v>
      </c>
      <c r="K2520" s="397" t="s">
        <v>28</v>
      </c>
      <c r="L2520" s="519">
        <f>SUM(L2512:L2519)</f>
        <v>19698541.280000001</v>
      </c>
      <c r="M2520" s="519">
        <f>SUM(M2512:M2519)</f>
        <v>19289935</v>
      </c>
      <c r="N2520" s="388">
        <f>SUM(N2512:N2519)</f>
        <v>93462</v>
      </c>
      <c r="O2520" s="473">
        <f>SUM(O2512:O2519)</f>
        <v>91921</v>
      </c>
      <c r="P2520" s="388"/>
      <c r="Q2520" s="388">
        <f>SUM(Q2512:Q2519)</f>
        <v>223223.28</v>
      </c>
      <c r="R2520" s="446" t="s">
        <v>28</v>
      </c>
      <c r="T2520" s="393"/>
      <c r="U2520" s="404"/>
      <c r="V2520" s="390"/>
    </row>
    <row r="2521" spans="1:27" s="403" customFormat="1" ht="37.5" customHeight="1">
      <c r="A2521" s="1136" t="s">
        <v>161</v>
      </c>
      <c r="B2521" s="1136"/>
      <c r="C2521" s="1136"/>
      <c r="D2521" s="1136"/>
      <c r="E2521" s="1136"/>
      <c r="F2521" s="1136"/>
      <c r="G2521" s="1136"/>
      <c r="H2521" s="1136"/>
      <c r="I2521" s="1136"/>
      <c r="J2521" s="1136"/>
      <c r="K2521" s="1136"/>
      <c r="L2521" s="1136"/>
      <c r="M2521" s="1136"/>
      <c r="N2521" s="1136"/>
      <c r="O2521" s="1136"/>
      <c r="P2521" s="1136"/>
      <c r="Q2521" s="1136"/>
      <c r="R2521" s="377"/>
      <c r="S2521" s="383">
        <f>L2521-M2521-N2521-O2521-P2521-Q2521</f>
        <v>0</v>
      </c>
      <c r="T2521" s="387"/>
      <c r="U2521" s="404"/>
      <c r="V2521" s="390"/>
    </row>
    <row r="2522" spans="1:27" s="403" customFormat="1" ht="36" customHeight="1">
      <c r="A2522" s="1123" t="s">
        <v>162</v>
      </c>
      <c r="B2522" s="1123"/>
      <c r="C2522" s="446" t="s">
        <v>28</v>
      </c>
      <c r="D2522" s="388">
        <f>D2550+D2627+D2644+D2759+D2772+D2776+D2780+D2786+D2794+D2825+D2830+D2833+D2836+D2875+D2880+D2884+D2887+D2911+D2919+D2930+D2953+D2957+D2963</f>
        <v>5445483.8746026447</v>
      </c>
      <c r="E2522" s="388">
        <f>E2550+E2627+E2644+E2759+E2772+E2776+E2780+E2786+E2794+E2825+E2830+E2833+E2836+E2875+E2880+E2884+E2887+E2911+E2919+E2930+E2953+E2957+E2963</f>
        <v>1059449.0500000003</v>
      </c>
      <c r="F2522" s="383" t="s">
        <v>28</v>
      </c>
      <c r="G2522" s="388">
        <f>G2550+G2627+G2644+G2759+G2772+G2776+G2780+G2786+G2794+G2825+G2830+G2833+G2836+G2875+G2880+G2884+G2887+G2911+G2919+G2930+G2953+G2957+G2963</f>
        <v>409320.66</v>
      </c>
      <c r="H2522" s="382" t="s">
        <v>28</v>
      </c>
      <c r="I2522" s="382" t="s">
        <v>28</v>
      </c>
      <c r="J2522" s="446">
        <f>J2550+J2627+J2644+J2759+J2772+J2776+J2780+J2786+J2794+J2825+J2830+J2833+J2836+J2875+J2880+J2884+J2887+J2911+J2919+J2930+J2953+J2957+J2963</f>
        <v>27613</v>
      </c>
      <c r="K2522" s="458" t="s">
        <v>28</v>
      </c>
      <c r="L2522" s="519">
        <f t="shared" ref="L2522:Q2522" si="341">L2550+L2627+L2644+L2759+L2772+L2776+L2780+L2786+L2794+L2825+L2830+L2833+L2836+L2875+L2880+L2884+L2887+L2911+L2919+L2930+L2953+L2957+L2963</f>
        <v>1226558013.23</v>
      </c>
      <c r="M2522" s="519">
        <f t="shared" si="341"/>
        <v>1204465933.8</v>
      </c>
      <c r="N2522" s="388">
        <f t="shared" si="341"/>
        <v>13578844.199999999</v>
      </c>
      <c r="O2522" s="473">
        <f t="shared" si="341"/>
        <v>3088549.3</v>
      </c>
      <c r="P2522" s="388">
        <f t="shared" si="341"/>
        <v>0</v>
      </c>
      <c r="Q2522" s="388">
        <f t="shared" si="341"/>
        <v>5424685.9299999997</v>
      </c>
      <c r="R2522" s="446" t="s">
        <v>28</v>
      </c>
      <c r="S2522" s="383">
        <f>L2522-M2522-N2522-O2522-P2522-Q2522</f>
        <v>6.7986547946929932E-8</v>
      </c>
      <c r="T2522" s="387" t="e">
        <f>'1.перечень МКД'!#REF!</f>
        <v>#REF!</v>
      </c>
      <c r="U2522" s="390" t="e">
        <f>L2522-T2522</f>
        <v>#REF!</v>
      </c>
      <c r="V2522" s="390"/>
    </row>
    <row r="2523" spans="1:27" s="403" customFormat="1" ht="42.75" customHeight="1">
      <c r="A2523" s="1113" t="s">
        <v>164</v>
      </c>
      <c r="B2523" s="1113"/>
      <c r="C2523" s="1113"/>
      <c r="D2523" s="1113"/>
      <c r="E2523" s="1113"/>
      <c r="F2523" s="1113"/>
      <c r="G2523" s="1113"/>
      <c r="H2523" s="1113"/>
      <c r="I2523" s="1113"/>
      <c r="J2523" s="1113"/>
      <c r="K2523" s="1113"/>
      <c r="L2523" s="1113"/>
      <c r="M2523" s="1113"/>
      <c r="N2523" s="1113"/>
      <c r="O2523" s="1113"/>
      <c r="P2523" s="1113"/>
      <c r="Q2523" s="1113"/>
      <c r="R2523" s="458"/>
      <c r="U2523" s="404"/>
      <c r="V2523" s="390"/>
    </row>
    <row r="2524" spans="1:27" s="403" customFormat="1" ht="37.5" customHeight="1">
      <c r="A2524" s="404">
        <v>1</v>
      </c>
      <c r="B2524" s="705" t="s">
        <v>2079</v>
      </c>
      <c r="C2524" s="455" t="s">
        <v>283</v>
      </c>
      <c r="D2524" s="747">
        <v>15030</v>
      </c>
      <c r="E2524" s="748">
        <v>6292</v>
      </c>
      <c r="F2524" s="748" t="s">
        <v>234</v>
      </c>
      <c r="G2524" s="748">
        <v>437</v>
      </c>
      <c r="H2524" s="676">
        <v>9</v>
      </c>
      <c r="I2524" s="446">
        <v>1</v>
      </c>
      <c r="J2524" s="749">
        <v>58</v>
      </c>
      <c r="K2524" s="750" t="s">
        <v>220</v>
      </c>
      <c r="L2524" s="519">
        <f t="shared" ref="L2524:L2546" si="342">SUM(M2524:Q2524)</f>
        <v>2230480</v>
      </c>
      <c r="M2524" s="751">
        <v>2145480</v>
      </c>
      <c r="N2524" s="752">
        <v>85000</v>
      </c>
      <c r="O2524" s="753"/>
      <c r="P2524" s="752"/>
      <c r="Q2524" s="752"/>
      <c r="R2524" s="528">
        <f>M2524/I2524</f>
        <v>2145480</v>
      </c>
      <c r="S2524" s="383">
        <f t="shared" ref="S2524:S2550" si="343">L2524-M2524-N2524-O2524-P2524-Q2524</f>
        <v>0</v>
      </c>
      <c r="T2524" s="391"/>
      <c r="U2524" s="406"/>
      <c r="V2524" s="390"/>
    </row>
    <row r="2525" spans="1:27" s="403" customFormat="1" ht="37.5" customHeight="1">
      <c r="A2525" s="404">
        <f>A2524+1</f>
        <v>2</v>
      </c>
      <c r="B2525" s="705" t="s">
        <v>2083</v>
      </c>
      <c r="C2525" s="455" t="s">
        <v>218</v>
      </c>
      <c r="D2525" s="747">
        <v>15209</v>
      </c>
      <c r="E2525" s="748">
        <v>3139</v>
      </c>
      <c r="F2525" s="748" t="s">
        <v>234</v>
      </c>
      <c r="G2525" s="748">
        <v>783</v>
      </c>
      <c r="H2525" s="676">
        <v>9</v>
      </c>
      <c r="I2525" s="446">
        <v>2</v>
      </c>
      <c r="J2525" s="749">
        <v>72</v>
      </c>
      <c r="K2525" s="750" t="s">
        <v>220</v>
      </c>
      <c r="L2525" s="519">
        <f t="shared" si="342"/>
        <v>4314050</v>
      </c>
      <c r="M2525" s="751">
        <v>4207800</v>
      </c>
      <c r="N2525" s="752">
        <v>106250</v>
      </c>
      <c r="O2525" s="753"/>
      <c r="P2525" s="752"/>
      <c r="Q2525" s="752"/>
      <c r="R2525" s="528">
        <f>M2525/I2525</f>
        <v>2103900</v>
      </c>
      <c r="S2525" s="383">
        <f t="shared" si="343"/>
        <v>0</v>
      </c>
      <c r="T2525" s="391"/>
      <c r="U2525" s="406"/>
      <c r="V2525" s="390"/>
    </row>
    <row r="2526" spans="1:27" s="403" customFormat="1" ht="59.25" customHeight="1">
      <c r="A2526" s="404">
        <f>A2525+1</f>
        <v>3</v>
      </c>
      <c r="B2526" s="705" t="s">
        <v>3853</v>
      </c>
      <c r="C2526" s="747" t="s">
        <v>3854</v>
      </c>
      <c r="D2526" s="393"/>
      <c r="E2526" s="388">
        <v>7430</v>
      </c>
      <c r="F2526" s="748" t="s">
        <v>3855</v>
      </c>
      <c r="G2526" s="748">
        <v>3900</v>
      </c>
      <c r="H2526" s="676">
        <v>9</v>
      </c>
      <c r="I2526" s="446">
        <v>10</v>
      </c>
      <c r="J2526" s="749">
        <v>313</v>
      </c>
      <c r="K2526" s="750" t="s">
        <v>220</v>
      </c>
      <c r="L2526" s="519">
        <f t="shared" si="342"/>
        <v>6477620</v>
      </c>
      <c r="M2526" s="751">
        <v>6350120</v>
      </c>
      <c r="N2526" s="752">
        <f>85000*1.5</f>
        <v>127500</v>
      </c>
      <c r="O2526" s="753"/>
      <c r="P2526" s="752"/>
      <c r="Q2526" s="752"/>
      <c r="R2526" s="648">
        <f>M2526/3</f>
        <v>2116706.6666666665</v>
      </c>
      <c r="S2526" s="383">
        <f t="shared" si="343"/>
        <v>0</v>
      </c>
      <c r="T2526" s="391"/>
      <c r="U2526" s="477"/>
      <c r="V2526" s="390"/>
    </row>
    <row r="2527" spans="1:27" s="403" customFormat="1" ht="33.75" customHeight="1">
      <c r="A2527" s="404">
        <f t="shared" ref="A2527:A2549" si="344">A2526+1</f>
        <v>4</v>
      </c>
      <c r="B2527" s="705" t="s">
        <v>2065</v>
      </c>
      <c r="C2527" s="455" t="s">
        <v>218</v>
      </c>
      <c r="D2527" s="747">
        <v>31896</v>
      </c>
      <c r="E2527" s="748">
        <v>8114.9</v>
      </c>
      <c r="F2527" s="748" t="s">
        <v>234</v>
      </c>
      <c r="G2527" s="748">
        <v>1582</v>
      </c>
      <c r="H2527" s="676">
        <v>9</v>
      </c>
      <c r="I2527" s="446">
        <v>4</v>
      </c>
      <c r="J2527" s="749">
        <v>158</v>
      </c>
      <c r="K2527" s="750" t="s">
        <v>38</v>
      </c>
      <c r="L2527" s="519">
        <f t="shared" si="342"/>
        <v>13578570</v>
      </c>
      <c r="M2527" s="752">
        <v>13526000</v>
      </c>
      <c r="N2527" s="752"/>
      <c r="O2527" s="753">
        <v>22720</v>
      </c>
      <c r="P2527" s="752"/>
      <c r="Q2527" s="752">
        <v>29850</v>
      </c>
      <c r="R2527" s="528">
        <f>M2527/E2527</f>
        <v>1666.8104351255099</v>
      </c>
      <c r="S2527" s="383">
        <f t="shared" si="343"/>
        <v>0</v>
      </c>
      <c r="T2527" s="391"/>
      <c r="U2527" s="406"/>
      <c r="V2527" s="390"/>
    </row>
    <row r="2528" spans="1:27" s="403" customFormat="1" ht="37.5" customHeight="1">
      <c r="A2528" s="404">
        <f t="shared" si="344"/>
        <v>5</v>
      </c>
      <c r="B2528" s="705" t="s">
        <v>2066</v>
      </c>
      <c r="C2528" s="455" t="s">
        <v>283</v>
      </c>
      <c r="D2528" s="747">
        <v>14073</v>
      </c>
      <c r="E2528" s="748">
        <v>2745</v>
      </c>
      <c r="F2528" s="748" t="s">
        <v>234</v>
      </c>
      <c r="G2528" s="748">
        <v>1194</v>
      </c>
      <c r="H2528" s="676">
        <v>5</v>
      </c>
      <c r="I2528" s="446">
        <v>5</v>
      </c>
      <c r="J2528" s="749">
        <v>55</v>
      </c>
      <c r="K2528" s="750" t="s">
        <v>225</v>
      </c>
      <c r="L2528" s="519">
        <f t="shared" si="342"/>
        <v>1307593.3</v>
      </c>
      <c r="M2528" s="752">
        <v>1261211</v>
      </c>
      <c r="N2528" s="752">
        <v>33172</v>
      </c>
      <c r="O2528" s="753"/>
      <c r="P2528" s="752"/>
      <c r="Q2528" s="752">
        <v>13210.3</v>
      </c>
      <c r="R2528" s="528">
        <f>M2528/J2528</f>
        <v>22931.109090909093</v>
      </c>
      <c r="S2528" s="383">
        <f t="shared" si="343"/>
        <v>4.7293724492192268E-11</v>
      </c>
      <c r="T2528" s="391"/>
      <c r="U2528" s="406"/>
      <c r="V2528" s="390"/>
    </row>
    <row r="2529" spans="1:22" s="403" customFormat="1" ht="41.25" customHeight="1">
      <c r="A2529" s="404">
        <f t="shared" si="344"/>
        <v>6</v>
      </c>
      <c r="B2529" s="705" t="s">
        <v>2067</v>
      </c>
      <c r="C2529" s="455" t="s">
        <v>283</v>
      </c>
      <c r="D2529" s="747">
        <v>38304</v>
      </c>
      <c r="E2529" s="748">
        <v>8927</v>
      </c>
      <c r="F2529" s="748" t="s">
        <v>234</v>
      </c>
      <c r="G2529" s="748">
        <v>2852</v>
      </c>
      <c r="H2529" s="676">
        <v>5</v>
      </c>
      <c r="I2529" s="446">
        <v>13</v>
      </c>
      <c r="J2529" s="749">
        <v>185</v>
      </c>
      <c r="K2529" s="750" t="s">
        <v>33</v>
      </c>
      <c r="L2529" s="519">
        <f t="shared" si="342"/>
        <v>6603971</v>
      </c>
      <c r="M2529" s="751">
        <v>6559600</v>
      </c>
      <c r="N2529" s="752"/>
      <c r="O2529" s="753">
        <v>24471</v>
      </c>
      <c r="P2529" s="752"/>
      <c r="Q2529" s="752">
        <v>19900</v>
      </c>
      <c r="R2529" s="528">
        <f t="shared" ref="R2529:R2536" si="345">M2529/G2529</f>
        <v>2300</v>
      </c>
      <c r="S2529" s="383">
        <f t="shared" si="343"/>
        <v>0</v>
      </c>
      <c r="T2529" s="391"/>
      <c r="U2529" s="406"/>
      <c r="V2529" s="390"/>
    </row>
    <row r="2530" spans="1:22" s="403" customFormat="1" ht="41.25" customHeight="1">
      <c r="A2530" s="404">
        <f t="shared" si="344"/>
        <v>7</v>
      </c>
      <c r="B2530" s="705" t="s">
        <v>2068</v>
      </c>
      <c r="C2530" s="455" t="s">
        <v>283</v>
      </c>
      <c r="D2530" s="747">
        <v>11535</v>
      </c>
      <c r="E2530" s="748">
        <v>2517</v>
      </c>
      <c r="F2530" s="748" t="s">
        <v>234</v>
      </c>
      <c r="G2530" s="748">
        <v>960</v>
      </c>
      <c r="H2530" s="676">
        <v>5</v>
      </c>
      <c r="I2530" s="446">
        <v>2</v>
      </c>
      <c r="J2530" s="749">
        <v>120</v>
      </c>
      <c r="K2530" s="750" t="s">
        <v>33</v>
      </c>
      <c r="L2530" s="519">
        <f t="shared" si="342"/>
        <v>1987379</v>
      </c>
      <c r="M2530" s="751">
        <v>1945660</v>
      </c>
      <c r="N2530" s="752"/>
      <c r="O2530" s="753">
        <v>21819</v>
      </c>
      <c r="P2530" s="752"/>
      <c r="Q2530" s="752">
        <v>19900</v>
      </c>
      <c r="R2530" s="528">
        <f t="shared" si="345"/>
        <v>2026.7291666666667</v>
      </c>
      <c r="S2530" s="383">
        <f t="shared" si="343"/>
        <v>0</v>
      </c>
      <c r="T2530" s="391"/>
      <c r="U2530" s="406"/>
      <c r="V2530" s="390"/>
    </row>
    <row r="2531" spans="1:22" s="403" customFormat="1" ht="37.5" customHeight="1">
      <c r="A2531" s="404">
        <f t="shared" si="344"/>
        <v>8</v>
      </c>
      <c r="B2531" s="705" t="s">
        <v>2069</v>
      </c>
      <c r="C2531" s="455" t="s">
        <v>283</v>
      </c>
      <c r="D2531" s="747">
        <v>5027</v>
      </c>
      <c r="E2531" s="748">
        <v>1149</v>
      </c>
      <c r="F2531" s="748" t="s">
        <v>231</v>
      </c>
      <c r="G2531" s="748">
        <v>573</v>
      </c>
      <c r="H2531" s="676">
        <v>4</v>
      </c>
      <c r="I2531" s="446">
        <v>2</v>
      </c>
      <c r="J2531" s="749">
        <v>32</v>
      </c>
      <c r="K2531" s="750" t="s">
        <v>33</v>
      </c>
      <c r="L2531" s="519">
        <f t="shared" si="342"/>
        <v>1612778.63</v>
      </c>
      <c r="M2531" s="751">
        <v>1566191</v>
      </c>
      <c r="N2531" s="752">
        <v>22095</v>
      </c>
      <c r="O2531" s="753"/>
      <c r="P2531" s="752"/>
      <c r="Q2531" s="752">
        <v>24492.63</v>
      </c>
      <c r="R2531" s="528">
        <f t="shared" si="345"/>
        <v>2733.3176265270508</v>
      </c>
      <c r="S2531" s="383">
        <f t="shared" si="343"/>
        <v>-1.127773430198431E-10</v>
      </c>
      <c r="T2531" s="391"/>
      <c r="U2531" s="406"/>
      <c r="V2531" s="390"/>
    </row>
    <row r="2532" spans="1:22" s="403" customFormat="1" ht="37.5" customHeight="1">
      <c r="A2532" s="404">
        <f t="shared" si="344"/>
        <v>9</v>
      </c>
      <c r="B2532" s="705" t="s">
        <v>2070</v>
      </c>
      <c r="C2532" s="455" t="s">
        <v>283</v>
      </c>
      <c r="D2532" s="747">
        <v>5683</v>
      </c>
      <c r="E2532" s="748">
        <v>1214</v>
      </c>
      <c r="F2532" s="748" t="s">
        <v>231</v>
      </c>
      <c r="G2532" s="748">
        <v>885</v>
      </c>
      <c r="H2532" s="676">
        <v>3</v>
      </c>
      <c r="I2532" s="446">
        <v>3</v>
      </c>
      <c r="J2532" s="749">
        <v>31</v>
      </c>
      <c r="K2532" s="750" t="s">
        <v>33</v>
      </c>
      <c r="L2532" s="519">
        <f t="shared" si="342"/>
        <v>2592579.81</v>
      </c>
      <c r="M2532" s="751">
        <v>2535689</v>
      </c>
      <c r="N2532" s="752">
        <v>29202</v>
      </c>
      <c r="O2532" s="753"/>
      <c r="P2532" s="752"/>
      <c r="Q2532" s="752">
        <v>27688.81</v>
      </c>
      <c r="R2532" s="528">
        <f t="shared" si="345"/>
        <v>2865.1853107344632</v>
      </c>
      <c r="S2532" s="383">
        <f t="shared" si="343"/>
        <v>5.4569682106375694E-11</v>
      </c>
      <c r="T2532" s="391"/>
      <c r="U2532" s="406"/>
      <c r="V2532" s="390"/>
    </row>
    <row r="2533" spans="1:22" s="403" customFormat="1" ht="37.5" customHeight="1">
      <c r="A2533" s="404">
        <f t="shared" si="344"/>
        <v>10</v>
      </c>
      <c r="B2533" s="705" t="s">
        <v>2071</v>
      </c>
      <c r="C2533" s="455" t="s">
        <v>283</v>
      </c>
      <c r="D2533" s="747">
        <v>5038</v>
      </c>
      <c r="E2533" s="748">
        <v>1227</v>
      </c>
      <c r="F2533" s="748" t="s">
        <v>231</v>
      </c>
      <c r="G2533" s="748">
        <v>571</v>
      </c>
      <c r="H2533" s="676">
        <v>4</v>
      </c>
      <c r="I2533" s="446">
        <v>2</v>
      </c>
      <c r="J2533" s="749">
        <v>30</v>
      </c>
      <c r="K2533" s="750" t="s">
        <v>33</v>
      </c>
      <c r="L2533" s="519">
        <f t="shared" si="342"/>
        <v>1681960.69</v>
      </c>
      <c r="M2533" s="751">
        <v>1644333</v>
      </c>
      <c r="N2533" s="752">
        <v>22095</v>
      </c>
      <c r="O2533" s="753"/>
      <c r="P2533" s="752"/>
      <c r="Q2533" s="752">
        <v>15532.69</v>
      </c>
      <c r="R2533" s="528">
        <f t="shared" si="345"/>
        <v>2879.7425569176885</v>
      </c>
      <c r="S2533" s="383">
        <f t="shared" si="343"/>
        <v>-5.6388671509921551E-11</v>
      </c>
      <c r="T2533" s="391"/>
      <c r="U2533" s="406"/>
      <c r="V2533" s="390"/>
    </row>
    <row r="2534" spans="1:22" s="403" customFormat="1" ht="37.5" customHeight="1">
      <c r="A2534" s="404">
        <f t="shared" si="344"/>
        <v>11</v>
      </c>
      <c r="B2534" s="705" t="s">
        <v>2072</v>
      </c>
      <c r="C2534" s="455" t="s">
        <v>283</v>
      </c>
      <c r="D2534" s="747">
        <v>19547</v>
      </c>
      <c r="E2534" s="748">
        <v>2403</v>
      </c>
      <c r="F2534" s="748" t="s">
        <v>231</v>
      </c>
      <c r="G2534" s="748">
        <v>1059</v>
      </c>
      <c r="H2534" s="676">
        <v>5</v>
      </c>
      <c r="I2534" s="446">
        <v>4</v>
      </c>
      <c r="J2534" s="749">
        <v>64</v>
      </c>
      <c r="K2534" s="750" t="s">
        <v>33</v>
      </c>
      <c r="L2534" s="519">
        <f t="shared" si="342"/>
        <v>3109658</v>
      </c>
      <c r="M2534" s="751">
        <v>3040000</v>
      </c>
      <c r="N2534" s="752">
        <v>29858</v>
      </c>
      <c r="O2534" s="753"/>
      <c r="P2534" s="752"/>
      <c r="Q2534" s="752">
        <v>39800</v>
      </c>
      <c r="R2534" s="528">
        <f t="shared" si="345"/>
        <v>2870.6326723323891</v>
      </c>
      <c r="S2534" s="383">
        <f t="shared" si="343"/>
        <v>0</v>
      </c>
      <c r="T2534" s="391"/>
      <c r="U2534" s="406"/>
      <c r="V2534" s="390"/>
    </row>
    <row r="2535" spans="1:22" s="403" customFormat="1" ht="39.75" customHeight="1">
      <c r="A2535" s="404">
        <f t="shared" si="344"/>
        <v>12</v>
      </c>
      <c r="B2535" s="705" t="s">
        <v>2073</v>
      </c>
      <c r="C2535" s="455" t="s">
        <v>283</v>
      </c>
      <c r="D2535" s="747">
        <v>12972</v>
      </c>
      <c r="E2535" s="748">
        <v>2674</v>
      </c>
      <c r="F2535" s="748" t="s">
        <v>234</v>
      </c>
      <c r="G2535" s="748">
        <v>971</v>
      </c>
      <c r="H2535" s="676">
        <v>5</v>
      </c>
      <c r="I2535" s="446">
        <v>2</v>
      </c>
      <c r="J2535" s="749">
        <v>69</v>
      </c>
      <c r="K2535" s="750" t="s">
        <v>33</v>
      </c>
      <c r="L2535" s="519">
        <f t="shared" si="342"/>
        <v>2009334</v>
      </c>
      <c r="M2535" s="751">
        <v>1967726</v>
      </c>
      <c r="N2535" s="752"/>
      <c r="O2535" s="753">
        <v>21708</v>
      </c>
      <c r="P2535" s="752"/>
      <c r="Q2535" s="752">
        <v>19900</v>
      </c>
      <c r="R2535" s="528">
        <f t="shared" si="345"/>
        <v>2026.4943357363543</v>
      </c>
      <c r="S2535" s="383">
        <f t="shared" si="343"/>
        <v>0</v>
      </c>
      <c r="T2535" s="391"/>
      <c r="U2535" s="406"/>
      <c r="V2535" s="390"/>
    </row>
    <row r="2536" spans="1:22" s="403" customFormat="1" ht="37.5" customHeight="1">
      <c r="A2536" s="404">
        <f t="shared" si="344"/>
        <v>13</v>
      </c>
      <c r="B2536" s="705" t="s">
        <v>2074</v>
      </c>
      <c r="C2536" s="455" t="s">
        <v>283</v>
      </c>
      <c r="D2536" s="747">
        <v>12967</v>
      </c>
      <c r="E2536" s="748">
        <v>2517</v>
      </c>
      <c r="F2536" s="748" t="s">
        <v>231</v>
      </c>
      <c r="G2536" s="748">
        <v>1144</v>
      </c>
      <c r="H2536" s="676">
        <v>5</v>
      </c>
      <c r="I2536" s="446">
        <v>4</v>
      </c>
      <c r="J2536" s="749">
        <v>68</v>
      </c>
      <c r="K2536" s="750" t="s">
        <v>33</v>
      </c>
      <c r="L2536" s="519">
        <f t="shared" si="342"/>
        <v>3345821</v>
      </c>
      <c r="M2536" s="751">
        <v>3278000</v>
      </c>
      <c r="N2536" s="752">
        <v>28021</v>
      </c>
      <c r="O2536" s="753"/>
      <c r="P2536" s="752"/>
      <c r="Q2536" s="752">
        <v>39800</v>
      </c>
      <c r="R2536" s="528">
        <f t="shared" si="345"/>
        <v>2865.3846153846152</v>
      </c>
      <c r="S2536" s="383">
        <f t="shared" si="343"/>
        <v>0</v>
      </c>
      <c r="T2536" s="391"/>
      <c r="U2536" s="406"/>
      <c r="V2536" s="390"/>
    </row>
    <row r="2537" spans="1:22" s="403" customFormat="1" ht="37.5" customHeight="1">
      <c r="A2537" s="404">
        <f t="shared" si="344"/>
        <v>14</v>
      </c>
      <c r="B2537" s="705" t="s">
        <v>2075</v>
      </c>
      <c r="C2537" s="455" t="s">
        <v>283</v>
      </c>
      <c r="D2537" s="747">
        <v>15404</v>
      </c>
      <c r="E2537" s="748">
        <v>2547</v>
      </c>
      <c r="F2537" s="748" t="s">
        <v>231</v>
      </c>
      <c r="G2537" s="748">
        <v>1146</v>
      </c>
      <c r="H2537" s="676">
        <v>5</v>
      </c>
      <c r="I2537" s="446">
        <v>4</v>
      </c>
      <c r="J2537" s="749">
        <v>70</v>
      </c>
      <c r="K2537" s="750" t="s">
        <v>225</v>
      </c>
      <c r="L2537" s="519">
        <f t="shared" si="342"/>
        <v>1096258.47</v>
      </c>
      <c r="M2537" s="751">
        <v>1050000</v>
      </c>
      <c r="N2537" s="752">
        <v>33909</v>
      </c>
      <c r="O2537" s="753"/>
      <c r="P2537" s="752"/>
      <c r="Q2537" s="752">
        <v>12349.47</v>
      </c>
      <c r="R2537" s="528">
        <f>M2537/J2537</f>
        <v>15000</v>
      </c>
      <c r="S2537" s="383">
        <f t="shared" si="343"/>
        <v>-2.7284841053187847E-11</v>
      </c>
      <c r="T2537" s="391"/>
      <c r="U2537" s="406"/>
      <c r="V2537" s="390"/>
    </row>
    <row r="2538" spans="1:22" s="403" customFormat="1" ht="37.5" customHeight="1">
      <c r="A2538" s="404">
        <f t="shared" si="344"/>
        <v>15</v>
      </c>
      <c r="B2538" s="705" t="s">
        <v>2076</v>
      </c>
      <c r="C2538" s="455" t="s">
        <v>283</v>
      </c>
      <c r="D2538" s="747">
        <v>12319</v>
      </c>
      <c r="E2538" s="748">
        <v>2239</v>
      </c>
      <c r="F2538" s="748" t="s">
        <v>223</v>
      </c>
      <c r="G2538" s="748">
        <v>975</v>
      </c>
      <c r="H2538" s="676">
        <v>5</v>
      </c>
      <c r="I2538" s="446">
        <v>4</v>
      </c>
      <c r="J2538" s="749">
        <v>66</v>
      </c>
      <c r="K2538" s="750" t="s">
        <v>33</v>
      </c>
      <c r="L2538" s="519">
        <f t="shared" si="342"/>
        <v>2795692.79</v>
      </c>
      <c r="M2538" s="751">
        <v>2730000</v>
      </c>
      <c r="N2538" s="752">
        <v>27712</v>
      </c>
      <c r="O2538" s="753"/>
      <c r="P2538" s="752"/>
      <c r="Q2538" s="752">
        <v>37980.79</v>
      </c>
      <c r="R2538" s="528">
        <f t="shared" ref="R2538:R2543" si="346">M2538/G2538</f>
        <v>2800</v>
      </c>
      <c r="S2538" s="383">
        <f t="shared" si="343"/>
        <v>0</v>
      </c>
      <c r="T2538" s="391"/>
      <c r="U2538" s="406"/>
      <c r="V2538" s="390"/>
    </row>
    <row r="2539" spans="1:22" s="403" customFormat="1" ht="37.5" customHeight="1">
      <c r="A2539" s="404">
        <f t="shared" si="344"/>
        <v>16</v>
      </c>
      <c r="B2539" s="705" t="s">
        <v>2077</v>
      </c>
      <c r="C2539" s="455" t="s">
        <v>283</v>
      </c>
      <c r="D2539" s="747">
        <v>12787</v>
      </c>
      <c r="E2539" s="748">
        <v>2314</v>
      </c>
      <c r="F2539" s="748" t="s">
        <v>231</v>
      </c>
      <c r="G2539" s="748">
        <v>1124</v>
      </c>
      <c r="H2539" s="676">
        <v>5</v>
      </c>
      <c r="I2539" s="446">
        <v>3</v>
      </c>
      <c r="J2539" s="749">
        <v>159</v>
      </c>
      <c r="K2539" s="750" t="s">
        <v>33</v>
      </c>
      <c r="L2539" s="519">
        <f t="shared" si="342"/>
        <v>3288982.68</v>
      </c>
      <c r="M2539" s="751">
        <v>3221624</v>
      </c>
      <c r="N2539" s="752">
        <v>27935</v>
      </c>
      <c r="O2539" s="753"/>
      <c r="P2539" s="752"/>
      <c r="Q2539" s="752">
        <v>39423.68</v>
      </c>
      <c r="R2539" s="528">
        <f t="shared" si="346"/>
        <v>2866.2135231316724</v>
      </c>
      <c r="S2539" s="383">
        <f t="shared" si="343"/>
        <v>1.673470251262188E-10</v>
      </c>
      <c r="T2539" s="391"/>
      <c r="U2539" s="406"/>
      <c r="V2539" s="390"/>
    </row>
    <row r="2540" spans="1:22" s="403" customFormat="1" ht="37.5" customHeight="1">
      <c r="A2540" s="404">
        <f t="shared" si="344"/>
        <v>17</v>
      </c>
      <c r="B2540" s="705" t="s">
        <v>2078</v>
      </c>
      <c r="C2540" s="455" t="s">
        <v>283</v>
      </c>
      <c r="D2540" s="747">
        <v>24691</v>
      </c>
      <c r="E2540" s="748">
        <v>3559</v>
      </c>
      <c r="F2540" s="748" t="s">
        <v>231</v>
      </c>
      <c r="G2540" s="748">
        <v>1775</v>
      </c>
      <c r="H2540" s="676">
        <v>5</v>
      </c>
      <c r="I2540" s="446">
        <v>6</v>
      </c>
      <c r="J2540" s="749">
        <v>96</v>
      </c>
      <c r="K2540" s="750" t="s">
        <v>33</v>
      </c>
      <c r="L2540" s="519">
        <f t="shared" si="342"/>
        <v>5119807</v>
      </c>
      <c r="M2540" s="751">
        <v>5047800</v>
      </c>
      <c r="N2540" s="752">
        <v>32207</v>
      </c>
      <c r="O2540" s="753"/>
      <c r="P2540" s="752"/>
      <c r="Q2540" s="752">
        <v>39800</v>
      </c>
      <c r="R2540" s="528">
        <f t="shared" si="346"/>
        <v>2843.8309859154929</v>
      </c>
      <c r="S2540" s="383">
        <f t="shared" si="343"/>
        <v>0</v>
      </c>
      <c r="T2540" s="391"/>
      <c r="U2540" s="406"/>
      <c r="V2540" s="390"/>
    </row>
    <row r="2541" spans="1:22" s="403" customFormat="1" ht="37.5" customHeight="1">
      <c r="A2541" s="404">
        <f t="shared" si="344"/>
        <v>18</v>
      </c>
      <c r="B2541" s="705" t="s">
        <v>2082</v>
      </c>
      <c r="C2541" s="455" t="s">
        <v>283</v>
      </c>
      <c r="D2541" s="747">
        <v>47162</v>
      </c>
      <c r="E2541" s="748">
        <v>7968</v>
      </c>
      <c r="F2541" s="748" t="s">
        <v>234</v>
      </c>
      <c r="G2541" s="748">
        <v>2930</v>
      </c>
      <c r="H2541" s="676">
        <v>5</v>
      </c>
      <c r="I2541" s="446">
        <v>12</v>
      </c>
      <c r="J2541" s="749">
        <v>165</v>
      </c>
      <c r="K2541" s="750" t="s">
        <v>33</v>
      </c>
      <c r="L2541" s="519">
        <f t="shared" si="342"/>
        <v>6784907</v>
      </c>
      <c r="M2541" s="751">
        <v>6739000</v>
      </c>
      <c r="N2541" s="752"/>
      <c r="O2541" s="753">
        <v>26007</v>
      </c>
      <c r="P2541" s="752"/>
      <c r="Q2541" s="752">
        <v>19900</v>
      </c>
      <c r="R2541" s="528">
        <f t="shared" si="346"/>
        <v>2300</v>
      </c>
      <c r="S2541" s="383">
        <f t="shared" si="343"/>
        <v>0</v>
      </c>
      <c r="T2541" s="391"/>
      <c r="U2541" s="406"/>
      <c r="V2541" s="390"/>
    </row>
    <row r="2542" spans="1:22" s="403" customFormat="1" ht="37.5" customHeight="1">
      <c r="A2542" s="404">
        <f t="shared" si="344"/>
        <v>19</v>
      </c>
      <c r="B2542" s="705" t="s">
        <v>2084</v>
      </c>
      <c r="C2542" s="455" t="s">
        <v>283</v>
      </c>
      <c r="D2542" s="747">
        <v>20926</v>
      </c>
      <c r="E2542" s="748">
        <v>3191</v>
      </c>
      <c r="F2542" s="748" t="s">
        <v>234</v>
      </c>
      <c r="G2542" s="748">
        <v>1572</v>
      </c>
      <c r="H2542" s="676">
        <v>5</v>
      </c>
      <c r="I2542" s="446">
        <v>6</v>
      </c>
      <c r="J2542" s="749">
        <v>79</v>
      </c>
      <c r="K2542" s="750" t="s">
        <v>33</v>
      </c>
      <c r="L2542" s="519">
        <f t="shared" si="342"/>
        <v>3947104</v>
      </c>
      <c r="M2542" s="751">
        <v>3904800</v>
      </c>
      <c r="N2542" s="752"/>
      <c r="O2542" s="753">
        <v>22404</v>
      </c>
      <c r="P2542" s="752"/>
      <c r="Q2542" s="752">
        <v>19900</v>
      </c>
      <c r="R2542" s="528">
        <f t="shared" si="346"/>
        <v>2483.969465648855</v>
      </c>
      <c r="S2542" s="383">
        <f t="shared" si="343"/>
        <v>0</v>
      </c>
      <c r="T2542" s="391"/>
      <c r="U2542" s="406"/>
      <c r="V2542" s="390"/>
    </row>
    <row r="2543" spans="1:22" s="403" customFormat="1" ht="37.5" customHeight="1">
      <c r="A2543" s="404">
        <f t="shared" si="344"/>
        <v>20</v>
      </c>
      <c r="B2543" s="705" t="s">
        <v>2086</v>
      </c>
      <c r="C2543" s="455" t="s">
        <v>283</v>
      </c>
      <c r="D2543" s="747">
        <v>4238</v>
      </c>
      <c r="E2543" s="748">
        <v>718</v>
      </c>
      <c r="F2543" s="748" t="s">
        <v>231</v>
      </c>
      <c r="G2543" s="748">
        <v>888</v>
      </c>
      <c r="H2543" s="676">
        <v>2</v>
      </c>
      <c r="I2543" s="446">
        <v>3</v>
      </c>
      <c r="J2543" s="749">
        <v>18</v>
      </c>
      <c r="K2543" s="750" t="s">
        <v>33</v>
      </c>
      <c r="L2543" s="519">
        <f t="shared" si="342"/>
        <v>2587677.4500000002</v>
      </c>
      <c r="M2543" s="751">
        <v>2535049</v>
      </c>
      <c r="N2543" s="752">
        <v>31980</v>
      </c>
      <c r="O2543" s="753"/>
      <c r="P2543" s="752"/>
      <c r="Q2543" s="752">
        <v>20648.45</v>
      </c>
      <c r="R2543" s="528">
        <f t="shared" si="346"/>
        <v>2854.7849099099099</v>
      </c>
      <c r="S2543" s="383">
        <f t="shared" si="343"/>
        <v>1.8553691916167736E-10</v>
      </c>
      <c r="T2543" s="391"/>
      <c r="U2543" s="406"/>
      <c r="V2543" s="390"/>
    </row>
    <row r="2544" spans="1:22" s="403" customFormat="1" ht="37.5" customHeight="1">
      <c r="A2544" s="404">
        <f t="shared" si="344"/>
        <v>21</v>
      </c>
      <c r="B2544" s="705" t="s">
        <v>2087</v>
      </c>
      <c r="C2544" s="455" t="s">
        <v>283</v>
      </c>
      <c r="D2544" s="747">
        <v>4019</v>
      </c>
      <c r="E2544" s="748">
        <v>998</v>
      </c>
      <c r="F2544" s="748" t="s">
        <v>234</v>
      </c>
      <c r="G2544" s="748">
        <v>787</v>
      </c>
      <c r="H2544" s="676">
        <v>2</v>
      </c>
      <c r="I2544" s="446">
        <v>3</v>
      </c>
      <c r="J2544" s="749">
        <v>18</v>
      </c>
      <c r="K2544" s="750" t="s">
        <v>38</v>
      </c>
      <c r="L2544" s="519">
        <f t="shared" si="342"/>
        <v>1672719.41</v>
      </c>
      <c r="M2544" s="751">
        <v>1634596</v>
      </c>
      <c r="N2544" s="752"/>
      <c r="O2544" s="753">
        <v>12622</v>
      </c>
      <c r="P2544" s="752"/>
      <c r="Q2544" s="752">
        <v>25501.41</v>
      </c>
      <c r="R2544" s="528">
        <f>M2544/E2544</f>
        <v>1637.8717434869739</v>
      </c>
      <c r="S2544" s="383">
        <f t="shared" si="343"/>
        <v>-8.3673512563109398E-11</v>
      </c>
      <c r="T2544" s="391"/>
      <c r="U2544" s="406"/>
      <c r="V2544" s="390"/>
    </row>
    <row r="2545" spans="1:23" s="403" customFormat="1" ht="38.25" customHeight="1">
      <c r="A2545" s="404">
        <f t="shared" si="344"/>
        <v>22</v>
      </c>
      <c r="B2545" s="705" t="s">
        <v>3851</v>
      </c>
      <c r="C2545" s="455" t="s">
        <v>230</v>
      </c>
      <c r="D2545" s="747"/>
      <c r="E2545" s="748">
        <v>645</v>
      </c>
      <c r="F2545" s="748" t="s">
        <v>223</v>
      </c>
      <c r="G2545" s="748">
        <v>474</v>
      </c>
      <c r="H2545" s="676">
        <v>2</v>
      </c>
      <c r="I2545" s="446">
        <v>1</v>
      </c>
      <c r="J2545" s="749">
        <v>8</v>
      </c>
      <c r="K2545" s="750" t="s">
        <v>33</v>
      </c>
      <c r="L2545" s="519">
        <f t="shared" si="342"/>
        <v>1663324</v>
      </c>
      <c r="M2545" s="751">
        <v>1634596</v>
      </c>
      <c r="N2545" s="752">
        <v>28728</v>
      </c>
      <c r="O2545" s="753"/>
      <c r="P2545" s="752"/>
      <c r="Q2545" s="752"/>
      <c r="R2545" s="648">
        <f>M2545/G2545</f>
        <v>3448.5147679324896</v>
      </c>
      <c r="S2545" s="383">
        <f t="shared" si="343"/>
        <v>0</v>
      </c>
      <c r="T2545" s="391"/>
      <c r="U2545" s="477"/>
      <c r="V2545" s="390"/>
    </row>
    <row r="2546" spans="1:23" s="403" customFormat="1" ht="38.25" customHeight="1">
      <c r="A2546" s="404">
        <f t="shared" si="344"/>
        <v>23</v>
      </c>
      <c r="B2546" s="705" t="s">
        <v>3852</v>
      </c>
      <c r="C2546" s="455" t="s">
        <v>283</v>
      </c>
      <c r="D2546" s="747"/>
      <c r="E2546" s="748">
        <v>3276</v>
      </c>
      <c r="F2546" s="748" t="s">
        <v>223</v>
      </c>
      <c r="G2546" s="748">
        <v>1156</v>
      </c>
      <c r="H2546" s="676">
        <v>5</v>
      </c>
      <c r="I2546" s="446">
        <v>4</v>
      </c>
      <c r="J2546" s="749">
        <v>70</v>
      </c>
      <c r="K2546" s="750" t="s">
        <v>33</v>
      </c>
      <c r="L2546" s="519">
        <f t="shared" si="342"/>
        <v>3545760</v>
      </c>
      <c r="M2546" s="751">
        <v>3518000</v>
      </c>
      <c r="N2546" s="752">
        <v>27760</v>
      </c>
      <c r="O2546" s="753"/>
      <c r="P2546" s="752"/>
      <c r="Q2546" s="752"/>
      <c r="R2546" s="648">
        <f>M2546/G2546</f>
        <v>3043.2525951557095</v>
      </c>
      <c r="S2546" s="383">
        <f t="shared" si="343"/>
        <v>0</v>
      </c>
      <c r="T2546" s="391"/>
      <c r="U2546" s="477"/>
      <c r="V2546" s="390"/>
    </row>
    <row r="2547" spans="1:23" s="403" customFormat="1" ht="37.5" customHeight="1">
      <c r="A2547" s="404">
        <f t="shared" si="344"/>
        <v>24</v>
      </c>
      <c r="B2547" s="705" t="s">
        <v>1145</v>
      </c>
      <c r="C2547" s="455" t="s">
        <v>283</v>
      </c>
      <c r="D2547" s="747">
        <v>26490</v>
      </c>
      <c r="E2547" s="748">
        <v>10236.900000000001</v>
      </c>
      <c r="F2547" s="748" t="s">
        <v>234</v>
      </c>
      <c r="G2547" s="748">
        <v>1329</v>
      </c>
      <c r="H2547" s="676">
        <v>9</v>
      </c>
      <c r="I2547" s="446">
        <v>2</v>
      </c>
      <c r="J2547" s="749">
        <v>108</v>
      </c>
      <c r="K2547" s="750" t="s">
        <v>38</v>
      </c>
      <c r="L2547" s="650">
        <f>M2547+N2547+O2547+P2547+Q2547</f>
        <v>6978401.04</v>
      </c>
      <c r="M2547" s="751">
        <v>6965474</v>
      </c>
      <c r="N2547" s="752"/>
      <c r="O2547" s="753">
        <v>12927.04</v>
      </c>
      <c r="P2547" s="752"/>
      <c r="Q2547" s="388"/>
      <c r="R2547" s="528">
        <f>M2547/E2547</f>
        <v>680.42805927575716</v>
      </c>
      <c r="S2547" s="383">
        <f>L2547-M2547-N2547-O2547-P2547-Q2547</f>
        <v>3.637978807091713E-11</v>
      </c>
      <c r="T2547" s="391"/>
      <c r="U2547" s="406"/>
      <c r="V2547" s="390"/>
    </row>
    <row r="2548" spans="1:23" s="403" customFormat="1" ht="42" customHeight="1">
      <c r="A2548" s="404">
        <f t="shared" si="344"/>
        <v>25</v>
      </c>
      <c r="B2548" s="705" t="s">
        <v>2081</v>
      </c>
      <c r="C2548" s="455" t="s">
        <v>283</v>
      </c>
      <c r="D2548" s="747">
        <v>21062</v>
      </c>
      <c r="E2548" s="748">
        <v>3720</v>
      </c>
      <c r="F2548" s="748" t="s">
        <v>234</v>
      </c>
      <c r="G2548" s="748">
        <v>1382</v>
      </c>
      <c r="H2548" s="676">
        <v>5</v>
      </c>
      <c r="I2548" s="446">
        <v>5</v>
      </c>
      <c r="J2548" s="749">
        <v>74</v>
      </c>
      <c r="K2548" s="750" t="s">
        <v>225</v>
      </c>
      <c r="L2548" s="519">
        <f>M2548+N2548+O2548+Q2548</f>
        <v>1739939.88</v>
      </c>
      <c r="M2548" s="751">
        <v>1685291</v>
      </c>
      <c r="N2548" s="752">
        <v>35358</v>
      </c>
      <c r="O2548" s="753"/>
      <c r="P2548" s="752"/>
      <c r="Q2548" s="752">
        <v>19290.88</v>
      </c>
      <c r="R2548" s="528"/>
      <c r="S2548" s="383"/>
      <c r="T2548" s="391"/>
      <c r="U2548" s="406"/>
      <c r="V2548" s="390"/>
    </row>
    <row r="2549" spans="1:23" s="403" customFormat="1" ht="42" customHeight="1">
      <c r="A2549" s="404">
        <f t="shared" si="344"/>
        <v>26</v>
      </c>
      <c r="B2549" s="705" t="s">
        <v>2085</v>
      </c>
      <c r="C2549" s="455" t="s">
        <v>283</v>
      </c>
      <c r="D2549" s="747">
        <v>28611</v>
      </c>
      <c r="E2549" s="748">
        <v>5312</v>
      </c>
      <c r="F2549" s="748" t="s">
        <v>234</v>
      </c>
      <c r="G2549" s="748">
        <v>1767</v>
      </c>
      <c r="H2549" s="676">
        <v>5</v>
      </c>
      <c r="I2549" s="446">
        <v>8</v>
      </c>
      <c r="J2549" s="749">
        <v>88</v>
      </c>
      <c r="K2549" s="750" t="s">
        <v>225</v>
      </c>
      <c r="L2549" s="519">
        <f>M2549+N2549+O2549+Q2549</f>
        <v>2040148</v>
      </c>
      <c r="M2549" s="751">
        <v>1980900</v>
      </c>
      <c r="N2549" s="752">
        <v>39348</v>
      </c>
      <c r="O2549" s="753"/>
      <c r="P2549" s="752"/>
      <c r="Q2549" s="752">
        <v>19900</v>
      </c>
      <c r="R2549" s="528"/>
      <c r="S2549" s="383"/>
      <c r="T2549" s="391"/>
      <c r="U2549" s="406"/>
      <c r="V2549" s="390"/>
    </row>
    <row r="2550" spans="1:23" s="403" customFormat="1" ht="42.75" customHeight="1">
      <c r="A2550" s="1112" t="s">
        <v>142</v>
      </c>
      <c r="B2550" s="1112"/>
      <c r="C2550" s="455" t="s">
        <v>28</v>
      </c>
      <c r="D2550" s="388">
        <f>SUM(D2524:D2549)</f>
        <v>404990</v>
      </c>
      <c r="E2550" s="388">
        <f>SUM(E2524:E2549)</f>
        <v>97072.799999999988</v>
      </c>
      <c r="F2550" s="388" t="s">
        <v>28</v>
      </c>
      <c r="G2550" s="388">
        <f>SUM(G2524:G2549)</f>
        <v>34216</v>
      </c>
      <c r="H2550" s="446" t="s">
        <v>28</v>
      </c>
      <c r="I2550" s="446" t="s">
        <v>28</v>
      </c>
      <c r="J2550" s="446">
        <f>SUM(J2524:J2549)</f>
        <v>2274</v>
      </c>
      <c r="K2550" s="458" t="s">
        <v>28</v>
      </c>
      <c r="L2550" s="519">
        <f t="shared" ref="L2550:Q2550" si="347">SUM(L2524:L2549)</f>
        <v>94112517.150000006</v>
      </c>
      <c r="M2550" s="519">
        <f t="shared" si="347"/>
        <v>92674940</v>
      </c>
      <c r="N2550" s="388">
        <f t="shared" si="347"/>
        <v>768130</v>
      </c>
      <c r="O2550" s="473">
        <f t="shared" si="347"/>
        <v>164678.04</v>
      </c>
      <c r="P2550" s="388">
        <f t="shared" si="347"/>
        <v>0</v>
      </c>
      <c r="Q2550" s="388">
        <f t="shared" si="347"/>
        <v>504769.11</v>
      </c>
      <c r="R2550" s="446" t="s">
        <v>28</v>
      </c>
      <c r="S2550" s="383">
        <f t="shared" si="343"/>
        <v>5.9371814131736755E-9</v>
      </c>
      <c r="T2550" s="387" t="e">
        <f>'1.перечень МКД'!#REF!</f>
        <v>#REF!</v>
      </c>
      <c r="U2550" s="390" t="e">
        <f>L2550-T2550</f>
        <v>#REF!</v>
      </c>
      <c r="V2550" s="390"/>
    </row>
    <row r="2551" spans="1:23" s="403" customFormat="1" ht="33.75" customHeight="1">
      <c r="A2551" s="1113" t="s">
        <v>165</v>
      </c>
      <c r="B2551" s="1113"/>
      <c r="C2551" s="1113"/>
      <c r="D2551" s="1113"/>
      <c r="E2551" s="1113"/>
      <c r="F2551" s="1113"/>
      <c r="G2551" s="1113"/>
      <c r="H2551" s="1113"/>
      <c r="I2551" s="1113"/>
      <c r="J2551" s="1113"/>
      <c r="K2551" s="1113"/>
      <c r="L2551" s="1113"/>
      <c r="M2551" s="1113"/>
      <c r="N2551" s="1113"/>
      <c r="O2551" s="1113"/>
      <c r="P2551" s="1113"/>
      <c r="Q2551" s="1113"/>
      <c r="R2551" s="458"/>
      <c r="U2551" s="404"/>
      <c r="V2551" s="390"/>
    </row>
    <row r="2552" spans="1:23" s="403" customFormat="1" ht="37.5" customHeight="1">
      <c r="A2552" s="404">
        <v>1</v>
      </c>
      <c r="B2552" s="705" t="s">
        <v>3954</v>
      </c>
      <c r="C2552" s="455" t="s">
        <v>218</v>
      </c>
      <c r="D2552" s="747">
        <v>16408</v>
      </c>
      <c r="E2552" s="748">
        <v>4356</v>
      </c>
      <c r="F2552" s="748" t="s">
        <v>228</v>
      </c>
      <c r="G2552" s="748">
        <v>788.8</v>
      </c>
      <c r="H2552" s="676">
        <v>9</v>
      </c>
      <c r="I2552" s="446">
        <v>2</v>
      </c>
      <c r="J2552" s="749">
        <v>88</v>
      </c>
      <c r="K2552" s="750" t="s">
        <v>220</v>
      </c>
      <c r="L2552" s="519">
        <f>M2552+N2552+O2552+Q2552</f>
        <v>4312220</v>
      </c>
      <c r="M2552" s="751">
        <v>4205970</v>
      </c>
      <c r="N2552" s="752">
        <v>106250</v>
      </c>
      <c r="O2552" s="753"/>
      <c r="P2552" s="752"/>
      <c r="Q2552" s="752"/>
      <c r="R2552" s="528">
        <v>2000000</v>
      </c>
      <c r="S2552" s="383">
        <f t="shared" ref="S2552:S2583" si="348">L2552-M2552-N2552-O2552-P2552-Q2552</f>
        <v>0</v>
      </c>
      <c r="T2552" s="391"/>
      <c r="U2552" s="406"/>
      <c r="V2552" s="390"/>
      <c r="W2552" s="393"/>
    </row>
    <row r="2553" spans="1:23" s="403" customFormat="1" ht="37.5" customHeight="1">
      <c r="A2553" s="404">
        <f>A2552+1</f>
        <v>2</v>
      </c>
      <c r="B2553" s="705" t="s">
        <v>2106</v>
      </c>
      <c r="C2553" s="455" t="s">
        <v>218</v>
      </c>
      <c r="D2553" s="747">
        <v>39963</v>
      </c>
      <c r="E2553" s="748">
        <v>8730</v>
      </c>
      <c r="F2553" s="748" t="s">
        <v>228</v>
      </c>
      <c r="G2553" s="748">
        <v>1886</v>
      </c>
      <c r="H2553" s="676">
        <v>9</v>
      </c>
      <c r="I2553" s="446">
        <v>5</v>
      </c>
      <c r="J2553" s="749">
        <v>194</v>
      </c>
      <c r="K2553" s="750" t="s">
        <v>220</v>
      </c>
      <c r="L2553" s="519">
        <f>M2553+N2553+O2553+Q2553</f>
        <v>10683840</v>
      </c>
      <c r="M2553" s="751">
        <v>10513840</v>
      </c>
      <c r="N2553" s="752">
        <v>170000</v>
      </c>
      <c r="O2553" s="753"/>
      <c r="P2553" s="752"/>
      <c r="Q2553" s="752"/>
      <c r="R2553" s="528">
        <v>2000000</v>
      </c>
      <c r="S2553" s="383">
        <f t="shared" si="348"/>
        <v>0</v>
      </c>
      <c r="T2553" s="391"/>
      <c r="U2553" s="406"/>
      <c r="V2553" s="390"/>
      <c r="W2553" s="393"/>
    </row>
    <row r="2554" spans="1:23" s="478" customFormat="1" ht="37.5">
      <c r="A2554" s="404">
        <f>A2553+1</f>
        <v>3</v>
      </c>
      <c r="B2554" s="493" t="s">
        <v>3893</v>
      </c>
      <c r="C2554" s="506" t="s">
        <v>218</v>
      </c>
      <c r="D2554" s="493">
        <v>32803</v>
      </c>
      <c r="E2554" s="388">
        <v>6005</v>
      </c>
      <c r="F2554" s="388" t="s">
        <v>3894</v>
      </c>
      <c r="G2554" s="388">
        <v>1538</v>
      </c>
      <c r="H2554" s="446">
        <v>9</v>
      </c>
      <c r="I2554" s="446">
        <v>4</v>
      </c>
      <c r="J2554" s="446">
        <v>144</v>
      </c>
      <c r="K2554" s="750" t="s">
        <v>220</v>
      </c>
      <c r="L2554" s="519">
        <f>SUM(M2554:Q2554)</f>
        <v>8566480</v>
      </c>
      <c r="M2554" s="519">
        <v>8417730</v>
      </c>
      <c r="N2554" s="388">
        <v>148750</v>
      </c>
      <c r="O2554" s="473"/>
      <c r="P2554" s="388"/>
      <c r="Q2554" s="388"/>
      <c r="R2554" s="528">
        <f>M2554/I2554</f>
        <v>2104432.5</v>
      </c>
      <c r="S2554" s="383">
        <f>L2554-M2554-N2554-O2554-P2554-Q2554</f>
        <v>0</v>
      </c>
      <c r="T2554" s="404"/>
      <c r="U2554" s="404"/>
      <c r="V2554" s="390"/>
      <c r="W2554" s="393"/>
    </row>
    <row r="2555" spans="1:23" s="478" customFormat="1" ht="37.5">
      <c r="A2555" s="404">
        <f>A2554+1</f>
        <v>4</v>
      </c>
      <c r="B2555" s="493" t="s">
        <v>3032</v>
      </c>
      <c r="C2555" s="506" t="s">
        <v>218</v>
      </c>
      <c r="D2555" s="493">
        <v>63736</v>
      </c>
      <c r="E2555" s="388">
        <v>12735</v>
      </c>
      <c r="F2555" s="388" t="s">
        <v>3894</v>
      </c>
      <c r="G2555" s="388">
        <v>3011</v>
      </c>
      <c r="H2555" s="446">
        <v>9</v>
      </c>
      <c r="I2555" s="446">
        <v>8</v>
      </c>
      <c r="J2555" s="446">
        <v>301</v>
      </c>
      <c r="K2555" s="750" t="s">
        <v>220</v>
      </c>
      <c r="L2555" s="519">
        <f>SUM(M2555:Q2555)</f>
        <v>17087890</v>
      </c>
      <c r="M2555" s="519">
        <v>16854140</v>
      </c>
      <c r="N2555" s="752">
        <v>233750</v>
      </c>
      <c r="O2555" s="473"/>
      <c r="P2555" s="388"/>
      <c r="Q2555" s="388"/>
      <c r="R2555" s="528">
        <f>M2555/I2555</f>
        <v>2106767.5</v>
      </c>
      <c r="S2555" s="383">
        <f>L2555-M2555-N2555-O2555-P2555-Q2555</f>
        <v>0</v>
      </c>
      <c r="T2555" s="404"/>
      <c r="U2555" s="404"/>
      <c r="V2555" s="390"/>
      <c r="W2555" s="393"/>
    </row>
    <row r="2556" spans="1:23" s="403" customFormat="1" ht="37.5" customHeight="1">
      <c r="A2556" s="404">
        <f>A2555+1</f>
        <v>5</v>
      </c>
      <c r="B2556" s="705" t="s">
        <v>3924</v>
      </c>
      <c r="C2556" s="455" t="s">
        <v>218</v>
      </c>
      <c r="D2556" s="747">
        <v>22782</v>
      </c>
      <c r="E2556" s="748">
        <v>4535.2</v>
      </c>
      <c r="F2556" s="748" t="s">
        <v>228</v>
      </c>
      <c r="G2556" s="748">
        <v>1225.5999999999999</v>
      </c>
      <c r="H2556" s="676"/>
      <c r="I2556" s="446"/>
      <c r="J2556" s="749"/>
      <c r="K2556" s="750" t="s">
        <v>220</v>
      </c>
      <c r="L2556" s="519">
        <f>SUM(M2556:Q2556)</f>
        <v>6443210</v>
      </c>
      <c r="M2556" s="751">
        <v>6315710</v>
      </c>
      <c r="N2556" s="388">
        <v>127500</v>
      </c>
      <c r="O2556" s="753"/>
      <c r="P2556" s="752"/>
      <c r="Q2556" s="752"/>
      <c r="R2556" s="528">
        <f>M2556/3</f>
        <v>2105236.6666666665</v>
      </c>
      <c r="S2556" s="383">
        <f t="shared" si="348"/>
        <v>0</v>
      </c>
      <c r="T2556" s="391"/>
      <c r="U2556" s="404"/>
      <c r="V2556" s="390"/>
      <c r="W2556" s="393"/>
    </row>
    <row r="2557" spans="1:23" s="403" customFormat="1" ht="55.5" customHeight="1">
      <c r="A2557" s="404">
        <f>A2556+1</f>
        <v>6</v>
      </c>
      <c r="B2557" s="1110" t="s">
        <v>2116</v>
      </c>
      <c r="C2557" s="455" t="s">
        <v>218</v>
      </c>
      <c r="D2557" s="747">
        <v>70599</v>
      </c>
      <c r="E2557" s="748">
        <v>14664</v>
      </c>
      <c r="F2557" s="748" t="s">
        <v>228</v>
      </c>
      <c r="G2557" s="748">
        <v>3069</v>
      </c>
      <c r="H2557" s="676">
        <v>9</v>
      </c>
      <c r="I2557" s="446">
        <v>8</v>
      </c>
      <c r="J2557" s="749">
        <v>310</v>
      </c>
      <c r="K2557" s="750" t="s">
        <v>33</v>
      </c>
      <c r="L2557" s="1129">
        <f>M2557+N2557+O2557+Q2557+M2558+N2558+O2558+Q2558</f>
        <v>24504326</v>
      </c>
      <c r="M2557" s="751">
        <v>7365600</v>
      </c>
      <c r="N2557" s="752"/>
      <c r="O2557" s="753">
        <v>30946</v>
      </c>
      <c r="P2557" s="752"/>
      <c r="Q2557" s="752">
        <v>19900</v>
      </c>
      <c r="R2557" s="528">
        <f>M2557/G2557</f>
        <v>2400</v>
      </c>
      <c r="S2557" s="383">
        <f t="shared" si="348"/>
        <v>17087880</v>
      </c>
      <c r="T2557" s="391"/>
      <c r="U2557" s="406"/>
      <c r="V2557" s="390"/>
      <c r="W2557" s="393"/>
    </row>
    <row r="2558" spans="1:23" s="403" customFormat="1" ht="54.75" customHeight="1">
      <c r="A2558" s="404"/>
      <c r="B2558" s="1110"/>
      <c r="C2558" s="455"/>
      <c r="D2558" s="747"/>
      <c r="E2558" s="748"/>
      <c r="F2558" s="748"/>
      <c r="G2558" s="748"/>
      <c r="H2558" s="676"/>
      <c r="I2558" s="446"/>
      <c r="J2558" s="749"/>
      <c r="K2558" s="750" t="s">
        <v>220</v>
      </c>
      <c r="L2558" s="1129"/>
      <c r="M2558" s="751">
        <v>16854130</v>
      </c>
      <c r="N2558" s="752">
        <v>233750</v>
      </c>
      <c r="O2558" s="753"/>
      <c r="P2558" s="752"/>
      <c r="Q2558" s="752"/>
      <c r="R2558" s="528"/>
      <c r="S2558" s="383">
        <f t="shared" si="348"/>
        <v>-17087880</v>
      </c>
      <c r="T2558" s="391"/>
      <c r="U2558" s="406"/>
      <c r="V2558" s="390"/>
      <c r="W2558" s="393"/>
    </row>
    <row r="2559" spans="1:23" s="403" customFormat="1" ht="58.5" customHeight="1">
      <c r="A2559" s="404">
        <v>7</v>
      </c>
      <c r="B2559" s="705" t="s">
        <v>2120</v>
      </c>
      <c r="C2559" s="455" t="s">
        <v>218</v>
      </c>
      <c r="D2559" s="747">
        <v>36954</v>
      </c>
      <c r="E2559" s="748">
        <v>6566</v>
      </c>
      <c r="F2559" s="748" t="s">
        <v>228</v>
      </c>
      <c r="G2559" s="748">
        <v>1528</v>
      </c>
      <c r="H2559" s="676">
        <v>9</v>
      </c>
      <c r="I2559" s="446">
        <v>4</v>
      </c>
      <c r="J2559" s="749">
        <v>158</v>
      </c>
      <c r="K2559" s="750" t="s">
        <v>220</v>
      </c>
      <c r="L2559" s="519">
        <f t="shared" ref="L2559:L2568" si="349">SUM(M2559:Q2559)</f>
        <v>8570410</v>
      </c>
      <c r="M2559" s="751">
        <v>8421660</v>
      </c>
      <c r="N2559" s="752">
        <v>148750</v>
      </c>
      <c r="O2559" s="753"/>
      <c r="P2559" s="752"/>
      <c r="Q2559" s="752"/>
      <c r="R2559" s="528">
        <f t="shared" ref="R2559:R2567" si="350">M2559/I2559</f>
        <v>2105415</v>
      </c>
      <c r="S2559" s="383">
        <f t="shared" si="348"/>
        <v>0</v>
      </c>
      <c r="T2559" s="391"/>
      <c r="U2559" s="406"/>
      <c r="V2559" s="390"/>
      <c r="W2559" s="393"/>
    </row>
    <row r="2560" spans="1:23" s="478" customFormat="1" ht="37.5">
      <c r="A2560" s="404">
        <f t="shared" ref="A2560:A2569" si="351">A2559+1</f>
        <v>8</v>
      </c>
      <c r="B2560" s="493" t="s">
        <v>3444</v>
      </c>
      <c r="C2560" s="404" t="s">
        <v>283</v>
      </c>
      <c r="D2560" s="838">
        <v>12431</v>
      </c>
      <c r="E2560" s="748">
        <v>1828.7</v>
      </c>
      <c r="F2560" s="748" t="s">
        <v>254</v>
      </c>
      <c r="G2560" s="748">
        <v>479</v>
      </c>
      <c r="H2560" s="676">
        <v>9</v>
      </c>
      <c r="I2560" s="446">
        <v>1</v>
      </c>
      <c r="J2560" s="749">
        <v>48</v>
      </c>
      <c r="K2560" s="750" t="s">
        <v>220</v>
      </c>
      <c r="L2560" s="519">
        <f t="shared" si="349"/>
        <v>2196320</v>
      </c>
      <c r="M2560" s="519">
        <v>2111320</v>
      </c>
      <c r="N2560" s="388">
        <v>85000</v>
      </c>
      <c r="O2560" s="473"/>
      <c r="P2560" s="388"/>
      <c r="Q2560" s="388"/>
      <c r="R2560" s="528">
        <f t="shared" si="350"/>
        <v>2111320</v>
      </c>
      <c r="S2560" s="383">
        <f t="shared" si="348"/>
        <v>0</v>
      </c>
      <c r="T2560" s="404"/>
      <c r="U2560" s="404"/>
      <c r="V2560" s="390"/>
      <c r="W2560" s="393"/>
    </row>
    <row r="2561" spans="1:23" s="403" customFormat="1" ht="37.5" customHeight="1">
      <c r="A2561" s="404">
        <f t="shared" si="351"/>
        <v>9</v>
      </c>
      <c r="B2561" s="705" t="s">
        <v>2090</v>
      </c>
      <c r="C2561" s="455" t="s">
        <v>222</v>
      </c>
      <c r="D2561" s="747">
        <v>21140</v>
      </c>
      <c r="E2561" s="748">
        <v>4050</v>
      </c>
      <c r="F2561" s="748" t="s">
        <v>228</v>
      </c>
      <c r="G2561" s="748">
        <v>1051</v>
      </c>
      <c r="H2561" s="676">
        <v>9</v>
      </c>
      <c r="I2561" s="446">
        <v>1</v>
      </c>
      <c r="J2561" s="749">
        <v>143</v>
      </c>
      <c r="K2561" s="750" t="s">
        <v>220</v>
      </c>
      <c r="L2561" s="519">
        <f>SUM(M2561:Q2561)</f>
        <v>2241040</v>
      </c>
      <c r="M2561" s="751">
        <v>2156040</v>
      </c>
      <c r="N2561" s="752">
        <v>85000</v>
      </c>
      <c r="O2561" s="753"/>
      <c r="P2561" s="752"/>
      <c r="Q2561" s="752"/>
      <c r="R2561" s="528">
        <v>2000000</v>
      </c>
      <c r="S2561" s="383">
        <f>L2561-M2561-N2561-O2561-P2561-Q2561</f>
        <v>0</v>
      </c>
      <c r="T2561" s="391"/>
      <c r="U2561" s="406"/>
      <c r="V2561" s="390"/>
      <c r="W2561" s="393"/>
    </row>
    <row r="2562" spans="1:23" s="478" customFormat="1" ht="37.5">
      <c r="A2562" s="404">
        <f t="shared" si="351"/>
        <v>10</v>
      </c>
      <c r="B2562" s="839" t="s">
        <v>3037</v>
      </c>
      <c r="C2562" s="404" t="s">
        <v>3895</v>
      </c>
      <c r="D2562" s="838">
        <v>23690</v>
      </c>
      <c r="E2562" s="748">
        <v>2280</v>
      </c>
      <c r="F2562" s="748" t="s">
        <v>254</v>
      </c>
      <c r="G2562" s="748">
        <v>1132</v>
      </c>
      <c r="H2562" s="676">
        <v>9</v>
      </c>
      <c r="I2562" s="446">
        <v>3</v>
      </c>
      <c r="J2562" s="749">
        <v>126</v>
      </c>
      <c r="K2562" s="750" t="s">
        <v>220</v>
      </c>
      <c r="L2562" s="519">
        <f t="shared" si="349"/>
        <v>6443210</v>
      </c>
      <c r="M2562" s="519">
        <v>6315710</v>
      </c>
      <c r="N2562" s="388">
        <v>127500</v>
      </c>
      <c r="O2562" s="473"/>
      <c r="P2562" s="388"/>
      <c r="Q2562" s="388"/>
      <c r="R2562" s="528">
        <f t="shared" si="350"/>
        <v>2105236.6666666665</v>
      </c>
      <c r="S2562" s="383">
        <f t="shared" si="348"/>
        <v>0</v>
      </c>
      <c r="T2562" s="404"/>
      <c r="U2562" s="404"/>
      <c r="V2562" s="390"/>
      <c r="W2562" s="393"/>
    </row>
    <row r="2563" spans="1:23" s="478" customFormat="1" ht="37.5">
      <c r="A2563" s="404">
        <f t="shared" si="351"/>
        <v>11</v>
      </c>
      <c r="B2563" s="493" t="s">
        <v>3896</v>
      </c>
      <c r="C2563" s="506" t="s">
        <v>218</v>
      </c>
      <c r="D2563" s="493">
        <v>24536</v>
      </c>
      <c r="E2563" s="388">
        <v>6190</v>
      </c>
      <c r="F2563" s="388" t="s">
        <v>3894</v>
      </c>
      <c r="G2563" s="388">
        <v>834</v>
      </c>
      <c r="H2563" s="446">
        <v>9</v>
      </c>
      <c r="I2563" s="446">
        <v>3</v>
      </c>
      <c r="J2563" s="446">
        <v>129</v>
      </c>
      <c r="K2563" s="750" t="s">
        <v>220</v>
      </c>
      <c r="L2563" s="519">
        <f t="shared" si="349"/>
        <v>6437860</v>
      </c>
      <c r="M2563" s="519">
        <v>6310360</v>
      </c>
      <c r="N2563" s="388">
        <v>127500</v>
      </c>
      <c r="O2563" s="473"/>
      <c r="P2563" s="388"/>
      <c r="Q2563" s="388"/>
      <c r="R2563" s="528">
        <f t="shared" si="350"/>
        <v>2103453.3333333335</v>
      </c>
      <c r="S2563" s="383">
        <f t="shared" si="348"/>
        <v>0</v>
      </c>
      <c r="T2563" s="404"/>
      <c r="U2563" s="404"/>
      <c r="V2563" s="390"/>
      <c r="W2563" s="393"/>
    </row>
    <row r="2564" spans="1:23" s="478" customFormat="1" ht="37.5">
      <c r="A2564" s="404">
        <f t="shared" si="351"/>
        <v>12</v>
      </c>
      <c r="B2564" s="493" t="s">
        <v>3897</v>
      </c>
      <c r="C2564" s="506" t="s">
        <v>218</v>
      </c>
      <c r="D2564" s="840">
        <v>55455</v>
      </c>
      <c r="E2564" s="388">
        <v>11300</v>
      </c>
      <c r="F2564" s="388" t="s">
        <v>3894</v>
      </c>
      <c r="G2564" s="388">
        <v>1920</v>
      </c>
      <c r="H2564" s="446">
        <v>9</v>
      </c>
      <c r="I2564" s="446">
        <v>7</v>
      </c>
      <c r="J2564" s="446">
        <v>279</v>
      </c>
      <c r="K2564" s="750" t="s">
        <v>220</v>
      </c>
      <c r="L2564" s="519">
        <f t="shared" si="349"/>
        <v>15019640</v>
      </c>
      <c r="M2564" s="519">
        <v>14807140</v>
      </c>
      <c r="N2564" s="388">
        <v>212500</v>
      </c>
      <c r="O2564" s="473"/>
      <c r="P2564" s="388"/>
      <c r="Q2564" s="388"/>
      <c r="R2564" s="528">
        <f t="shared" si="350"/>
        <v>2115305.7142857141</v>
      </c>
      <c r="S2564" s="383">
        <f t="shared" si="348"/>
        <v>0</v>
      </c>
      <c r="T2564" s="404"/>
      <c r="U2564" s="404"/>
      <c r="V2564" s="390"/>
      <c r="W2564" s="393"/>
    </row>
    <row r="2565" spans="1:23" s="478" customFormat="1" ht="37.5">
      <c r="A2565" s="404">
        <f t="shared" si="351"/>
        <v>13</v>
      </c>
      <c r="B2565" s="493" t="s">
        <v>3898</v>
      </c>
      <c r="C2565" s="506" t="s">
        <v>218</v>
      </c>
      <c r="D2565" s="493">
        <v>31965</v>
      </c>
      <c r="E2565" s="388">
        <v>6566</v>
      </c>
      <c r="F2565" s="388" t="s">
        <v>3894</v>
      </c>
      <c r="G2565" s="388">
        <v>1073</v>
      </c>
      <c r="H2565" s="446">
        <v>9</v>
      </c>
      <c r="I2565" s="446">
        <v>4</v>
      </c>
      <c r="J2565" s="446">
        <v>158</v>
      </c>
      <c r="K2565" s="750" t="s">
        <v>220</v>
      </c>
      <c r="L2565" s="519">
        <f t="shared" si="349"/>
        <v>8570410</v>
      </c>
      <c r="M2565" s="519">
        <v>8421660</v>
      </c>
      <c r="N2565" s="388">
        <v>148750</v>
      </c>
      <c r="O2565" s="473"/>
      <c r="P2565" s="388"/>
      <c r="Q2565" s="388"/>
      <c r="R2565" s="528">
        <f t="shared" si="350"/>
        <v>2105415</v>
      </c>
      <c r="S2565" s="383">
        <f t="shared" si="348"/>
        <v>0</v>
      </c>
      <c r="T2565" s="404"/>
      <c r="U2565" s="404"/>
      <c r="V2565" s="390"/>
      <c r="W2565" s="393"/>
    </row>
    <row r="2566" spans="1:23" s="478" customFormat="1" ht="37.5">
      <c r="A2566" s="404">
        <f t="shared" si="351"/>
        <v>14</v>
      </c>
      <c r="B2566" s="493" t="s">
        <v>3899</v>
      </c>
      <c r="C2566" s="506" t="s">
        <v>218</v>
      </c>
      <c r="D2566" s="493">
        <v>32220</v>
      </c>
      <c r="E2566" s="388">
        <v>6566</v>
      </c>
      <c r="F2566" s="388" t="s">
        <v>3894</v>
      </c>
      <c r="G2566" s="388">
        <v>1073</v>
      </c>
      <c r="H2566" s="446">
        <v>9</v>
      </c>
      <c r="I2566" s="446">
        <v>4</v>
      </c>
      <c r="J2566" s="446">
        <v>157</v>
      </c>
      <c r="K2566" s="750" t="s">
        <v>220</v>
      </c>
      <c r="L2566" s="519">
        <f t="shared" si="349"/>
        <v>8716300</v>
      </c>
      <c r="M2566" s="519">
        <v>8567550</v>
      </c>
      <c r="N2566" s="388">
        <v>148750</v>
      </c>
      <c r="O2566" s="473"/>
      <c r="P2566" s="388"/>
      <c r="Q2566" s="388"/>
      <c r="R2566" s="528">
        <f t="shared" si="350"/>
        <v>2141887.5</v>
      </c>
      <c r="S2566" s="383">
        <f t="shared" si="348"/>
        <v>0</v>
      </c>
      <c r="T2566" s="404"/>
      <c r="U2566" s="404"/>
      <c r="V2566" s="390"/>
      <c r="W2566" s="393"/>
    </row>
    <row r="2567" spans="1:23" s="999" customFormat="1" ht="37.5">
      <c r="A2567" s="404">
        <f t="shared" si="351"/>
        <v>15</v>
      </c>
      <c r="B2567" s="493" t="s">
        <v>3900</v>
      </c>
      <c r="C2567" s="506" t="s">
        <v>218</v>
      </c>
      <c r="D2567" s="493">
        <v>32614</v>
      </c>
      <c r="E2567" s="388">
        <v>6566</v>
      </c>
      <c r="F2567" s="388" t="s">
        <v>3894</v>
      </c>
      <c r="G2567" s="388">
        <v>1073</v>
      </c>
      <c r="H2567" s="446">
        <v>9</v>
      </c>
      <c r="I2567" s="446">
        <v>4</v>
      </c>
      <c r="J2567" s="446">
        <v>161</v>
      </c>
      <c r="K2567" s="750" t="s">
        <v>220</v>
      </c>
      <c r="L2567" s="519">
        <f t="shared" si="349"/>
        <v>8570410</v>
      </c>
      <c r="M2567" s="519">
        <v>8421660</v>
      </c>
      <c r="N2567" s="388">
        <v>148750</v>
      </c>
      <c r="O2567" s="473"/>
      <c r="P2567" s="388"/>
      <c r="Q2567" s="388"/>
      <c r="R2567" s="528">
        <f t="shared" si="350"/>
        <v>2105415</v>
      </c>
      <c r="S2567" s="383">
        <f t="shared" si="348"/>
        <v>0</v>
      </c>
      <c r="T2567" s="378"/>
      <c r="U2567" s="380"/>
      <c r="V2567" s="390"/>
      <c r="W2567" s="393"/>
    </row>
    <row r="2568" spans="1:23" s="403" customFormat="1" ht="37.5" customHeight="1">
      <c r="A2568" s="404">
        <f t="shared" si="351"/>
        <v>16</v>
      </c>
      <c r="B2568" s="705" t="s">
        <v>2089</v>
      </c>
      <c r="C2568" s="455" t="s">
        <v>218</v>
      </c>
      <c r="D2568" s="747">
        <v>19671</v>
      </c>
      <c r="E2568" s="748">
        <v>3552</v>
      </c>
      <c r="F2568" s="748" t="s">
        <v>234</v>
      </c>
      <c r="G2568" s="748">
        <v>1700</v>
      </c>
      <c r="H2568" s="676">
        <v>5</v>
      </c>
      <c r="I2568" s="446">
        <v>6</v>
      </c>
      <c r="J2568" s="749">
        <v>119</v>
      </c>
      <c r="K2568" s="750" t="s">
        <v>227</v>
      </c>
      <c r="L2568" s="519">
        <f t="shared" si="349"/>
        <v>7682614</v>
      </c>
      <c r="M2568" s="751">
        <v>7619790</v>
      </c>
      <c r="N2568" s="752">
        <v>32974</v>
      </c>
      <c r="O2568" s="753"/>
      <c r="P2568" s="752"/>
      <c r="Q2568" s="752">
        <v>29850</v>
      </c>
      <c r="R2568" s="528">
        <f>M2568/E2568</f>
        <v>2145.2111486486488</v>
      </c>
      <c r="S2568" s="383">
        <f t="shared" si="348"/>
        <v>0</v>
      </c>
      <c r="T2568" s="391"/>
      <c r="U2568" s="406"/>
      <c r="V2568" s="390"/>
      <c r="W2568" s="393"/>
    </row>
    <row r="2569" spans="1:23" s="403" customFormat="1" ht="37.5" customHeight="1">
      <c r="A2569" s="404">
        <f t="shared" si="351"/>
        <v>17</v>
      </c>
      <c r="B2569" s="705" t="s">
        <v>2091</v>
      </c>
      <c r="C2569" s="455" t="s">
        <v>222</v>
      </c>
      <c r="D2569" s="747">
        <v>12718</v>
      </c>
      <c r="E2569" s="748">
        <v>390</v>
      </c>
      <c r="F2569" s="748" t="s">
        <v>228</v>
      </c>
      <c r="G2569" s="748">
        <v>1049</v>
      </c>
      <c r="H2569" s="676">
        <v>5</v>
      </c>
      <c r="I2569" s="446">
        <v>4</v>
      </c>
      <c r="J2569" s="749">
        <v>80</v>
      </c>
      <c r="K2569" s="750" t="s">
        <v>426</v>
      </c>
      <c r="L2569" s="519">
        <f>SUM(M2569:Q2569)</f>
        <v>1359324</v>
      </c>
      <c r="M2569" s="751">
        <v>1300000</v>
      </c>
      <c r="N2569" s="752">
        <v>29474</v>
      </c>
      <c r="O2569" s="753"/>
      <c r="P2569" s="752"/>
      <c r="Q2569" s="752">
        <v>29850</v>
      </c>
      <c r="R2569" s="528">
        <f>M2569/E2569</f>
        <v>3333.3333333333335</v>
      </c>
      <c r="S2569" s="383">
        <f t="shared" si="348"/>
        <v>0</v>
      </c>
      <c r="T2569" s="391"/>
      <c r="U2569" s="406"/>
      <c r="V2569" s="390"/>
      <c r="W2569" s="393"/>
    </row>
    <row r="2570" spans="1:23" s="403" customFormat="1" ht="37.5" customHeight="1">
      <c r="A2570" s="404">
        <f t="shared" ref="A2570:A2613" si="352">A2569+1</f>
        <v>18</v>
      </c>
      <c r="B2570" s="705" t="s">
        <v>2092</v>
      </c>
      <c r="C2570" s="455" t="s">
        <v>222</v>
      </c>
      <c r="D2570" s="747">
        <v>10605</v>
      </c>
      <c r="E2570" s="748">
        <v>2038</v>
      </c>
      <c r="F2570" s="748" t="s">
        <v>254</v>
      </c>
      <c r="G2570" s="748">
        <v>892</v>
      </c>
      <c r="H2570" s="676">
        <v>5</v>
      </c>
      <c r="I2570" s="446">
        <v>4</v>
      </c>
      <c r="J2570" s="749">
        <v>70</v>
      </c>
      <c r="K2570" s="750" t="s">
        <v>33</v>
      </c>
      <c r="L2570" s="519">
        <f>SUM(M2570:Q2570)</f>
        <v>2182166</v>
      </c>
      <c r="M2570" s="751">
        <v>2140800</v>
      </c>
      <c r="N2570" s="752"/>
      <c r="O2570" s="753">
        <v>21466</v>
      </c>
      <c r="P2570" s="752"/>
      <c r="Q2570" s="752">
        <v>19900</v>
      </c>
      <c r="R2570" s="528">
        <f>M2570/G2570</f>
        <v>2400</v>
      </c>
      <c r="S2570" s="383">
        <f t="shared" si="348"/>
        <v>0</v>
      </c>
      <c r="T2570" s="391"/>
      <c r="U2570" s="406"/>
      <c r="V2570" s="390"/>
      <c r="W2570" s="393"/>
    </row>
    <row r="2571" spans="1:23" s="403" customFormat="1" ht="37.5" customHeight="1">
      <c r="A2571" s="404">
        <f t="shared" si="352"/>
        <v>19</v>
      </c>
      <c r="B2571" s="705" t="s">
        <v>2093</v>
      </c>
      <c r="C2571" s="455" t="s">
        <v>222</v>
      </c>
      <c r="D2571" s="747">
        <v>17610</v>
      </c>
      <c r="E2571" s="748">
        <v>4103</v>
      </c>
      <c r="F2571" s="748" t="s">
        <v>228</v>
      </c>
      <c r="G2571" s="748">
        <v>1468</v>
      </c>
      <c r="H2571" s="676">
        <v>5</v>
      </c>
      <c r="I2571" s="446">
        <v>6</v>
      </c>
      <c r="J2571" s="749">
        <v>90</v>
      </c>
      <c r="K2571" s="750" t="s">
        <v>33</v>
      </c>
      <c r="L2571" s="519">
        <f>SUM(M2571:Q2571)</f>
        <v>4877240</v>
      </c>
      <c r="M2571" s="751">
        <v>4808466</v>
      </c>
      <c r="N2571" s="388">
        <v>28974</v>
      </c>
      <c r="O2571" s="753"/>
      <c r="P2571" s="752"/>
      <c r="Q2571" s="752">
        <v>39800</v>
      </c>
      <c r="R2571" s="528">
        <f>M2571/G2571</f>
        <v>3275.5217983651228</v>
      </c>
      <c r="S2571" s="383">
        <f t="shared" si="348"/>
        <v>0</v>
      </c>
      <c r="T2571" s="391"/>
      <c r="U2571" s="406"/>
      <c r="V2571" s="390"/>
      <c r="W2571" s="393"/>
    </row>
    <row r="2572" spans="1:23" s="403" customFormat="1" ht="42.75" customHeight="1">
      <c r="A2572" s="404">
        <f t="shared" si="352"/>
        <v>20</v>
      </c>
      <c r="B2572" s="705" t="s">
        <v>2094</v>
      </c>
      <c r="C2572" s="455" t="s">
        <v>240</v>
      </c>
      <c r="D2572" s="747">
        <v>12136</v>
      </c>
      <c r="E2572" s="748">
        <v>2853</v>
      </c>
      <c r="F2572" s="748" t="s">
        <v>252</v>
      </c>
      <c r="G2572" s="748">
        <v>1149</v>
      </c>
      <c r="H2572" s="676">
        <v>4</v>
      </c>
      <c r="I2572" s="446">
        <v>3</v>
      </c>
      <c r="J2572" s="749">
        <v>48</v>
      </c>
      <c r="K2572" s="750" t="s">
        <v>38</v>
      </c>
      <c r="L2572" s="519">
        <f>SUM(M2572:Q2572)</f>
        <v>4784018</v>
      </c>
      <c r="M2572" s="751">
        <v>4738909</v>
      </c>
      <c r="N2572" s="752"/>
      <c r="O2572" s="753">
        <v>15259</v>
      </c>
      <c r="P2572" s="752"/>
      <c r="Q2572" s="752">
        <v>29850</v>
      </c>
      <c r="R2572" s="528">
        <f>M2572/E2572</f>
        <v>1661.0266386260078</v>
      </c>
      <c r="S2572" s="383">
        <f t="shared" si="348"/>
        <v>0</v>
      </c>
      <c r="T2572" s="391"/>
      <c r="U2572" s="406"/>
      <c r="V2572" s="390"/>
      <c r="W2572" s="393"/>
    </row>
    <row r="2573" spans="1:23" s="403" customFormat="1" ht="42.75" customHeight="1">
      <c r="A2573" s="404">
        <f t="shared" si="352"/>
        <v>21</v>
      </c>
      <c r="B2573" s="705" t="s">
        <v>2095</v>
      </c>
      <c r="C2573" s="455" t="s">
        <v>240</v>
      </c>
      <c r="D2573" s="747">
        <v>3288</v>
      </c>
      <c r="E2573" s="748">
        <v>746</v>
      </c>
      <c r="F2573" s="748" t="s">
        <v>252</v>
      </c>
      <c r="G2573" s="748">
        <v>642</v>
      </c>
      <c r="H2573" s="676">
        <v>2</v>
      </c>
      <c r="I2573" s="446">
        <v>2</v>
      </c>
      <c r="J2573" s="749">
        <v>12</v>
      </c>
      <c r="K2573" s="750" t="s">
        <v>33</v>
      </c>
      <c r="L2573" s="519">
        <f t="shared" ref="L2573:L2593" si="353">SUM(M2573:Q2573)</f>
        <v>2164966.35</v>
      </c>
      <c r="M2573" s="751">
        <v>2118600</v>
      </c>
      <c r="N2573" s="752">
        <v>30346.5</v>
      </c>
      <c r="O2573" s="753"/>
      <c r="P2573" s="752"/>
      <c r="Q2573" s="752">
        <v>16019.85</v>
      </c>
      <c r="R2573" s="528">
        <f>M2573/G2573</f>
        <v>3300</v>
      </c>
      <c r="S2573" s="383">
        <f t="shared" si="348"/>
        <v>9.276845958083868E-11</v>
      </c>
      <c r="T2573" s="391"/>
      <c r="U2573" s="406"/>
      <c r="V2573" s="390"/>
      <c r="W2573" s="393"/>
    </row>
    <row r="2574" spans="1:23" s="403" customFormat="1" ht="42.75" customHeight="1">
      <c r="A2574" s="404">
        <f t="shared" si="352"/>
        <v>22</v>
      </c>
      <c r="B2574" s="705" t="s">
        <v>2096</v>
      </c>
      <c r="C2574" s="455" t="s">
        <v>240</v>
      </c>
      <c r="D2574" s="747">
        <v>1941</v>
      </c>
      <c r="E2574" s="748">
        <v>755</v>
      </c>
      <c r="F2574" s="748" t="s">
        <v>252</v>
      </c>
      <c r="G2574" s="748">
        <v>376</v>
      </c>
      <c r="H2574" s="676">
        <v>2</v>
      </c>
      <c r="I2574" s="446">
        <v>1</v>
      </c>
      <c r="J2574" s="749">
        <v>8</v>
      </c>
      <c r="K2574" s="750" t="s">
        <v>320</v>
      </c>
      <c r="L2574" s="519">
        <f t="shared" si="353"/>
        <v>1221443</v>
      </c>
      <c r="M2574" s="751">
        <v>1196843</v>
      </c>
      <c r="N2574" s="752"/>
      <c r="O2574" s="753">
        <v>12239</v>
      </c>
      <c r="P2574" s="752"/>
      <c r="Q2574" s="752">
        <v>12361</v>
      </c>
      <c r="R2574" s="528">
        <f>M2574/E2574</f>
        <v>1585.2225165562913</v>
      </c>
      <c r="S2574" s="383">
        <f t="shared" si="348"/>
        <v>0</v>
      </c>
      <c r="T2574" s="391"/>
      <c r="U2574" s="406"/>
      <c r="V2574" s="390"/>
      <c r="W2574" s="393"/>
    </row>
    <row r="2575" spans="1:23" s="403" customFormat="1" ht="42.75" customHeight="1">
      <c r="A2575" s="404">
        <f t="shared" si="352"/>
        <v>23</v>
      </c>
      <c r="B2575" s="705" t="s">
        <v>2097</v>
      </c>
      <c r="C2575" s="455" t="s">
        <v>240</v>
      </c>
      <c r="D2575" s="747">
        <v>2699</v>
      </c>
      <c r="E2575" s="748">
        <v>609</v>
      </c>
      <c r="F2575" s="748" t="s">
        <v>252</v>
      </c>
      <c r="G2575" s="748">
        <v>609</v>
      </c>
      <c r="H2575" s="676">
        <v>2</v>
      </c>
      <c r="I2575" s="446">
        <v>2</v>
      </c>
      <c r="J2575" s="749">
        <v>12</v>
      </c>
      <c r="K2575" s="750" t="s">
        <v>33</v>
      </c>
      <c r="L2575" s="519">
        <f t="shared" si="353"/>
        <v>2139214.11</v>
      </c>
      <c r="M2575" s="751">
        <v>2096640</v>
      </c>
      <c r="N2575" s="752">
        <v>29424</v>
      </c>
      <c r="O2575" s="753"/>
      <c r="P2575" s="752"/>
      <c r="Q2575" s="752">
        <v>13150.11</v>
      </c>
      <c r="R2575" s="528">
        <f t="shared" ref="R2575:R2581" si="354">M2575/G2575</f>
        <v>3442.7586206896553</v>
      </c>
      <c r="S2575" s="383">
        <f t="shared" si="348"/>
        <v>-1.3096723705530167E-10</v>
      </c>
      <c r="T2575" s="391"/>
      <c r="U2575" s="406"/>
      <c r="V2575" s="390"/>
      <c r="W2575" s="393"/>
    </row>
    <row r="2576" spans="1:23" s="403" customFormat="1" ht="42.75" customHeight="1">
      <c r="A2576" s="404">
        <f t="shared" si="352"/>
        <v>24</v>
      </c>
      <c r="B2576" s="705" t="s">
        <v>2098</v>
      </c>
      <c r="C2576" s="455" t="s">
        <v>240</v>
      </c>
      <c r="D2576" s="747">
        <v>2885</v>
      </c>
      <c r="E2576" s="748">
        <v>620</v>
      </c>
      <c r="F2576" s="748" t="s">
        <v>252</v>
      </c>
      <c r="G2576" s="748">
        <v>584</v>
      </c>
      <c r="H2576" s="676">
        <v>2</v>
      </c>
      <c r="I2576" s="446">
        <v>2</v>
      </c>
      <c r="J2576" s="749">
        <v>12</v>
      </c>
      <c r="K2576" s="750" t="s">
        <v>33</v>
      </c>
      <c r="L2576" s="519">
        <f t="shared" si="353"/>
        <v>2064148.35</v>
      </c>
      <c r="M2576" s="751">
        <v>2020200</v>
      </c>
      <c r="N2576" s="752">
        <v>29892</v>
      </c>
      <c r="O2576" s="753"/>
      <c r="P2576" s="752"/>
      <c r="Q2576" s="752">
        <v>14056.35</v>
      </c>
      <c r="R2576" s="528">
        <f t="shared" si="354"/>
        <v>3459.2465753424658</v>
      </c>
      <c r="S2576" s="383">
        <f t="shared" si="348"/>
        <v>9.276845958083868E-11</v>
      </c>
      <c r="T2576" s="391"/>
      <c r="U2576" s="406"/>
      <c r="V2576" s="390"/>
      <c r="W2576" s="393"/>
    </row>
    <row r="2577" spans="1:23" s="403" customFormat="1" ht="42.75" customHeight="1">
      <c r="A2577" s="404">
        <f t="shared" si="352"/>
        <v>25</v>
      </c>
      <c r="B2577" s="705" t="s">
        <v>2099</v>
      </c>
      <c r="C2577" s="455" t="s">
        <v>240</v>
      </c>
      <c r="D2577" s="747">
        <v>2855</v>
      </c>
      <c r="E2577" s="748">
        <v>636</v>
      </c>
      <c r="F2577" s="748" t="s">
        <v>252</v>
      </c>
      <c r="G2577" s="748">
        <v>578</v>
      </c>
      <c r="H2577" s="676">
        <v>2</v>
      </c>
      <c r="I2577" s="446">
        <v>2</v>
      </c>
      <c r="J2577" s="749">
        <v>12</v>
      </c>
      <c r="K2577" s="750" t="s">
        <v>33</v>
      </c>
      <c r="L2577" s="519">
        <f t="shared" si="353"/>
        <v>2009323.25</v>
      </c>
      <c r="M2577" s="751">
        <v>1965600</v>
      </c>
      <c r="N2577" s="752">
        <v>29666.9</v>
      </c>
      <c r="O2577" s="753"/>
      <c r="P2577" s="752"/>
      <c r="Q2577" s="752">
        <v>14056.35</v>
      </c>
      <c r="R2577" s="528">
        <f t="shared" si="354"/>
        <v>3400.6920415224913</v>
      </c>
      <c r="S2577" s="383">
        <f t="shared" si="348"/>
        <v>0</v>
      </c>
      <c r="T2577" s="391"/>
      <c r="U2577" s="406"/>
      <c r="V2577" s="390"/>
      <c r="W2577" s="393"/>
    </row>
    <row r="2578" spans="1:23" s="403" customFormat="1" ht="42.75" customHeight="1">
      <c r="A2578" s="404">
        <f t="shared" si="352"/>
        <v>26</v>
      </c>
      <c r="B2578" s="705" t="s">
        <v>2100</v>
      </c>
      <c r="C2578" s="455" t="s">
        <v>240</v>
      </c>
      <c r="D2578" s="747">
        <v>1923</v>
      </c>
      <c r="E2578" s="748">
        <v>669</v>
      </c>
      <c r="F2578" s="748" t="s">
        <v>252</v>
      </c>
      <c r="G2578" s="748">
        <v>384</v>
      </c>
      <c r="H2578" s="676">
        <v>2</v>
      </c>
      <c r="I2578" s="446">
        <v>1</v>
      </c>
      <c r="J2578" s="749">
        <v>8</v>
      </c>
      <c r="K2578" s="750" t="s">
        <v>38</v>
      </c>
      <c r="L2578" s="519">
        <f t="shared" si="353"/>
        <v>1133516.3700000001</v>
      </c>
      <c r="M2578" s="751">
        <v>1096093.1000000001</v>
      </c>
      <c r="N2578" s="752">
        <v>28054</v>
      </c>
      <c r="O2578" s="753"/>
      <c r="P2578" s="752"/>
      <c r="Q2578" s="752">
        <v>9369.27</v>
      </c>
      <c r="R2578" s="528">
        <f t="shared" si="354"/>
        <v>2854.4091145833336</v>
      </c>
      <c r="S2578" s="383">
        <f t="shared" si="348"/>
        <v>1.8189894035458565E-11</v>
      </c>
      <c r="T2578" s="391"/>
      <c r="U2578" s="406"/>
      <c r="V2578" s="390"/>
      <c r="W2578" s="393"/>
    </row>
    <row r="2579" spans="1:23" s="403" customFormat="1" ht="42.75" customHeight="1">
      <c r="A2579" s="404">
        <f t="shared" si="352"/>
        <v>27</v>
      </c>
      <c r="B2579" s="705" t="s">
        <v>2102</v>
      </c>
      <c r="C2579" s="455" t="s">
        <v>240</v>
      </c>
      <c r="D2579" s="747">
        <v>3439</v>
      </c>
      <c r="E2579" s="748">
        <v>746</v>
      </c>
      <c r="F2579" s="748" t="s">
        <v>252</v>
      </c>
      <c r="G2579" s="748">
        <v>661</v>
      </c>
      <c r="H2579" s="676">
        <v>2</v>
      </c>
      <c r="I2579" s="446">
        <v>2</v>
      </c>
      <c r="J2579" s="749">
        <v>12</v>
      </c>
      <c r="K2579" s="750" t="s">
        <v>33</v>
      </c>
      <c r="L2579" s="519">
        <f t="shared" si="353"/>
        <v>2194068.5499999998</v>
      </c>
      <c r="M2579" s="751">
        <v>2146440</v>
      </c>
      <c r="N2579" s="752">
        <v>30873</v>
      </c>
      <c r="O2579" s="753"/>
      <c r="P2579" s="752"/>
      <c r="Q2579" s="752">
        <v>16755.55</v>
      </c>
      <c r="R2579" s="528">
        <f t="shared" si="354"/>
        <v>3247.2617246596064</v>
      </c>
      <c r="S2579" s="383">
        <f t="shared" si="348"/>
        <v>-1.8553691916167736E-10</v>
      </c>
      <c r="T2579" s="391"/>
      <c r="U2579" s="406"/>
      <c r="V2579" s="390"/>
      <c r="W2579" s="393"/>
    </row>
    <row r="2580" spans="1:23" s="403" customFormat="1" ht="42.75" customHeight="1">
      <c r="A2580" s="404">
        <f t="shared" si="352"/>
        <v>28</v>
      </c>
      <c r="B2580" s="705" t="s">
        <v>2103</v>
      </c>
      <c r="C2580" s="455" t="s">
        <v>240</v>
      </c>
      <c r="D2580" s="747">
        <v>3330</v>
      </c>
      <c r="E2580" s="748">
        <v>746</v>
      </c>
      <c r="F2580" s="748" t="s">
        <v>252</v>
      </c>
      <c r="G2580" s="748">
        <v>661</v>
      </c>
      <c r="H2580" s="676">
        <v>2</v>
      </c>
      <c r="I2580" s="446">
        <v>2</v>
      </c>
      <c r="J2580" s="749">
        <v>12</v>
      </c>
      <c r="K2580" s="750" t="s">
        <v>33</v>
      </c>
      <c r="L2580" s="519">
        <f t="shared" si="353"/>
        <v>2240095.48</v>
      </c>
      <c r="M2580" s="751">
        <v>2193268</v>
      </c>
      <c r="N2580" s="752">
        <v>30603</v>
      </c>
      <c r="O2580" s="753"/>
      <c r="P2580" s="752"/>
      <c r="Q2580" s="752">
        <v>16224.48</v>
      </c>
      <c r="R2580" s="528">
        <f t="shared" si="354"/>
        <v>3318.1059001512858</v>
      </c>
      <c r="S2580" s="383">
        <f t="shared" si="348"/>
        <v>-1.8189894035458565E-11</v>
      </c>
      <c r="T2580" s="391"/>
      <c r="U2580" s="406"/>
      <c r="V2580" s="390"/>
      <c r="W2580" s="393"/>
    </row>
    <row r="2581" spans="1:23" s="403" customFormat="1" ht="42.75" customHeight="1">
      <c r="A2581" s="404">
        <f t="shared" si="352"/>
        <v>29</v>
      </c>
      <c r="B2581" s="705" t="s">
        <v>2104</v>
      </c>
      <c r="C2581" s="455" t="s">
        <v>240</v>
      </c>
      <c r="D2581" s="747">
        <v>1968</v>
      </c>
      <c r="E2581" s="748">
        <v>465</v>
      </c>
      <c r="F2581" s="748" t="s">
        <v>252</v>
      </c>
      <c r="G2581" s="748">
        <v>407</v>
      </c>
      <c r="H2581" s="676">
        <v>2</v>
      </c>
      <c r="I2581" s="446">
        <v>2</v>
      </c>
      <c r="J2581" s="749">
        <v>12</v>
      </c>
      <c r="K2581" s="750" t="s">
        <v>33</v>
      </c>
      <c r="L2581" s="519">
        <f t="shared" si="353"/>
        <v>1433957.97</v>
      </c>
      <c r="M2581" s="751">
        <v>1396200</v>
      </c>
      <c r="N2581" s="752">
        <v>28169.439999999999</v>
      </c>
      <c r="O2581" s="753"/>
      <c r="P2581" s="752"/>
      <c r="Q2581" s="752">
        <v>9588.5300000000007</v>
      </c>
      <c r="R2581" s="528">
        <f t="shared" si="354"/>
        <v>3430.4668304668303</v>
      </c>
      <c r="S2581" s="383">
        <f t="shared" si="348"/>
        <v>-2.7284841053187847E-11</v>
      </c>
      <c r="T2581" s="391"/>
      <c r="U2581" s="406"/>
      <c r="V2581" s="390"/>
      <c r="W2581" s="393"/>
    </row>
    <row r="2582" spans="1:23" s="403" customFormat="1" ht="45" customHeight="1">
      <c r="A2582" s="404">
        <f t="shared" si="352"/>
        <v>30</v>
      </c>
      <c r="B2582" s="705" t="s">
        <v>2108</v>
      </c>
      <c r="C2582" s="455" t="s">
        <v>240</v>
      </c>
      <c r="D2582" s="747">
        <v>15321</v>
      </c>
      <c r="E2582" s="748">
        <v>2638</v>
      </c>
      <c r="F2582" s="748" t="s">
        <v>252</v>
      </c>
      <c r="G2582" s="748">
        <v>1451</v>
      </c>
      <c r="H2582" s="676">
        <v>4</v>
      </c>
      <c r="I2582" s="446">
        <v>2</v>
      </c>
      <c r="J2582" s="749">
        <v>72</v>
      </c>
      <c r="K2582" s="750" t="s">
        <v>33</v>
      </c>
      <c r="L2582" s="519">
        <f t="shared" si="353"/>
        <v>4122598</v>
      </c>
      <c r="M2582" s="751">
        <v>4062800</v>
      </c>
      <c r="N2582" s="752">
        <v>29948</v>
      </c>
      <c r="O2582" s="753"/>
      <c r="P2582" s="752"/>
      <c r="Q2582" s="752">
        <v>29850</v>
      </c>
      <c r="R2582" s="528">
        <f>M2582/E2582</f>
        <v>1540.1061410159211</v>
      </c>
      <c r="S2582" s="383">
        <f t="shared" si="348"/>
        <v>0</v>
      </c>
      <c r="T2582" s="391"/>
      <c r="U2582" s="406"/>
      <c r="V2582" s="390"/>
      <c r="W2582" s="393"/>
    </row>
    <row r="2583" spans="1:23" s="403" customFormat="1" ht="45" customHeight="1">
      <c r="A2583" s="404">
        <f t="shared" si="352"/>
        <v>31</v>
      </c>
      <c r="B2583" s="705" t="s">
        <v>2109</v>
      </c>
      <c r="C2583" s="455" t="s">
        <v>240</v>
      </c>
      <c r="D2583" s="747">
        <v>1839</v>
      </c>
      <c r="E2583" s="748">
        <v>428</v>
      </c>
      <c r="F2583" s="748" t="s">
        <v>252</v>
      </c>
      <c r="G2583" s="748">
        <v>403</v>
      </c>
      <c r="H2583" s="676">
        <v>2</v>
      </c>
      <c r="I2583" s="446">
        <v>1</v>
      </c>
      <c r="J2583" s="749">
        <v>8</v>
      </c>
      <c r="K2583" s="750" t="s">
        <v>33</v>
      </c>
      <c r="L2583" s="519">
        <f t="shared" si="353"/>
        <v>1432998</v>
      </c>
      <c r="M2583" s="751">
        <v>1396200</v>
      </c>
      <c r="N2583" s="752">
        <v>27838</v>
      </c>
      <c r="O2583" s="753"/>
      <c r="P2583" s="752"/>
      <c r="Q2583" s="752">
        <v>8960</v>
      </c>
      <c r="R2583" s="528">
        <f>M2583/G2583</f>
        <v>3464.516129032258</v>
      </c>
      <c r="S2583" s="383">
        <f t="shared" si="348"/>
        <v>0</v>
      </c>
      <c r="T2583" s="391"/>
      <c r="U2583" s="406"/>
      <c r="V2583" s="390"/>
      <c r="W2583" s="393"/>
    </row>
    <row r="2584" spans="1:23" s="403" customFormat="1" ht="56.25" customHeight="1">
      <c r="A2584" s="404">
        <f t="shared" si="352"/>
        <v>32</v>
      </c>
      <c r="B2584" s="705" t="s">
        <v>2110</v>
      </c>
      <c r="C2584" s="455" t="s">
        <v>240</v>
      </c>
      <c r="D2584" s="747">
        <v>8382</v>
      </c>
      <c r="E2584" s="748">
        <v>1968</v>
      </c>
      <c r="F2584" s="748" t="s">
        <v>252</v>
      </c>
      <c r="G2584" s="748">
        <v>1081</v>
      </c>
      <c r="H2584" s="676">
        <v>3</v>
      </c>
      <c r="I2584" s="446">
        <v>3</v>
      </c>
      <c r="J2584" s="749">
        <v>24</v>
      </c>
      <c r="K2584" s="750" t="s">
        <v>321</v>
      </c>
      <c r="L2584" s="519">
        <f t="shared" si="353"/>
        <v>3256575.5</v>
      </c>
      <c r="M2584" s="751">
        <v>3212518</v>
      </c>
      <c r="N2584" s="752"/>
      <c r="O2584" s="753">
        <v>14207.5</v>
      </c>
      <c r="P2584" s="752"/>
      <c r="Q2584" s="752">
        <v>29850</v>
      </c>
      <c r="R2584" s="528">
        <f>M2584/E2584</f>
        <v>1632.3770325203252</v>
      </c>
      <c r="S2584" s="383">
        <f t="shared" ref="S2584:S2627" si="355">L2584-M2584-N2584-O2584-P2584-Q2584</f>
        <v>0</v>
      </c>
      <c r="T2584" s="391"/>
      <c r="U2584" s="406"/>
      <c r="V2584" s="390"/>
      <c r="W2584" s="393"/>
    </row>
    <row r="2585" spans="1:23" s="403" customFormat="1" ht="37.5" customHeight="1">
      <c r="A2585" s="404">
        <f t="shared" si="352"/>
        <v>33</v>
      </c>
      <c r="B2585" s="705" t="s">
        <v>2111</v>
      </c>
      <c r="C2585" s="455" t="s">
        <v>222</v>
      </c>
      <c r="D2585" s="747">
        <v>13072</v>
      </c>
      <c r="E2585" s="748">
        <v>4150</v>
      </c>
      <c r="F2585" s="748" t="s">
        <v>228</v>
      </c>
      <c r="G2585" s="748">
        <v>1050</v>
      </c>
      <c r="H2585" s="676">
        <v>5</v>
      </c>
      <c r="I2585" s="446">
        <v>4</v>
      </c>
      <c r="J2585" s="749">
        <v>64</v>
      </c>
      <c r="K2585" s="750" t="s">
        <v>33</v>
      </c>
      <c r="L2585" s="519">
        <f t="shared" si="353"/>
        <v>2561645</v>
      </c>
      <c r="M2585" s="751">
        <v>2520000</v>
      </c>
      <c r="N2585" s="752"/>
      <c r="O2585" s="753">
        <v>21745</v>
      </c>
      <c r="P2585" s="752"/>
      <c r="Q2585" s="752">
        <v>19900</v>
      </c>
      <c r="R2585" s="528">
        <f>M2585/G2585</f>
        <v>2400</v>
      </c>
      <c r="S2585" s="383">
        <f t="shared" si="355"/>
        <v>0</v>
      </c>
      <c r="T2585" s="391"/>
      <c r="U2585" s="406"/>
      <c r="V2585" s="390"/>
      <c r="W2585" s="393"/>
    </row>
    <row r="2586" spans="1:23" s="403" customFormat="1" ht="56.25" customHeight="1">
      <c r="A2586" s="404">
        <f t="shared" si="352"/>
        <v>34</v>
      </c>
      <c r="B2586" s="705" t="s">
        <v>2112</v>
      </c>
      <c r="C2586" s="455" t="s">
        <v>222</v>
      </c>
      <c r="D2586" s="747">
        <v>12570</v>
      </c>
      <c r="E2586" s="748">
        <v>2400</v>
      </c>
      <c r="F2586" s="748" t="s">
        <v>228</v>
      </c>
      <c r="G2586" s="748">
        <v>1061</v>
      </c>
      <c r="H2586" s="676">
        <v>5</v>
      </c>
      <c r="I2586" s="446">
        <v>4</v>
      </c>
      <c r="J2586" s="749">
        <v>78</v>
      </c>
      <c r="K2586" s="750" t="s">
        <v>239</v>
      </c>
      <c r="L2586" s="519">
        <f t="shared" si="353"/>
        <v>2469723.88</v>
      </c>
      <c r="M2586" s="751">
        <v>2404861.94</v>
      </c>
      <c r="N2586" s="752">
        <v>30543</v>
      </c>
      <c r="O2586" s="753"/>
      <c r="P2586" s="752"/>
      <c r="Q2586" s="752">
        <v>34318.94</v>
      </c>
      <c r="R2586" s="528">
        <f>M2586/J2586</f>
        <v>30831.563333333332</v>
      </c>
      <c r="S2586" s="383">
        <f t="shared" si="355"/>
        <v>-5.8207660913467407E-11</v>
      </c>
      <c r="T2586" s="391"/>
      <c r="U2586" s="406"/>
      <c r="V2586" s="390"/>
      <c r="W2586" s="393"/>
    </row>
    <row r="2587" spans="1:23" s="403" customFormat="1" ht="37.5" customHeight="1">
      <c r="A2587" s="404">
        <f t="shared" si="352"/>
        <v>35</v>
      </c>
      <c r="B2587" s="705" t="s">
        <v>2113</v>
      </c>
      <c r="C2587" s="455" t="s">
        <v>222</v>
      </c>
      <c r="D2587" s="747">
        <v>12641</v>
      </c>
      <c r="E2587" s="748">
        <v>2400</v>
      </c>
      <c r="F2587" s="748" t="s">
        <v>228</v>
      </c>
      <c r="G2587" s="748">
        <v>1061</v>
      </c>
      <c r="H2587" s="676">
        <v>5</v>
      </c>
      <c r="I2587" s="446">
        <v>4</v>
      </c>
      <c r="J2587" s="749">
        <v>80</v>
      </c>
      <c r="K2587" s="750" t="s">
        <v>33</v>
      </c>
      <c r="L2587" s="519">
        <f t="shared" si="353"/>
        <v>2588540</v>
      </c>
      <c r="M2587" s="751">
        <v>2546400</v>
      </c>
      <c r="N2587" s="752"/>
      <c r="O2587" s="753">
        <v>22240</v>
      </c>
      <c r="P2587" s="752"/>
      <c r="Q2587" s="752">
        <v>19900</v>
      </c>
      <c r="R2587" s="528">
        <f>M2587/G2587</f>
        <v>2400</v>
      </c>
      <c r="S2587" s="383">
        <f t="shared" si="355"/>
        <v>0</v>
      </c>
      <c r="T2587" s="391"/>
      <c r="U2587" s="406"/>
      <c r="V2587" s="390"/>
      <c r="W2587" s="393"/>
    </row>
    <row r="2588" spans="1:23" s="403" customFormat="1" ht="37.5" customHeight="1">
      <c r="A2588" s="404">
        <f t="shared" si="352"/>
        <v>36</v>
      </c>
      <c r="B2588" s="705" t="s">
        <v>2114</v>
      </c>
      <c r="C2588" s="455" t="s">
        <v>222</v>
      </c>
      <c r="D2588" s="747">
        <v>13252</v>
      </c>
      <c r="E2588" s="748">
        <v>1653</v>
      </c>
      <c r="F2588" s="748" t="s">
        <v>228</v>
      </c>
      <c r="G2588" s="748">
        <v>1041</v>
      </c>
      <c r="H2588" s="676">
        <v>5</v>
      </c>
      <c r="I2588" s="446">
        <v>4</v>
      </c>
      <c r="J2588" s="749">
        <v>64</v>
      </c>
      <c r="K2588" s="750" t="s">
        <v>33</v>
      </c>
      <c r="L2588" s="519">
        <f t="shared" si="353"/>
        <v>2134711</v>
      </c>
      <c r="M2588" s="751">
        <v>2093000</v>
      </c>
      <c r="N2588" s="752"/>
      <c r="O2588" s="753">
        <v>21811</v>
      </c>
      <c r="P2588" s="752"/>
      <c r="Q2588" s="752">
        <v>19900</v>
      </c>
      <c r="R2588" s="528">
        <f>M2588/G2588</f>
        <v>2010.5667627281459</v>
      </c>
      <c r="S2588" s="383">
        <f t="shared" si="355"/>
        <v>0</v>
      </c>
      <c r="T2588" s="391"/>
      <c r="U2588" s="406"/>
      <c r="V2588" s="390"/>
      <c r="W2588" s="393"/>
    </row>
    <row r="2589" spans="1:23" s="403" customFormat="1" ht="37.5" customHeight="1">
      <c r="A2589" s="404">
        <f t="shared" si="352"/>
        <v>37</v>
      </c>
      <c r="B2589" s="705" t="s">
        <v>2115</v>
      </c>
      <c r="C2589" s="455" t="s">
        <v>222</v>
      </c>
      <c r="D2589" s="747">
        <v>40866</v>
      </c>
      <c r="E2589" s="748">
        <v>4038</v>
      </c>
      <c r="F2589" s="748" t="s">
        <v>228</v>
      </c>
      <c r="G2589" s="748">
        <v>1486</v>
      </c>
      <c r="H2589" s="676">
        <v>9</v>
      </c>
      <c r="I2589" s="446">
        <v>4</v>
      </c>
      <c r="J2589" s="749">
        <v>128</v>
      </c>
      <c r="K2589" s="750" t="s">
        <v>33</v>
      </c>
      <c r="L2589" s="519">
        <f t="shared" si="353"/>
        <v>3317615</v>
      </c>
      <c r="M2589" s="751">
        <v>3269200</v>
      </c>
      <c r="N2589" s="752"/>
      <c r="O2589" s="753">
        <v>28515</v>
      </c>
      <c r="P2589" s="752"/>
      <c r="Q2589" s="752">
        <v>19900</v>
      </c>
      <c r="R2589" s="528">
        <f>M2589/G2589</f>
        <v>2200</v>
      </c>
      <c r="S2589" s="383">
        <f t="shared" si="355"/>
        <v>0</v>
      </c>
      <c r="T2589" s="391"/>
      <c r="U2589" s="406"/>
      <c r="V2589" s="390"/>
      <c r="W2589" s="393"/>
    </row>
    <row r="2590" spans="1:23" s="403" customFormat="1" ht="37.5" customHeight="1">
      <c r="A2590" s="404">
        <f t="shared" si="352"/>
        <v>38</v>
      </c>
      <c r="B2590" s="705" t="s">
        <v>2117</v>
      </c>
      <c r="C2590" s="455" t="s">
        <v>222</v>
      </c>
      <c r="D2590" s="747">
        <v>12314</v>
      </c>
      <c r="E2590" s="748">
        <v>2400</v>
      </c>
      <c r="F2590" s="748" t="s">
        <v>228</v>
      </c>
      <c r="G2590" s="748">
        <v>1041</v>
      </c>
      <c r="H2590" s="676">
        <v>5</v>
      </c>
      <c r="I2590" s="446">
        <v>4</v>
      </c>
      <c r="J2590" s="749">
        <v>79</v>
      </c>
      <c r="K2590" s="750" t="s">
        <v>33</v>
      </c>
      <c r="L2590" s="519">
        <f t="shared" si="353"/>
        <v>2332216</v>
      </c>
      <c r="M2590" s="751">
        <v>2290200</v>
      </c>
      <c r="N2590" s="752"/>
      <c r="O2590" s="753">
        <v>22116</v>
      </c>
      <c r="P2590" s="752"/>
      <c r="Q2590" s="752">
        <v>19900</v>
      </c>
      <c r="R2590" s="528">
        <f>M2590/G2590</f>
        <v>2200</v>
      </c>
      <c r="S2590" s="383">
        <f t="shared" si="355"/>
        <v>0</v>
      </c>
      <c r="T2590" s="391"/>
      <c r="U2590" s="406"/>
      <c r="V2590" s="390"/>
      <c r="W2590" s="393"/>
    </row>
    <row r="2591" spans="1:23" s="403" customFormat="1" ht="37.5" customHeight="1">
      <c r="A2591" s="404">
        <f t="shared" si="352"/>
        <v>39</v>
      </c>
      <c r="B2591" s="705" t="s">
        <v>2118</v>
      </c>
      <c r="C2591" s="455" t="s">
        <v>218</v>
      </c>
      <c r="D2591" s="747">
        <v>17896</v>
      </c>
      <c r="E2591" s="748">
        <v>4117</v>
      </c>
      <c r="F2591" s="748" t="s">
        <v>228</v>
      </c>
      <c r="G2591" s="748">
        <v>1524</v>
      </c>
      <c r="H2591" s="676">
        <v>5</v>
      </c>
      <c r="I2591" s="446">
        <v>6</v>
      </c>
      <c r="J2591" s="749">
        <v>92</v>
      </c>
      <c r="K2591" s="750" t="s">
        <v>33</v>
      </c>
      <c r="L2591" s="519">
        <f t="shared" si="353"/>
        <v>3910786</v>
      </c>
      <c r="M2591" s="751">
        <v>3868786</v>
      </c>
      <c r="N2591" s="752"/>
      <c r="O2591" s="753">
        <v>22100</v>
      </c>
      <c r="P2591" s="752"/>
      <c r="Q2591" s="752">
        <v>19900</v>
      </c>
      <c r="R2591" s="528">
        <f>M2591/G2591</f>
        <v>2538.5734908136483</v>
      </c>
      <c r="S2591" s="383">
        <f t="shared" si="355"/>
        <v>0</v>
      </c>
      <c r="T2591" s="391"/>
      <c r="U2591" s="406"/>
      <c r="V2591" s="390"/>
      <c r="W2591" s="393"/>
    </row>
    <row r="2592" spans="1:23" s="403" customFormat="1" ht="37.5" customHeight="1">
      <c r="A2592" s="404">
        <f t="shared" si="352"/>
        <v>40</v>
      </c>
      <c r="B2592" s="705" t="s">
        <v>2119</v>
      </c>
      <c r="C2592" s="455" t="s">
        <v>218</v>
      </c>
      <c r="D2592" s="747">
        <v>18167</v>
      </c>
      <c r="E2592" s="748">
        <v>440</v>
      </c>
      <c r="F2592" s="748" t="s">
        <v>228</v>
      </c>
      <c r="G2592" s="748">
        <v>1524</v>
      </c>
      <c r="H2592" s="676">
        <v>5</v>
      </c>
      <c r="I2592" s="446">
        <v>6</v>
      </c>
      <c r="J2592" s="749">
        <v>92</v>
      </c>
      <c r="K2592" s="750" t="s">
        <v>426</v>
      </c>
      <c r="L2592" s="519">
        <f t="shared" si="353"/>
        <v>1461610</v>
      </c>
      <c r="M2592" s="751">
        <v>1399543</v>
      </c>
      <c r="N2592" s="752">
        <v>32217</v>
      </c>
      <c r="O2592" s="753"/>
      <c r="P2592" s="752"/>
      <c r="Q2592" s="752">
        <v>29850</v>
      </c>
      <c r="R2592" s="528">
        <f>M2592/E2592</f>
        <v>3180.7795454545453</v>
      </c>
      <c r="S2592" s="383">
        <f t="shared" si="355"/>
        <v>0</v>
      </c>
      <c r="T2592" s="391"/>
      <c r="U2592" s="406"/>
      <c r="V2592" s="390"/>
      <c r="W2592" s="393"/>
    </row>
    <row r="2593" spans="1:23" s="403" customFormat="1" ht="37.5" customHeight="1">
      <c r="A2593" s="404">
        <f t="shared" si="352"/>
        <v>41</v>
      </c>
      <c r="B2593" s="705" t="s">
        <v>2121</v>
      </c>
      <c r="C2593" s="455" t="s">
        <v>240</v>
      </c>
      <c r="D2593" s="747">
        <v>1954</v>
      </c>
      <c r="E2593" s="748">
        <v>449</v>
      </c>
      <c r="F2593" s="748" t="s">
        <v>252</v>
      </c>
      <c r="G2593" s="748">
        <v>384</v>
      </c>
      <c r="H2593" s="676">
        <v>2</v>
      </c>
      <c r="I2593" s="446">
        <v>1</v>
      </c>
      <c r="J2593" s="749">
        <v>8</v>
      </c>
      <c r="K2593" s="750" t="s">
        <v>33</v>
      </c>
      <c r="L2593" s="519">
        <f t="shared" si="353"/>
        <v>1275395.31</v>
      </c>
      <c r="M2593" s="751">
        <v>1237600</v>
      </c>
      <c r="N2593" s="752">
        <v>28275</v>
      </c>
      <c r="O2593" s="753"/>
      <c r="P2593" s="752"/>
      <c r="Q2593" s="752">
        <v>9520.31</v>
      </c>
      <c r="R2593" s="528">
        <f>M2593/G2593</f>
        <v>3222.9166666666665</v>
      </c>
      <c r="S2593" s="383">
        <f t="shared" si="355"/>
        <v>5.6388671509921551E-11</v>
      </c>
      <c r="T2593" s="391"/>
      <c r="U2593" s="406"/>
      <c r="V2593" s="390"/>
      <c r="W2593" s="393"/>
    </row>
    <row r="2594" spans="1:23" s="403" customFormat="1" ht="32.25" customHeight="1">
      <c r="A2594" s="404">
        <f t="shared" si="352"/>
        <v>42</v>
      </c>
      <c r="B2594" s="705" t="s">
        <v>2122</v>
      </c>
      <c r="C2594" s="455" t="s">
        <v>240</v>
      </c>
      <c r="D2594" s="747">
        <v>1854</v>
      </c>
      <c r="E2594" s="748">
        <v>757</v>
      </c>
      <c r="F2594" s="748" t="s">
        <v>252</v>
      </c>
      <c r="G2594" s="748">
        <v>377</v>
      </c>
      <c r="H2594" s="676">
        <v>2</v>
      </c>
      <c r="I2594" s="446">
        <v>1</v>
      </c>
      <c r="J2594" s="749">
        <v>8</v>
      </c>
      <c r="K2594" s="750" t="s">
        <v>38</v>
      </c>
      <c r="L2594" s="519">
        <f>M2594+N2594+O2594+P2594+Q2594</f>
        <v>1275445.3</v>
      </c>
      <c r="M2594" s="751">
        <v>1251600</v>
      </c>
      <c r="N2594" s="752"/>
      <c r="O2594" s="753">
        <v>12081.28</v>
      </c>
      <c r="P2594" s="752"/>
      <c r="Q2594" s="752">
        <v>11764.02</v>
      </c>
      <c r="R2594" s="528">
        <f>M2594/E2594</f>
        <v>1653.3685601056802</v>
      </c>
      <c r="S2594" s="383">
        <f t="shared" si="355"/>
        <v>4.5474735088646412E-11</v>
      </c>
      <c r="T2594" s="391"/>
      <c r="U2594" s="406"/>
      <c r="V2594" s="390"/>
      <c r="W2594" s="393"/>
    </row>
    <row r="2595" spans="1:23" s="403" customFormat="1" ht="32.25" customHeight="1">
      <c r="A2595" s="404">
        <f t="shared" si="352"/>
        <v>43</v>
      </c>
      <c r="B2595" s="705" t="s">
        <v>2123</v>
      </c>
      <c r="C2595" s="455" t="s">
        <v>240</v>
      </c>
      <c r="D2595" s="747">
        <v>2603</v>
      </c>
      <c r="E2595" s="748">
        <v>629</v>
      </c>
      <c r="F2595" s="748" t="s">
        <v>252</v>
      </c>
      <c r="G2595" s="748">
        <v>543</v>
      </c>
      <c r="H2595" s="676">
        <v>2</v>
      </c>
      <c r="I2595" s="446">
        <v>2</v>
      </c>
      <c r="J2595" s="749">
        <v>16</v>
      </c>
      <c r="K2595" s="750" t="s">
        <v>33</v>
      </c>
      <c r="L2595" s="519">
        <f t="shared" ref="L2595:L2611" si="356">SUM(M2595:Q2595)</f>
        <v>1825850.37</v>
      </c>
      <c r="M2595" s="751">
        <v>1783600</v>
      </c>
      <c r="N2595" s="752">
        <v>29566</v>
      </c>
      <c r="O2595" s="753"/>
      <c r="P2595" s="752"/>
      <c r="Q2595" s="752">
        <v>12684.37</v>
      </c>
      <c r="R2595" s="528">
        <f>M2595/G2595</f>
        <v>3284.7145488029464</v>
      </c>
      <c r="S2595" s="383">
        <f t="shared" si="355"/>
        <v>1.1095835361629725E-10</v>
      </c>
      <c r="T2595" s="391"/>
      <c r="U2595" s="406"/>
      <c r="V2595" s="390"/>
      <c r="W2595" s="393"/>
    </row>
    <row r="2596" spans="1:23" s="403" customFormat="1" ht="37.5" customHeight="1">
      <c r="A2596" s="404">
        <f t="shared" si="352"/>
        <v>44</v>
      </c>
      <c r="B2596" s="705" t="s">
        <v>2124</v>
      </c>
      <c r="C2596" s="455" t="s">
        <v>222</v>
      </c>
      <c r="D2596" s="747">
        <v>7034</v>
      </c>
      <c r="E2596" s="748">
        <v>1610.7</v>
      </c>
      <c r="F2596" s="748" t="s">
        <v>234</v>
      </c>
      <c r="G2596" s="748">
        <v>926</v>
      </c>
      <c r="H2596" s="676">
        <v>3</v>
      </c>
      <c r="I2596" s="446">
        <v>3</v>
      </c>
      <c r="J2596" s="749">
        <v>36</v>
      </c>
      <c r="K2596" s="750" t="s">
        <v>227</v>
      </c>
      <c r="L2596" s="519">
        <f t="shared" si="356"/>
        <v>4886760.53</v>
      </c>
      <c r="M2596" s="751">
        <v>4832100</v>
      </c>
      <c r="N2596" s="752">
        <v>26703</v>
      </c>
      <c r="O2596" s="753"/>
      <c r="P2596" s="752"/>
      <c r="Q2596" s="752">
        <v>27957.53</v>
      </c>
      <c r="R2596" s="528">
        <f>M2596/E2596</f>
        <v>3000</v>
      </c>
      <c r="S2596" s="383">
        <f t="shared" si="355"/>
        <v>2.6193447411060333E-10</v>
      </c>
      <c r="T2596" s="391"/>
      <c r="U2596" s="406"/>
      <c r="V2596" s="390"/>
      <c r="W2596" s="393"/>
    </row>
    <row r="2597" spans="1:23" s="403" customFormat="1" ht="37.5" customHeight="1">
      <c r="A2597" s="404">
        <f t="shared" si="352"/>
        <v>45</v>
      </c>
      <c r="B2597" s="705" t="s">
        <v>2125</v>
      </c>
      <c r="C2597" s="455" t="s">
        <v>240</v>
      </c>
      <c r="D2597" s="747">
        <v>2603</v>
      </c>
      <c r="E2597" s="748">
        <v>559</v>
      </c>
      <c r="F2597" s="748" t="s">
        <v>252</v>
      </c>
      <c r="G2597" s="748">
        <v>552</v>
      </c>
      <c r="H2597" s="676">
        <v>2</v>
      </c>
      <c r="I2597" s="446">
        <v>2</v>
      </c>
      <c r="J2597" s="749">
        <v>12</v>
      </c>
      <c r="K2597" s="750" t="s">
        <v>225</v>
      </c>
      <c r="L2597" s="519">
        <f t="shared" si="356"/>
        <v>401888.69</v>
      </c>
      <c r="M2597" s="751">
        <v>377517</v>
      </c>
      <c r="N2597" s="752">
        <v>22278.05</v>
      </c>
      <c r="O2597" s="753"/>
      <c r="P2597" s="752"/>
      <c r="Q2597" s="752">
        <v>2093.64</v>
      </c>
      <c r="R2597" s="528">
        <f>M2597/J2597</f>
        <v>31459.75</v>
      </c>
      <c r="S2597" s="383">
        <f t="shared" si="355"/>
        <v>0</v>
      </c>
      <c r="T2597" s="391"/>
      <c r="U2597" s="406"/>
      <c r="V2597" s="390"/>
      <c r="W2597" s="393"/>
    </row>
    <row r="2598" spans="1:23" s="403" customFormat="1" ht="37.5" customHeight="1">
      <c r="A2598" s="404">
        <f t="shared" si="352"/>
        <v>46</v>
      </c>
      <c r="B2598" s="705" t="s">
        <v>2126</v>
      </c>
      <c r="C2598" s="455" t="s">
        <v>222</v>
      </c>
      <c r="D2598" s="747">
        <v>5939</v>
      </c>
      <c r="E2598" s="748">
        <v>1343</v>
      </c>
      <c r="F2598" s="748" t="s">
        <v>234</v>
      </c>
      <c r="G2598" s="748">
        <v>488</v>
      </c>
      <c r="H2598" s="676">
        <v>5</v>
      </c>
      <c r="I2598" s="446">
        <v>2</v>
      </c>
      <c r="J2598" s="749">
        <v>30</v>
      </c>
      <c r="K2598" s="750" t="s">
        <v>227</v>
      </c>
      <c r="L2598" s="519">
        <f t="shared" si="356"/>
        <v>4869009.58</v>
      </c>
      <c r="M2598" s="752">
        <v>4800000</v>
      </c>
      <c r="N2598" s="752">
        <v>29971</v>
      </c>
      <c r="O2598" s="753">
        <v>20728</v>
      </c>
      <c r="P2598" s="752"/>
      <c r="Q2598" s="752">
        <v>18310.580000000002</v>
      </c>
      <c r="R2598" s="528">
        <f>M2598/G2598</f>
        <v>9836.065573770491</v>
      </c>
      <c r="S2598" s="383">
        <f t="shared" si="355"/>
        <v>7.2759576141834259E-11</v>
      </c>
      <c r="T2598" s="391"/>
      <c r="U2598" s="406"/>
      <c r="V2598" s="390"/>
      <c r="W2598" s="393"/>
    </row>
    <row r="2599" spans="1:23" s="403" customFormat="1" ht="37.5" customHeight="1">
      <c r="A2599" s="404">
        <f t="shared" si="352"/>
        <v>47</v>
      </c>
      <c r="B2599" s="705" t="s">
        <v>2127</v>
      </c>
      <c r="C2599" s="455" t="s">
        <v>222</v>
      </c>
      <c r="D2599" s="747">
        <v>5626</v>
      </c>
      <c r="E2599" s="748">
        <v>1294</v>
      </c>
      <c r="F2599" s="748" t="s">
        <v>234</v>
      </c>
      <c r="G2599" s="748">
        <v>505</v>
      </c>
      <c r="H2599" s="676">
        <v>5</v>
      </c>
      <c r="I2599" s="446">
        <v>2</v>
      </c>
      <c r="J2599" s="749">
        <v>30</v>
      </c>
      <c r="K2599" s="750" t="s">
        <v>33</v>
      </c>
      <c r="L2599" s="519">
        <f t="shared" si="356"/>
        <v>1250068.56</v>
      </c>
      <c r="M2599" s="751">
        <v>1212000</v>
      </c>
      <c r="N2599" s="752"/>
      <c r="O2599" s="753">
        <v>20723</v>
      </c>
      <c r="P2599" s="752"/>
      <c r="Q2599" s="752">
        <v>17345.560000000001</v>
      </c>
      <c r="R2599" s="528">
        <f>M2599/G2599</f>
        <v>2400</v>
      </c>
      <c r="S2599" s="383">
        <f t="shared" si="355"/>
        <v>5.4569682106375694E-11</v>
      </c>
      <c r="T2599" s="391"/>
      <c r="U2599" s="406"/>
      <c r="V2599" s="390"/>
      <c r="W2599" s="393"/>
    </row>
    <row r="2600" spans="1:23" s="403" customFormat="1" ht="43.5" customHeight="1">
      <c r="A2600" s="404">
        <f t="shared" si="352"/>
        <v>48</v>
      </c>
      <c r="B2600" s="705" t="s">
        <v>2128</v>
      </c>
      <c r="C2600" s="455" t="s">
        <v>240</v>
      </c>
      <c r="D2600" s="747">
        <v>1892</v>
      </c>
      <c r="E2600" s="748">
        <v>430</v>
      </c>
      <c r="F2600" s="748" t="s">
        <v>252</v>
      </c>
      <c r="G2600" s="748">
        <v>421</v>
      </c>
      <c r="H2600" s="676">
        <v>2</v>
      </c>
      <c r="I2600" s="446">
        <v>1</v>
      </c>
      <c r="J2600" s="749">
        <v>8</v>
      </c>
      <c r="K2600" s="750" t="s">
        <v>33</v>
      </c>
      <c r="L2600" s="519">
        <f t="shared" si="356"/>
        <v>1433533.24</v>
      </c>
      <c r="M2600" s="751">
        <v>1396200</v>
      </c>
      <c r="N2600" s="752">
        <v>28115</v>
      </c>
      <c r="O2600" s="753"/>
      <c r="P2600" s="752"/>
      <c r="Q2600" s="752">
        <v>9218.24</v>
      </c>
      <c r="R2600" s="528">
        <f>M2600/G2600</f>
        <v>3316.3895486935867</v>
      </c>
      <c r="S2600" s="383">
        <f t="shared" si="355"/>
        <v>0</v>
      </c>
      <c r="T2600" s="391"/>
      <c r="U2600" s="406"/>
      <c r="V2600" s="390"/>
      <c r="W2600" s="393"/>
    </row>
    <row r="2601" spans="1:23" s="403" customFormat="1" ht="42" customHeight="1">
      <c r="A2601" s="404">
        <f t="shared" si="352"/>
        <v>49</v>
      </c>
      <c r="B2601" s="705" t="s">
        <v>2129</v>
      </c>
      <c r="C2601" s="455" t="s">
        <v>240</v>
      </c>
      <c r="D2601" s="747">
        <v>3241</v>
      </c>
      <c r="E2601" s="748">
        <v>758</v>
      </c>
      <c r="F2601" s="748" t="s">
        <v>252</v>
      </c>
      <c r="G2601" s="748">
        <v>653</v>
      </c>
      <c r="H2601" s="676">
        <v>2</v>
      </c>
      <c r="I2601" s="446">
        <v>2</v>
      </c>
      <c r="J2601" s="749">
        <v>12</v>
      </c>
      <c r="K2601" s="750" t="s">
        <v>33</v>
      </c>
      <c r="L2601" s="519">
        <f t="shared" si="356"/>
        <v>2204772.85</v>
      </c>
      <c r="M2601" s="751">
        <v>2158600</v>
      </c>
      <c r="N2601" s="752">
        <v>30382</v>
      </c>
      <c r="O2601" s="753"/>
      <c r="P2601" s="752"/>
      <c r="Q2601" s="752">
        <v>15790.85</v>
      </c>
      <c r="R2601" s="528">
        <f>M2601/G2601</f>
        <v>3305.6661562021441</v>
      </c>
      <c r="S2601" s="383">
        <f t="shared" si="355"/>
        <v>9.276845958083868E-11</v>
      </c>
      <c r="T2601" s="391"/>
      <c r="U2601" s="406"/>
      <c r="V2601" s="390"/>
      <c r="W2601" s="393"/>
    </row>
    <row r="2602" spans="1:23" s="403" customFormat="1" ht="42" customHeight="1">
      <c r="A2602" s="404">
        <f t="shared" si="352"/>
        <v>50</v>
      </c>
      <c r="B2602" s="705" t="s">
        <v>4245</v>
      </c>
      <c r="C2602" s="379" t="s">
        <v>240</v>
      </c>
      <c r="D2602" s="838">
        <v>1922</v>
      </c>
      <c r="E2602" s="748">
        <v>657</v>
      </c>
      <c r="F2602" s="748" t="s">
        <v>252</v>
      </c>
      <c r="G2602" s="748">
        <v>381</v>
      </c>
      <c r="H2602" s="676">
        <v>2</v>
      </c>
      <c r="I2602" s="382">
        <v>1</v>
      </c>
      <c r="J2602" s="749">
        <v>8</v>
      </c>
      <c r="K2602" s="750" t="s">
        <v>38</v>
      </c>
      <c r="L2602" s="519">
        <f t="shared" si="356"/>
        <v>1111788.03</v>
      </c>
      <c r="M2602" s="473">
        <v>1099570.24</v>
      </c>
      <c r="N2602" s="752"/>
      <c r="O2602" s="753">
        <v>12217.79</v>
      </c>
      <c r="P2602" s="752"/>
      <c r="Q2602" s="752"/>
      <c r="R2602" s="528"/>
      <c r="S2602" s="383">
        <f t="shared" si="355"/>
        <v>3.637978807091713E-11</v>
      </c>
      <c r="T2602" s="391"/>
      <c r="U2602" s="406"/>
      <c r="V2602" s="390"/>
      <c r="W2602" s="393"/>
    </row>
    <row r="2603" spans="1:23" s="403" customFormat="1" ht="42" customHeight="1">
      <c r="A2603" s="404">
        <f t="shared" si="352"/>
        <v>51</v>
      </c>
      <c r="B2603" s="705" t="s">
        <v>4246</v>
      </c>
      <c r="C2603" s="379" t="s">
        <v>240</v>
      </c>
      <c r="D2603" s="838">
        <v>1722</v>
      </c>
      <c r="E2603" s="748">
        <v>414</v>
      </c>
      <c r="F2603" s="748" t="s">
        <v>252</v>
      </c>
      <c r="G2603" s="748">
        <v>419</v>
      </c>
      <c r="H2603" s="676">
        <v>2</v>
      </c>
      <c r="I2603" s="382">
        <v>1</v>
      </c>
      <c r="J2603" s="749">
        <v>8</v>
      </c>
      <c r="K2603" s="750" t="s">
        <v>33</v>
      </c>
      <c r="L2603" s="519">
        <f t="shared" si="356"/>
        <v>1473046</v>
      </c>
      <c r="M2603" s="473">
        <v>1445015</v>
      </c>
      <c r="N2603" s="752">
        <v>28031</v>
      </c>
      <c r="O2603" s="753"/>
      <c r="P2603" s="752"/>
      <c r="Q2603" s="752"/>
      <c r="R2603" s="528"/>
      <c r="S2603" s="383">
        <f t="shared" si="355"/>
        <v>0</v>
      </c>
      <c r="T2603" s="391"/>
      <c r="U2603" s="406"/>
      <c r="V2603" s="390"/>
      <c r="W2603" s="393"/>
    </row>
    <row r="2604" spans="1:23" s="403" customFormat="1" ht="42" customHeight="1">
      <c r="A2604" s="404">
        <f t="shared" si="352"/>
        <v>52</v>
      </c>
      <c r="B2604" s="705" t="s">
        <v>4247</v>
      </c>
      <c r="C2604" s="379" t="s">
        <v>240</v>
      </c>
      <c r="D2604" s="838">
        <v>3304</v>
      </c>
      <c r="E2604" s="748">
        <v>669</v>
      </c>
      <c r="F2604" s="748" t="s">
        <v>252</v>
      </c>
      <c r="G2604" s="748">
        <v>747</v>
      </c>
      <c r="H2604" s="676">
        <v>2</v>
      </c>
      <c r="I2604" s="382">
        <v>2</v>
      </c>
      <c r="J2604" s="749">
        <v>12</v>
      </c>
      <c r="K2604" s="750" t="s">
        <v>33</v>
      </c>
      <c r="L2604" s="519">
        <f t="shared" si="356"/>
        <v>2598124</v>
      </c>
      <c r="M2604" s="473">
        <v>2567496</v>
      </c>
      <c r="N2604" s="752">
        <v>30628</v>
      </c>
      <c r="O2604" s="753"/>
      <c r="P2604" s="752"/>
      <c r="Q2604" s="752"/>
      <c r="R2604" s="528"/>
      <c r="S2604" s="383">
        <f t="shared" si="355"/>
        <v>0</v>
      </c>
      <c r="T2604" s="391"/>
      <c r="U2604" s="406"/>
      <c r="V2604" s="390"/>
      <c r="W2604" s="393"/>
    </row>
    <row r="2605" spans="1:23" s="403" customFormat="1" ht="42" customHeight="1">
      <c r="A2605" s="404">
        <f t="shared" si="352"/>
        <v>53</v>
      </c>
      <c r="B2605" s="705" t="s">
        <v>4252</v>
      </c>
      <c r="C2605" s="379" t="s">
        <v>240</v>
      </c>
      <c r="D2605" s="838">
        <v>3324</v>
      </c>
      <c r="E2605" s="748">
        <v>746</v>
      </c>
      <c r="F2605" s="748" t="s">
        <v>252</v>
      </c>
      <c r="G2605" s="748">
        <v>710</v>
      </c>
      <c r="H2605" s="676">
        <v>2</v>
      </c>
      <c r="I2605" s="382">
        <v>2</v>
      </c>
      <c r="J2605" s="749">
        <v>12</v>
      </c>
      <c r="K2605" s="750" t="s">
        <v>33</v>
      </c>
      <c r="L2605" s="519">
        <f t="shared" si="356"/>
        <v>2511609.0699999998</v>
      </c>
      <c r="M2605" s="473">
        <v>2481021.0699999998</v>
      </c>
      <c r="N2605" s="752">
        <v>30588</v>
      </c>
      <c r="O2605" s="753"/>
      <c r="P2605" s="752"/>
      <c r="Q2605" s="752"/>
      <c r="R2605" s="528"/>
      <c r="S2605" s="383">
        <f t="shared" si="355"/>
        <v>0</v>
      </c>
      <c r="T2605" s="391"/>
      <c r="U2605" s="406"/>
      <c r="V2605" s="390"/>
      <c r="W2605" s="393"/>
    </row>
    <row r="2606" spans="1:23" s="403" customFormat="1" ht="42" customHeight="1">
      <c r="A2606" s="404">
        <f t="shared" si="352"/>
        <v>54</v>
      </c>
      <c r="B2606" s="705" t="s">
        <v>4254</v>
      </c>
      <c r="C2606" s="379" t="s">
        <v>222</v>
      </c>
      <c r="D2606" s="838">
        <v>7654</v>
      </c>
      <c r="E2606" s="748">
        <v>1648</v>
      </c>
      <c r="F2606" s="748" t="s">
        <v>228</v>
      </c>
      <c r="G2606" s="748">
        <v>810</v>
      </c>
      <c r="H2606" s="676">
        <v>2</v>
      </c>
      <c r="I2606" s="382">
        <v>3</v>
      </c>
      <c r="J2606" s="749">
        <v>32</v>
      </c>
      <c r="K2606" s="750" t="s">
        <v>33</v>
      </c>
      <c r="L2606" s="519">
        <f t="shared" si="356"/>
        <v>2864584.99</v>
      </c>
      <c r="M2606" s="473">
        <v>2846266</v>
      </c>
      <c r="N2606" s="752"/>
      <c r="O2606" s="753">
        <v>18318.990000000002</v>
      </c>
      <c r="P2606" s="752"/>
      <c r="Q2606" s="752"/>
      <c r="R2606" s="528"/>
      <c r="S2606" s="383">
        <f t="shared" si="355"/>
        <v>2.2191670723259449E-10</v>
      </c>
      <c r="T2606" s="391"/>
      <c r="U2606" s="406"/>
      <c r="V2606" s="390"/>
      <c r="W2606" s="393"/>
    </row>
    <row r="2607" spans="1:23" s="403" customFormat="1" ht="42" customHeight="1">
      <c r="A2607" s="404">
        <f t="shared" si="352"/>
        <v>55</v>
      </c>
      <c r="B2607" s="705" t="s">
        <v>4248</v>
      </c>
      <c r="C2607" s="379" t="s">
        <v>240</v>
      </c>
      <c r="D2607" s="838">
        <v>1954</v>
      </c>
      <c r="E2607" s="748">
        <v>453</v>
      </c>
      <c r="F2607" s="748" t="s">
        <v>252</v>
      </c>
      <c r="G2607" s="748">
        <v>505</v>
      </c>
      <c r="H2607" s="676">
        <v>2</v>
      </c>
      <c r="I2607" s="382">
        <v>1</v>
      </c>
      <c r="J2607" s="749">
        <v>8</v>
      </c>
      <c r="K2607" s="750" t="s">
        <v>33</v>
      </c>
      <c r="L2607" s="519">
        <f t="shared" si="356"/>
        <v>1786100.94</v>
      </c>
      <c r="M2607" s="473">
        <v>1757826</v>
      </c>
      <c r="N2607" s="752">
        <v>28274.94</v>
      </c>
      <c r="O2607" s="753"/>
      <c r="P2607" s="752"/>
      <c r="Q2607" s="752"/>
      <c r="R2607" s="528"/>
      <c r="S2607" s="383">
        <f t="shared" si="355"/>
        <v>-5.4569682106375694E-11</v>
      </c>
      <c r="T2607" s="391"/>
      <c r="U2607" s="406"/>
      <c r="V2607" s="390"/>
      <c r="W2607" s="393"/>
    </row>
    <row r="2608" spans="1:23" s="403" customFormat="1" ht="42" customHeight="1">
      <c r="A2608" s="404">
        <f t="shared" si="352"/>
        <v>56</v>
      </c>
      <c r="B2608" s="705" t="s">
        <v>4249</v>
      </c>
      <c r="C2608" s="379" t="s">
        <v>240</v>
      </c>
      <c r="D2608" s="838">
        <v>3233</v>
      </c>
      <c r="E2608" s="748">
        <v>696</v>
      </c>
      <c r="F2608" s="748" t="s">
        <v>252</v>
      </c>
      <c r="G2608" s="748">
        <v>737</v>
      </c>
      <c r="H2608" s="676">
        <v>2</v>
      </c>
      <c r="I2608" s="382">
        <v>2</v>
      </c>
      <c r="J2608" s="749">
        <v>12</v>
      </c>
      <c r="K2608" s="750" t="s">
        <v>33</v>
      </c>
      <c r="L2608" s="519">
        <f t="shared" si="356"/>
        <v>2597858</v>
      </c>
      <c r="M2608" s="473">
        <v>2567496</v>
      </c>
      <c r="N2608" s="752">
        <v>30362</v>
      </c>
      <c r="O2608" s="753"/>
      <c r="P2608" s="752"/>
      <c r="Q2608" s="752"/>
      <c r="R2608" s="528"/>
      <c r="S2608" s="383">
        <f t="shared" si="355"/>
        <v>0</v>
      </c>
      <c r="T2608" s="391"/>
      <c r="U2608" s="406"/>
      <c r="V2608" s="390"/>
      <c r="W2608" s="393"/>
    </row>
    <row r="2609" spans="1:23" s="403" customFormat="1" ht="42" customHeight="1">
      <c r="A2609" s="404">
        <f t="shared" si="352"/>
        <v>57</v>
      </c>
      <c r="B2609" s="705" t="s">
        <v>4253</v>
      </c>
      <c r="C2609" s="379" t="s">
        <v>240</v>
      </c>
      <c r="D2609" s="838">
        <v>1914</v>
      </c>
      <c r="E2609" s="748">
        <v>443</v>
      </c>
      <c r="F2609" s="748" t="s">
        <v>252</v>
      </c>
      <c r="G2609" s="748">
        <v>736</v>
      </c>
      <c r="H2609" s="676">
        <v>2</v>
      </c>
      <c r="I2609" s="382">
        <v>1</v>
      </c>
      <c r="J2609" s="749">
        <v>8</v>
      </c>
      <c r="K2609" s="750" t="s">
        <v>33</v>
      </c>
      <c r="L2609" s="519">
        <f t="shared" si="356"/>
        <v>2595668</v>
      </c>
      <c r="M2609" s="473">
        <v>2567496</v>
      </c>
      <c r="N2609" s="752">
        <v>28172</v>
      </c>
      <c r="O2609" s="753"/>
      <c r="P2609" s="752"/>
      <c r="Q2609" s="752"/>
      <c r="R2609" s="528"/>
      <c r="S2609" s="383">
        <f t="shared" si="355"/>
        <v>0</v>
      </c>
      <c r="T2609" s="391"/>
      <c r="U2609" s="406"/>
      <c r="V2609" s="390"/>
      <c r="W2609" s="393"/>
    </row>
    <row r="2610" spans="1:23" s="403" customFormat="1" ht="42" customHeight="1">
      <c r="A2610" s="404">
        <f t="shared" si="352"/>
        <v>58</v>
      </c>
      <c r="B2610" s="705" t="s">
        <v>4250</v>
      </c>
      <c r="C2610" s="379" t="s">
        <v>240</v>
      </c>
      <c r="D2610" s="838">
        <v>1954</v>
      </c>
      <c r="E2610" s="748">
        <v>4952</v>
      </c>
      <c r="F2610" s="748" t="s">
        <v>252</v>
      </c>
      <c r="G2610" s="748">
        <v>736</v>
      </c>
      <c r="H2610" s="676">
        <v>3</v>
      </c>
      <c r="I2610" s="382">
        <v>2</v>
      </c>
      <c r="J2610" s="749">
        <v>14</v>
      </c>
      <c r="K2610" s="750" t="s">
        <v>33</v>
      </c>
      <c r="L2610" s="519">
        <f t="shared" si="356"/>
        <v>2595770.9300000002</v>
      </c>
      <c r="M2610" s="473">
        <v>2567496</v>
      </c>
      <c r="N2610" s="752">
        <v>28274.93</v>
      </c>
      <c r="O2610" s="753"/>
      <c r="P2610" s="752"/>
      <c r="Q2610" s="752"/>
      <c r="R2610" s="528"/>
      <c r="S2610" s="383">
        <f t="shared" si="355"/>
        <v>1.673470251262188E-10</v>
      </c>
      <c r="T2610" s="391"/>
      <c r="U2610" s="406"/>
      <c r="V2610" s="390"/>
      <c r="W2610" s="393"/>
    </row>
    <row r="2611" spans="1:23" s="403" customFormat="1" ht="42" customHeight="1">
      <c r="A2611" s="404">
        <f t="shared" si="352"/>
        <v>59</v>
      </c>
      <c r="B2611" s="705" t="s">
        <v>4251</v>
      </c>
      <c r="C2611" s="379" t="s">
        <v>222</v>
      </c>
      <c r="D2611" s="838">
        <v>6144</v>
      </c>
      <c r="E2611" s="748">
        <v>1022</v>
      </c>
      <c r="F2611" s="748" t="s">
        <v>252</v>
      </c>
      <c r="G2611" s="748">
        <v>648</v>
      </c>
      <c r="H2611" s="676">
        <v>4</v>
      </c>
      <c r="I2611" s="382">
        <v>2</v>
      </c>
      <c r="J2611" s="749">
        <v>28</v>
      </c>
      <c r="K2611" s="750" t="s">
        <v>33</v>
      </c>
      <c r="L2611" s="519">
        <f t="shared" si="356"/>
        <v>2290010</v>
      </c>
      <c r="M2611" s="473">
        <v>2264143</v>
      </c>
      <c r="N2611" s="752">
        <v>25867</v>
      </c>
      <c r="O2611" s="753"/>
      <c r="P2611" s="752"/>
      <c r="Q2611" s="752"/>
      <c r="R2611" s="528"/>
      <c r="S2611" s="383">
        <f t="shared" si="355"/>
        <v>0</v>
      </c>
      <c r="T2611" s="391"/>
      <c r="U2611" s="406"/>
      <c r="V2611" s="390"/>
      <c r="W2611" s="393"/>
    </row>
    <row r="2612" spans="1:23" s="403" customFormat="1" ht="42" customHeight="1">
      <c r="A2612" s="404">
        <f t="shared" si="352"/>
        <v>60</v>
      </c>
      <c r="B2612" s="705" t="s">
        <v>3031</v>
      </c>
      <c r="C2612" s="379" t="s">
        <v>240</v>
      </c>
      <c r="D2612" s="838">
        <v>3381</v>
      </c>
      <c r="E2612" s="748">
        <v>710</v>
      </c>
      <c r="F2612" s="748" t="s">
        <v>252</v>
      </c>
      <c r="G2612" s="748">
        <v>750</v>
      </c>
      <c r="H2612" s="676">
        <v>2</v>
      </c>
      <c r="I2612" s="382">
        <v>2</v>
      </c>
      <c r="J2612" s="749">
        <v>12</v>
      </c>
      <c r="K2612" s="750" t="s">
        <v>33</v>
      </c>
      <c r="L2612" s="519">
        <f t="shared" ref="L2612" si="357">SUM(M2612:Q2612)</f>
        <v>2598225</v>
      </c>
      <c r="M2612" s="473">
        <v>2567496</v>
      </c>
      <c r="N2612" s="752">
        <v>30729</v>
      </c>
      <c r="O2612" s="753"/>
      <c r="P2612" s="752"/>
      <c r="Q2612" s="752"/>
      <c r="R2612" s="528"/>
      <c r="S2612" s="383">
        <f t="shared" ref="S2612" si="358">L2612-M2612-N2612-O2612-P2612-Q2612</f>
        <v>0</v>
      </c>
      <c r="T2612" s="391"/>
      <c r="U2612" s="406"/>
      <c r="V2612" s="390"/>
      <c r="W2612" s="393"/>
    </row>
    <row r="2613" spans="1:23" s="403" customFormat="1" ht="78" customHeight="1">
      <c r="A2613" s="404">
        <f t="shared" si="352"/>
        <v>61</v>
      </c>
      <c r="B2613" s="1110" t="s">
        <v>4371</v>
      </c>
      <c r="C2613" s="455" t="s">
        <v>222</v>
      </c>
      <c r="D2613" s="747">
        <v>35922</v>
      </c>
      <c r="E2613" s="747">
        <v>6678</v>
      </c>
      <c r="F2613" s="747" t="s">
        <v>228</v>
      </c>
      <c r="G2613" s="747">
        <v>3014</v>
      </c>
      <c r="H2613" s="841">
        <v>5</v>
      </c>
      <c r="I2613" s="455">
        <v>12</v>
      </c>
      <c r="J2613" s="749">
        <v>167</v>
      </c>
      <c r="K2613" s="750" t="s">
        <v>4379</v>
      </c>
      <c r="L2613" s="1109">
        <f>M2613+N2613+O2613+Q2613+M2614+N2614+O2614+Q2614</f>
        <v>44593</v>
      </c>
      <c r="N2613" s="752"/>
      <c r="O2613" s="473">
        <v>24693</v>
      </c>
      <c r="P2613" s="752"/>
      <c r="R2613" s="528"/>
      <c r="S2613" s="383"/>
      <c r="T2613" s="391"/>
      <c r="U2613" s="406"/>
      <c r="V2613" s="390"/>
      <c r="W2613" s="393"/>
    </row>
    <row r="2614" spans="1:23" s="403" customFormat="1" ht="42" customHeight="1">
      <c r="A2614" s="404"/>
      <c r="B2614" s="1110"/>
      <c r="C2614" s="455"/>
      <c r="D2614" s="747"/>
      <c r="E2614" s="747"/>
      <c r="F2614" s="747"/>
      <c r="G2614" s="747"/>
      <c r="H2614" s="841"/>
      <c r="I2614" s="455"/>
      <c r="J2614" s="749"/>
      <c r="K2614" s="750" t="s">
        <v>4368</v>
      </c>
      <c r="L2614" s="1109"/>
      <c r="M2614" s="473"/>
      <c r="N2614" s="752"/>
      <c r="O2614" s="753"/>
      <c r="P2614" s="752"/>
      <c r="Q2614" s="752">
        <v>19900</v>
      </c>
      <c r="R2614" s="528"/>
      <c r="S2614" s="383"/>
      <c r="T2614" s="391"/>
      <c r="U2614" s="406"/>
      <c r="V2614" s="390"/>
      <c r="W2614" s="393"/>
    </row>
    <row r="2615" spans="1:23" s="403" customFormat="1" ht="66" customHeight="1">
      <c r="A2615" s="404">
        <f>A2613+1</f>
        <v>62</v>
      </c>
      <c r="B2615" s="1110" t="s">
        <v>4372</v>
      </c>
      <c r="C2615" s="455" t="s">
        <v>222</v>
      </c>
      <c r="D2615" s="747">
        <v>15864</v>
      </c>
      <c r="E2615" s="747">
        <v>4150</v>
      </c>
      <c r="F2615" s="747" t="s">
        <v>228</v>
      </c>
      <c r="G2615" s="747">
        <v>1050</v>
      </c>
      <c r="H2615" s="841">
        <v>5</v>
      </c>
      <c r="I2615" s="455">
        <v>4</v>
      </c>
      <c r="J2615" s="749">
        <v>60</v>
      </c>
      <c r="K2615" s="750" t="s">
        <v>4384</v>
      </c>
      <c r="L2615" s="1109">
        <f>M2615+N2615+O2615+Q2615+M2616+N2616+O2616+Q2616</f>
        <v>41985</v>
      </c>
      <c r="M2615" s="473"/>
      <c r="N2615" s="752"/>
      <c r="O2615" s="753">
        <v>22085</v>
      </c>
      <c r="P2615" s="752"/>
      <c r="Q2615" s="752"/>
      <c r="R2615" s="528"/>
      <c r="S2615" s="383"/>
      <c r="T2615" s="391"/>
      <c r="U2615" s="406"/>
      <c r="V2615" s="390"/>
      <c r="W2615" s="393"/>
    </row>
    <row r="2616" spans="1:23" s="403" customFormat="1" ht="46.5" customHeight="1">
      <c r="A2616" s="404"/>
      <c r="B2616" s="1110"/>
      <c r="C2616" s="455"/>
      <c r="D2616" s="747"/>
      <c r="E2616" s="747"/>
      <c r="F2616" s="747"/>
      <c r="G2616" s="747"/>
      <c r="H2616" s="841"/>
      <c r="I2616" s="455"/>
      <c r="J2616" s="749"/>
      <c r="K2616" s="750" t="s">
        <v>4368</v>
      </c>
      <c r="L2616" s="1109"/>
      <c r="M2616" s="473"/>
      <c r="N2616" s="752"/>
      <c r="O2616" s="753"/>
      <c r="P2616" s="752"/>
      <c r="Q2616" s="752">
        <v>19900</v>
      </c>
      <c r="R2616" s="528"/>
      <c r="S2616" s="383"/>
      <c r="T2616" s="391"/>
      <c r="U2616" s="406"/>
      <c r="V2616" s="390"/>
      <c r="W2616" s="393"/>
    </row>
    <row r="2617" spans="1:23" s="403" customFormat="1" ht="66" customHeight="1">
      <c r="A2617" s="404">
        <f t="shared" ref="A2617:A2625" si="359">A2615+1</f>
        <v>63</v>
      </c>
      <c r="B2617" s="1110" t="s">
        <v>4373</v>
      </c>
      <c r="C2617" s="455" t="s">
        <v>222</v>
      </c>
      <c r="D2617" s="747">
        <v>21663</v>
      </c>
      <c r="E2617" s="747">
        <v>4063</v>
      </c>
      <c r="F2617" s="747" t="s">
        <v>228</v>
      </c>
      <c r="G2617" s="747">
        <v>1818</v>
      </c>
      <c r="H2617" s="841">
        <v>5</v>
      </c>
      <c r="I2617" s="455">
        <v>8</v>
      </c>
      <c r="J2617" s="749">
        <v>113</v>
      </c>
      <c r="K2617" s="750" t="s">
        <v>4384</v>
      </c>
      <c r="L2617" s="1109">
        <f>M2617+N2617+O2617+Q2617+M2618+N2618+O2618+Q2618</f>
        <v>42551</v>
      </c>
      <c r="M2617" s="473"/>
      <c r="N2617" s="752"/>
      <c r="O2617" s="753">
        <v>22651</v>
      </c>
      <c r="P2617" s="752"/>
      <c r="Q2617" s="752"/>
      <c r="R2617" s="528"/>
      <c r="S2617" s="383"/>
      <c r="T2617" s="391"/>
      <c r="U2617" s="406"/>
      <c r="V2617" s="390"/>
      <c r="W2617" s="393"/>
    </row>
    <row r="2618" spans="1:23" s="403" customFormat="1" ht="43.5" customHeight="1">
      <c r="A2618" s="404"/>
      <c r="B2618" s="1110"/>
      <c r="C2618" s="455"/>
      <c r="D2618" s="747"/>
      <c r="E2618" s="747"/>
      <c r="F2618" s="747"/>
      <c r="G2618" s="747"/>
      <c r="H2618" s="841"/>
      <c r="I2618" s="455"/>
      <c r="J2618" s="749"/>
      <c r="K2618" s="750" t="s">
        <v>4368</v>
      </c>
      <c r="L2618" s="1109"/>
      <c r="M2618" s="473"/>
      <c r="N2618" s="752"/>
      <c r="O2618" s="753"/>
      <c r="P2618" s="752"/>
      <c r="Q2618" s="752">
        <v>19900</v>
      </c>
      <c r="R2618" s="528"/>
      <c r="S2618" s="383"/>
      <c r="T2618" s="391"/>
      <c r="U2618" s="406"/>
      <c r="V2618" s="390"/>
      <c r="W2618" s="393"/>
    </row>
    <row r="2619" spans="1:23" s="403" customFormat="1" ht="66" customHeight="1">
      <c r="A2619" s="404">
        <f t="shared" si="359"/>
        <v>64</v>
      </c>
      <c r="B2619" s="1110" t="s">
        <v>2120</v>
      </c>
      <c r="C2619" s="455" t="s">
        <v>218</v>
      </c>
      <c r="D2619" s="747">
        <v>36954</v>
      </c>
      <c r="E2619" s="747">
        <v>6566</v>
      </c>
      <c r="F2619" s="747" t="s">
        <v>228</v>
      </c>
      <c r="G2619" s="747">
        <v>1528</v>
      </c>
      <c r="H2619" s="841">
        <v>9</v>
      </c>
      <c r="I2619" s="455">
        <v>4</v>
      </c>
      <c r="J2619" s="749">
        <v>158</v>
      </c>
      <c r="K2619" s="750" t="s">
        <v>4384</v>
      </c>
      <c r="L2619" s="1109">
        <f>M2619+N2619+O2619+Q2619+M2620+N2620+O2620+Q2620</f>
        <v>47452</v>
      </c>
      <c r="M2619" s="473"/>
      <c r="N2619" s="752"/>
      <c r="O2619" s="753">
        <v>27552</v>
      </c>
      <c r="P2619" s="752"/>
      <c r="Q2619" s="752"/>
      <c r="R2619" s="528"/>
      <c r="S2619" s="383"/>
      <c r="T2619" s="391"/>
      <c r="U2619" s="406"/>
      <c r="V2619" s="390"/>
      <c r="W2619" s="393"/>
    </row>
    <row r="2620" spans="1:23" s="403" customFormat="1" ht="51" customHeight="1">
      <c r="A2620" s="404"/>
      <c r="B2620" s="1110"/>
      <c r="C2620" s="455"/>
      <c r="D2620" s="747"/>
      <c r="E2620" s="747"/>
      <c r="F2620" s="747"/>
      <c r="G2620" s="747"/>
      <c r="H2620" s="841"/>
      <c r="I2620" s="455"/>
      <c r="J2620" s="749"/>
      <c r="K2620" s="750" t="s">
        <v>4368</v>
      </c>
      <c r="L2620" s="1109"/>
      <c r="M2620" s="473"/>
      <c r="N2620" s="752"/>
      <c r="O2620" s="753"/>
      <c r="P2620" s="752"/>
      <c r="Q2620" s="752">
        <v>19900</v>
      </c>
      <c r="R2620" s="528"/>
      <c r="S2620" s="383"/>
      <c r="T2620" s="391"/>
      <c r="U2620" s="406"/>
      <c r="V2620" s="390"/>
      <c r="W2620" s="393"/>
    </row>
    <row r="2621" spans="1:23" s="403" customFormat="1" ht="66" customHeight="1">
      <c r="A2621" s="404">
        <f t="shared" si="359"/>
        <v>65</v>
      </c>
      <c r="B2621" s="1110" t="s">
        <v>4374</v>
      </c>
      <c r="C2621" s="455" t="s">
        <v>222</v>
      </c>
      <c r="D2621" s="747">
        <v>5789</v>
      </c>
      <c r="E2621" s="747">
        <v>1390</v>
      </c>
      <c r="F2621" s="747" t="s">
        <v>234</v>
      </c>
      <c r="G2621" s="747">
        <v>492</v>
      </c>
      <c r="H2621" s="841">
        <v>5</v>
      </c>
      <c r="I2621" s="455">
        <v>2</v>
      </c>
      <c r="J2621" s="749">
        <v>24</v>
      </c>
      <c r="K2621" s="750" t="s">
        <v>4384</v>
      </c>
      <c r="L2621" s="1109">
        <f>M2621+N2621+O2621+Q2621+M2622+N2622+O2622+Q2622</f>
        <v>38637.11</v>
      </c>
      <c r="M2621" s="473"/>
      <c r="N2621" s="752"/>
      <c r="O2621" s="753">
        <v>20789</v>
      </c>
      <c r="P2621" s="752"/>
      <c r="Q2621" s="752"/>
      <c r="R2621" s="528"/>
      <c r="S2621" s="383"/>
      <c r="T2621" s="391"/>
      <c r="U2621" s="406"/>
      <c r="V2621" s="390"/>
      <c r="W2621" s="393"/>
    </row>
    <row r="2622" spans="1:23" s="403" customFormat="1" ht="42" customHeight="1">
      <c r="A2622" s="404"/>
      <c r="B2622" s="1110"/>
      <c r="C2622" s="455"/>
      <c r="D2622" s="747"/>
      <c r="E2622" s="747"/>
      <c r="F2622" s="747"/>
      <c r="G2622" s="747"/>
      <c r="H2622" s="841"/>
      <c r="I2622" s="455"/>
      <c r="J2622" s="749"/>
      <c r="K2622" s="750" t="s">
        <v>4368</v>
      </c>
      <c r="L2622" s="1109"/>
      <c r="M2622" s="473"/>
      <c r="N2622" s="752"/>
      <c r="O2622" s="753"/>
      <c r="P2622" s="752"/>
      <c r="Q2622" s="752">
        <v>17848.11</v>
      </c>
      <c r="R2622" s="528"/>
      <c r="S2622" s="383"/>
      <c r="T2622" s="391"/>
      <c r="U2622" s="406"/>
      <c r="V2622" s="390"/>
      <c r="W2622" s="393"/>
    </row>
    <row r="2623" spans="1:23" s="403" customFormat="1" ht="66" customHeight="1">
      <c r="A2623" s="404">
        <f t="shared" si="359"/>
        <v>66</v>
      </c>
      <c r="B2623" s="1110" t="s">
        <v>2105</v>
      </c>
      <c r="C2623" s="455" t="s">
        <v>240</v>
      </c>
      <c r="D2623" s="747">
        <v>3308</v>
      </c>
      <c r="E2623" s="747">
        <v>736</v>
      </c>
      <c r="F2623" s="747" t="s">
        <v>252</v>
      </c>
      <c r="G2623" s="747">
        <v>656</v>
      </c>
      <c r="H2623" s="841">
        <v>2</v>
      </c>
      <c r="I2623" s="455">
        <v>2</v>
      </c>
      <c r="J2623" s="749">
        <v>12</v>
      </c>
      <c r="K2623" s="750" t="s">
        <v>4379</v>
      </c>
      <c r="L2623" s="1109">
        <f>M2623+N2623+O2623+Q2623+M2624+N2624+O2624+Q2624</f>
        <v>33318.97</v>
      </c>
      <c r="M2623" s="473"/>
      <c r="N2623" s="388">
        <v>12329</v>
      </c>
      <c r="O2623" s="753"/>
      <c r="P2623" s="752"/>
      <c r="Q2623" s="752"/>
      <c r="R2623" s="528"/>
      <c r="S2623" s="383"/>
      <c r="T2623" s="391"/>
      <c r="U2623" s="406"/>
      <c r="V2623" s="390"/>
      <c r="W2623" s="393"/>
    </row>
    <row r="2624" spans="1:23" s="403" customFormat="1" ht="42" customHeight="1">
      <c r="A2624" s="404"/>
      <c r="B2624" s="1110"/>
      <c r="C2624" s="455"/>
      <c r="D2624" s="747"/>
      <c r="E2624" s="747"/>
      <c r="F2624" s="747"/>
      <c r="G2624" s="747"/>
      <c r="H2624" s="841"/>
      <c r="I2624" s="455"/>
      <c r="J2624" s="749"/>
      <c r="K2624" s="750" t="s">
        <v>4368</v>
      </c>
      <c r="L2624" s="1109"/>
      <c r="M2624" s="473"/>
      <c r="N2624" s="752"/>
      <c r="O2624" s="753"/>
      <c r="P2624" s="752"/>
      <c r="Q2624" s="752">
        <v>20989.97</v>
      </c>
      <c r="R2624" s="528"/>
      <c r="S2624" s="383"/>
      <c r="T2624" s="391"/>
      <c r="U2624" s="406"/>
      <c r="V2624" s="390"/>
      <c r="W2624" s="393"/>
    </row>
    <row r="2625" spans="1:23" s="403" customFormat="1" ht="66" customHeight="1">
      <c r="A2625" s="404">
        <f t="shared" si="359"/>
        <v>67</v>
      </c>
      <c r="B2625" s="1110" t="s">
        <v>4375</v>
      </c>
      <c r="C2625" s="455" t="s">
        <v>240</v>
      </c>
      <c r="D2625" s="747">
        <v>1942</v>
      </c>
      <c r="E2625" s="747">
        <v>440</v>
      </c>
      <c r="F2625" s="747" t="s">
        <v>252</v>
      </c>
      <c r="G2625" s="747">
        <v>374</v>
      </c>
      <c r="H2625" s="841">
        <v>2</v>
      </c>
      <c r="I2625" s="455">
        <v>1</v>
      </c>
      <c r="J2625" s="749">
        <v>8</v>
      </c>
      <c r="K2625" s="750" t="s">
        <v>4379</v>
      </c>
      <c r="L2625" s="1109">
        <f>M2625+N2625+O2625+Q2625+M2626+N2626+O2626+Q2626</f>
        <v>37564.339999999997</v>
      </c>
      <c r="M2625" s="473"/>
      <c r="N2625" s="752">
        <v>28102.5</v>
      </c>
      <c r="O2625" s="753"/>
      <c r="P2625" s="752"/>
      <c r="Q2625" s="752"/>
      <c r="R2625" s="528"/>
      <c r="S2625" s="383"/>
      <c r="T2625" s="391"/>
      <c r="U2625" s="406"/>
      <c r="V2625" s="390"/>
      <c r="W2625" s="393"/>
    </row>
    <row r="2626" spans="1:23" s="403" customFormat="1" ht="45" customHeight="1">
      <c r="A2626" s="404"/>
      <c r="B2626" s="1110"/>
      <c r="C2626" s="379"/>
      <c r="D2626" s="838"/>
      <c r="E2626" s="748"/>
      <c r="F2626" s="748"/>
      <c r="G2626" s="748"/>
      <c r="H2626" s="676"/>
      <c r="I2626" s="382"/>
      <c r="J2626" s="749"/>
      <c r="K2626" s="750" t="s">
        <v>4368</v>
      </c>
      <c r="L2626" s="1109"/>
      <c r="M2626" s="473"/>
      <c r="N2626" s="752"/>
      <c r="O2626" s="753"/>
      <c r="P2626" s="752"/>
      <c r="Q2626" s="752">
        <v>9461.84</v>
      </c>
      <c r="R2626" s="528"/>
      <c r="S2626" s="383"/>
      <c r="T2626" s="391"/>
      <c r="U2626" s="406"/>
      <c r="V2626" s="390"/>
      <c r="W2626" s="393"/>
    </row>
    <row r="2627" spans="1:23" s="403" customFormat="1" ht="47.25" customHeight="1">
      <c r="A2627" s="1112" t="s">
        <v>143</v>
      </c>
      <c r="B2627" s="1112"/>
      <c r="C2627" s="388" t="s">
        <v>28</v>
      </c>
      <c r="D2627" s="388">
        <f>SUM(D2552:D2626)</f>
        <v>971378</v>
      </c>
      <c r="E2627" s="388">
        <f>SUM(E2552:E2626)</f>
        <v>192760.6</v>
      </c>
      <c r="F2627" s="388" t="s">
        <v>28</v>
      </c>
      <c r="G2627" s="388">
        <f>SUM(G2552:G2626)</f>
        <v>66524.399999999994</v>
      </c>
      <c r="H2627" s="446" t="s">
        <v>28</v>
      </c>
      <c r="I2627" s="446" t="s">
        <v>28</v>
      </c>
      <c r="J2627" s="446">
        <f>SUM(J2552:J2626)</f>
        <v>4540</v>
      </c>
      <c r="K2627" s="458" t="s">
        <v>28</v>
      </c>
      <c r="L2627" s="519">
        <f t="shared" ref="L2627:Q2627" si="360">SUM(L2552:L2626)</f>
        <v>250170290.62000006</v>
      </c>
      <c r="M2627" s="519">
        <f t="shared" si="360"/>
        <v>245742116.34999999</v>
      </c>
      <c r="N2627" s="388">
        <f t="shared" si="360"/>
        <v>3198145.26</v>
      </c>
      <c r="O2627" s="473">
        <f t="shared" si="360"/>
        <v>434483.56</v>
      </c>
      <c r="P2627" s="388">
        <f t="shared" si="360"/>
        <v>0</v>
      </c>
      <c r="Q2627" s="388">
        <f t="shared" si="360"/>
        <v>795545.45000000007</v>
      </c>
      <c r="R2627" s="446" t="s">
        <v>28</v>
      </c>
      <c r="S2627" s="383">
        <f t="shared" si="355"/>
        <v>7.0431269705295563E-8</v>
      </c>
      <c r="T2627" s="387" t="e">
        <f>'1.перечень МКД'!#REF!</f>
        <v>#REF!</v>
      </c>
      <c r="U2627" s="390" t="e">
        <f>L2627-T2627</f>
        <v>#REF!</v>
      </c>
      <c r="V2627" s="390"/>
    </row>
    <row r="2628" spans="1:23" s="403" customFormat="1" ht="28.5" customHeight="1">
      <c r="A2628" s="1113" t="s">
        <v>166</v>
      </c>
      <c r="B2628" s="1113"/>
      <c r="C2628" s="1113"/>
      <c r="D2628" s="1113"/>
      <c r="E2628" s="1113"/>
      <c r="F2628" s="1113"/>
      <c r="G2628" s="1113"/>
      <c r="H2628" s="1113"/>
      <c r="I2628" s="1113"/>
      <c r="J2628" s="1113"/>
      <c r="K2628" s="1113"/>
      <c r="L2628" s="1113"/>
      <c r="M2628" s="1113"/>
      <c r="N2628" s="1113"/>
      <c r="O2628" s="1113"/>
      <c r="P2628" s="1113"/>
      <c r="Q2628" s="1113"/>
      <c r="R2628" s="458"/>
      <c r="U2628" s="404"/>
      <c r="V2628" s="390"/>
    </row>
    <row r="2629" spans="1:23" s="403" customFormat="1" ht="37.5" customHeight="1">
      <c r="A2629" s="404">
        <v>1</v>
      </c>
      <c r="B2629" s="403" t="s">
        <v>2132</v>
      </c>
      <c r="C2629" s="531" t="s">
        <v>322</v>
      </c>
      <c r="D2629" s="747"/>
      <c r="E2629" s="748"/>
      <c r="F2629" s="748" t="s">
        <v>234</v>
      </c>
      <c r="G2629" s="748">
        <v>3234</v>
      </c>
      <c r="H2629" s="764">
        <v>9</v>
      </c>
      <c r="I2629" s="764">
        <v>1</v>
      </c>
      <c r="J2629" s="749">
        <v>72</v>
      </c>
      <c r="K2629" s="750" t="s">
        <v>220</v>
      </c>
      <c r="L2629" s="519">
        <f>SUBTOTAL(9,M2629:Q2629)</f>
        <v>2204110</v>
      </c>
      <c r="M2629" s="751">
        <v>2119110</v>
      </c>
      <c r="N2629" s="752">
        <f>85000*1</f>
        <v>85000</v>
      </c>
      <c r="O2629" s="753"/>
      <c r="P2629" s="752"/>
      <c r="Q2629" s="391"/>
      <c r="R2629" s="765">
        <f>M2629/I2629</f>
        <v>2119110</v>
      </c>
      <c r="S2629" s="383">
        <f>L2629-M2629-N2629-O2629-P2629-Q2629</f>
        <v>0</v>
      </c>
      <c r="T2629" s="391"/>
      <c r="U2629" s="406"/>
      <c r="V2629" s="390"/>
    </row>
    <row r="2630" spans="1:23" s="403" customFormat="1" ht="37.5" customHeight="1">
      <c r="A2630" s="404">
        <f>A2629+1</f>
        <v>2</v>
      </c>
      <c r="B2630" s="403" t="s">
        <v>3051</v>
      </c>
      <c r="C2630" s="531" t="s">
        <v>341</v>
      </c>
      <c r="D2630" s="747"/>
      <c r="E2630" s="748">
        <v>4198</v>
      </c>
      <c r="F2630" s="748" t="s">
        <v>234</v>
      </c>
      <c r="G2630" s="748">
        <v>3075</v>
      </c>
      <c r="H2630" s="764">
        <v>9</v>
      </c>
      <c r="I2630" s="764">
        <v>1</v>
      </c>
      <c r="J2630" s="749">
        <v>96</v>
      </c>
      <c r="K2630" s="750" t="s">
        <v>220</v>
      </c>
      <c r="L2630" s="519">
        <f t="shared" ref="L2630:L2643" si="361">SUM(M2630:Q2630)</f>
        <v>2207270</v>
      </c>
      <c r="M2630" s="751">
        <v>2122270</v>
      </c>
      <c r="N2630" s="752">
        <f>85000</f>
        <v>85000</v>
      </c>
      <c r="O2630" s="753"/>
      <c r="P2630" s="752"/>
      <c r="Q2630" s="391"/>
      <c r="R2630" s="765">
        <f>M2630/I2630</f>
        <v>2122270</v>
      </c>
      <c r="S2630" s="479"/>
      <c r="T2630" s="391"/>
      <c r="U2630" s="406"/>
      <c r="V2630" s="390"/>
    </row>
    <row r="2631" spans="1:23" s="403" customFormat="1" ht="37.5" customHeight="1">
      <c r="A2631" s="404">
        <f>A2630+1</f>
        <v>3</v>
      </c>
      <c r="B2631" s="403" t="s">
        <v>2130</v>
      </c>
      <c r="C2631" s="531" t="s">
        <v>322</v>
      </c>
      <c r="D2631" s="747"/>
      <c r="E2631" s="748">
        <v>1048</v>
      </c>
      <c r="F2631" s="748" t="s">
        <v>252</v>
      </c>
      <c r="G2631" s="748">
        <v>993.7</v>
      </c>
      <c r="H2631" s="764">
        <v>5</v>
      </c>
      <c r="I2631" s="764">
        <v>4</v>
      </c>
      <c r="J2631" s="749">
        <v>70</v>
      </c>
      <c r="K2631" s="750" t="s">
        <v>33</v>
      </c>
      <c r="L2631" s="519">
        <f t="shared" si="361"/>
        <v>3023780</v>
      </c>
      <c r="M2631" s="751">
        <v>2956800</v>
      </c>
      <c r="N2631" s="752">
        <v>27780</v>
      </c>
      <c r="O2631" s="753"/>
      <c r="P2631" s="752"/>
      <c r="Q2631" s="391">
        <v>39200</v>
      </c>
      <c r="R2631" s="765">
        <f t="shared" ref="R2631:R2642" si="362">M2631/G2631</f>
        <v>2975.5459394183354</v>
      </c>
      <c r="S2631" s="383">
        <f t="shared" ref="S2631:S2644" si="363">L2631-M2631-N2631-O2631-P2631-Q2631</f>
        <v>0</v>
      </c>
      <c r="T2631" s="391"/>
      <c r="U2631" s="406"/>
      <c r="V2631" s="390"/>
    </row>
    <row r="2632" spans="1:23" s="403" customFormat="1" ht="37.5" customHeight="1">
      <c r="A2632" s="404">
        <f>A2631+1</f>
        <v>4</v>
      </c>
      <c r="B2632" s="403" t="s">
        <v>2131</v>
      </c>
      <c r="C2632" s="531" t="s">
        <v>322</v>
      </c>
      <c r="D2632" s="747"/>
      <c r="E2632" s="748">
        <v>2948</v>
      </c>
      <c r="F2632" s="748" t="s">
        <v>252</v>
      </c>
      <c r="G2632" s="748">
        <v>1644</v>
      </c>
      <c r="H2632" s="764">
        <v>5</v>
      </c>
      <c r="I2632" s="764">
        <v>6</v>
      </c>
      <c r="J2632" s="749">
        <v>100</v>
      </c>
      <c r="K2632" s="750" t="s">
        <v>33</v>
      </c>
      <c r="L2632" s="519">
        <f t="shared" si="361"/>
        <v>5054047</v>
      </c>
      <c r="M2632" s="751">
        <v>4984388</v>
      </c>
      <c r="N2632" s="752">
        <v>29659</v>
      </c>
      <c r="O2632" s="753"/>
      <c r="P2632" s="752"/>
      <c r="Q2632" s="391">
        <v>40000</v>
      </c>
      <c r="R2632" s="765">
        <f t="shared" si="362"/>
        <v>3031.8661800486616</v>
      </c>
      <c r="S2632" s="383">
        <f t="shared" si="363"/>
        <v>0</v>
      </c>
      <c r="T2632" s="391"/>
      <c r="U2632" s="406"/>
      <c r="V2632" s="390"/>
    </row>
    <row r="2633" spans="1:23" s="403" customFormat="1" ht="37.5" customHeight="1">
      <c r="A2633" s="404">
        <f t="shared" ref="A2633:A2643" si="364">A2632+1</f>
        <v>5</v>
      </c>
      <c r="B2633" s="403" t="s">
        <v>2133</v>
      </c>
      <c r="C2633" s="531" t="s">
        <v>294</v>
      </c>
      <c r="D2633" s="747"/>
      <c r="E2633" s="748">
        <v>4159.4399999999996</v>
      </c>
      <c r="F2633" s="748" t="s">
        <v>252</v>
      </c>
      <c r="G2633" s="748">
        <v>1894.82</v>
      </c>
      <c r="H2633" s="764">
        <v>5</v>
      </c>
      <c r="I2633" s="764">
        <v>8</v>
      </c>
      <c r="J2633" s="749">
        <v>96</v>
      </c>
      <c r="K2633" s="750" t="s">
        <v>33</v>
      </c>
      <c r="L2633" s="519">
        <f t="shared" si="361"/>
        <v>5789175</v>
      </c>
      <c r="M2633" s="751">
        <v>5717600</v>
      </c>
      <c r="N2633" s="752">
        <v>31575</v>
      </c>
      <c r="O2633" s="753"/>
      <c r="P2633" s="752"/>
      <c r="Q2633" s="391">
        <v>40000</v>
      </c>
      <c r="R2633" s="765">
        <f t="shared" si="362"/>
        <v>3017.4897879481955</v>
      </c>
      <c r="S2633" s="383">
        <f t="shared" si="363"/>
        <v>0</v>
      </c>
      <c r="T2633" s="391"/>
      <c r="U2633" s="406"/>
      <c r="V2633" s="390"/>
    </row>
    <row r="2634" spans="1:23" s="403" customFormat="1" ht="37.5" customHeight="1">
      <c r="A2634" s="404">
        <f t="shared" si="364"/>
        <v>6</v>
      </c>
      <c r="B2634" s="403" t="s">
        <v>2134</v>
      </c>
      <c r="C2634" s="531" t="s">
        <v>222</v>
      </c>
      <c r="D2634" s="747"/>
      <c r="E2634" s="748">
        <v>2224</v>
      </c>
      <c r="F2634" s="748" t="s">
        <v>252</v>
      </c>
      <c r="G2634" s="748">
        <v>1144</v>
      </c>
      <c r="H2634" s="764">
        <v>5</v>
      </c>
      <c r="I2634" s="764">
        <v>4</v>
      </c>
      <c r="J2634" s="749">
        <v>76</v>
      </c>
      <c r="K2634" s="750" t="s">
        <v>33</v>
      </c>
      <c r="L2634" s="519">
        <f t="shared" si="361"/>
        <v>3515973</v>
      </c>
      <c r="M2634" s="751">
        <v>3449600</v>
      </c>
      <c r="N2634" s="752">
        <v>27780</v>
      </c>
      <c r="O2634" s="753"/>
      <c r="P2634" s="752"/>
      <c r="Q2634" s="391">
        <v>38593</v>
      </c>
      <c r="R2634" s="765">
        <f t="shared" si="362"/>
        <v>3015.3846153846152</v>
      </c>
      <c r="S2634" s="383">
        <f t="shared" si="363"/>
        <v>0</v>
      </c>
      <c r="T2634" s="391"/>
      <c r="U2634" s="406"/>
      <c r="V2634" s="390"/>
    </row>
    <row r="2635" spans="1:23" s="403" customFormat="1" ht="37.5" customHeight="1">
      <c r="A2635" s="404">
        <f t="shared" si="364"/>
        <v>7</v>
      </c>
      <c r="B2635" s="403" t="s">
        <v>2135</v>
      </c>
      <c r="C2635" s="531" t="s">
        <v>323</v>
      </c>
      <c r="D2635" s="747"/>
      <c r="E2635" s="748">
        <v>1938</v>
      </c>
      <c r="F2635" s="748" t="s">
        <v>224</v>
      </c>
      <c r="G2635" s="748">
        <v>1568</v>
      </c>
      <c r="H2635" s="764">
        <v>3</v>
      </c>
      <c r="I2635" s="764">
        <v>4</v>
      </c>
      <c r="J2635" s="749">
        <v>45</v>
      </c>
      <c r="K2635" s="750" t="s">
        <v>298</v>
      </c>
      <c r="L2635" s="519">
        <f t="shared" si="361"/>
        <v>7943458</v>
      </c>
      <c r="M2635" s="751">
        <v>7895000</v>
      </c>
      <c r="N2635" s="752">
        <v>28458</v>
      </c>
      <c r="O2635" s="753"/>
      <c r="P2635" s="752"/>
      <c r="Q2635" s="391">
        <v>20000</v>
      </c>
      <c r="R2635" s="446">
        <f t="shared" si="362"/>
        <v>5035.0765306122448</v>
      </c>
      <c r="S2635" s="383">
        <f t="shared" si="363"/>
        <v>0</v>
      </c>
      <c r="T2635" s="391"/>
      <c r="U2635" s="406"/>
      <c r="V2635" s="390"/>
    </row>
    <row r="2636" spans="1:23" s="403" customFormat="1" ht="37.5" customHeight="1">
      <c r="A2636" s="404">
        <f t="shared" si="364"/>
        <v>8</v>
      </c>
      <c r="B2636" s="403" t="s">
        <v>2136</v>
      </c>
      <c r="C2636" s="531" t="s">
        <v>294</v>
      </c>
      <c r="D2636" s="747"/>
      <c r="E2636" s="748">
        <v>1168</v>
      </c>
      <c r="F2636" s="748" t="s">
        <v>252</v>
      </c>
      <c r="G2636" s="748">
        <v>908</v>
      </c>
      <c r="H2636" s="764">
        <v>3</v>
      </c>
      <c r="I2636" s="764">
        <v>3</v>
      </c>
      <c r="J2636" s="749">
        <v>36</v>
      </c>
      <c r="K2636" s="750" t="s">
        <v>33</v>
      </c>
      <c r="L2636" s="519">
        <f t="shared" si="361"/>
        <v>2806870</v>
      </c>
      <c r="M2636" s="751">
        <v>2758000</v>
      </c>
      <c r="N2636" s="752">
        <v>30579</v>
      </c>
      <c r="O2636" s="753"/>
      <c r="P2636" s="752"/>
      <c r="Q2636" s="391">
        <v>18291</v>
      </c>
      <c r="R2636" s="765">
        <f t="shared" si="362"/>
        <v>3037.4449339207049</v>
      </c>
      <c r="S2636" s="383">
        <f t="shared" si="363"/>
        <v>0</v>
      </c>
      <c r="T2636" s="391"/>
      <c r="U2636" s="406"/>
      <c r="V2636" s="390"/>
    </row>
    <row r="2637" spans="1:23" s="403" customFormat="1" ht="37.5" customHeight="1">
      <c r="A2637" s="404">
        <f t="shared" si="364"/>
        <v>9</v>
      </c>
      <c r="B2637" s="403" t="s">
        <v>2137</v>
      </c>
      <c r="C2637" s="531" t="s">
        <v>294</v>
      </c>
      <c r="D2637" s="747"/>
      <c r="E2637" s="748">
        <v>1170</v>
      </c>
      <c r="F2637" s="748" t="s">
        <v>252</v>
      </c>
      <c r="G2637" s="748">
        <v>904</v>
      </c>
      <c r="H2637" s="764">
        <v>3</v>
      </c>
      <c r="I2637" s="764">
        <v>3</v>
      </c>
      <c r="J2637" s="749">
        <v>36</v>
      </c>
      <c r="K2637" s="750" t="s">
        <v>33</v>
      </c>
      <c r="L2637" s="519">
        <f t="shared" si="361"/>
        <v>2812305</v>
      </c>
      <c r="M2637" s="751">
        <v>2758000</v>
      </c>
      <c r="N2637" s="752">
        <v>30579</v>
      </c>
      <c r="O2637" s="753"/>
      <c r="P2637" s="752"/>
      <c r="Q2637" s="391">
        <v>23726</v>
      </c>
      <c r="R2637" s="765">
        <f t="shared" si="362"/>
        <v>3050.8849557522126</v>
      </c>
      <c r="S2637" s="383">
        <f t="shared" si="363"/>
        <v>0</v>
      </c>
      <c r="T2637" s="391"/>
      <c r="U2637" s="406"/>
      <c r="V2637" s="390"/>
    </row>
    <row r="2638" spans="1:23" s="403" customFormat="1" ht="37.5" customHeight="1">
      <c r="A2638" s="404">
        <f t="shared" si="364"/>
        <v>10</v>
      </c>
      <c r="B2638" s="403" t="s">
        <v>2138</v>
      </c>
      <c r="C2638" s="531" t="s">
        <v>294</v>
      </c>
      <c r="D2638" s="747"/>
      <c r="E2638" s="748">
        <v>858</v>
      </c>
      <c r="F2638" s="748" t="s">
        <v>252</v>
      </c>
      <c r="G2638" s="748">
        <v>582</v>
      </c>
      <c r="H2638" s="764">
        <v>3</v>
      </c>
      <c r="I2638" s="764">
        <v>2</v>
      </c>
      <c r="J2638" s="749">
        <v>24</v>
      </c>
      <c r="K2638" s="750" t="s">
        <v>33</v>
      </c>
      <c r="L2638" s="519">
        <f t="shared" si="361"/>
        <v>1834495</v>
      </c>
      <c r="M2638" s="751">
        <v>1792000</v>
      </c>
      <c r="N2638" s="752">
        <v>29202</v>
      </c>
      <c r="O2638" s="753"/>
      <c r="P2638" s="752"/>
      <c r="Q2638" s="391">
        <v>13293</v>
      </c>
      <c r="R2638" s="765">
        <f t="shared" si="362"/>
        <v>3079.0378006872852</v>
      </c>
      <c r="S2638" s="383">
        <f t="shared" si="363"/>
        <v>0</v>
      </c>
      <c r="T2638" s="391"/>
      <c r="U2638" s="406"/>
      <c r="V2638" s="390"/>
    </row>
    <row r="2639" spans="1:23" s="403" customFormat="1" ht="37.5" customHeight="1">
      <c r="A2639" s="404">
        <f t="shared" si="364"/>
        <v>11</v>
      </c>
      <c r="B2639" s="403" t="s">
        <v>2139</v>
      </c>
      <c r="C2639" s="531" t="s">
        <v>323</v>
      </c>
      <c r="D2639" s="747"/>
      <c r="E2639" s="748">
        <v>2017</v>
      </c>
      <c r="F2639" s="748" t="s">
        <v>292</v>
      </c>
      <c r="G2639" s="748">
        <v>1142</v>
      </c>
      <c r="H2639" s="764">
        <v>5</v>
      </c>
      <c r="I2639" s="764">
        <v>4</v>
      </c>
      <c r="J2639" s="749">
        <v>56</v>
      </c>
      <c r="K2639" s="750" t="s">
        <v>33</v>
      </c>
      <c r="L2639" s="519">
        <f t="shared" si="361"/>
        <v>2962529</v>
      </c>
      <c r="M2639" s="751">
        <v>2903600</v>
      </c>
      <c r="N2639" s="752">
        <v>27227</v>
      </c>
      <c r="O2639" s="753"/>
      <c r="P2639" s="752"/>
      <c r="Q2639" s="391">
        <v>31702</v>
      </c>
      <c r="R2639" s="765">
        <f t="shared" si="362"/>
        <v>2542.5569176882664</v>
      </c>
      <c r="S2639" s="383">
        <f t="shared" si="363"/>
        <v>0</v>
      </c>
      <c r="T2639" s="391"/>
      <c r="U2639" s="406"/>
      <c r="V2639" s="390"/>
    </row>
    <row r="2640" spans="1:23" s="403" customFormat="1" ht="37.5" customHeight="1">
      <c r="A2640" s="404">
        <f t="shared" si="364"/>
        <v>12</v>
      </c>
      <c r="B2640" s="403" t="s">
        <v>3057</v>
      </c>
      <c r="C2640" s="531" t="s">
        <v>240</v>
      </c>
      <c r="D2640" s="747">
        <v>10726</v>
      </c>
      <c r="E2640" s="748">
        <v>1873</v>
      </c>
      <c r="F2640" s="748" t="s">
        <v>292</v>
      </c>
      <c r="G2640" s="748">
        <v>985</v>
      </c>
      <c r="H2640" s="764">
        <v>5</v>
      </c>
      <c r="I2640" s="764">
        <v>2</v>
      </c>
      <c r="J2640" s="749">
        <v>70</v>
      </c>
      <c r="K2640" s="750" t="s">
        <v>33</v>
      </c>
      <c r="L2640" s="519">
        <f t="shared" si="361"/>
        <v>2927389</v>
      </c>
      <c r="M2640" s="751">
        <v>2867200</v>
      </c>
      <c r="N2640" s="752">
        <v>26953</v>
      </c>
      <c r="O2640" s="753"/>
      <c r="P2640" s="752"/>
      <c r="Q2640" s="391">
        <v>33236</v>
      </c>
      <c r="R2640" s="765">
        <f t="shared" si="362"/>
        <v>2910.8629441624366</v>
      </c>
      <c r="S2640" s="383">
        <f t="shared" si="363"/>
        <v>0</v>
      </c>
      <c r="T2640" s="391"/>
      <c r="U2640" s="406"/>
      <c r="V2640" s="390"/>
    </row>
    <row r="2641" spans="1:24" s="403" customFormat="1" ht="37.5" customHeight="1">
      <c r="A2641" s="404">
        <f t="shared" si="364"/>
        <v>13</v>
      </c>
      <c r="B2641" s="403" t="s">
        <v>4219</v>
      </c>
      <c r="C2641" s="531" t="s">
        <v>240</v>
      </c>
      <c r="D2641" s="747">
        <v>3704</v>
      </c>
      <c r="E2641" s="748">
        <v>812.25</v>
      </c>
      <c r="F2641" s="748" t="s">
        <v>292</v>
      </c>
      <c r="G2641" s="748">
        <v>771.34</v>
      </c>
      <c r="H2641" s="764">
        <v>2</v>
      </c>
      <c r="I2641" s="764">
        <v>3</v>
      </c>
      <c r="J2641" s="749">
        <v>16</v>
      </c>
      <c r="K2641" s="750" t="s">
        <v>33</v>
      </c>
      <c r="L2641" s="519">
        <f t="shared" si="361"/>
        <v>2699996</v>
      </c>
      <c r="M2641" s="751">
        <v>2632000</v>
      </c>
      <c r="N2641" s="752">
        <v>35990</v>
      </c>
      <c r="O2641" s="753"/>
      <c r="P2641" s="752"/>
      <c r="Q2641" s="391">
        <v>32006</v>
      </c>
      <c r="R2641" s="765">
        <f t="shared" si="362"/>
        <v>3412.2436279721005</v>
      </c>
      <c r="S2641" s="383">
        <f t="shared" si="363"/>
        <v>0</v>
      </c>
      <c r="T2641" s="391"/>
      <c r="U2641" s="406"/>
      <c r="V2641" s="390"/>
    </row>
    <row r="2642" spans="1:24" s="403" customFormat="1" ht="37.5" customHeight="1">
      <c r="A2642" s="404">
        <f t="shared" si="364"/>
        <v>14</v>
      </c>
      <c r="B2642" s="403" t="s">
        <v>4220</v>
      </c>
      <c r="C2642" s="531" t="s">
        <v>222</v>
      </c>
      <c r="D2642" s="747">
        <v>27661</v>
      </c>
      <c r="E2642" s="748">
        <v>3803.6</v>
      </c>
      <c r="F2642" s="748" t="s">
        <v>318</v>
      </c>
      <c r="G2642" s="748">
        <v>1532</v>
      </c>
      <c r="H2642" s="764">
        <v>6</v>
      </c>
      <c r="I2642" s="764">
        <v>4</v>
      </c>
      <c r="J2642" s="749">
        <v>124</v>
      </c>
      <c r="K2642" s="750" t="s">
        <v>33</v>
      </c>
      <c r="L2642" s="519">
        <f t="shared" si="361"/>
        <v>3534362</v>
      </c>
      <c r="M2642" s="751">
        <v>3486800</v>
      </c>
      <c r="N2642" s="752"/>
      <c r="O2642" s="753">
        <v>27562</v>
      </c>
      <c r="P2642" s="752"/>
      <c r="Q2642" s="391">
        <v>20000</v>
      </c>
      <c r="R2642" s="765">
        <f t="shared" si="362"/>
        <v>2275.9791122715405</v>
      </c>
      <c r="S2642" s="383">
        <f t="shared" si="363"/>
        <v>0</v>
      </c>
      <c r="T2642" s="391"/>
      <c r="U2642" s="406"/>
      <c r="V2642" s="390"/>
    </row>
    <row r="2643" spans="1:24" s="403" customFormat="1" ht="48" customHeight="1">
      <c r="A2643" s="404">
        <f t="shared" si="364"/>
        <v>15</v>
      </c>
      <c r="B2643" s="403" t="s">
        <v>4244</v>
      </c>
      <c r="C2643" s="531"/>
      <c r="D2643" s="747">
        <v>2581</v>
      </c>
      <c r="E2643" s="748">
        <v>554</v>
      </c>
      <c r="F2643" s="748" t="s">
        <v>292</v>
      </c>
      <c r="G2643" s="748">
        <v>574</v>
      </c>
      <c r="H2643" s="764">
        <v>2</v>
      </c>
      <c r="I2643" s="764">
        <v>2</v>
      </c>
      <c r="J2643" s="749">
        <v>16</v>
      </c>
      <c r="K2643" s="750" t="s">
        <v>33</v>
      </c>
      <c r="L2643" s="519">
        <f t="shared" si="361"/>
        <v>1636710</v>
      </c>
      <c r="M2643" s="751">
        <v>1607200</v>
      </c>
      <c r="N2643" s="752">
        <v>29510</v>
      </c>
      <c r="O2643" s="753"/>
      <c r="P2643" s="752"/>
      <c r="Q2643" s="391"/>
      <c r="R2643" s="765"/>
      <c r="S2643" s="383">
        <f t="shared" si="363"/>
        <v>0</v>
      </c>
      <c r="T2643" s="391"/>
      <c r="U2643" s="406"/>
      <c r="V2643" s="390"/>
    </row>
    <row r="2644" spans="1:24" s="403" customFormat="1" ht="42.75" customHeight="1">
      <c r="A2644" s="1112" t="s">
        <v>144</v>
      </c>
      <c r="B2644" s="1112"/>
      <c r="C2644" s="455" t="s">
        <v>28</v>
      </c>
      <c r="D2644" s="388">
        <f>SUM(D2631:D2643)</f>
        <v>44672</v>
      </c>
      <c r="E2644" s="388">
        <f>SUM(E2629:E2643)</f>
        <v>28771.289999999997</v>
      </c>
      <c r="F2644" s="388" t="s">
        <v>28</v>
      </c>
      <c r="G2644" s="388">
        <f>SUM(G2629:G2643)</f>
        <v>20951.86</v>
      </c>
      <c r="H2644" s="446" t="s">
        <v>28</v>
      </c>
      <c r="I2644" s="446" t="s">
        <v>28</v>
      </c>
      <c r="J2644" s="446">
        <f>SUM(J2629:J2643)</f>
        <v>933</v>
      </c>
      <c r="K2644" s="458" t="s">
        <v>28</v>
      </c>
      <c r="L2644" s="519">
        <f t="shared" ref="L2644:Q2644" si="365">SUM(L2629:L2643)</f>
        <v>50952469</v>
      </c>
      <c r="M2644" s="519">
        <f t="shared" si="365"/>
        <v>50049568</v>
      </c>
      <c r="N2644" s="388">
        <f t="shared" si="365"/>
        <v>525292</v>
      </c>
      <c r="O2644" s="473">
        <f t="shared" si="365"/>
        <v>27562</v>
      </c>
      <c r="P2644" s="388">
        <f t="shared" si="365"/>
        <v>0</v>
      </c>
      <c r="Q2644" s="388">
        <f t="shared" si="365"/>
        <v>350047</v>
      </c>
      <c r="R2644" s="446" t="s">
        <v>28</v>
      </c>
      <c r="S2644" s="383">
        <f t="shared" si="363"/>
        <v>0</v>
      </c>
      <c r="T2644" s="387" t="e">
        <f>'1.перечень МКД'!#REF!</f>
        <v>#REF!</v>
      </c>
      <c r="U2644" s="390" t="e">
        <f>L2644-T2644</f>
        <v>#REF!</v>
      </c>
      <c r="V2644" s="390"/>
    </row>
    <row r="2645" spans="1:24" s="403" customFormat="1" ht="42.75" customHeight="1">
      <c r="A2645" s="1113" t="s">
        <v>167</v>
      </c>
      <c r="B2645" s="1113"/>
      <c r="C2645" s="1113"/>
      <c r="D2645" s="1113"/>
      <c r="E2645" s="1113"/>
      <c r="F2645" s="1113"/>
      <c r="G2645" s="1113"/>
      <c r="H2645" s="1113"/>
      <c r="I2645" s="1113"/>
      <c r="J2645" s="1113"/>
      <c r="K2645" s="1113"/>
      <c r="L2645" s="1113"/>
      <c r="M2645" s="1113"/>
      <c r="N2645" s="1113"/>
      <c r="O2645" s="1113"/>
      <c r="P2645" s="1113"/>
      <c r="Q2645" s="1113"/>
      <c r="R2645" s="458"/>
      <c r="U2645" s="404"/>
      <c r="V2645" s="390"/>
    </row>
    <row r="2646" spans="1:24" s="455" customFormat="1" ht="37.5" customHeight="1">
      <c r="A2646" s="404">
        <v>1</v>
      </c>
      <c r="B2646" s="543" t="s">
        <v>2145</v>
      </c>
      <c r="C2646" s="455" t="s">
        <v>299</v>
      </c>
      <c r="D2646" s="531">
        <f t="shared" ref="D2646:D2651" si="366">E2646/1.16/2*13</f>
        <v>26285.775862068967</v>
      </c>
      <c r="E2646" s="388">
        <v>4691</v>
      </c>
      <c r="F2646" s="388" t="s">
        <v>219</v>
      </c>
      <c r="G2646" s="388">
        <v>468</v>
      </c>
      <c r="H2646" s="446">
        <v>12</v>
      </c>
      <c r="I2646" s="446">
        <v>1</v>
      </c>
      <c r="J2646" s="446">
        <v>77</v>
      </c>
      <c r="K2646" s="397" t="s">
        <v>220</v>
      </c>
      <c r="L2646" s="384">
        <f>SUM(M2646:Q2646)</f>
        <v>4506250</v>
      </c>
      <c r="M2646" s="529">
        <v>4400000</v>
      </c>
      <c r="N2646" s="383">
        <v>106250</v>
      </c>
      <c r="O2646" s="473"/>
      <c r="P2646" s="388"/>
      <c r="Q2646" s="388"/>
      <c r="R2646" s="446">
        <v>2200000</v>
      </c>
      <c r="S2646" s="383">
        <f t="shared" ref="S2646:S2677" si="367">L2646-M2646-N2646-O2646-P2646-Q2646</f>
        <v>0</v>
      </c>
      <c r="U2646" s="404" t="s">
        <v>3495</v>
      </c>
      <c r="V2646" s="390"/>
    </row>
    <row r="2647" spans="1:24" s="455" customFormat="1" ht="37.5" customHeight="1">
      <c r="A2647" s="404">
        <f>A2646+1</f>
        <v>2</v>
      </c>
      <c r="B2647" s="381" t="s">
        <v>2149</v>
      </c>
      <c r="C2647" s="455" t="s">
        <v>299</v>
      </c>
      <c r="D2647" s="531">
        <f t="shared" si="366"/>
        <v>80577.586206896551</v>
      </c>
      <c r="E2647" s="383">
        <v>14380</v>
      </c>
      <c r="F2647" s="388" t="s">
        <v>219</v>
      </c>
      <c r="G2647" s="383">
        <v>3570.1</v>
      </c>
      <c r="H2647" s="382">
        <v>9</v>
      </c>
      <c r="I2647" s="382">
        <v>10</v>
      </c>
      <c r="J2647" s="382">
        <v>415</v>
      </c>
      <c r="K2647" s="397" t="s">
        <v>220</v>
      </c>
      <c r="L2647" s="384">
        <f>SUM(M2647:Q2647)</f>
        <v>10717570</v>
      </c>
      <c r="M2647" s="529">
        <v>10547570</v>
      </c>
      <c r="N2647" s="383">
        <v>170000</v>
      </c>
      <c r="O2647" s="385"/>
      <c r="P2647" s="383"/>
      <c r="Q2647" s="388"/>
      <c r="R2647" s="528">
        <f>M2647/5</f>
        <v>2109514</v>
      </c>
      <c r="S2647" s="383">
        <f t="shared" si="367"/>
        <v>0</v>
      </c>
      <c r="U2647" s="404"/>
      <c r="V2647" s="390"/>
    </row>
    <row r="2648" spans="1:24" s="455" customFormat="1" ht="37.5" customHeight="1">
      <c r="A2648" s="404">
        <f>A2647+1</f>
        <v>3</v>
      </c>
      <c r="B2648" s="403" t="s">
        <v>2168</v>
      </c>
      <c r="C2648" s="455" t="s">
        <v>299</v>
      </c>
      <c r="D2648" s="531">
        <f t="shared" si="366"/>
        <v>22469.827586206899</v>
      </c>
      <c r="E2648" s="388">
        <v>4010</v>
      </c>
      <c r="F2648" s="388" t="s">
        <v>219</v>
      </c>
      <c r="G2648" s="388">
        <v>566</v>
      </c>
      <c r="H2648" s="446">
        <v>9</v>
      </c>
      <c r="I2648" s="446">
        <v>1</v>
      </c>
      <c r="J2648" s="446">
        <v>133</v>
      </c>
      <c r="K2648" s="397" t="s">
        <v>220</v>
      </c>
      <c r="L2648" s="384">
        <f>SUM(M2648:Q2648)</f>
        <v>2200970</v>
      </c>
      <c r="M2648" s="529">
        <v>2115970</v>
      </c>
      <c r="N2648" s="383">
        <v>85000</v>
      </c>
      <c r="O2648" s="473"/>
      <c r="P2648" s="388"/>
      <c r="Q2648" s="388"/>
      <c r="R2648" s="446">
        <f>M2648/I2648</f>
        <v>2115970</v>
      </c>
      <c r="S2648" s="383">
        <f t="shared" si="367"/>
        <v>0</v>
      </c>
      <c r="U2648" s="404" t="s">
        <v>3495</v>
      </c>
      <c r="V2648" s="390"/>
    </row>
    <row r="2649" spans="1:24" s="455" customFormat="1" ht="37.5" customHeight="1">
      <c r="A2649" s="404">
        <f>A2648+1</f>
        <v>4</v>
      </c>
      <c r="B2649" s="403" t="s">
        <v>2184</v>
      </c>
      <c r="C2649" s="455" t="s">
        <v>299</v>
      </c>
      <c r="D2649" s="531">
        <f t="shared" si="366"/>
        <v>55586.206896551725</v>
      </c>
      <c r="E2649" s="388">
        <v>9920</v>
      </c>
      <c r="F2649" s="388" t="s">
        <v>219</v>
      </c>
      <c r="G2649" s="388">
        <v>1798.2</v>
      </c>
      <c r="H2649" s="446">
        <v>9</v>
      </c>
      <c r="I2649" s="446">
        <v>5</v>
      </c>
      <c r="J2649" s="446">
        <v>169</v>
      </c>
      <c r="K2649" s="397" t="s">
        <v>220</v>
      </c>
      <c r="L2649" s="384">
        <f>SUM(M2649:Q2649)</f>
        <v>10645810</v>
      </c>
      <c r="M2649" s="529">
        <v>10475810</v>
      </c>
      <c r="N2649" s="383">
        <v>170000</v>
      </c>
      <c r="O2649" s="385"/>
      <c r="P2649" s="383"/>
      <c r="Q2649" s="388"/>
      <c r="R2649" s="446">
        <f>M2649/I2649</f>
        <v>2095162</v>
      </c>
      <c r="S2649" s="383">
        <f t="shared" si="367"/>
        <v>0</v>
      </c>
      <c r="U2649" s="404"/>
      <c r="V2649" s="390"/>
    </row>
    <row r="2650" spans="1:24" s="455" customFormat="1" ht="54" customHeight="1">
      <c r="A2650" s="404">
        <f>A2649+1</f>
        <v>5</v>
      </c>
      <c r="B2650" s="381" t="s">
        <v>3949</v>
      </c>
      <c r="C2650" s="455" t="s">
        <v>299</v>
      </c>
      <c r="D2650" s="531">
        <v>28241.37931034483</v>
      </c>
      <c r="E2650" s="388">
        <v>5040</v>
      </c>
      <c r="F2650" s="388" t="s">
        <v>219</v>
      </c>
      <c r="G2650" s="388">
        <v>753</v>
      </c>
      <c r="H2650" s="446">
        <v>9</v>
      </c>
      <c r="I2650" s="446">
        <v>2</v>
      </c>
      <c r="J2650" s="446">
        <v>118</v>
      </c>
      <c r="K2650" s="397" t="s">
        <v>220</v>
      </c>
      <c r="L2650" s="384">
        <f>SUM(M2650:Q2650)</f>
        <v>4357580</v>
      </c>
      <c r="M2650" s="529">
        <v>4251330</v>
      </c>
      <c r="N2650" s="383">
        <v>106250</v>
      </c>
      <c r="O2650" s="385"/>
      <c r="P2650" s="383"/>
      <c r="Q2650" s="388"/>
      <c r="R2650" s="446">
        <f>M2650/I2650</f>
        <v>2125665</v>
      </c>
      <c r="S2650" s="383">
        <f t="shared" si="367"/>
        <v>0</v>
      </c>
      <c r="U2650" s="404"/>
      <c r="V2650" s="390"/>
    </row>
    <row r="2651" spans="1:24" s="455" customFormat="1" ht="37.5" customHeight="1">
      <c r="A2651" s="404">
        <f>A2650+1</f>
        <v>6</v>
      </c>
      <c r="B2651" s="1112" t="s">
        <v>2205</v>
      </c>
      <c r="C2651" s="455" t="s">
        <v>218</v>
      </c>
      <c r="D2651" s="772">
        <f t="shared" si="366"/>
        <v>38663.793103448275</v>
      </c>
      <c r="E2651" s="388">
        <v>6900</v>
      </c>
      <c r="F2651" s="388" t="s">
        <v>219</v>
      </c>
      <c r="G2651" s="388">
        <v>1610</v>
      </c>
      <c r="H2651" s="446">
        <v>9</v>
      </c>
      <c r="I2651" s="446">
        <v>5</v>
      </c>
      <c r="J2651" s="446">
        <v>180</v>
      </c>
      <c r="K2651" s="458" t="s">
        <v>33</v>
      </c>
      <c r="L2651" s="1114">
        <f>M2651+N2651+O2651+Q2651+M2652+N2652+O2652+Q2652</f>
        <v>14310709</v>
      </c>
      <c r="M2651" s="519">
        <v>3635356</v>
      </c>
      <c r="N2651" s="388"/>
      <c r="O2651" s="473">
        <v>27973</v>
      </c>
      <c r="P2651" s="388"/>
      <c r="Q2651" s="388">
        <v>19900</v>
      </c>
      <c r="R2651" s="446">
        <f>M2651/G2651</f>
        <v>2257.985093167702</v>
      </c>
      <c r="S2651" s="383">
        <f t="shared" si="367"/>
        <v>10627480</v>
      </c>
      <c r="U2651" s="404"/>
      <c r="V2651" s="390"/>
      <c r="X2651" s="403"/>
    </row>
    <row r="2652" spans="1:24" s="455" customFormat="1" ht="72.75" customHeight="1">
      <c r="A2652" s="404"/>
      <c r="B2652" s="1112"/>
      <c r="D2652" s="772"/>
      <c r="E2652" s="388"/>
      <c r="F2652" s="388"/>
      <c r="G2652" s="388"/>
      <c r="H2652" s="446"/>
      <c r="I2652" s="446"/>
      <c r="J2652" s="446"/>
      <c r="K2652" s="458" t="s">
        <v>220</v>
      </c>
      <c r="L2652" s="1114"/>
      <c r="M2652" s="519">
        <v>10457480</v>
      </c>
      <c r="N2652" s="383">
        <v>170000</v>
      </c>
      <c r="O2652" s="473"/>
      <c r="P2652" s="388"/>
      <c r="Q2652" s="388"/>
      <c r="R2652" s="446">
        <f>M2652/I2651</f>
        <v>2091496</v>
      </c>
      <c r="S2652" s="383">
        <f t="shared" si="367"/>
        <v>-10627480</v>
      </c>
      <c r="U2652" s="404"/>
      <c r="V2652" s="390"/>
    </row>
    <row r="2653" spans="1:24" s="455" customFormat="1" ht="37.5" customHeight="1">
      <c r="A2653" s="404">
        <v>7</v>
      </c>
      <c r="B2653" s="403" t="s">
        <v>2210</v>
      </c>
      <c r="C2653" s="455" t="s">
        <v>299</v>
      </c>
      <c r="D2653" s="531">
        <f>E2653/1.16/2*13</f>
        <v>27675.431034482761</v>
      </c>
      <c r="E2653" s="388">
        <v>4939</v>
      </c>
      <c r="F2653" s="388" t="s">
        <v>219</v>
      </c>
      <c r="G2653" s="388">
        <v>1800</v>
      </c>
      <c r="H2653" s="446">
        <v>9</v>
      </c>
      <c r="I2653" s="446">
        <v>4</v>
      </c>
      <c r="J2653" s="446">
        <v>130</v>
      </c>
      <c r="K2653" s="397" t="s">
        <v>220</v>
      </c>
      <c r="L2653" s="384">
        <f>SUM(M2653:Q2653)</f>
        <v>8744790</v>
      </c>
      <c r="M2653" s="529">
        <v>8596040</v>
      </c>
      <c r="N2653" s="383">
        <v>148750</v>
      </c>
      <c r="O2653" s="385"/>
      <c r="P2653" s="383"/>
      <c r="Q2653" s="388"/>
      <c r="R2653" s="446">
        <f>M2653/I2653</f>
        <v>2149010</v>
      </c>
      <c r="S2653" s="383">
        <f t="shared" si="367"/>
        <v>0</v>
      </c>
      <c r="U2653" s="404"/>
      <c r="V2653" s="390"/>
    </row>
    <row r="2654" spans="1:24" s="455" customFormat="1" ht="37.5" customHeight="1">
      <c r="A2654" s="404">
        <f>A2653+1</f>
        <v>8</v>
      </c>
      <c r="B2654" s="403" t="s">
        <v>2211</v>
      </c>
      <c r="C2654" s="455" t="s">
        <v>299</v>
      </c>
      <c r="D2654" s="531">
        <f>E2654/1.16/2*13</f>
        <v>27675.431034482761</v>
      </c>
      <c r="E2654" s="388">
        <v>4939</v>
      </c>
      <c r="F2654" s="388" t="s">
        <v>219</v>
      </c>
      <c r="G2654" s="388">
        <v>1800</v>
      </c>
      <c r="H2654" s="446">
        <v>9</v>
      </c>
      <c r="I2654" s="446">
        <v>4</v>
      </c>
      <c r="J2654" s="446">
        <v>131</v>
      </c>
      <c r="K2654" s="397" t="s">
        <v>220</v>
      </c>
      <c r="L2654" s="384">
        <f>SUM(M2654:Q2654)</f>
        <v>8744790</v>
      </c>
      <c r="M2654" s="529">
        <v>8596040</v>
      </c>
      <c r="N2654" s="383">
        <v>148750</v>
      </c>
      <c r="O2654" s="385"/>
      <c r="P2654" s="383"/>
      <c r="Q2654" s="388"/>
      <c r="R2654" s="446">
        <f>M2654/I2654</f>
        <v>2149010</v>
      </c>
      <c r="S2654" s="383">
        <f t="shared" si="367"/>
        <v>0</v>
      </c>
      <c r="U2654" s="404"/>
      <c r="V2654" s="390"/>
    </row>
    <row r="2655" spans="1:24" s="455" customFormat="1" ht="43.5" customHeight="1">
      <c r="A2655" s="404">
        <f>A2654+1</f>
        <v>9</v>
      </c>
      <c r="B2655" s="403" t="s">
        <v>2213</v>
      </c>
      <c r="C2655" s="455" t="s">
        <v>299</v>
      </c>
      <c r="D2655" s="531">
        <f>E2655/1.16/2*13</f>
        <v>15280.603448275862</v>
      </c>
      <c r="E2655" s="388">
        <v>2727</v>
      </c>
      <c r="F2655" s="388" t="s">
        <v>219</v>
      </c>
      <c r="G2655" s="388">
        <v>500</v>
      </c>
      <c r="H2655" s="746">
        <v>9</v>
      </c>
      <c r="I2655" s="446">
        <v>1</v>
      </c>
      <c r="J2655" s="446">
        <v>71</v>
      </c>
      <c r="K2655" s="397" t="s">
        <v>220</v>
      </c>
      <c r="L2655" s="384">
        <f>SUM(M2655:Q2655)</f>
        <v>2196940</v>
      </c>
      <c r="M2655" s="529">
        <v>2111940</v>
      </c>
      <c r="N2655" s="383">
        <v>85000</v>
      </c>
      <c r="O2655" s="473"/>
      <c r="P2655" s="388"/>
      <c r="Q2655" s="388"/>
      <c r="R2655" s="446">
        <f>M2655/I2655</f>
        <v>2111940</v>
      </c>
      <c r="S2655" s="383">
        <f t="shared" si="367"/>
        <v>0</v>
      </c>
      <c r="U2655" s="404" t="s">
        <v>3495</v>
      </c>
      <c r="V2655" s="390"/>
    </row>
    <row r="2656" spans="1:24" s="455" customFormat="1" ht="30" customHeight="1">
      <c r="A2656" s="404">
        <f>A2655+1</f>
        <v>10</v>
      </c>
      <c r="B2656" s="1113" t="s">
        <v>2216</v>
      </c>
      <c r="C2656" s="455" t="s">
        <v>218</v>
      </c>
      <c r="D2656" s="772">
        <f>E2656/1.16/2*13</f>
        <v>26459.482758620692</v>
      </c>
      <c r="E2656" s="388">
        <v>4722</v>
      </c>
      <c r="F2656" s="388" t="s">
        <v>219</v>
      </c>
      <c r="G2656" s="388">
        <v>1288</v>
      </c>
      <c r="H2656" s="446">
        <v>9</v>
      </c>
      <c r="I2656" s="446">
        <v>4</v>
      </c>
      <c r="J2656" s="446">
        <v>144</v>
      </c>
      <c r="K2656" s="397" t="s">
        <v>33</v>
      </c>
      <c r="L2656" s="1114">
        <f>M2656+N2656+O2656+Q2656+M2657+N2657+O2657+Q2657</f>
        <v>11102837</v>
      </c>
      <c r="M2656" s="519">
        <v>2550543</v>
      </c>
      <c r="N2656" s="388"/>
      <c r="O2656" s="473">
        <v>26104</v>
      </c>
      <c r="P2656" s="388"/>
      <c r="Q2656" s="388">
        <v>19900</v>
      </c>
      <c r="R2656" s="446">
        <f>M2656/G2656</f>
        <v>1980.2352484472049</v>
      </c>
      <c r="S2656" s="383">
        <f t="shared" si="367"/>
        <v>8506290</v>
      </c>
      <c r="U2656" s="404"/>
      <c r="V2656" s="390"/>
      <c r="X2656" s="403"/>
    </row>
    <row r="2657" spans="1:24" s="455" customFormat="1" ht="63.75" customHeight="1">
      <c r="A2657" s="404"/>
      <c r="B2657" s="1113"/>
      <c r="D2657" s="772"/>
      <c r="E2657" s="388"/>
      <c r="F2657" s="388"/>
      <c r="G2657" s="388"/>
      <c r="H2657" s="446"/>
      <c r="I2657" s="446"/>
      <c r="J2657" s="446"/>
      <c r="K2657" s="458" t="s">
        <v>220</v>
      </c>
      <c r="L2657" s="1114"/>
      <c r="M2657" s="519">
        <v>8357540</v>
      </c>
      <c r="N2657" s="383">
        <v>148750</v>
      </c>
      <c r="O2657" s="473"/>
      <c r="P2657" s="388"/>
      <c r="Q2657" s="388"/>
      <c r="R2657" s="446">
        <f>M2657/I2656</f>
        <v>2089385</v>
      </c>
      <c r="S2657" s="383">
        <f t="shared" si="367"/>
        <v>-8506290</v>
      </c>
      <c r="U2657" s="404"/>
      <c r="V2657" s="390"/>
    </row>
    <row r="2658" spans="1:24" s="455" customFormat="1" ht="37.5" customHeight="1">
      <c r="A2658" s="404">
        <v>11</v>
      </c>
      <c r="B2658" s="403" t="s">
        <v>2230</v>
      </c>
      <c r="C2658" s="455" t="s">
        <v>299</v>
      </c>
      <c r="D2658" s="531">
        <f>E2658/1.16/2*13</f>
        <v>20844.827586206899</v>
      </c>
      <c r="E2658" s="388">
        <v>3720</v>
      </c>
      <c r="F2658" s="388" t="s">
        <v>219</v>
      </c>
      <c r="G2658" s="388">
        <v>750</v>
      </c>
      <c r="H2658" s="528">
        <v>9</v>
      </c>
      <c r="I2658" s="446">
        <v>2</v>
      </c>
      <c r="J2658" s="446">
        <v>71</v>
      </c>
      <c r="K2658" s="397" t="s">
        <v>220</v>
      </c>
      <c r="L2658" s="384">
        <f t="shared" ref="L2658:L2689" si="368">SUM(M2658:Q2658)</f>
        <v>4393510</v>
      </c>
      <c r="M2658" s="529">
        <v>4287260</v>
      </c>
      <c r="N2658" s="383">
        <v>106250</v>
      </c>
      <c r="O2658" s="385"/>
      <c r="P2658" s="383"/>
      <c r="Q2658" s="388"/>
      <c r="R2658" s="446">
        <f>M2658/I2658</f>
        <v>2143630</v>
      </c>
      <c r="S2658" s="383">
        <f t="shared" si="367"/>
        <v>0</v>
      </c>
      <c r="U2658" s="404"/>
      <c r="V2658" s="390"/>
    </row>
    <row r="2659" spans="1:24" s="455" customFormat="1" ht="37.5" customHeight="1">
      <c r="A2659" s="404">
        <f t="shared" ref="A2659:A2667" si="369">A2658+1</f>
        <v>12</v>
      </c>
      <c r="B2659" s="403" t="s">
        <v>2231</v>
      </c>
      <c r="C2659" s="455" t="s">
        <v>299</v>
      </c>
      <c r="D2659" s="531">
        <f>E2659/1.16/2*13</f>
        <v>19892.241379310344</v>
      </c>
      <c r="E2659" s="388">
        <v>3550</v>
      </c>
      <c r="F2659" s="388" t="s">
        <v>219</v>
      </c>
      <c r="G2659" s="388">
        <v>776</v>
      </c>
      <c r="H2659" s="528">
        <v>9</v>
      </c>
      <c r="I2659" s="528">
        <v>1</v>
      </c>
      <c r="J2659" s="528">
        <v>72</v>
      </c>
      <c r="K2659" s="397" t="s">
        <v>220</v>
      </c>
      <c r="L2659" s="384">
        <f t="shared" si="368"/>
        <v>2184600</v>
      </c>
      <c r="M2659" s="529">
        <v>2099600</v>
      </c>
      <c r="N2659" s="383">
        <v>85000</v>
      </c>
      <c r="O2659" s="473"/>
      <c r="P2659" s="388"/>
      <c r="Q2659" s="388"/>
      <c r="R2659" s="446">
        <f>M2659/I2659</f>
        <v>2099600</v>
      </c>
      <c r="S2659" s="383">
        <f t="shared" si="367"/>
        <v>0</v>
      </c>
      <c r="U2659" s="404" t="s">
        <v>3495</v>
      </c>
      <c r="V2659" s="390"/>
    </row>
    <row r="2660" spans="1:24" s="455" customFormat="1" ht="37.5" customHeight="1">
      <c r="A2660" s="404">
        <f t="shared" si="369"/>
        <v>13</v>
      </c>
      <c r="B2660" s="543" t="s">
        <v>2232</v>
      </c>
      <c r="C2660" s="455" t="s">
        <v>299</v>
      </c>
      <c r="D2660" s="531">
        <f>E2660/1.16/2*13</f>
        <v>27955.603448275862</v>
      </c>
      <c r="E2660" s="388">
        <v>4989</v>
      </c>
      <c r="F2660" s="388" t="s">
        <v>219</v>
      </c>
      <c r="G2660" s="388">
        <v>2200</v>
      </c>
      <c r="H2660" s="446">
        <v>9</v>
      </c>
      <c r="I2660" s="446">
        <v>5</v>
      </c>
      <c r="J2660" s="446">
        <v>175</v>
      </c>
      <c r="K2660" s="397" t="s">
        <v>220</v>
      </c>
      <c r="L2660" s="384">
        <f t="shared" si="368"/>
        <v>8748540</v>
      </c>
      <c r="M2660" s="529">
        <v>8599790</v>
      </c>
      <c r="N2660" s="383">
        <v>148750</v>
      </c>
      <c r="O2660" s="473"/>
      <c r="P2660" s="388"/>
      <c r="Q2660" s="388"/>
      <c r="R2660" s="528">
        <f>M2660/4</f>
        <v>2149947.5</v>
      </c>
      <c r="S2660" s="383">
        <f t="shared" si="367"/>
        <v>0</v>
      </c>
      <c r="U2660" s="404" t="s">
        <v>3495</v>
      </c>
      <c r="V2660" s="390"/>
    </row>
    <row r="2661" spans="1:24" s="455" customFormat="1" ht="37.5" customHeight="1">
      <c r="A2661" s="404">
        <f t="shared" si="369"/>
        <v>14</v>
      </c>
      <c r="B2661" s="403" t="s">
        <v>2233</v>
      </c>
      <c r="C2661" s="455" t="s">
        <v>299</v>
      </c>
      <c r="D2661" s="531">
        <f>E2661/1.16/2*13</f>
        <v>33805.603448275862</v>
      </c>
      <c r="E2661" s="388">
        <v>6033</v>
      </c>
      <c r="F2661" s="388" t="s">
        <v>219</v>
      </c>
      <c r="G2661" s="388">
        <v>2200</v>
      </c>
      <c r="H2661" s="446">
        <v>9</v>
      </c>
      <c r="I2661" s="446">
        <v>5</v>
      </c>
      <c r="J2661" s="446">
        <v>180</v>
      </c>
      <c r="K2661" s="397" t="s">
        <v>220</v>
      </c>
      <c r="L2661" s="384">
        <f t="shared" si="368"/>
        <v>10877080</v>
      </c>
      <c r="M2661" s="529">
        <v>10707080</v>
      </c>
      <c r="N2661" s="383">
        <v>170000</v>
      </c>
      <c r="O2661" s="385"/>
      <c r="P2661" s="383"/>
      <c r="Q2661" s="388"/>
      <c r="R2661" s="446">
        <f>M2661/I2661</f>
        <v>2141416</v>
      </c>
      <c r="S2661" s="383">
        <f t="shared" si="367"/>
        <v>0</v>
      </c>
      <c r="U2661" s="404"/>
      <c r="V2661" s="390"/>
    </row>
    <row r="2662" spans="1:24" ht="37.5">
      <c r="A2662" s="404">
        <f t="shared" si="369"/>
        <v>15</v>
      </c>
      <c r="B2662" s="493" t="s">
        <v>3856</v>
      </c>
      <c r="C2662" s="506" t="s">
        <v>315</v>
      </c>
      <c r="D2662" s="382">
        <f>E2662/1.116/2*13</f>
        <v>39675.627240143367</v>
      </c>
      <c r="E2662" s="383">
        <v>6812</v>
      </c>
      <c r="F2662" s="842" t="s">
        <v>3556</v>
      </c>
      <c r="G2662" s="383">
        <v>1743</v>
      </c>
      <c r="H2662" s="446">
        <v>9</v>
      </c>
      <c r="I2662" s="446">
        <v>4</v>
      </c>
      <c r="J2662" s="446">
        <v>192</v>
      </c>
      <c r="K2662" s="397" t="s">
        <v>220</v>
      </c>
      <c r="L2662" s="384">
        <f t="shared" si="368"/>
        <v>8645210</v>
      </c>
      <c r="M2662" s="519">
        <v>8496460</v>
      </c>
      <c r="N2662" s="388">
        <v>148750</v>
      </c>
      <c r="O2662" s="473"/>
      <c r="P2662" s="388"/>
      <c r="Q2662" s="388"/>
      <c r="R2662" s="446">
        <f>M2662/I2662</f>
        <v>2124115</v>
      </c>
      <c r="S2662" s="383">
        <f t="shared" si="367"/>
        <v>0</v>
      </c>
      <c r="T2662" s="379"/>
      <c r="U2662" s="381"/>
      <c r="V2662" s="1000"/>
    </row>
    <row r="2663" spans="1:24" ht="37.5">
      <c r="A2663" s="404">
        <f t="shared" si="369"/>
        <v>16</v>
      </c>
      <c r="B2663" s="403" t="s">
        <v>3857</v>
      </c>
      <c r="C2663" s="506" t="s">
        <v>315</v>
      </c>
      <c r="D2663" s="382">
        <f>E2663/1.116/2*13</f>
        <v>66287.186379928302</v>
      </c>
      <c r="E2663" s="383">
        <v>11381</v>
      </c>
      <c r="F2663" s="842" t="s">
        <v>3556</v>
      </c>
      <c r="G2663" s="383">
        <v>5748</v>
      </c>
      <c r="H2663" s="446">
        <v>9</v>
      </c>
      <c r="I2663" s="843">
        <v>6</v>
      </c>
      <c r="J2663" s="528">
        <v>287</v>
      </c>
      <c r="K2663" s="397" t="s">
        <v>220</v>
      </c>
      <c r="L2663" s="384">
        <f t="shared" si="368"/>
        <v>4316180</v>
      </c>
      <c r="M2663" s="519">
        <v>4209930</v>
      </c>
      <c r="N2663" s="383">
        <v>106250</v>
      </c>
      <c r="O2663" s="473"/>
      <c r="P2663" s="388"/>
      <c r="Q2663" s="388"/>
      <c r="R2663" s="446">
        <f>M2663/2</f>
        <v>2104965</v>
      </c>
      <c r="S2663" s="383">
        <f t="shared" si="367"/>
        <v>0</v>
      </c>
      <c r="T2663" s="379"/>
      <c r="U2663" s="381"/>
      <c r="V2663" s="1000"/>
    </row>
    <row r="2664" spans="1:24" ht="37.5">
      <c r="A2664" s="404">
        <f t="shared" si="369"/>
        <v>17</v>
      </c>
      <c r="B2664" s="403" t="s">
        <v>3858</v>
      </c>
      <c r="C2664" s="506" t="s">
        <v>315</v>
      </c>
      <c r="D2664" s="382">
        <f>E2664/1.116/2*13</f>
        <v>31206.989247311827</v>
      </c>
      <c r="E2664" s="383">
        <v>5358</v>
      </c>
      <c r="F2664" s="842" t="s">
        <v>3556</v>
      </c>
      <c r="G2664" s="383">
        <v>1792</v>
      </c>
      <c r="H2664" s="446">
        <v>9</v>
      </c>
      <c r="I2664" s="843">
        <v>4</v>
      </c>
      <c r="J2664" s="528">
        <v>130</v>
      </c>
      <c r="K2664" s="397" t="s">
        <v>220</v>
      </c>
      <c r="L2664" s="384">
        <f t="shared" si="368"/>
        <v>6469720</v>
      </c>
      <c r="M2664" s="519">
        <v>6342220</v>
      </c>
      <c r="N2664" s="383">
        <v>127500</v>
      </c>
      <c r="O2664" s="473"/>
      <c r="P2664" s="388"/>
      <c r="Q2664" s="388"/>
      <c r="R2664" s="446">
        <f>M2664/3</f>
        <v>2114073.3333333335</v>
      </c>
      <c r="S2664" s="383">
        <f t="shared" si="367"/>
        <v>0</v>
      </c>
      <c r="T2664" s="379"/>
      <c r="U2664" s="381"/>
      <c r="V2664" s="1000"/>
    </row>
    <row r="2665" spans="1:24" ht="37.5">
      <c r="A2665" s="404">
        <f t="shared" si="369"/>
        <v>18</v>
      </c>
      <c r="B2665" s="403" t="s">
        <v>3859</v>
      </c>
      <c r="C2665" s="506" t="s">
        <v>315</v>
      </c>
      <c r="D2665" s="382">
        <f>E2665/1.116/2*13</f>
        <v>31294.354838709674</v>
      </c>
      <c r="E2665" s="383">
        <v>5373</v>
      </c>
      <c r="F2665" s="842" t="s">
        <v>3556</v>
      </c>
      <c r="G2665" s="383">
        <v>2107</v>
      </c>
      <c r="H2665" s="446">
        <v>9</v>
      </c>
      <c r="I2665" s="844">
        <v>4</v>
      </c>
      <c r="J2665" s="446">
        <v>138</v>
      </c>
      <c r="K2665" s="397" t="s">
        <v>220</v>
      </c>
      <c r="L2665" s="384">
        <f t="shared" si="368"/>
        <v>4319110</v>
      </c>
      <c r="M2665" s="519">
        <v>4212860</v>
      </c>
      <c r="N2665" s="383">
        <v>106250</v>
      </c>
      <c r="O2665" s="473"/>
      <c r="P2665" s="388"/>
      <c r="Q2665" s="388"/>
      <c r="R2665" s="446">
        <f>M2665/2</f>
        <v>2106430</v>
      </c>
      <c r="S2665" s="383">
        <f t="shared" si="367"/>
        <v>0</v>
      </c>
      <c r="T2665" s="379"/>
      <c r="U2665" s="381"/>
      <c r="V2665" s="1000"/>
    </row>
    <row r="2666" spans="1:24" ht="37.5">
      <c r="A2666" s="404">
        <f t="shared" si="369"/>
        <v>19</v>
      </c>
      <c r="B2666" s="403" t="s">
        <v>3122</v>
      </c>
      <c r="C2666" s="414" t="s">
        <v>299</v>
      </c>
      <c r="D2666" s="382">
        <v>59278.879310344826</v>
      </c>
      <c r="E2666" s="383">
        <v>10579</v>
      </c>
      <c r="F2666" s="842" t="s">
        <v>219</v>
      </c>
      <c r="G2666" s="383">
        <v>1500</v>
      </c>
      <c r="H2666" s="446">
        <v>9</v>
      </c>
      <c r="I2666" s="845">
        <v>5</v>
      </c>
      <c r="J2666" s="528">
        <v>228</v>
      </c>
      <c r="K2666" s="397" t="s">
        <v>220</v>
      </c>
      <c r="L2666" s="384">
        <f t="shared" si="368"/>
        <v>10642760</v>
      </c>
      <c r="M2666" s="519">
        <v>10472760</v>
      </c>
      <c r="N2666" s="383">
        <v>170000</v>
      </c>
      <c r="O2666" s="473"/>
      <c r="P2666" s="388"/>
      <c r="Q2666" s="388"/>
      <c r="R2666" s="446">
        <f>M2666/I2666</f>
        <v>2094552</v>
      </c>
      <c r="S2666" s="383">
        <f t="shared" si="367"/>
        <v>0</v>
      </c>
      <c r="T2666" s="379"/>
      <c r="U2666" s="381"/>
      <c r="V2666" s="1000"/>
    </row>
    <row r="2667" spans="1:24" s="455" customFormat="1" ht="37.5" customHeight="1">
      <c r="A2667" s="404">
        <f t="shared" si="369"/>
        <v>20</v>
      </c>
      <c r="B2667" s="403" t="s">
        <v>2140</v>
      </c>
      <c r="C2667" s="455" t="s">
        <v>299</v>
      </c>
      <c r="D2667" s="772">
        <f t="shared" ref="D2667:D2721" si="370">E2667/1.16/2*13</f>
        <v>19516.810344827587</v>
      </c>
      <c r="E2667" s="388">
        <v>3483</v>
      </c>
      <c r="F2667" s="388" t="s">
        <v>252</v>
      </c>
      <c r="G2667" s="388">
        <v>1050</v>
      </c>
      <c r="H2667" s="446">
        <v>5</v>
      </c>
      <c r="I2667" s="446">
        <v>4</v>
      </c>
      <c r="J2667" s="446">
        <v>64</v>
      </c>
      <c r="K2667" s="504" t="s">
        <v>225</v>
      </c>
      <c r="L2667" s="384">
        <f t="shared" si="368"/>
        <v>1462125.6600000001</v>
      </c>
      <c r="M2667" s="519">
        <v>1408000</v>
      </c>
      <c r="N2667" s="383">
        <v>34368.300000000003</v>
      </c>
      <c r="O2667" s="385"/>
      <c r="P2667" s="383"/>
      <c r="Q2667" s="388">
        <v>19757.36</v>
      </c>
      <c r="R2667" s="382">
        <f>M2667/J2667</f>
        <v>22000</v>
      </c>
      <c r="S2667" s="383">
        <f t="shared" si="367"/>
        <v>1.4551915228366852E-10</v>
      </c>
      <c r="T2667" s="388"/>
      <c r="U2667" s="404"/>
      <c r="V2667" s="390"/>
      <c r="W2667" s="403"/>
    </row>
    <row r="2668" spans="1:24" s="455" customFormat="1" ht="37.5" customHeight="1">
      <c r="A2668" s="493">
        <f>A2667+1</f>
        <v>21</v>
      </c>
      <c r="B2668" s="403" t="s">
        <v>1228</v>
      </c>
      <c r="C2668" s="455" t="s">
        <v>299</v>
      </c>
      <c r="D2668" s="772">
        <f t="shared" si="370"/>
        <v>6920.2586206896558</v>
      </c>
      <c r="E2668" s="388">
        <v>1235</v>
      </c>
      <c r="F2668" s="388" t="s">
        <v>219</v>
      </c>
      <c r="G2668" s="388">
        <v>442</v>
      </c>
      <c r="H2668" s="446">
        <v>5</v>
      </c>
      <c r="I2668" s="446">
        <v>2</v>
      </c>
      <c r="J2668" s="446">
        <v>20</v>
      </c>
      <c r="K2668" s="397" t="s">
        <v>227</v>
      </c>
      <c r="L2668" s="384">
        <f t="shared" si="368"/>
        <v>3319856</v>
      </c>
      <c r="M2668" s="529">
        <v>3264330</v>
      </c>
      <c r="N2668" s="383">
        <v>27883</v>
      </c>
      <c r="O2668" s="385"/>
      <c r="P2668" s="383"/>
      <c r="Q2668" s="388">
        <v>27643</v>
      </c>
      <c r="R2668" s="528">
        <f>M2668/E2668</f>
        <v>2643.1821862348179</v>
      </c>
      <c r="S2668" s="383">
        <f t="shared" si="367"/>
        <v>0</v>
      </c>
      <c r="U2668" s="404"/>
      <c r="V2668" s="390"/>
      <c r="W2668" s="403"/>
    </row>
    <row r="2669" spans="1:24" s="403" customFormat="1" ht="37.5" customHeight="1">
      <c r="A2669" s="493">
        <f>A2668+1</f>
        <v>22</v>
      </c>
      <c r="B2669" s="543" t="s">
        <v>2141</v>
      </c>
      <c r="C2669" s="455" t="s">
        <v>299</v>
      </c>
      <c r="D2669" s="760">
        <f t="shared" si="370"/>
        <v>7419.4137931034493</v>
      </c>
      <c r="E2669" s="388">
        <v>1324.08</v>
      </c>
      <c r="F2669" s="388" t="s">
        <v>219</v>
      </c>
      <c r="G2669" s="388">
        <v>870</v>
      </c>
      <c r="H2669" s="446">
        <v>5</v>
      </c>
      <c r="I2669" s="446">
        <v>2</v>
      </c>
      <c r="J2669" s="446">
        <v>24</v>
      </c>
      <c r="K2669" s="397" t="s">
        <v>33</v>
      </c>
      <c r="L2669" s="519">
        <f t="shared" si="368"/>
        <v>993601</v>
      </c>
      <c r="M2669" s="519">
        <v>953447</v>
      </c>
      <c r="N2669" s="756"/>
      <c r="O2669" s="473">
        <v>20254</v>
      </c>
      <c r="P2669" s="756"/>
      <c r="Q2669" s="388">
        <v>19900</v>
      </c>
      <c r="R2669" s="446">
        <f t="shared" ref="R2669:R2674" si="371">M2669/G2669</f>
        <v>1095.9160919540229</v>
      </c>
      <c r="S2669" s="383">
        <f t="shared" si="367"/>
        <v>0</v>
      </c>
      <c r="U2669" s="404"/>
      <c r="V2669" s="390"/>
    </row>
    <row r="2670" spans="1:24" s="455" customFormat="1" ht="37.5">
      <c r="A2670" s="493">
        <f>A2669+1</f>
        <v>23</v>
      </c>
      <c r="B2670" s="543" t="s">
        <v>2142</v>
      </c>
      <c r="C2670" s="455" t="s">
        <v>299</v>
      </c>
      <c r="D2670" s="772">
        <f t="shared" si="370"/>
        <v>20087.689655172413</v>
      </c>
      <c r="E2670" s="388">
        <v>3584.88</v>
      </c>
      <c r="F2670" s="388" t="s">
        <v>219</v>
      </c>
      <c r="G2670" s="388">
        <v>1760</v>
      </c>
      <c r="H2670" s="446">
        <v>5</v>
      </c>
      <c r="I2670" s="446">
        <v>8</v>
      </c>
      <c r="J2670" s="446">
        <v>128</v>
      </c>
      <c r="K2670" s="504" t="s">
        <v>33</v>
      </c>
      <c r="L2670" s="384">
        <f t="shared" si="368"/>
        <v>4268972</v>
      </c>
      <c r="M2670" s="519">
        <v>4224000</v>
      </c>
      <c r="N2670" s="388"/>
      <c r="O2670" s="473">
        <v>25072</v>
      </c>
      <c r="P2670" s="388"/>
      <c r="Q2670" s="388">
        <v>19900</v>
      </c>
      <c r="R2670" s="446">
        <f t="shared" si="371"/>
        <v>2400</v>
      </c>
      <c r="S2670" s="383">
        <f t="shared" si="367"/>
        <v>0</v>
      </c>
      <c r="T2670" s="388"/>
      <c r="U2670" s="404"/>
      <c r="V2670" s="390"/>
    </row>
    <row r="2671" spans="1:24" s="455" customFormat="1" ht="37.5">
      <c r="A2671" s="493">
        <f>A2670+1</f>
        <v>24</v>
      </c>
      <c r="B2671" s="403" t="s">
        <v>2143</v>
      </c>
      <c r="C2671" s="455" t="s">
        <v>299</v>
      </c>
      <c r="D2671" s="531">
        <f t="shared" si="370"/>
        <v>17622.844827586207</v>
      </c>
      <c r="E2671" s="388">
        <v>3145</v>
      </c>
      <c r="F2671" s="388" t="s">
        <v>219</v>
      </c>
      <c r="G2671" s="388">
        <v>1392</v>
      </c>
      <c r="H2671" s="446">
        <v>5</v>
      </c>
      <c r="I2671" s="446">
        <v>6</v>
      </c>
      <c r="J2671" s="446">
        <v>80</v>
      </c>
      <c r="K2671" s="458" t="s">
        <v>33</v>
      </c>
      <c r="L2671" s="384">
        <f t="shared" si="368"/>
        <v>3382705</v>
      </c>
      <c r="M2671" s="519">
        <v>3340800</v>
      </c>
      <c r="N2671" s="388"/>
      <c r="O2671" s="473">
        <v>22005</v>
      </c>
      <c r="P2671" s="388"/>
      <c r="Q2671" s="388">
        <v>19900</v>
      </c>
      <c r="R2671" s="446">
        <f t="shared" si="371"/>
        <v>2400</v>
      </c>
      <c r="S2671" s="383">
        <f t="shared" si="367"/>
        <v>0</v>
      </c>
      <c r="T2671" s="388"/>
      <c r="U2671" s="404"/>
      <c r="V2671" s="390"/>
      <c r="X2671" s="403"/>
    </row>
    <row r="2672" spans="1:24" s="455" customFormat="1" ht="37.5" customHeight="1">
      <c r="A2672" s="493">
        <f>A2671+1</f>
        <v>25</v>
      </c>
      <c r="B2672" s="403" t="s">
        <v>2144</v>
      </c>
      <c r="C2672" s="455" t="s">
        <v>299</v>
      </c>
      <c r="D2672" s="531">
        <f t="shared" si="370"/>
        <v>12310.775862068967</v>
      </c>
      <c r="E2672" s="388">
        <v>2197</v>
      </c>
      <c r="F2672" s="388" t="s">
        <v>219</v>
      </c>
      <c r="G2672" s="388">
        <v>972</v>
      </c>
      <c r="H2672" s="446">
        <v>5</v>
      </c>
      <c r="I2672" s="446">
        <v>4</v>
      </c>
      <c r="J2672" s="446">
        <v>78</v>
      </c>
      <c r="K2672" s="458" t="s">
        <v>33</v>
      </c>
      <c r="L2672" s="384">
        <f t="shared" si="368"/>
        <v>2211884</v>
      </c>
      <c r="M2672" s="519">
        <v>2170520</v>
      </c>
      <c r="N2672" s="388"/>
      <c r="O2672" s="473">
        <v>21464</v>
      </c>
      <c r="P2672" s="388"/>
      <c r="Q2672" s="388">
        <v>19900</v>
      </c>
      <c r="R2672" s="446">
        <f t="shared" si="371"/>
        <v>2233.0452674897119</v>
      </c>
      <c r="S2672" s="383">
        <f t="shared" si="367"/>
        <v>0</v>
      </c>
      <c r="U2672" s="404"/>
      <c r="V2672" s="390"/>
      <c r="X2672" s="403"/>
    </row>
    <row r="2673" spans="1:24" s="455" customFormat="1" ht="37.5" customHeight="1">
      <c r="A2673" s="404">
        <f t="shared" ref="A2673:A2734" si="372">A2672+1</f>
        <v>26</v>
      </c>
      <c r="B2673" s="403" t="s">
        <v>2146</v>
      </c>
      <c r="C2673" s="455" t="s">
        <v>299</v>
      </c>
      <c r="D2673" s="531">
        <f t="shared" si="370"/>
        <v>18827.586206896551</v>
      </c>
      <c r="E2673" s="388">
        <v>3360</v>
      </c>
      <c r="F2673" s="388" t="s">
        <v>219</v>
      </c>
      <c r="G2673" s="388">
        <v>900</v>
      </c>
      <c r="H2673" s="446">
        <v>5</v>
      </c>
      <c r="I2673" s="446">
        <v>4</v>
      </c>
      <c r="J2673" s="446">
        <v>40</v>
      </c>
      <c r="K2673" s="458" t="s">
        <v>33</v>
      </c>
      <c r="L2673" s="384">
        <f t="shared" si="368"/>
        <v>1954692</v>
      </c>
      <c r="M2673" s="519">
        <v>1912369</v>
      </c>
      <c r="N2673" s="388"/>
      <c r="O2673" s="473">
        <v>22423</v>
      </c>
      <c r="P2673" s="388"/>
      <c r="Q2673" s="388">
        <v>19900</v>
      </c>
      <c r="R2673" s="446">
        <f t="shared" si="371"/>
        <v>2124.8544444444447</v>
      </c>
      <c r="S2673" s="383">
        <f t="shared" si="367"/>
        <v>0</v>
      </c>
      <c r="U2673" s="404"/>
      <c r="V2673" s="390"/>
      <c r="X2673" s="403"/>
    </row>
    <row r="2674" spans="1:24" s="455" customFormat="1" ht="37.5" customHeight="1">
      <c r="A2674" s="404">
        <f t="shared" si="372"/>
        <v>27</v>
      </c>
      <c r="B2674" s="403" t="s">
        <v>2147</v>
      </c>
      <c r="C2674" s="455" t="s">
        <v>218</v>
      </c>
      <c r="D2674" s="531">
        <f t="shared" si="370"/>
        <v>20844.827586206899</v>
      </c>
      <c r="E2674" s="388">
        <v>3720</v>
      </c>
      <c r="F2674" s="388" t="s">
        <v>219</v>
      </c>
      <c r="G2674" s="388">
        <v>638</v>
      </c>
      <c r="H2674" s="446">
        <v>9</v>
      </c>
      <c r="I2674" s="446">
        <v>2</v>
      </c>
      <c r="J2674" s="446">
        <v>72</v>
      </c>
      <c r="K2674" s="458" t="s">
        <v>33</v>
      </c>
      <c r="L2674" s="384">
        <f t="shared" si="368"/>
        <v>1554198</v>
      </c>
      <c r="M2674" s="519">
        <v>1508566</v>
      </c>
      <c r="N2674" s="388"/>
      <c r="O2674" s="473">
        <v>25732</v>
      </c>
      <c r="P2674" s="388"/>
      <c r="Q2674" s="388">
        <v>19900</v>
      </c>
      <c r="R2674" s="446">
        <f t="shared" si="371"/>
        <v>2364.5235109717869</v>
      </c>
      <c r="S2674" s="383">
        <f t="shared" si="367"/>
        <v>0</v>
      </c>
      <c r="U2674" s="404"/>
      <c r="V2674" s="390"/>
      <c r="X2674" s="403"/>
    </row>
    <row r="2675" spans="1:24" s="455" customFormat="1" ht="37.5" customHeight="1">
      <c r="A2675" s="404">
        <f t="shared" si="372"/>
        <v>28</v>
      </c>
      <c r="B2675" s="846" t="s">
        <v>2148</v>
      </c>
      <c r="C2675" s="455" t="s">
        <v>299</v>
      </c>
      <c r="D2675" s="531">
        <f t="shared" si="370"/>
        <v>8831.0344827586214</v>
      </c>
      <c r="E2675" s="388">
        <v>1576</v>
      </c>
      <c r="F2675" s="388" t="s">
        <v>219</v>
      </c>
      <c r="G2675" s="388">
        <v>944.9</v>
      </c>
      <c r="H2675" s="446">
        <v>9</v>
      </c>
      <c r="I2675" s="446">
        <v>3</v>
      </c>
      <c r="J2675" s="446">
        <v>120</v>
      </c>
      <c r="K2675" s="397" t="s">
        <v>227</v>
      </c>
      <c r="L2675" s="384">
        <f t="shared" si="368"/>
        <v>5648500.6500000004</v>
      </c>
      <c r="M2675" s="384">
        <v>5600000</v>
      </c>
      <c r="N2675" s="388">
        <v>36498</v>
      </c>
      <c r="O2675" s="473"/>
      <c r="P2675" s="388"/>
      <c r="Q2675" s="388">
        <v>12002.65</v>
      </c>
      <c r="R2675" s="528">
        <f>M2675/E2675</f>
        <v>3553.2994923857868</v>
      </c>
      <c r="S2675" s="383">
        <f t="shared" si="367"/>
        <v>3.7289282772690058E-10</v>
      </c>
      <c r="U2675" s="404"/>
      <c r="V2675" s="390"/>
      <c r="W2675" s="403"/>
    </row>
    <row r="2676" spans="1:24" s="455" customFormat="1" ht="37.5" customHeight="1">
      <c r="A2676" s="404">
        <f t="shared" si="372"/>
        <v>29</v>
      </c>
      <c r="B2676" s="543" t="s">
        <v>2150</v>
      </c>
      <c r="C2676" s="455" t="s">
        <v>299</v>
      </c>
      <c r="D2676" s="772">
        <f t="shared" si="370"/>
        <v>16261.206896551726</v>
      </c>
      <c r="E2676" s="388">
        <v>2902</v>
      </c>
      <c r="F2676" s="388" t="s">
        <v>219</v>
      </c>
      <c r="G2676" s="388">
        <v>934</v>
      </c>
      <c r="H2676" s="446">
        <v>5</v>
      </c>
      <c r="I2676" s="446">
        <v>4</v>
      </c>
      <c r="J2676" s="446">
        <v>70</v>
      </c>
      <c r="K2676" s="504" t="s">
        <v>33</v>
      </c>
      <c r="L2676" s="384">
        <f t="shared" si="368"/>
        <v>2434324</v>
      </c>
      <c r="M2676" s="519">
        <v>2392196</v>
      </c>
      <c r="N2676" s="388"/>
      <c r="O2676" s="473">
        <v>22228</v>
      </c>
      <c r="P2676" s="388"/>
      <c r="Q2676" s="388">
        <v>19900</v>
      </c>
      <c r="R2676" s="446">
        <f t="shared" ref="R2676:R2689" si="373">M2676/G2676</f>
        <v>2561.2376873661669</v>
      </c>
      <c r="S2676" s="383">
        <f t="shared" si="367"/>
        <v>0</v>
      </c>
      <c r="U2676" s="404"/>
      <c r="V2676" s="390"/>
      <c r="X2676" s="403"/>
    </row>
    <row r="2677" spans="1:24" s="455" customFormat="1" ht="27.75" customHeight="1">
      <c r="A2677" s="404">
        <f t="shared" si="372"/>
        <v>30</v>
      </c>
      <c r="B2677" s="403" t="s">
        <v>2151</v>
      </c>
      <c r="C2677" s="455" t="s">
        <v>218</v>
      </c>
      <c r="D2677" s="772">
        <f t="shared" si="370"/>
        <v>27171.120689655178</v>
      </c>
      <c r="E2677" s="388">
        <v>4849</v>
      </c>
      <c r="F2677" s="388" t="s">
        <v>219</v>
      </c>
      <c r="G2677" s="388">
        <v>961</v>
      </c>
      <c r="H2677" s="777">
        <v>9</v>
      </c>
      <c r="I2677" s="777">
        <v>3</v>
      </c>
      <c r="J2677" s="446">
        <v>108</v>
      </c>
      <c r="K2677" s="397" t="s">
        <v>33</v>
      </c>
      <c r="L2677" s="384">
        <f t="shared" si="368"/>
        <v>2423345</v>
      </c>
      <c r="M2677" s="519">
        <v>2377158</v>
      </c>
      <c r="N2677" s="388"/>
      <c r="O2677" s="473">
        <v>26287</v>
      </c>
      <c r="P2677" s="388"/>
      <c r="Q2677" s="388">
        <v>19900</v>
      </c>
      <c r="R2677" s="446">
        <f t="shared" si="373"/>
        <v>2473.6295525494279</v>
      </c>
      <c r="S2677" s="383">
        <f t="shared" si="367"/>
        <v>0</v>
      </c>
      <c r="U2677" s="404"/>
      <c r="V2677" s="390"/>
    </row>
    <row r="2678" spans="1:24" s="455" customFormat="1" ht="27.75" customHeight="1">
      <c r="A2678" s="404">
        <f t="shared" si="372"/>
        <v>31</v>
      </c>
      <c r="B2678" s="403" t="s">
        <v>2152</v>
      </c>
      <c r="C2678" s="455" t="s">
        <v>218</v>
      </c>
      <c r="D2678" s="531">
        <f t="shared" si="370"/>
        <v>27423.275862068967</v>
      </c>
      <c r="E2678" s="388">
        <v>4894</v>
      </c>
      <c r="F2678" s="388" t="s">
        <v>219</v>
      </c>
      <c r="G2678" s="388">
        <v>996</v>
      </c>
      <c r="H2678" s="446">
        <v>9</v>
      </c>
      <c r="I2678" s="446">
        <v>3</v>
      </c>
      <c r="J2678" s="446">
        <v>108</v>
      </c>
      <c r="K2678" s="458" t="s">
        <v>33</v>
      </c>
      <c r="L2678" s="384">
        <f t="shared" si="368"/>
        <v>2423410</v>
      </c>
      <c r="M2678" s="519">
        <v>2377158</v>
      </c>
      <c r="N2678" s="388"/>
      <c r="O2678" s="473">
        <v>26352</v>
      </c>
      <c r="P2678" s="388"/>
      <c r="Q2678" s="388">
        <v>19900</v>
      </c>
      <c r="R2678" s="446">
        <f t="shared" si="373"/>
        <v>2386.7048192771085</v>
      </c>
      <c r="S2678" s="383">
        <f t="shared" ref="S2678:S2708" si="374">L2678-M2678-N2678-O2678-P2678-Q2678</f>
        <v>0</v>
      </c>
      <c r="U2678" s="404"/>
      <c r="V2678" s="390"/>
    </row>
    <row r="2679" spans="1:24" s="455" customFormat="1" ht="37.5" customHeight="1">
      <c r="A2679" s="404">
        <f t="shared" si="372"/>
        <v>32</v>
      </c>
      <c r="B2679" s="543" t="s">
        <v>2153</v>
      </c>
      <c r="C2679" s="455" t="s">
        <v>299</v>
      </c>
      <c r="D2679" s="772">
        <f t="shared" si="370"/>
        <v>13065.560344827585</v>
      </c>
      <c r="E2679" s="388">
        <v>2331.6999999999998</v>
      </c>
      <c r="F2679" s="388" t="s">
        <v>219</v>
      </c>
      <c r="G2679" s="388">
        <v>845</v>
      </c>
      <c r="H2679" s="446">
        <v>5</v>
      </c>
      <c r="I2679" s="446">
        <v>4</v>
      </c>
      <c r="J2679" s="446">
        <v>80</v>
      </c>
      <c r="K2679" s="504" t="s">
        <v>33</v>
      </c>
      <c r="L2679" s="384">
        <f t="shared" si="368"/>
        <v>2174446</v>
      </c>
      <c r="M2679" s="519">
        <v>2132793</v>
      </c>
      <c r="N2679" s="388"/>
      <c r="O2679" s="473">
        <v>21753</v>
      </c>
      <c r="P2679" s="388"/>
      <c r="Q2679" s="388">
        <v>19900</v>
      </c>
      <c r="R2679" s="446">
        <f t="shared" si="373"/>
        <v>2524.0153846153844</v>
      </c>
      <c r="S2679" s="383">
        <f t="shared" si="374"/>
        <v>0</v>
      </c>
      <c r="U2679" s="404"/>
      <c r="V2679" s="390"/>
    </row>
    <row r="2680" spans="1:24" s="455" customFormat="1" ht="37.5" customHeight="1">
      <c r="A2680" s="404">
        <f t="shared" si="372"/>
        <v>33</v>
      </c>
      <c r="B2680" s="403" t="s">
        <v>2154</v>
      </c>
      <c r="C2680" s="455" t="s">
        <v>299</v>
      </c>
      <c r="D2680" s="772">
        <f t="shared" si="370"/>
        <v>13336.206896551725</v>
      </c>
      <c r="E2680" s="388">
        <v>2380</v>
      </c>
      <c r="F2680" s="388" t="s">
        <v>219</v>
      </c>
      <c r="G2680" s="388">
        <v>929</v>
      </c>
      <c r="H2680" s="446">
        <v>5</v>
      </c>
      <c r="I2680" s="446">
        <v>4</v>
      </c>
      <c r="J2680" s="446">
        <v>68</v>
      </c>
      <c r="K2680" s="458" t="s">
        <v>33</v>
      </c>
      <c r="L2680" s="384">
        <f t="shared" si="368"/>
        <v>2366139</v>
      </c>
      <c r="M2680" s="519">
        <v>2324397</v>
      </c>
      <c r="N2680" s="388"/>
      <c r="O2680" s="473">
        <v>21842</v>
      </c>
      <c r="P2680" s="388"/>
      <c r="Q2680" s="388">
        <v>19900</v>
      </c>
      <c r="R2680" s="446">
        <f t="shared" si="373"/>
        <v>2502.0419806243272</v>
      </c>
      <c r="S2680" s="383">
        <f t="shared" si="374"/>
        <v>0</v>
      </c>
      <c r="U2680" s="404"/>
      <c r="V2680" s="390"/>
      <c r="X2680" s="403"/>
    </row>
    <row r="2681" spans="1:24" s="455" customFormat="1" ht="37.5" customHeight="1">
      <c r="A2681" s="404">
        <f t="shared" si="372"/>
        <v>34</v>
      </c>
      <c r="B2681" s="403" t="s">
        <v>2155</v>
      </c>
      <c r="C2681" s="455" t="s">
        <v>299</v>
      </c>
      <c r="D2681" s="772">
        <f t="shared" si="370"/>
        <v>11397.413793103449</v>
      </c>
      <c r="E2681" s="388">
        <v>2034</v>
      </c>
      <c r="F2681" s="388" t="s">
        <v>219</v>
      </c>
      <c r="G2681" s="388">
        <v>1100</v>
      </c>
      <c r="H2681" s="777">
        <v>5</v>
      </c>
      <c r="I2681" s="777">
        <v>5</v>
      </c>
      <c r="J2681" s="446">
        <v>75</v>
      </c>
      <c r="K2681" s="397" t="s">
        <v>33</v>
      </c>
      <c r="L2681" s="384">
        <f t="shared" si="368"/>
        <v>2441667</v>
      </c>
      <c r="M2681" s="519">
        <v>2400000</v>
      </c>
      <c r="N2681" s="388"/>
      <c r="O2681" s="473">
        <v>21767</v>
      </c>
      <c r="P2681" s="388"/>
      <c r="Q2681" s="388">
        <v>19900</v>
      </c>
      <c r="R2681" s="446">
        <f t="shared" si="373"/>
        <v>2181.818181818182</v>
      </c>
      <c r="S2681" s="383">
        <f t="shared" si="374"/>
        <v>0</v>
      </c>
      <c r="U2681" s="404"/>
      <c r="V2681" s="390"/>
    </row>
    <row r="2682" spans="1:24" s="455" customFormat="1" ht="37.5" customHeight="1">
      <c r="A2682" s="404">
        <f t="shared" si="372"/>
        <v>35</v>
      </c>
      <c r="B2682" s="403" t="s">
        <v>2156</v>
      </c>
      <c r="C2682" s="455" t="s">
        <v>299</v>
      </c>
      <c r="D2682" s="772">
        <f t="shared" si="370"/>
        <v>16081.896551724138</v>
      </c>
      <c r="E2682" s="388">
        <v>2870</v>
      </c>
      <c r="F2682" s="388" t="s">
        <v>219</v>
      </c>
      <c r="G2682" s="388">
        <v>500</v>
      </c>
      <c r="H2682" s="777">
        <v>9</v>
      </c>
      <c r="I2682" s="777">
        <v>1</v>
      </c>
      <c r="J2682" s="446">
        <v>72</v>
      </c>
      <c r="K2682" s="397" t="s">
        <v>33</v>
      </c>
      <c r="L2682" s="384">
        <f t="shared" si="368"/>
        <v>1252846</v>
      </c>
      <c r="M2682" s="519">
        <v>1209512</v>
      </c>
      <c r="N2682" s="388"/>
      <c r="O2682" s="473">
        <v>23434</v>
      </c>
      <c r="P2682" s="388"/>
      <c r="Q2682" s="388">
        <v>19900</v>
      </c>
      <c r="R2682" s="446">
        <f t="shared" si="373"/>
        <v>2419.0239999999999</v>
      </c>
      <c r="S2682" s="383">
        <f t="shared" si="374"/>
        <v>0</v>
      </c>
      <c r="U2682" s="404"/>
      <c r="V2682" s="390"/>
    </row>
    <row r="2683" spans="1:24" s="455" customFormat="1" ht="37.5" customHeight="1">
      <c r="A2683" s="404">
        <f t="shared" si="372"/>
        <v>36</v>
      </c>
      <c r="B2683" s="403" t="s">
        <v>2159</v>
      </c>
      <c r="C2683" s="455" t="s">
        <v>299</v>
      </c>
      <c r="D2683" s="772">
        <f t="shared" si="370"/>
        <v>14031.034482758621</v>
      </c>
      <c r="E2683" s="388">
        <v>2504</v>
      </c>
      <c r="F2683" s="388" t="s">
        <v>219</v>
      </c>
      <c r="G2683" s="388">
        <v>996</v>
      </c>
      <c r="H2683" s="777">
        <v>5</v>
      </c>
      <c r="I2683" s="777">
        <v>4</v>
      </c>
      <c r="J2683" s="446">
        <v>67</v>
      </c>
      <c r="K2683" s="397" t="s">
        <v>33</v>
      </c>
      <c r="L2683" s="384">
        <f t="shared" si="368"/>
        <v>3141420</v>
      </c>
      <c r="M2683" s="519">
        <v>3098751</v>
      </c>
      <c r="N2683" s="388"/>
      <c r="O2683" s="473">
        <v>22769</v>
      </c>
      <c r="P2683" s="388"/>
      <c r="Q2683" s="388">
        <v>19900</v>
      </c>
      <c r="R2683" s="446">
        <f t="shared" si="373"/>
        <v>3111.1957831325303</v>
      </c>
      <c r="S2683" s="383">
        <f t="shared" si="374"/>
        <v>0</v>
      </c>
      <c r="U2683" s="404"/>
      <c r="V2683" s="390"/>
    </row>
    <row r="2684" spans="1:24" s="455" customFormat="1" ht="37.5" customHeight="1">
      <c r="A2684" s="404">
        <f t="shared" si="372"/>
        <v>37</v>
      </c>
      <c r="B2684" s="403" t="s">
        <v>2160</v>
      </c>
      <c r="C2684" s="455" t="s">
        <v>299</v>
      </c>
      <c r="D2684" s="772">
        <f t="shared" si="370"/>
        <v>12865.517241379312</v>
      </c>
      <c r="E2684" s="388">
        <v>2296</v>
      </c>
      <c r="F2684" s="388" t="s">
        <v>219</v>
      </c>
      <c r="G2684" s="388">
        <v>962</v>
      </c>
      <c r="H2684" s="777">
        <v>5</v>
      </c>
      <c r="I2684" s="777">
        <v>4</v>
      </c>
      <c r="J2684" s="446">
        <v>67</v>
      </c>
      <c r="K2684" s="397" t="s">
        <v>33</v>
      </c>
      <c r="L2684" s="384">
        <f t="shared" si="368"/>
        <v>3074893</v>
      </c>
      <c r="M2684" s="519">
        <v>3032667</v>
      </c>
      <c r="N2684" s="388"/>
      <c r="O2684" s="473">
        <v>22326</v>
      </c>
      <c r="P2684" s="388"/>
      <c r="Q2684" s="388">
        <v>19900</v>
      </c>
      <c r="R2684" s="446">
        <f t="shared" si="373"/>
        <v>3152.4604989604991</v>
      </c>
      <c r="S2684" s="383">
        <f t="shared" si="374"/>
        <v>0</v>
      </c>
      <c r="U2684" s="404"/>
      <c r="V2684" s="390"/>
    </row>
    <row r="2685" spans="1:24" s="455" customFormat="1" ht="37.5" customHeight="1">
      <c r="A2685" s="404">
        <f t="shared" si="372"/>
        <v>38</v>
      </c>
      <c r="B2685" s="403" t="s">
        <v>2161</v>
      </c>
      <c r="C2685" s="455" t="s">
        <v>299</v>
      </c>
      <c r="D2685" s="772">
        <f t="shared" si="370"/>
        <v>14036.637931034484</v>
      </c>
      <c r="E2685" s="388">
        <v>2505</v>
      </c>
      <c r="F2685" s="388" t="s">
        <v>219</v>
      </c>
      <c r="G2685" s="388">
        <v>971</v>
      </c>
      <c r="H2685" s="777">
        <v>5</v>
      </c>
      <c r="I2685" s="777">
        <v>4</v>
      </c>
      <c r="J2685" s="446">
        <v>67</v>
      </c>
      <c r="K2685" s="397" t="s">
        <v>33</v>
      </c>
      <c r="L2685" s="384">
        <f t="shared" si="368"/>
        <v>3065560</v>
      </c>
      <c r="M2685" s="519">
        <v>3022889</v>
      </c>
      <c r="N2685" s="388"/>
      <c r="O2685" s="473">
        <v>22771</v>
      </c>
      <c r="P2685" s="388"/>
      <c r="Q2685" s="388">
        <v>19900</v>
      </c>
      <c r="R2685" s="446">
        <f t="shared" si="373"/>
        <v>3113.1709577754891</v>
      </c>
      <c r="S2685" s="383">
        <f t="shared" si="374"/>
        <v>0</v>
      </c>
      <c r="U2685" s="404"/>
      <c r="V2685" s="390"/>
    </row>
    <row r="2686" spans="1:24" s="455" customFormat="1" ht="37.5" customHeight="1">
      <c r="A2686" s="404">
        <f t="shared" si="372"/>
        <v>39</v>
      </c>
      <c r="B2686" s="403" t="s">
        <v>2162</v>
      </c>
      <c r="C2686" s="455" t="s">
        <v>218</v>
      </c>
      <c r="D2686" s="531">
        <f t="shared" si="370"/>
        <v>43045.689655172413</v>
      </c>
      <c r="E2686" s="388">
        <v>7682</v>
      </c>
      <c r="F2686" s="388" t="s">
        <v>219</v>
      </c>
      <c r="G2686" s="388">
        <v>1520</v>
      </c>
      <c r="H2686" s="446">
        <v>10</v>
      </c>
      <c r="I2686" s="446">
        <v>5</v>
      </c>
      <c r="J2686" s="446">
        <v>190</v>
      </c>
      <c r="K2686" s="458" t="s">
        <v>33</v>
      </c>
      <c r="L2686" s="384">
        <f t="shared" si="368"/>
        <v>3698272</v>
      </c>
      <c r="M2686" s="519">
        <v>3648000</v>
      </c>
      <c r="N2686" s="388"/>
      <c r="O2686" s="473">
        <v>30372</v>
      </c>
      <c r="P2686" s="388"/>
      <c r="Q2686" s="388">
        <v>19900</v>
      </c>
      <c r="R2686" s="446">
        <f t="shared" si="373"/>
        <v>2400</v>
      </c>
      <c r="S2686" s="383">
        <f t="shared" si="374"/>
        <v>0</v>
      </c>
      <c r="U2686" s="404"/>
      <c r="V2686" s="390"/>
    </row>
    <row r="2687" spans="1:24" s="455" customFormat="1" ht="37.5" customHeight="1">
      <c r="A2687" s="404">
        <f t="shared" si="372"/>
        <v>40</v>
      </c>
      <c r="B2687" s="403" t="s">
        <v>2163</v>
      </c>
      <c r="C2687" s="455" t="s">
        <v>299</v>
      </c>
      <c r="D2687" s="772">
        <f>67*13*15</f>
        <v>13065</v>
      </c>
      <c r="E2687" s="388">
        <v>459</v>
      </c>
      <c r="F2687" s="388" t="s">
        <v>219</v>
      </c>
      <c r="G2687" s="388">
        <v>890</v>
      </c>
      <c r="H2687" s="446">
        <v>5</v>
      </c>
      <c r="I2687" s="446">
        <v>2</v>
      </c>
      <c r="J2687" s="528">
        <v>90</v>
      </c>
      <c r="K2687" s="377" t="s">
        <v>33</v>
      </c>
      <c r="L2687" s="384">
        <f t="shared" si="368"/>
        <v>2247930.75</v>
      </c>
      <c r="M2687" s="519">
        <v>2217600</v>
      </c>
      <c r="N2687" s="388"/>
      <c r="O2687" s="473">
        <v>22401</v>
      </c>
      <c r="P2687" s="388"/>
      <c r="Q2687" s="388">
        <v>7929.75</v>
      </c>
      <c r="R2687" s="446">
        <f t="shared" si="373"/>
        <v>2491.6853932584268</v>
      </c>
      <c r="S2687" s="383">
        <f t="shared" si="374"/>
        <v>0</v>
      </c>
      <c r="U2687" s="404"/>
      <c r="V2687" s="390"/>
    </row>
    <row r="2688" spans="1:24" s="455" customFormat="1" ht="37.5" customHeight="1">
      <c r="A2688" s="404">
        <f t="shared" si="372"/>
        <v>41</v>
      </c>
      <c r="B2688" s="403" t="s">
        <v>2164</v>
      </c>
      <c r="C2688" s="455" t="s">
        <v>299</v>
      </c>
      <c r="D2688" s="772">
        <f t="shared" si="370"/>
        <v>2234.5991379310349</v>
      </c>
      <c r="E2688" s="391">
        <v>398.79</v>
      </c>
      <c r="F2688" s="391" t="s">
        <v>342</v>
      </c>
      <c r="G2688" s="391">
        <v>1168</v>
      </c>
      <c r="H2688" s="847">
        <v>2</v>
      </c>
      <c r="I2688" s="847">
        <v>1</v>
      </c>
      <c r="J2688" s="528">
        <v>64</v>
      </c>
      <c r="K2688" s="397" t="s">
        <v>33</v>
      </c>
      <c r="L2688" s="384">
        <f t="shared" si="368"/>
        <v>3332549.98</v>
      </c>
      <c r="M2688" s="519">
        <v>3293915</v>
      </c>
      <c r="N2688" s="383">
        <v>27745.58</v>
      </c>
      <c r="O2688" s="385"/>
      <c r="P2688" s="383"/>
      <c r="Q2688" s="388">
        <v>10889.4</v>
      </c>
      <c r="R2688" s="446">
        <f t="shared" si="373"/>
        <v>2820.1327054794519</v>
      </c>
      <c r="S2688" s="383">
        <f t="shared" si="374"/>
        <v>-2.0008883439004421E-11</v>
      </c>
      <c r="U2688" s="404"/>
      <c r="V2688" s="390"/>
      <c r="W2688" s="403"/>
    </row>
    <row r="2689" spans="1:24" s="455" customFormat="1" ht="37.5" customHeight="1">
      <c r="A2689" s="404">
        <f t="shared" si="372"/>
        <v>42</v>
      </c>
      <c r="B2689" s="543" t="s">
        <v>2165</v>
      </c>
      <c r="C2689" s="455" t="s">
        <v>299</v>
      </c>
      <c r="D2689" s="772">
        <f t="shared" si="370"/>
        <v>7735.560344827587</v>
      </c>
      <c r="E2689" s="388">
        <v>1380.5</v>
      </c>
      <c r="F2689" s="388" t="s">
        <v>252</v>
      </c>
      <c r="G2689" s="388">
        <v>1322</v>
      </c>
      <c r="H2689" s="446">
        <v>4</v>
      </c>
      <c r="I2689" s="446">
        <v>4</v>
      </c>
      <c r="J2689" s="446">
        <v>64</v>
      </c>
      <c r="K2689" s="504" t="s">
        <v>33</v>
      </c>
      <c r="L2689" s="384">
        <f t="shared" si="368"/>
        <v>2850626.37</v>
      </c>
      <c r="M2689" s="519">
        <v>2800000</v>
      </c>
      <c r="N2689" s="383">
        <v>26775.45</v>
      </c>
      <c r="O2689" s="385"/>
      <c r="P2689" s="383"/>
      <c r="Q2689" s="388">
        <v>23850.92</v>
      </c>
      <c r="R2689" s="446">
        <f t="shared" si="373"/>
        <v>2118.0030257186081</v>
      </c>
      <c r="S2689" s="383">
        <f t="shared" si="374"/>
        <v>1.127773430198431E-10</v>
      </c>
      <c r="U2689" s="404"/>
      <c r="V2689" s="390"/>
      <c r="W2689" s="403"/>
    </row>
    <row r="2690" spans="1:24" s="455" customFormat="1" ht="37.5" customHeight="1">
      <c r="A2690" s="404">
        <f t="shared" si="372"/>
        <v>43</v>
      </c>
      <c r="B2690" s="403" t="s">
        <v>2167</v>
      </c>
      <c r="C2690" s="455" t="s">
        <v>299</v>
      </c>
      <c r="D2690" s="531">
        <f t="shared" si="370"/>
        <v>16877.586206896551</v>
      </c>
      <c r="E2690" s="388">
        <v>3012</v>
      </c>
      <c r="F2690" s="388" t="s">
        <v>219</v>
      </c>
      <c r="G2690" s="388">
        <v>654</v>
      </c>
      <c r="H2690" s="446">
        <v>9</v>
      </c>
      <c r="I2690" s="446">
        <v>2</v>
      </c>
      <c r="J2690" s="446">
        <v>72</v>
      </c>
      <c r="K2690" s="458" t="s">
        <v>33</v>
      </c>
      <c r="L2690" s="384">
        <f t="shared" ref="L2690:L2720" si="375">SUM(M2690:Q2690)</f>
        <v>1432442</v>
      </c>
      <c r="M2690" s="519">
        <v>1386847</v>
      </c>
      <c r="N2690" s="388"/>
      <c r="O2690" s="473">
        <v>25695</v>
      </c>
      <c r="P2690" s="388"/>
      <c r="Q2690" s="388">
        <v>19900</v>
      </c>
      <c r="R2690" s="446">
        <f t="shared" ref="R2690:R2701" si="376">M2690/G2690</f>
        <v>2120.5611620795107</v>
      </c>
      <c r="S2690" s="383">
        <f t="shared" si="374"/>
        <v>0</v>
      </c>
      <c r="U2690" s="404"/>
      <c r="V2690" s="390"/>
      <c r="X2690" s="403"/>
    </row>
    <row r="2691" spans="1:24" s="455" customFormat="1" ht="37.5" customHeight="1">
      <c r="A2691" s="404">
        <f t="shared" si="372"/>
        <v>44</v>
      </c>
      <c r="B2691" s="543" t="s">
        <v>2169</v>
      </c>
      <c r="C2691" s="455" t="s">
        <v>299</v>
      </c>
      <c r="D2691" s="772">
        <f t="shared" si="370"/>
        <v>11334.655172413793</v>
      </c>
      <c r="E2691" s="388">
        <v>2022.8</v>
      </c>
      <c r="F2691" s="388" t="s">
        <v>219</v>
      </c>
      <c r="G2691" s="388">
        <v>952</v>
      </c>
      <c r="H2691" s="446">
        <v>5</v>
      </c>
      <c r="I2691" s="446">
        <v>4</v>
      </c>
      <c r="J2691" s="446">
        <v>79</v>
      </c>
      <c r="K2691" s="504" t="s">
        <v>33</v>
      </c>
      <c r="L2691" s="384">
        <f t="shared" si="375"/>
        <v>2298182</v>
      </c>
      <c r="M2691" s="519">
        <v>2256539</v>
      </c>
      <c r="N2691" s="388"/>
      <c r="O2691" s="473">
        <v>21743</v>
      </c>
      <c r="P2691" s="388"/>
      <c r="Q2691" s="388">
        <v>19900</v>
      </c>
      <c r="R2691" s="446">
        <f t="shared" si="376"/>
        <v>2370.3140756302523</v>
      </c>
      <c r="S2691" s="383">
        <f t="shared" si="374"/>
        <v>0</v>
      </c>
      <c r="U2691" s="404"/>
      <c r="V2691" s="390"/>
      <c r="X2691" s="403"/>
    </row>
    <row r="2692" spans="1:24" s="455" customFormat="1" ht="37.5" customHeight="1">
      <c r="A2692" s="404">
        <f t="shared" si="372"/>
        <v>45</v>
      </c>
      <c r="B2692" s="543" t="s">
        <v>2170</v>
      </c>
      <c r="C2692" s="455" t="s">
        <v>299</v>
      </c>
      <c r="D2692" s="772">
        <f t="shared" si="370"/>
        <v>11203.534482758621</v>
      </c>
      <c r="E2692" s="388">
        <v>1999.4</v>
      </c>
      <c r="F2692" s="388" t="s">
        <v>219</v>
      </c>
      <c r="G2692" s="388">
        <v>951</v>
      </c>
      <c r="H2692" s="446">
        <v>5</v>
      </c>
      <c r="I2692" s="446">
        <v>4</v>
      </c>
      <c r="J2692" s="446">
        <v>79</v>
      </c>
      <c r="K2692" s="504" t="s">
        <v>33</v>
      </c>
      <c r="L2692" s="384">
        <f t="shared" si="375"/>
        <v>2323993</v>
      </c>
      <c r="M2692" s="519">
        <v>2282400</v>
      </c>
      <c r="N2692" s="388"/>
      <c r="O2692" s="473">
        <v>21693</v>
      </c>
      <c r="P2692" s="388"/>
      <c r="Q2692" s="388">
        <v>19900</v>
      </c>
      <c r="R2692" s="446">
        <f t="shared" si="376"/>
        <v>2400</v>
      </c>
      <c r="S2692" s="383">
        <f t="shared" si="374"/>
        <v>0</v>
      </c>
      <c r="U2692" s="404"/>
      <c r="V2692" s="390"/>
    </row>
    <row r="2693" spans="1:24" s="455" customFormat="1" ht="37.5" customHeight="1">
      <c r="A2693" s="404">
        <f t="shared" si="372"/>
        <v>46</v>
      </c>
      <c r="B2693" s="403" t="s">
        <v>2171</v>
      </c>
      <c r="C2693" s="455" t="s">
        <v>299</v>
      </c>
      <c r="D2693" s="772">
        <f t="shared" si="370"/>
        <v>10725.000000000002</v>
      </c>
      <c r="E2693" s="388">
        <v>1914</v>
      </c>
      <c r="F2693" s="388" t="s">
        <v>219</v>
      </c>
      <c r="G2693" s="388">
        <v>938</v>
      </c>
      <c r="H2693" s="446">
        <v>5</v>
      </c>
      <c r="I2693" s="446">
        <v>4</v>
      </c>
      <c r="J2693" s="528">
        <v>50</v>
      </c>
      <c r="K2693" s="377" t="s">
        <v>33</v>
      </c>
      <c r="L2693" s="384">
        <f t="shared" si="375"/>
        <v>2292398</v>
      </c>
      <c r="M2693" s="519">
        <v>2250987</v>
      </c>
      <c r="N2693" s="388"/>
      <c r="O2693" s="473">
        <v>21511</v>
      </c>
      <c r="P2693" s="388"/>
      <c r="Q2693" s="388">
        <v>19900</v>
      </c>
      <c r="R2693" s="446">
        <f t="shared" si="376"/>
        <v>2399.7729211087421</v>
      </c>
      <c r="S2693" s="383">
        <f t="shared" si="374"/>
        <v>0</v>
      </c>
      <c r="U2693" s="404"/>
      <c r="V2693" s="390"/>
    </row>
    <row r="2694" spans="1:24" s="455" customFormat="1" ht="37.5" customHeight="1">
      <c r="A2694" s="404">
        <f t="shared" si="372"/>
        <v>47</v>
      </c>
      <c r="B2694" s="543" t="s">
        <v>2172</v>
      </c>
      <c r="C2694" s="455" t="s">
        <v>299</v>
      </c>
      <c r="D2694" s="772">
        <f t="shared" si="370"/>
        <v>11266.293103448275</v>
      </c>
      <c r="E2694" s="388">
        <v>2010.6</v>
      </c>
      <c r="F2694" s="388" t="s">
        <v>219</v>
      </c>
      <c r="G2694" s="388">
        <v>954</v>
      </c>
      <c r="H2694" s="446">
        <v>5</v>
      </c>
      <c r="I2694" s="446">
        <v>4</v>
      </c>
      <c r="J2694" s="446">
        <v>64</v>
      </c>
      <c r="K2694" s="504" t="s">
        <v>33</v>
      </c>
      <c r="L2694" s="384">
        <f t="shared" si="375"/>
        <v>2320268</v>
      </c>
      <c r="M2694" s="519">
        <v>2278651</v>
      </c>
      <c r="N2694" s="388"/>
      <c r="O2694" s="473">
        <v>21717</v>
      </c>
      <c r="P2694" s="388"/>
      <c r="Q2694" s="388">
        <v>19900</v>
      </c>
      <c r="R2694" s="446">
        <f t="shared" si="376"/>
        <v>2388.5230607966455</v>
      </c>
      <c r="S2694" s="383">
        <f t="shared" si="374"/>
        <v>0</v>
      </c>
      <c r="U2694" s="404"/>
      <c r="V2694" s="390"/>
    </row>
    <row r="2695" spans="1:24" s="455" customFormat="1" ht="37.5" customHeight="1">
      <c r="A2695" s="404">
        <f t="shared" si="372"/>
        <v>48</v>
      </c>
      <c r="B2695" s="403" t="s">
        <v>2173</v>
      </c>
      <c r="C2695" s="455" t="s">
        <v>299</v>
      </c>
      <c r="D2695" s="772">
        <f t="shared" si="370"/>
        <v>10013.922413793103</v>
      </c>
      <c r="E2695" s="388">
        <v>1787.1</v>
      </c>
      <c r="F2695" s="388" t="s">
        <v>219</v>
      </c>
      <c r="G2695" s="388">
        <v>1050</v>
      </c>
      <c r="H2695" s="446">
        <v>5</v>
      </c>
      <c r="I2695" s="446">
        <v>4</v>
      </c>
      <c r="J2695" s="446">
        <v>70</v>
      </c>
      <c r="K2695" s="670" t="s">
        <v>33</v>
      </c>
      <c r="L2695" s="384">
        <f t="shared" si="375"/>
        <v>2405506</v>
      </c>
      <c r="M2695" s="519">
        <v>2364365</v>
      </c>
      <c r="N2695" s="388"/>
      <c r="O2695" s="473">
        <v>21241</v>
      </c>
      <c r="P2695" s="388"/>
      <c r="Q2695" s="388">
        <v>19900</v>
      </c>
      <c r="R2695" s="446">
        <f t="shared" si="376"/>
        <v>2251.7761904761905</v>
      </c>
      <c r="S2695" s="383">
        <f t="shared" si="374"/>
        <v>0</v>
      </c>
      <c r="U2695" s="404"/>
      <c r="V2695" s="390"/>
    </row>
    <row r="2696" spans="1:24" s="403" customFormat="1" ht="37.5" customHeight="1">
      <c r="A2696" s="404">
        <f t="shared" si="372"/>
        <v>49</v>
      </c>
      <c r="B2696" s="403" t="s">
        <v>2175</v>
      </c>
      <c r="C2696" s="617" t="s">
        <v>299</v>
      </c>
      <c r="D2696" s="766">
        <f t="shared" si="370"/>
        <v>19231.034482758623</v>
      </c>
      <c r="E2696" s="388">
        <v>3432</v>
      </c>
      <c r="F2696" s="388" t="s">
        <v>219</v>
      </c>
      <c r="G2696" s="388">
        <v>1377</v>
      </c>
      <c r="H2696" s="446">
        <v>5</v>
      </c>
      <c r="I2696" s="446">
        <v>6</v>
      </c>
      <c r="J2696" s="446">
        <v>60</v>
      </c>
      <c r="K2696" s="767" t="s">
        <v>33</v>
      </c>
      <c r="L2696" s="519">
        <f t="shared" si="375"/>
        <v>3208846</v>
      </c>
      <c r="M2696" s="519">
        <v>3166383</v>
      </c>
      <c r="N2696" s="455"/>
      <c r="O2696" s="473">
        <v>22563</v>
      </c>
      <c r="P2696" s="388"/>
      <c r="Q2696" s="388">
        <v>19900</v>
      </c>
      <c r="R2696" s="446">
        <f t="shared" si="376"/>
        <v>2299.4793028322442</v>
      </c>
      <c r="S2696" s="383">
        <f t="shared" si="374"/>
        <v>0</v>
      </c>
      <c r="U2696" s="404"/>
      <c r="V2696" s="390"/>
    </row>
    <row r="2697" spans="1:24" s="455" customFormat="1" ht="37.5" customHeight="1">
      <c r="A2697" s="404">
        <f t="shared" si="372"/>
        <v>50</v>
      </c>
      <c r="B2697" s="403" t="s">
        <v>2176</v>
      </c>
      <c r="C2697" s="455" t="s">
        <v>299</v>
      </c>
      <c r="D2697" s="772">
        <f t="shared" si="370"/>
        <v>18525</v>
      </c>
      <c r="E2697" s="388">
        <v>3306</v>
      </c>
      <c r="F2697" s="388" t="s">
        <v>219</v>
      </c>
      <c r="G2697" s="388">
        <v>1240</v>
      </c>
      <c r="H2697" s="446">
        <v>5</v>
      </c>
      <c r="I2697" s="446">
        <v>6</v>
      </c>
      <c r="J2697" s="446">
        <v>100</v>
      </c>
      <c r="K2697" s="397" t="s">
        <v>33</v>
      </c>
      <c r="L2697" s="384">
        <f t="shared" si="375"/>
        <v>3018381</v>
      </c>
      <c r="M2697" s="519">
        <v>2974003</v>
      </c>
      <c r="N2697" s="388"/>
      <c r="O2697" s="473">
        <v>24478</v>
      </c>
      <c r="P2697" s="388"/>
      <c r="Q2697" s="388">
        <v>19900</v>
      </c>
      <c r="R2697" s="446">
        <f t="shared" si="376"/>
        <v>2398.3895161290325</v>
      </c>
      <c r="S2697" s="383">
        <f t="shared" si="374"/>
        <v>0</v>
      </c>
      <c r="U2697" s="404"/>
      <c r="V2697" s="390"/>
    </row>
    <row r="2698" spans="1:24" s="455" customFormat="1" ht="37.5" customHeight="1">
      <c r="A2698" s="404">
        <f t="shared" si="372"/>
        <v>51</v>
      </c>
      <c r="B2698" s="403" t="s">
        <v>2177</v>
      </c>
      <c r="C2698" s="455" t="s">
        <v>299</v>
      </c>
      <c r="D2698" s="772">
        <f t="shared" si="370"/>
        <v>6701.7241379310344</v>
      </c>
      <c r="E2698" s="388">
        <v>1196</v>
      </c>
      <c r="F2698" s="388" t="s">
        <v>219</v>
      </c>
      <c r="G2698" s="388">
        <v>442</v>
      </c>
      <c r="H2698" s="446">
        <v>5</v>
      </c>
      <c r="I2698" s="446">
        <v>2</v>
      </c>
      <c r="J2698" s="446">
        <v>20</v>
      </c>
      <c r="K2698" s="397" t="s">
        <v>33</v>
      </c>
      <c r="L2698" s="384">
        <f t="shared" si="375"/>
        <v>993328</v>
      </c>
      <c r="M2698" s="519">
        <v>953447</v>
      </c>
      <c r="N2698" s="388"/>
      <c r="O2698" s="473">
        <v>19981</v>
      </c>
      <c r="P2698" s="388"/>
      <c r="Q2698" s="388">
        <v>19900</v>
      </c>
      <c r="R2698" s="446">
        <f t="shared" si="376"/>
        <v>2157.1199095022625</v>
      </c>
      <c r="S2698" s="383">
        <f t="shared" si="374"/>
        <v>0</v>
      </c>
      <c r="U2698" s="404"/>
      <c r="V2698" s="390"/>
    </row>
    <row r="2699" spans="1:24" s="455" customFormat="1" ht="37.5" customHeight="1">
      <c r="A2699" s="404">
        <f t="shared" si="372"/>
        <v>52</v>
      </c>
      <c r="B2699" s="403" t="s">
        <v>2178</v>
      </c>
      <c r="C2699" s="455" t="s">
        <v>299</v>
      </c>
      <c r="D2699" s="772">
        <f t="shared" si="370"/>
        <v>10624.137931034484</v>
      </c>
      <c r="E2699" s="388">
        <v>1896</v>
      </c>
      <c r="F2699" s="388" t="s">
        <v>219</v>
      </c>
      <c r="G2699" s="388">
        <v>1042</v>
      </c>
      <c r="H2699" s="446">
        <v>5</v>
      </c>
      <c r="I2699" s="446">
        <v>2</v>
      </c>
      <c r="J2699" s="446">
        <v>42</v>
      </c>
      <c r="K2699" s="397" t="s">
        <v>33</v>
      </c>
      <c r="L2699" s="384">
        <f t="shared" si="375"/>
        <v>2316717</v>
      </c>
      <c r="M2699" s="519">
        <v>2275344</v>
      </c>
      <c r="N2699" s="388"/>
      <c r="O2699" s="473">
        <v>21473</v>
      </c>
      <c r="P2699" s="388"/>
      <c r="Q2699" s="388">
        <v>19900</v>
      </c>
      <c r="R2699" s="446">
        <f t="shared" si="376"/>
        <v>2183.6314779270633</v>
      </c>
      <c r="S2699" s="383">
        <f t="shared" si="374"/>
        <v>0</v>
      </c>
      <c r="U2699" s="404"/>
      <c r="V2699" s="390"/>
    </row>
    <row r="2700" spans="1:24" s="455" customFormat="1" ht="37.5" customHeight="1">
      <c r="A2700" s="404">
        <f t="shared" si="372"/>
        <v>53</v>
      </c>
      <c r="B2700" s="403" t="s">
        <v>2179</v>
      </c>
      <c r="C2700" s="455" t="s">
        <v>299</v>
      </c>
      <c r="D2700" s="772">
        <f t="shared" si="370"/>
        <v>2426.2931034482758</v>
      </c>
      <c r="E2700" s="388">
        <v>433</v>
      </c>
      <c r="F2700" s="388" t="s">
        <v>252</v>
      </c>
      <c r="G2700" s="388">
        <v>209</v>
      </c>
      <c r="H2700" s="446">
        <v>3</v>
      </c>
      <c r="I2700" s="446">
        <v>1</v>
      </c>
      <c r="J2700" s="446">
        <v>12</v>
      </c>
      <c r="K2700" s="458" t="s">
        <v>33</v>
      </c>
      <c r="L2700" s="384">
        <f t="shared" si="375"/>
        <v>733593.61</v>
      </c>
      <c r="M2700" s="519">
        <v>705600</v>
      </c>
      <c r="N2700" s="388"/>
      <c r="O2700" s="473">
        <v>20514</v>
      </c>
      <c r="P2700" s="388"/>
      <c r="Q2700" s="388">
        <v>7479.61</v>
      </c>
      <c r="R2700" s="446">
        <f t="shared" si="376"/>
        <v>3376.0765550239234</v>
      </c>
      <c r="S2700" s="383">
        <f t="shared" si="374"/>
        <v>-1.3642420526593924E-11</v>
      </c>
      <c r="U2700" s="404"/>
      <c r="V2700" s="390"/>
      <c r="X2700" s="403">
        <v>1</v>
      </c>
    </row>
    <row r="2701" spans="1:24" s="455" customFormat="1" ht="37.5" customHeight="1">
      <c r="A2701" s="404">
        <f t="shared" si="372"/>
        <v>54</v>
      </c>
      <c r="B2701" s="403" t="s">
        <v>2180</v>
      </c>
      <c r="C2701" s="455" t="s">
        <v>299</v>
      </c>
      <c r="D2701" s="531">
        <f t="shared" si="370"/>
        <v>20844.827586206899</v>
      </c>
      <c r="E2701" s="388">
        <v>3720</v>
      </c>
      <c r="F2701" s="388" t="s">
        <v>219</v>
      </c>
      <c r="G2701" s="388">
        <v>638</v>
      </c>
      <c r="H2701" s="446">
        <v>9</v>
      </c>
      <c r="I2701" s="446">
        <v>2</v>
      </c>
      <c r="J2701" s="446">
        <v>72</v>
      </c>
      <c r="K2701" s="458" t="s">
        <v>33</v>
      </c>
      <c r="L2701" s="384">
        <f t="shared" si="375"/>
        <v>1586456</v>
      </c>
      <c r="M2701" s="519">
        <v>1540824</v>
      </c>
      <c r="N2701" s="388"/>
      <c r="O2701" s="473">
        <v>25732</v>
      </c>
      <c r="P2701" s="388"/>
      <c r="Q2701" s="388">
        <v>19900</v>
      </c>
      <c r="R2701" s="446">
        <f t="shared" si="376"/>
        <v>2415.0846394984328</v>
      </c>
      <c r="S2701" s="383">
        <f t="shared" si="374"/>
        <v>0</v>
      </c>
      <c r="U2701" s="404"/>
      <c r="V2701" s="390"/>
      <c r="X2701" s="403"/>
    </row>
    <row r="2702" spans="1:24" s="455" customFormat="1" ht="37.5" customHeight="1">
      <c r="A2702" s="404">
        <f t="shared" si="372"/>
        <v>55</v>
      </c>
      <c r="B2702" s="543" t="s">
        <v>2181</v>
      </c>
      <c r="C2702" s="455" t="s">
        <v>299</v>
      </c>
      <c r="D2702" s="772">
        <f t="shared" si="370"/>
        <v>16406.896551724138</v>
      </c>
      <c r="E2702" s="388">
        <v>2928</v>
      </c>
      <c r="F2702" s="388" t="s">
        <v>219</v>
      </c>
      <c r="G2702" s="388">
        <v>952</v>
      </c>
      <c r="H2702" s="446">
        <v>5</v>
      </c>
      <c r="I2702" s="446">
        <v>4</v>
      </c>
      <c r="J2702" s="446">
        <v>70</v>
      </c>
      <c r="K2702" s="504" t="s">
        <v>225</v>
      </c>
      <c r="L2702" s="384">
        <f t="shared" si="375"/>
        <v>1585525.23</v>
      </c>
      <c r="M2702" s="519">
        <v>1540000</v>
      </c>
      <c r="N2702" s="383">
        <v>34291.68</v>
      </c>
      <c r="O2702" s="385"/>
      <c r="P2702" s="383"/>
      <c r="Q2702" s="388">
        <v>11233.55</v>
      </c>
      <c r="R2702" s="382">
        <f>M2702/J2702</f>
        <v>22000</v>
      </c>
      <c r="S2702" s="383">
        <f t="shared" si="374"/>
        <v>-1.8189894035458565E-11</v>
      </c>
      <c r="U2702" s="404"/>
      <c r="V2702" s="390"/>
      <c r="W2702" s="403"/>
    </row>
    <row r="2703" spans="1:24" s="455" customFormat="1" ht="37.5" customHeight="1">
      <c r="A2703" s="404">
        <f t="shared" si="372"/>
        <v>56</v>
      </c>
      <c r="B2703" s="403" t="s">
        <v>2182</v>
      </c>
      <c r="C2703" s="455" t="s">
        <v>299</v>
      </c>
      <c r="D2703" s="772">
        <f t="shared" si="370"/>
        <v>11072.413793103449</v>
      </c>
      <c r="E2703" s="388">
        <v>1976</v>
      </c>
      <c r="F2703" s="388" t="s">
        <v>219</v>
      </c>
      <c r="G2703" s="388">
        <v>757</v>
      </c>
      <c r="H2703" s="446">
        <v>5</v>
      </c>
      <c r="I2703" s="446">
        <v>4</v>
      </c>
      <c r="J2703" s="446">
        <v>60</v>
      </c>
      <c r="K2703" s="397" t="s">
        <v>33</v>
      </c>
      <c r="L2703" s="384">
        <f t="shared" si="375"/>
        <v>1955131</v>
      </c>
      <c r="M2703" s="519">
        <v>1913588</v>
      </c>
      <c r="N2703" s="388"/>
      <c r="O2703" s="473">
        <v>21643</v>
      </c>
      <c r="P2703" s="388"/>
      <c r="Q2703" s="388">
        <v>19900</v>
      </c>
      <c r="R2703" s="446">
        <f>M2703/G2703</f>
        <v>2527.8573315719946</v>
      </c>
      <c r="S2703" s="383">
        <f t="shared" si="374"/>
        <v>0</v>
      </c>
      <c r="U2703" s="404"/>
      <c r="V2703" s="390"/>
      <c r="X2703" s="403"/>
    </row>
    <row r="2704" spans="1:24" s="455" customFormat="1" ht="37.5" customHeight="1">
      <c r="A2704" s="404">
        <f t="shared" si="372"/>
        <v>57</v>
      </c>
      <c r="B2704" s="543" t="s">
        <v>2183</v>
      </c>
      <c r="C2704" s="455" t="s">
        <v>299</v>
      </c>
      <c r="D2704" s="531">
        <f t="shared" si="370"/>
        <v>7794.3965517241377</v>
      </c>
      <c r="E2704" s="388">
        <v>1391</v>
      </c>
      <c r="F2704" s="388" t="s">
        <v>219</v>
      </c>
      <c r="G2704" s="388">
        <v>940</v>
      </c>
      <c r="H2704" s="446">
        <v>5</v>
      </c>
      <c r="I2704" s="446">
        <v>4</v>
      </c>
      <c r="J2704" s="446">
        <v>70</v>
      </c>
      <c r="K2704" s="397" t="s">
        <v>227</v>
      </c>
      <c r="L2704" s="384">
        <f t="shared" si="375"/>
        <v>5081462</v>
      </c>
      <c r="M2704" s="519">
        <v>5024000</v>
      </c>
      <c r="N2704" s="388">
        <v>27612</v>
      </c>
      <c r="O2704" s="473"/>
      <c r="P2704" s="388"/>
      <c r="Q2704" s="388">
        <v>29850</v>
      </c>
      <c r="R2704" s="528">
        <f>M2704/E2704</f>
        <v>3611.7900790797985</v>
      </c>
      <c r="S2704" s="383">
        <f t="shared" si="374"/>
        <v>0</v>
      </c>
      <c r="U2704" s="404"/>
      <c r="V2704" s="390"/>
      <c r="W2704" s="403"/>
    </row>
    <row r="2705" spans="1:24" s="455" customFormat="1" ht="37.5" customHeight="1">
      <c r="A2705" s="404">
        <f t="shared" si="372"/>
        <v>58</v>
      </c>
      <c r="B2705" s="403" t="s">
        <v>2186</v>
      </c>
      <c r="C2705" s="455" t="s">
        <v>299</v>
      </c>
      <c r="D2705" s="772">
        <f t="shared" si="370"/>
        <v>11072.413793103449</v>
      </c>
      <c r="E2705" s="388">
        <v>1976</v>
      </c>
      <c r="F2705" s="388" t="s">
        <v>219</v>
      </c>
      <c r="G2705" s="388">
        <v>900</v>
      </c>
      <c r="H2705" s="446">
        <v>5</v>
      </c>
      <c r="I2705" s="446">
        <v>4</v>
      </c>
      <c r="J2705" s="446">
        <v>70</v>
      </c>
      <c r="K2705" s="458" t="s">
        <v>33</v>
      </c>
      <c r="L2705" s="384">
        <f t="shared" si="375"/>
        <v>2432625</v>
      </c>
      <c r="M2705" s="519">
        <v>2391082</v>
      </c>
      <c r="N2705" s="388"/>
      <c r="O2705" s="473">
        <v>21643</v>
      </c>
      <c r="P2705" s="388"/>
      <c r="Q2705" s="388">
        <v>19900</v>
      </c>
      <c r="R2705" s="446">
        <f t="shared" ref="R2705:R2714" si="377">M2705/G2705</f>
        <v>2656.7577777777778</v>
      </c>
      <c r="S2705" s="383">
        <f t="shared" si="374"/>
        <v>0</v>
      </c>
      <c r="U2705" s="404"/>
      <c r="V2705" s="390"/>
    </row>
    <row r="2706" spans="1:24" s="455" customFormat="1" ht="37.5" customHeight="1">
      <c r="A2706" s="404">
        <f t="shared" si="372"/>
        <v>59</v>
      </c>
      <c r="B2706" s="403" t="s">
        <v>2187</v>
      </c>
      <c r="C2706" s="455" t="s">
        <v>299</v>
      </c>
      <c r="D2706" s="772">
        <f t="shared" si="370"/>
        <v>71275.862068965522</v>
      </c>
      <c r="E2706" s="388">
        <v>12720</v>
      </c>
      <c r="F2706" s="388" t="s">
        <v>219</v>
      </c>
      <c r="G2706" s="388">
        <v>2014</v>
      </c>
      <c r="H2706" s="446">
        <v>9</v>
      </c>
      <c r="I2706" s="446">
        <v>8</v>
      </c>
      <c r="J2706" s="446">
        <v>208</v>
      </c>
      <c r="K2706" s="397" t="s">
        <v>33</v>
      </c>
      <c r="L2706" s="384">
        <f t="shared" si="375"/>
        <v>5927135</v>
      </c>
      <c r="M2706" s="519">
        <v>5869600</v>
      </c>
      <c r="N2706" s="388"/>
      <c r="O2706" s="473">
        <v>37635</v>
      </c>
      <c r="P2706" s="388"/>
      <c r="Q2706" s="388">
        <v>19900</v>
      </c>
      <c r="R2706" s="446">
        <f t="shared" si="377"/>
        <v>2914.3992055610724</v>
      </c>
      <c r="S2706" s="383">
        <f t="shared" si="374"/>
        <v>0</v>
      </c>
      <c r="U2706" s="404"/>
      <c r="V2706" s="390"/>
    </row>
    <row r="2707" spans="1:24" s="455" customFormat="1" ht="37.5" customHeight="1">
      <c r="A2707" s="404">
        <f t="shared" si="372"/>
        <v>60</v>
      </c>
      <c r="B2707" s="403" t="s">
        <v>2188</v>
      </c>
      <c r="C2707" s="455" t="s">
        <v>218</v>
      </c>
      <c r="D2707" s="531">
        <f t="shared" si="370"/>
        <v>20844.827586206899</v>
      </c>
      <c r="E2707" s="388">
        <v>3720</v>
      </c>
      <c r="F2707" s="388" t="s">
        <v>219</v>
      </c>
      <c r="G2707" s="388">
        <v>638</v>
      </c>
      <c r="H2707" s="446">
        <v>9</v>
      </c>
      <c r="I2707" s="446">
        <v>2</v>
      </c>
      <c r="J2707" s="446">
        <v>72</v>
      </c>
      <c r="K2707" s="458" t="s">
        <v>33</v>
      </c>
      <c r="L2707" s="384">
        <f t="shared" si="375"/>
        <v>1499459</v>
      </c>
      <c r="M2707" s="519">
        <v>1453827</v>
      </c>
      <c r="N2707" s="388"/>
      <c r="O2707" s="473">
        <v>25732</v>
      </c>
      <c r="P2707" s="388"/>
      <c r="Q2707" s="388">
        <v>19900</v>
      </c>
      <c r="R2707" s="446">
        <f t="shared" si="377"/>
        <v>2278.7257053291537</v>
      </c>
      <c r="S2707" s="383">
        <f t="shared" si="374"/>
        <v>0</v>
      </c>
      <c r="U2707" s="404"/>
      <c r="V2707" s="390"/>
      <c r="X2707" s="403">
        <v>1</v>
      </c>
    </row>
    <row r="2708" spans="1:24" s="403" customFormat="1" ht="37.5" customHeight="1">
      <c r="A2708" s="404">
        <f t="shared" si="372"/>
        <v>61</v>
      </c>
      <c r="B2708" s="457" t="s">
        <v>2189</v>
      </c>
      <c r="C2708" s="455" t="s">
        <v>299</v>
      </c>
      <c r="D2708" s="531">
        <f t="shared" si="370"/>
        <v>5211.2068965517246</v>
      </c>
      <c r="E2708" s="388">
        <v>930</v>
      </c>
      <c r="F2708" s="388" t="s">
        <v>252</v>
      </c>
      <c r="G2708" s="388">
        <v>675.2</v>
      </c>
      <c r="H2708" s="446">
        <v>2</v>
      </c>
      <c r="I2708" s="446">
        <v>1</v>
      </c>
      <c r="J2708" s="446">
        <v>27</v>
      </c>
      <c r="K2708" s="504" t="s">
        <v>33</v>
      </c>
      <c r="L2708" s="519">
        <f t="shared" si="375"/>
        <v>2003248.82</v>
      </c>
      <c r="M2708" s="519">
        <v>1944168</v>
      </c>
      <c r="N2708" s="388">
        <v>33691.699999999997</v>
      </c>
      <c r="O2708" s="473"/>
      <c r="P2708" s="388"/>
      <c r="Q2708" s="388">
        <v>25389.119999999999</v>
      </c>
      <c r="R2708" s="446">
        <f t="shared" si="377"/>
        <v>2879.3957345971562</v>
      </c>
      <c r="S2708" s="383">
        <f t="shared" si="374"/>
        <v>6.9121597334742546E-11</v>
      </c>
      <c r="U2708" s="404"/>
      <c r="V2708" s="390"/>
    </row>
    <row r="2709" spans="1:24" s="455" customFormat="1" ht="37.5" customHeight="1">
      <c r="A2709" s="404">
        <f t="shared" si="372"/>
        <v>62</v>
      </c>
      <c r="B2709" s="403" t="s">
        <v>2190</v>
      </c>
      <c r="C2709" s="455" t="s">
        <v>299</v>
      </c>
      <c r="D2709" s="531">
        <f t="shared" si="370"/>
        <v>13336.206896551725</v>
      </c>
      <c r="E2709" s="388">
        <v>2380</v>
      </c>
      <c r="F2709" s="388" t="s">
        <v>219</v>
      </c>
      <c r="G2709" s="388">
        <v>928</v>
      </c>
      <c r="H2709" s="446">
        <v>5</v>
      </c>
      <c r="I2709" s="446">
        <v>4</v>
      </c>
      <c r="J2709" s="446">
        <v>56</v>
      </c>
      <c r="K2709" s="458" t="s">
        <v>33</v>
      </c>
      <c r="L2709" s="384">
        <f t="shared" si="375"/>
        <v>2298843</v>
      </c>
      <c r="M2709" s="519">
        <v>2257101</v>
      </c>
      <c r="N2709" s="388"/>
      <c r="O2709" s="473">
        <v>21842</v>
      </c>
      <c r="P2709" s="388"/>
      <c r="Q2709" s="388">
        <v>19900</v>
      </c>
      <c r="R2709" s="446">
        <f t="shared" si="377"/>
        <v>2432.2209051724139</v>
      </c>
      <c r="S2709" s="383">
        <f t="shared" ref="S2709:S2737" si="378">L2709-M2709-N2709-O2709-P2709-Q2709</f>
        <v>0</v>
      </c>
      <c r="U2709" s="404"/>
      <c r="V2709" s="390"/>
      <c r="X2709" s="403"/>
    </row>
    <row r="2710" spans="1:24" s="455" customFormat="1" ht="37.5" customHeight="1">
      <c r="A2710" s="404">
        <f t="shared" si="372"/>
        <v>63</v>
      </c>
      <c r="B2710" s="403" t="s">
        <v>2191</v>
      </c>
      <c r="C2710" s="455" t="s">
        <v>299</v>
      </c>
      <c r="D2710" s="531">
        <f t="shared" si="370"/>
        <v>11072.413793103449</v>
      </c>
      <c r="E2710" s="388">
        <v>1976</v>
      </c>
      <c r="F2710" s="388" t="s">
        <v>219</v>
      </c>
      <c r="G2710" s="388">
        <v>941</v>
      </c>
      <c r="H2710" s="446">
        <v>5</v>
      </c>
      <c r="I2710" s="446">
        <v>4</v>
      </c>
      <c r="J2710" s="446">
        <v>56</v>
      </c>
      <c r="K2710" s="458" t="s">
        <v>33</v>
      </c>
      <c r="L2710" s="384">
        <f t="shared" si="375"/>
        <v>2352358</v>
      </c>
      <c r="M2710" s="519">
        <v>2310815</v>
      </c>
      <c r="N2710" s="388"/>
      <c r="O2710" s="473">
        <v>21643</v>
      </c>
      <c r="P2710" s="388"/>
      <c r="Q2710" s="388">
        <v>19900</v>
      </c>
      <c r="R2710" s="446">
        <f t="shared" si="377"/>
        <v>2455.7013815090331</v>
      </c>
      <c r="S2710" s="383">
        <f t="shared" si="378"/>
        <v>0</v>
      </c>
      <c r="U2710" s="404"/>
      <c r="V2710" s="390"/>
      <c r="X2710" s="403"/>
    </row>
    <row r="2711" spans="1:24" s="403" customFormat="1" ht="37.5" customHeight="1">
      <c r="A2711" s="404">
        <f t="shared" si="372"/>
        <v>64</v>
      </c>
      <c r="B2711" s="403" t="s">
        <v>2192</v>
      </c>
      <c r="C2711" s="617" t="s">
        <v>299</v>
      </c>
      <c r="D2711" s="766">
        <f>E2711/1.16/2*13</f>
        <v>12904.741379310346</v>
      </c>
      <c r="E2711" s="388">
        <v>2303</v>
      </c>
      <c r="F2711" s="388" t="s">
        <v>219</v>
      </c>
      <c r="G2711" s="388">
        <v>1147</v>
      </c>
      <c r="H2711" s="446">
        <v>4</v>
      </c>
      <c r="I2711" s="446">
        <v>4</v>
      </c>
      <c r="J2711" s="446">
        <v>64</v>
      </c>
      <c r="K2711" s="767" t="s">
        <v>33</v>
      </c>
      <c r="L2711" s="519">
        <f t="shared" si="375"/>
        <v>3331142</v>
      </c>
      <c r="M2711" s="519">
        <v>3291070</v>
      </c>
      <c r="N2711" s="388"/>
      <c r="O2711" s="473">
        <v>20172</v>
      </c>
      <c r="P2711" s="388"/>
      <c r="Q2711" s="388">
        <v>19900</v>
      </c>
      <c r="R2711" s="446">
        <f t="shared" si="377"/>
        <v>2869.2850915431559</v>
      </c>
      <c r="S2711" s="383">
        <f t="shared" si="378"/>
        <v>0</v>
      </c>
      <c r="U2711" s="404"/>
      <c r="V2711" s="390"/>
    </row>
    <row r="2712" spans="1:24" s="455" customFormat="1" ht="37.5" customHeight="1">
      <c r="A2712" s="404">
        <f t="shared" si="372"/>
        <v>65</v>
      </c>
      <c r="B2712" s="403" t="s">
        <v>2193</v>
      </c>
      <c r="C2712" s="455" t="s">
        <v>299</v>
      </c>
      <c r="D2712" s="772">
        <f t="shared" si="370"/>
        <v>18317.672413793105</v>
      </c>
      <c r="E2712" s="388">
        <v>3269</v>
      </c>
      <c r="F2712" s="388" t="s">
        <v>219</v>
      </c>
      <c r="G2712" s="388">
        <v>1400</v>
      </c>
      <c r="H2712" s="446">
        <v>5</v>
      </c>
      <c r="I2712" s="446">
        <v>6</v>
      </c>
      <c r="J2712" s="446">
        <v>90</v>
      </c>
      <c r="K2712" s="458" t="s">
        <v>33</v>
      </c>
      <c r="L2712" s="384">
        <f t="shared" si="375"/>
        <v>3030401</v>
      </c>
      <c r="M2712" s="519">
        <v>2986102</v>
      </c>
      <c r="N2712" s="388"/>
      <c r="O2712" s="473">
        <v>24399</v>
      </c>
      <c r="P2712" s="388"/>
      <c r="Q2712" s="388">
        <v>19900</v>
      </c>
      <c r="R2712" s="446">
        <f t="shared" si="377"/>
        <v>2132.9299999999998</v>
      </c>
      <c r="S2712" s="383">
        <f t="shared" si="378"/>
        <v>0</v>
      </c>
      <c r="U2712" s="404"/>
      <c r="V2712" s="390"/>
    </row>
    <row r="2713" spans="1:24" s="455" customFormat="1" ht="37.5" customHeight="1">
      <c r="A2713" s="404">
        <f t="shared" si="372"/>
        <v>66</v>
      </c>
      <c r="B2713" s="403" t="s">
        <v>2194</v>
      </c>
      <c r="C2713" s="455" t="s">
        <v>299</v>
      </c>
      <c r="D2713" s="772">
        <f t="shared" si="370"/>
        <v>3558.1896551724144</v>
      </c>
      <c r="E2713" s="388">
        <v>635</v>
      </c>
      <c r="F2713" s="388" t="s">
        <v>219</v>
      </c>
      <c r="G2713" s="388">
        <v>536</v>
      </c>
      <c r="H2713" s="446">
        <v>2</v>
      </c>
      <c r="I2713" s="446">
        <v>2</v>
      </c>
      <c r="J2713" s="446">
        <v>16</v>
      </c>
      <c r="K2713" s="458" t="s">
        <v>33</v>
      </c>
      <c r="L2713" s="384">
        <f t="shared" si="375"/>
        <v>1427797.35</v>
      </c>
      <c r="M2713" s="519">
        <v>1392902</v>
      </c>
      <c r="N2713" s="388"/>
      <c r="O2713" s="473">
        <v>17560</v>
      </c>
      <c r="P2713" s="388"/>
      <c r="Q2713" s="388">
        <v>17335.349999999999</v>
      </c>
      <c r="R2713" s="446">
        <f t="shared" si="377"/>
        <v>2598.6977611940297</v>
      </c>
      <c r="S2713" s="383">
        <f t="shared" si="378"/>
        <v>9.4587448984384537E-11</v>
      </c>
      <c r="U2713" s="404"/>
      <c r="V2713" s="390"/>
    </row>
    <row r="2714" spans="1:24" s="455" customFormat="1" ht="37.5" customHeight="1">
      <c r="A2714" s="404">
        <f t="shared" si="372"/>
        <v>67</v>
      </c>
      <c r="B2714" s="403" t="s">
        <v>2195</v>
      </c>
      <c r="C2714" s="455" t="s">
        <v>299</v>
      </c>
      <c r="D2714" s="531">
        <f t="shared" si="370"/>
        <v>3513.3620689655172</v>
      </c>
      <c r="E2714" s="388">
        <v>627</v>
      </c>
      <c r="F2714" s="388" t="s">
        <v>219</v>
      </c>
      <c r="G2714" s="388">
        <v>517</v>
      </c>
      <c r="H2714" s="446">
        <v>2</v>
      </c>
      <c r="I2714" s="446">
        <v>2</v>
      </c>
      <c r="J2714" s="446">
        <v>16</v>
      </c>
      <c r="K2714" s="458" t="s">
        <v>33</v>
      </c>
      <c r="L2714" s="384">
        <f t="shared" si="375"/>
        <v>1079861.1000000001</v>
      </c>
      <c r="M2714" s="519">
        <v>1045248</v>
      </c>
      <c r="N2714" s="388"/>
      <c r="O2714" s="473">
        <v>17497</v>
      </c>
      <c r="P2714" s="388"/>
      <c r="Q2714" s="388">
        <v>17116.099999999999</v>
      </c>
      <c r="R2714" s="446">
        <f t="shared" si="377"/>
        <v>2021.7562862669245</v>
      </c>
      <c r="S2714" s="383">
        <f t="shared" si="378"/>
        <v>9.4587448984384537E-11</v>
      </c>
      <c r="U2714" s="404"/>
      <c r="V2714" s="390"/>
    </row>
    <row r="2715" spans="1:24" s="455" customFormat="1" ht="37.5" customHeight="1">
      <c r="A2715" s="404">
        <f t="shared" si="372"/>
        <v>68</v>
      </c>
      <c r="B2715" s="403" t="s">
        <v>2196</v>
      </c>
      <c r="C2715" s="455" t="s">
        <v>299</v>
      </c>
      <c r="D2715" s="772">
        <f t="shared" si="370"/>
        <v>13425.86206896552</v>
      </c>
      <c r="E2715" s="388">
        <v>2396</v>
      </c>
      <c r="F2715" s="388" t="s">
        <v>219</v>
      </c>
      <c r="G2715" s="388">
        <v>1575</v>
      </c>
      <c r="H2715" s="446">
        <v>5</v>
      </c>
      <c r="I2715" s="446">
        <v>6</v>
      </c>
      <c r="J2715" s="446">
        <v>120</v>
      </c>
      <c r="K2715" s="504" t="s">
        <v>225</v>
      </c>
      <c r="L2715" s="384">
        <f t="shared" si="375"/>
        <v>1848473.41</v>
      </c>
      <c r="M2715" s="519">
        <v>1800000</v>
      </c>
      <c r="N2715" s="383">
        <v>32648.93</v>
      </c>
      <c r="O2715" s="385"/>
      <c r="P2715" s="383"/>
      <c r="Q2715" s="388">
        <v>15824.48</v>
      </c>
      <c r="R2715" s="382">
        <f>M2715/J2715</f>
        <v>15000</v>
      </c>
      <c r="S2715" s="383">
        <f t="shared" si="378"/>
        <v>-8.3673512563109398E-11</v>
      </c>
      <c r="U2715" s="404"/>
      <c r="V2715" s="390"/>
      <c r="W2715" s="403"/>
    </row>
    <row r="2716" spans="1:24" s="455" customFormat="1" ht="37.5" customHeight="1">
      <c r="A2716" s="404">
        <f t="shared" si="372"/>
        <v>69</v>
      </c>
      <c r="B2716" s="403" t="s">
        <v>2197</v>
      </c>
      <c r="C2716" s="455" t="s">
        <v>299</v>
      </c>
      <c r="D2716" s="772">
        <f t="shared" si="370"/>
        <v>6449.5689655172418</v>
      </c>
      <c r="E2716" s="388">
        <v>1151</v>
      </c>
      <c r="F2716" s="388" t="s">
        <v>252</v>
      </c>
      <c r="G2716" s="388">
        <v>892</v>
      </c>
      <c r="H2716" s="446">
        <v>3</v>
      </c>
      <c r="I2716" s="446">
        <v>3</v>
      </c>
      <c r="J2716" s="446">
        <v>36</v>
      </c>
      <c r="K2716" s="397" t="s">
        <v>33</v>
      </c>
      <c r="L2716" s="384">
        <f t="shared" si="375"/>
        <v>2492198.94</v>
      </c>
      <c r="M2716" s="519">
        <v>2454693.9</v>
      </c>
      <c r="N2716" s="388"/>
      <c r="O2716" s="473">
        <v>17619</v>
      </c>
      <c r="P2716" s="388"/>
      <c r="Q2716" s="388">
        <v>19886.04</v>
      </c>
      <c r="R2716" s="446">
        <f t="shared" ref="R2716:R2722" si="379">M2716/G2716</f>
        <v>2751.8989910313899</v>
      </c>
      <c r="S2716" s="383">
        <f t="shared" si="378"/>
        <v>3.637978807091713E-11</v>
      </c>
      <c r="U2716" s="404"/>
      <c r="V2716" s="390"/>
      <c r="X2716" s="403"/>
    </row>
    <row r="2717" spans="1:24" s="455" customFormat="1" ht="37.5" customHeight="1">
      <c r="A2717" s="404">
        <f t="shared" si="372"/>
        <v>70</v>
      </c>
      <c r="B2717" s="543" t="s">
        <v>2198</v>
      </c>
      <c r="C2717" s="455" t="s">
        <v>299</v>
      </c>
      <c r="D2717" s="772">
        <f t="shared" si="370"/>
        <v>12943.96551724138</v>
      </c>
      <c r="E2717" s="388">
        <v>2310</v>
      </c>
      <c r="F2717" s="388" t="s">
        <v>252</v>
      </c>
      <c r="G2717" s="388">
        <v>1136</v>
      </c>
      <c r="H2717" s="446">
        <v>5</v>
      </c>
      <c r="I2717" s="446">
        <v>4</v>
      </c>
      <c r="J2717" s="446">
        <v>76</v>
      </c>
      <c r="K2717" s="504" t="s">
        <v>33</v>
      </c>
      <c r="L2717" s="384">
        <f t="shared" si="375"/>
        <v>3313532.95</v>
      </c>
      <c r="M2717" s="519">
        <v>3245863</v>
      </c>
      <c r="N2717" s="383">
        <v>27869.95</v>
      </c>
      <c r="O2717" s="385"/>
      <c r="P2717" s="383"/>
      <c r="Q2717" s="388">
        <v>39800</v>
      </c>
      <c r="R2717" s="446">
        <f t="shared" si="379"/>
        <v>2857.273767605634</v>
      </c>
      <c r="S2717" s="383">
        <f t="shared" si="378"/>
        <v>1.8917489796876907E-10</v>
      </c>
      <c r="U2717" s="404"/>
      <c r="V2717" s="390"/>
      <c r="W2717" s="403"/>
    </row>
    <row r="2718" spans="1:24" s="455" customFormat="1" ht="37.5" customHeight="1">
      <c r="A2718" s="404">
        <f t="shared" si="372"/>
        <v>71</v>
      </c>
      <c r="B2718" s="543" t="s">
        <v>2199</v>
      </c>
      <c r="C2718" s="455" t="s">
        <v>299</v>
      </c>
      <c r="D2718" s="772">
        <f t="shared" si="370"/>
        <v>12943.96551724138</v>
      </c>
      <c r="E2718" s="388">
        <v>2310</v>
      </c>
      <c r="F2718" s="388" t="s">
        <v>219</v>
      </c>
      <c r="G2718" s="388">
        <v>1050</v>
      </c>
      <c r="H2718" s="446">
        <v>5</v>
      </c>
      <c r="I2718" s="446">
        <v>4</v>
      </c>
      <c r="J2718" s="446">
        <v>80</v>
      </c>
      <c r="K2718" s="504" t="s">
        <v>33</v>
      </c>
      <c r="L2718" s="384">
        <f t="shared" si="375"/>
        <v>2246453</v>
      </c>
      <c r="M2718" s="519">
        <v>2204198</v>
      </c>
      <c r="N2718" s="388"/>
      <c r="O2718" s="473">
        <v>22355</v>
      </c>
      <c r="P2718" s="388"/>
      <c r="Q2718" s="388">
        <v>19900</v>
      </c>
      <c r="R2718" s="446">
        <f t="shared" si="379"/>
        <v>2099.2361904761906</v>
      </c>
      <c r="S2718" s="383">
        <f t="shared" si="378"/>
        <v>0</v>
      </c>
      <c r="U2718" s="404"/>
      <c r="V2718" s="390"/>
    </row>
    <row r="2719" spans="1:24" s="455" customFormat="1" ht="37.5" customHeight="1">
      <c r="A2719" s="404">
        <f t="shared" si="372"/>
        <v>72</v>
      </c>
      <c r="B2719" s="403" t="s">
        <v>2200</v>
      </c>
      <c r="C2719" s="455" t="s">
        <v>299</v>
      </c>
      <c r="D2719" s="772">
        <f t="shared" si="370"/>
        <v>12943.96551724138</v>
      </c>
      <c r="E2719" s="388">
        <v>2310</v>
      </c>
      <c r="F2719" s="388" t="s">
        <v>219</v>
      </c>
      <c r="G2719" s="388">
        <v>1050</v>
      </c>
      <c r="H2719" s="446">
        <v>5</v>
      </c>
      <c r="I2719" s="446">
        <v>4</v>
      </c>
      <c r="J2719" s="446">
        <v>79</v>
      </c>
      <c r="K2719" s="504" t="s">
        <v>33</v>
      </c>
      <c r="L2719" s="384">
        <f t="shared" si="375"/>
        <v>2246453</v>
      </c>
      <c r="M2719" s="519">
        <v>2204198</v>
      </c>
      <c r="N2719" s="388"/>
      <c r="O2719" s="473">
        <v>22355</v>
      </c>
      <c r="P2719" s="388"/>
      <c r="Q2719" s="388">
        <v>19900</v>
      </c>
      <c r="R2719" s="446">
        <f t="shared" si="379"/>
        <v>2099.2361904761906</v>
      </c>
      <c r="S2719" s="383">
        <f t="shared" si="378"/>
        <v>0</v>
      </c>
      <c r="U2719" s="404"/>
      <c r="V2719" s="390"/>
    </row>
    <row r="2720" spans="1:24" s="455" customFormat="1" ht="37.5" customHeight="1">
      <c r="A2720" s="404">
        <f t="shared" si="372"/>
        <v>73</v>
      </c>
      <c r="B2720" s="403" t="s">
        <v>2201</v>
      </c>
      <c r="C2720" s="455" t="s">
        <v>299</v>
      </c>
      <c r="D2720" s="772">
        <f t="shared" si="370"/>
        <v>7340.5172413793107</v>
      </c>
      <c r="E2720" s="391">
        <v>1310</v>
      </c>
      <c r="F2720" s="391" t="s">
        <v>252</v>
      </c>
      <c r="G2720" s="391">
        <v>1310</v>
      </c>
      <c r="H2720" s="528">
        <v>3</v>
      </c>
      <c r="I2720" s="528">
        <v>3</v>
      </c>
      <c r="J2720" s="528">
        <v>24</v>
      </c>
      <c r="K2720" s="397" t="s">
        <v>33</v>
      </c>
      <c r="L2720" s="384">
        <f t="shared" si="375"/>
        <v>2309628.3499999996</v>
      </c>
      <c r="M2720" s="519">
        <v>2256800</v>
      </c>
      <c r="N2720" s="383">
        <v>30195.26</v>
      </c>
      <c r="O2720" s="385"/>
      <c r="P2720" s="383"/>
      <c r="Q2720" s="388">
        <v>22633.09</v>
      </c>
      <c r="R2720" s="446">
        <f t="shared" si="379"/>
        <v>1722.7480916030534</v>
      </c>
      <c r="S2720" s="383">
        <f t="shared" si="378"/>
        <v>-3.7107383832335472E-10</v>
      </c>
      <c r="U2720" s="404"/>
      <c r="V2720" s="390"/>
      <c r="W2720" s="403"/>
    </row>
    <row r="2721" spans="1:27" s="455" customFormat="1" ht="37.5" customHeight="1">
      <c r="A2721" s="404">
        <f t="shared" si="372"/>
        <v>74</v>
      </c>
      <c r="B2721" s="770" t="s">
        <v>2202</v>
      </c>
      <c r="C2721" s="544" t="s">
        <v>299</v>
      </c>
      <c r="D2721" s="531">
        <f t="shared" si="370"/>
        <v>9234.4827586206902</v>
      </c>
      <c r="E2721" s="388">
        <v>1648</v>
      </c>
      <c r="F2721" s="388" t="s">
        <v>219</v>
      </c>
      <c r="G2721" s="388">
        <v>1050</v>
      </c>
      <c r="H2721" s="446">
        <v>5</v>
      </c>
      <c r="I2721" s="446">
        <v>4</v>
      </c>
      <c r="J2721" s="446">
        <v>41</v>
      </c>
      <c r="K2721" s="537" t="s">
        <v>33</v>
      </c>
      <c r="L2721" s="384">
        <f t="shared" ref="L2721:L2744" si="380">SUM(M2721:Q2721)</f>
        <v>2122844</v>
      </c>
      <c r="M2721" s="519">
        <v>2082000</v>
      </c>
      <c r="N2721" s="388"/>
      <c r="O2721" s="473">
        <v>20944</v>
      </c>
      <c r="P2721" s="388"/>
      <c r="Q2721" s="388">
        <v>19900</v>
      </c>
      <c r="R2721" s="446">
        <f t="shared" si="379"/>
        <v>1982.8571428571429</v>
      </c>
      <c r="S2721" s="383">
        <f t="shared" si="378"/>
        <v>0</v>
      </c>
      <c r="U2721" s="404"/>
      <c r="V2721" s="390"/>
    </row>
    <row r="2722" spans="1:27" s="455" customFormat="1" ht="36" customHeight="1">
      <c r="A2722" s="404">
        <f t="shared" si="372"/>
        <v>75</v>
      </c>
      <c r="B2722" s="403" t="s">
        <v>2207</v>
      </c>
      <c r="C2722" s="455" t="s">
        <v>218</v>
      </c>
      <c r="D2722" s="772">
        <f t="shared" ref="D2722:D2743" si="381">E2722/1.16/2*13</f>
        <v>31401.72413793104</v>
      </c>
      <c r="E2722" s="388">
        <v>5604</v>
      </c>
      <c r="F2722" s="388" t="s">
        <v>219</v>
      </c>
      <c r="G2722" s="388">
        <v>1269</v>
      </c>
      <c r="H2722" s="446">
        <v>9</v>
      </c>
      <c r="I2722" s="446">
        <v>4</v>
      </c>
      <c r="J2722" s="446">
        <v>144</v>
      </c>
      <c r="K2722" s="458" t="s">
        <v>33</v>
      </c>
      <c r="L2722" s="384">
        <f t="shared" si="380"/>
        <v>2882961</v>
      </c>
      <c r="M2722" s="519">
        <v>2835685</v>
      </c>
      <c r="N2722" s="388"/>
      <c r="O2722" s="473">
        <v>27376</v>
      </c>
      <c r="P2722" s="388"/>
      <c r="Q2722" s="388">
        <v>19900</v>
      </c>
      <c r="R2722" s="446">
        <f t="shared" si="379"/>
        <v>2234.5823483057525</v>
      </c>
      <c r="S2722" s="383">
        <f t="shared" si="378"/>
        <v>0</v>
      </c>
      <c r="U2722" s="404"/>
      <c r="V2722" s="390"/>
      <c r="X2722" s="403">
        <v>1</v>
      </c>
    </row>
    <row r="2723" spans="1:27" s="455" customFormat="1" ht="37.5" customHeight="1">
      <c r="A2723" s="404">
        <f t="shared" si="372"/>
        <v>76</v>
      </c>
      <c r="B2723" s="543" t="s">
        <v>2208</v>
      </c>
      <c r="C2723" s="455" t="s">
        <v>299</v>
      </c>
      <c r="D2723" s="531">
        <f t="shared" si="381"/>
        <v>10433.620689655172</v>
      </c>
      <c r="E2723" s="388">
        <v>1862</v>
      </c>
      <c r="F2723" s="388" t="s">
        <v>252</v>
      </c>
      <c r="G2723" s="388">
        <v>1148</v>
      </c>
      <c r="H2723" s="446">
        <v>4</v>
      </c>
      <c r="I2723" s="446">
        <v>4</v>
      </c>
      <c r="J2723" s="446">
        <v>32</v>
      </c>
      <c r="K2723" s="397" t="s">
        <v>38</v>
      </c>
      <c r="L2723" s="384">
        <f t="shared" si="380"/>
        <v>3073024</v>
      </c>
      <c r="M2723" s="519">
        <v>3024000</v>
      </c>
      <c r="N2723" s="388"/>
      <c r="O2723" s="473">
        <v>19174</v>
      </c>
      <c r="P2723" s="388"/>
      <c r="Q2723" s="388">
        <v>29850</v>
      </c>
      <c r="R2723" s="528">
        <f>M2723/E2723</f>
        <v>1624.0601503759399</v>
      </c>
      <c r="S2723" s="383">
        <f t="shared" si="378"/>
        <v>0</v>
      </c>
      <c r="U2723" s="404"/>
      <c r="V2723" s="390"/>
    </row>
    <row r="2724" spans="1:27" s="455" customFormat="1" ht="37.5" customHeight="1">
      <c r="A2724" s="404">
        <f t="shared" si="372"/>
        <v>77</v>
      </c>
      <c r="B2724" s="543" t="s">
        <v>2209</v>
      </c>
      <c r="C2724" s="455" t="s">
        <v>299</v>
      </c>
      <c r="D2724" s="772">
        <f t="shared" si="381"/>
        <v>14064.655172413793</v>
      </c>
      <c r="E2724" s="388">
        <v>2510</v>
      </c>
      <c r="F2724" s="388" t="s">
        <v>252</v>
      </c>
      <c r="G2724" s="388">
        <v>1366</v>
      </c>
      <c r="H2724" s="446">
        <v>5</v>
      </c>
      <c r="I2724" s="446">
        <v>4</v>
      </c>
      <c r="J2724" s="446">
        <v>40</v>
      </c>
      <c r="K2724" s="397" t="s">
        <v>33</v>
      </c>
      <c r="L2724" s="384">
        <f t="shared" si="380"/>
        <v>3757871.28</v>
      </c>
      <c r="M2724" s="519">
        <v>3689670</v>
      </c>
      <c r="N2724" s="383">
        <v>28401.279999999999</v>
      </c>
      <c r="O2724" s="385"/>
      <c r="P2724" s="383"/>
      <c r="Q2724" s="388">
        <v>39800</v>
      </c>
      <c r="R2724" s="446">
        <f>M2724/G2724</f>
        <v>2701.0761346998538</v>
      </c>
      <c r="S2724" s="383">
        <f t="shared" si="378"/>
        <v>-2.0372681319713593E-10</v>
      </c>
      <c r="U2724" s="404"/>
      <c r="V2724" s="390"/>
      <c r="W2724" s="403"/>
    </row>
    <row r="2725" spans="1:27" s="455" customFormat="1" ht="56.25" customHeight="1">
      <c r="A2725" s="404">
        <f t="shared" si="372"/>
        <v>78</v>
      </c>
      <c r="B2725" s="543" t="s">
        <v>2212</v>
      </c>
      <c r="C2725" s="455" t="s">
        <v>299</v>
      </c>
      <c r="D2725" s="772">
        <f t="shared" si="381"/>
        <v>15365.327586206899</v>
      </c>
      <c r="E2725" s="388">
        <v>2742.12</v>
      </c>
      <c r="F2725" s="388" t="s">
        <v>219</v>
      </c>
      <c r="G2725" s="388">
        <v>1015.9</v>
      </c>
      <c r="H2725" s="446">
        <v>5</v>
      </c>
      <c r="I2725" s="446">
        <v>4</v>
      </c>
      <c r="J2725" s="446">
        <v>80</v>
      </c>
      <c r="K2725" s="397" t="s">
        <v>33</v>
      </c>
      <c r="L2725" s="384">
        <f t="shared" si="380"/>
        <v>2434417</v>
      </c>
      <c r="M2725" s="519">
        <v>2412510</v>
      </c>
      <c r="N2725" s="388"/>
      <c r="O2725" s="473">
        <v>21907</v>
      </c>
      <c r="P2725" s="388"/>
      <c r="Q2725" s="388"/>
      <c r="R2725" s="446">
        <f>M2725/J2725</f>
        <v>30156.375</v>
      </c>
      <c r="S2725" s="383">
        <f t="shared" si="378"/>
        <v>0</v>
      </c>
      <c r="U2725" s="404"/>
      <c r="V2725" s="390"/>
    </row>
    <row r="2726" spans="1:27" s="455" customFormat="1" ht="37.5" customHeight="1">
      <c r="A2726" s="404">
        <f t="shared" si="372"/>
        <v>79</v>
      </c>
      <c r="B2726" s="543" t="s">
        <v>2214</v>
      </c>
      <c r="C2726" s="455" t="s">
        <v>299</v>
      </c>
      <c r="D2726" s="531">
        <f t="shared" si="381"/>
        <v>9071.9827586206902</v>
      </c>
      <c r="E2726" s="388">
        <v>1619</v>
      </c>
      <c r="F2726" s="388" t="s">
        <v>252</v>
      </c>
      <c r="G2726" s="388">
        <v>828</v>
      </c>
      <c r="H2726" s="446">
        <v>3</v>
      </c>
      <c r="I2726" s="446">
        <v>3</v>
      </c>
      <c r="J2726" s="446">
        <v>20</v>
      </c>
      <c r="K2726" s="504" t="s">
        <v>239</v>
      </c>
      <c r="L2726" s="384">
        <f t="shared" si="380"/>
        <v>926158.17999999993</v>
      </c>
      <c r="M2726" s="519">
        <v>883079.09</v>
      </c>
      <c r="N2726" s="383">
        <v>27775</v>
      </c>
      <c r="O2726" s="473"/>
      <c r="P2726" s="388"/>
      <c r="Q2726" s="388">
        <v>15304.09</v>
      </c>
      <c r="R2726" s="382">
        <f>M2726/J2726</f>
        <v>44153.9545</v>
      </c>
      <c r="S2726" s="383">
        <f t="shared" si="378"/>
        <v>-3.2741809263825417E-11</v>
      </c>
      <c r="U2726" s="404"/>
      <c r="V2726" s="390"/>
      <c r="W2726" s="403"/>
    </row>
    <row r="2727" spans="1:27" s="455" customFormat="1" ht="37.5" customHeight="1">
      <c r="A2727" s="404">
        <f t="shared" si="372"/>
        <v>80</v>
      </c>
      <c r="B2727" s="403" t="s">
        <v>2215</v>
      </c>
      <c r="C2727" s="455" t="s">
        <v>299</v>
      </c>
      <c r="D2727" s="772">
        <f t="shared" si="381"/>
        <v>23949.137931034482</v>
      </c>
      <c r="E2727" s="388">
        <v>4274</v>
      </c>
      <c r="F2727" s="388" t="s">
        <v>219</v>
      </c>
      <c r="G2727" s="388">
        <v>1781</v>
      </c>
      <c r="H2727" s="446">
        <v>5</v>
      </c>
      <c r="I2727" s="446">
        <v>6</v>
      </c>
      <c r="J2727" s="446">
        <v>120</v>
      </c>
      <c r="K2727" s="458" t="s">
        <v>33</v>
      </c>
      <c r="L2727" s="384">
        <f t="shared" si="380"/>
        <v>4320446</v>
      </c>
      <c r="M2727" s="519">
        <v>4274005</v>
      </c>
      <c r="N2727" s="388"/>
      <c r="O2727" s="473">
        <v>26541</v>
      </c>
      <c r="P2727" s="388"/>
      <c r="Q2727" s="388">
        <v>19900</v>
      </c>
      <c r="R2727" s="446">
        <f>M2727/G2727</f>
        <v>2399.7782144862435</v>
      </c>
      <c r="S2727" s="383">
        <f t="shared" si="378"/>
        <v>0</v>
      </c>
      <c r="U2727" s="404"/>
      <c r="V2727" s="390"/>
    </row>
    <row r="2728" spans="1:27" s="455" customFormat="1" ht="37.5" customHeight="1">
      <c r="A2728" s="404">
        <f t="shared" si="372"/>
        <v>81</v>
      </c>
      <c r="B2728" s="403" t="s">
        <v>2217</v>
      </c>
      <c r="C2728" s="455" t="s">
        <v>299</v>
      </c>
      <c r="D2728" s="772">
        <f t="shared" si="381"/>
        <v>10618.534482758621</v>
      </c>
      <c r="E2728" s="388">
        <v>1895</v>
      </c>
      <c r="F2728" s="388" t="s">
        <v>219</v>
      </c>
      <c r="G2728" s="388">
        <v>684</v>
      </c>
      <c r="H2728" s="446">
        <v>5</v>
      </c>
      <c r="I2728" s="446">
        <v>3</v>
      </c>
      <c r="J2728" s="446">
        <v>45</v>
      </c>
      <c r="K2728" s="458" t="s">
        <v>33</v>
      </c>
      <c r="L2728" s="384">
        <f t="shared" si="380"/>
        <v>1615369</v>
      </c>
      <c r="M2728" s="519">
        <v>1573998</v>
      </c>
      <c r="N2728" s="388"/>
      <c r="O2728" s="473">
        <v>21471</v>
      </c>
      <c r="P2728" s="388"/>
      <c r="Q2728" s="388">
        <v>19900</v>
      </c>
      <c r="R2728" s="446">
        <f>M2728/G2728</f>
        <v>2301.1666666666665</v>
      </c>
      <c r="S2728" s="383">
        <f t="shared" si="378"/>
        <v>0</v>
      </c>
      <c r="U2728" s="404"/>
      <c r="V2728" s="390"/>
      <c r="X2728" s="403">
        <v>1</v>
      </c>
    </row>
    <row r="2729" spans="1:27" s="455" customFormat="1" ht="37.5" customHeight="1">
      <c r="A2729" s="404">
        <f t="shared" si="372"/>
        <v>82</v>
      </c>
      <c r="B2729" s="543" t="s">
        <v>2219</v>
      </c>
      <c r="C2729" s="455" t="s">
        <v>299</v>
      </c>
      <c r="D2729" s="772">
        <f t="shared" si="381"/>
        <v>4684.4827586206902</v>
      </c>
      <c r="E2729" s="388">
        <v>836</v>
      </c>
      <c r="F2729" s="388" t="s">
        <v>252</v>
      </c>
      <c r="G2729" s="388">
        <v>532.5</v>
      </c>
      <c r="H2729" s="446">
        <v>2</v>
      </c>
      <c r="I2729" s="446">
        <v>2</v>
      </c>
      <c r="J2729" s="446">
        <v>16</v>
      </c>
      <c r="K2729" s="504" t="s">
        <v>33</v>
      </c>
      <c r="L2729" s="384">
        <f t="shared" si="380"/>
        <v>1586686.43</v>
      </c>
      <c r="M2729" s="519">
        <v>1531423</v>
      </c>
      <c r="N2729" s="383">
        <v>32441.97</v>
      </c>
      <c r="O2729" s="385"/>
      <c r="P2729" s="383"/>
      <c r="Q2729" s="388">
        <v>22821.46</v>
      </c>
      <c r="R2729" s="446">
        <f>M2729/G2729</f>
        <v>2875.9117370892018</v>
      </c>
      <c r="S2729" s="383">
        <f t="shared" si="378"/>
        <v>-6.5483618527650833E-11</v>
      </c>
      <c r="U2729" s="404"/>
      <c r="V2729" s="390"/>
      <c r="W2729" s="403"/>
    </row>
    <row r="2730" spans="1:27" s="403" customFormat="1" ht="37.5" customHeight="1">
      <c r="A2730" s="404">
        <f t="shared" si="372"/>
        <v>83</v>
      </c>
      <c r="B2730" s="846" t="s">
        <v>2220</v>
      </c>
      <c r="C2730" s="455" t="s">
        <v>299</v>
      </c>
      <c r="D2730" s="531">
        <f t="shared" si="381"/>
        <v>5205.6034482758623</v>
      </c>
      <c r="E2730" s="388">
        <v>929</v>
      </c>
      <c r="F2730" s="388" t="s">
        <v>252</v>
      </c>
      <c r="G2730" s="388">
        <v>675</v>
      </c>
      <c r="H2730" s="446">
        <v>2</v>
      </c>
      <c r="I2730" s="446">
        <v>1</v>
      </c>
      <c r="J2730" s="446">
        <v>35</v>
      </c>
      <c r="K2730" s="504" t="s">
        <v>33</v>
      </c>
      <c r="L2730" s="519">
        <f t="shared" si="380"/>
        <v>2296444.5199999996</v>
      </c>
      <c r="M2730" s="519">
        <v>2237400</v>
      </c>
      <c r="N2730" s="388">
        <v>33679.760000000002</v>
      </c>
      <c r="O2730" s="473"/>
      <c r="P2730" s="388"/>
      <c r="Q2730" s="388">
        <v>25364.76</v>
      </c>
      <c r="R2730" s="446">
        <f>M2730/G2730</f>
        <v>3314.6666666666665</v>
      </c>
      <c r="S2730" s="383">
        <f t="shared" si="378"/>
        <v>-4.4747139327228069E-10</v>
      </c>
      <c r="U2730" s="390"/>
      <c r="V2730" s="390"/>
    </row>
    <row r="2731" spans="1:27" s="455" customFormat="1" ht="37.5" customHeight="1">
      <c r="A2731" s="404">
        <f t="shared" si="372"/>
        <v>84</v>
      </c>
      <c r="B2731" s="403" t="s">
        <v>2221</v>
      </c>
      <c r="C2731" s="455" t="s">
        <v>299</v>
      </c>
      <c r="D2731" s="531">
        <f t="shared" si="381"/>
        <v>25125.862068965518</v>
      </c>
      <c r="E2731" s="391">
        <v>4484</v>
      </c>
      <c r="F2731" s="388" t="s">
        <v>219</v>
      </c>
      <c r="G2731" s="391">
        <v>1947</v>
      </c>
      <c r="H2731" s="528">
        <v>5</v>
      </c>
      <c r="I2731" s="528">
        <v>9</v>
      </c>
      <c r="J2731" s="528">
        <v>118</v>
      </c>
      <c r="K2731" s="504" t="s">
        <v>239</v>
      </c>
      <c r="L2731" s="384">
        <f t="shared" si="380"/>
        <v>3614286.3600000003</v>
      </c>
      <c r="M2731" s="519">
        <v>3550143.18</v>
      </c>
      <c r="N2731" s="383">
        <v>34926</v>
      </c>
      <c r="O2731" s="473"/>
      <c r="P2731" s="388"/>
      <c r="Q2731" s="388">
        <v>29217.18</v>
      </c>
      <c r="R2731" s="382">
        <f>M2731/J2731</f>
        <v>30085.959152542375</v>
      </c>
      <c r="S2731" s="383">
        <f t="shared" si="378"/>
        <v>1.673470251262188E-10</v>
      </c>
      <c r="U2731" s="404"/>
      <c r="V2731" s="390"/>
      <c r="W2731" s="403"/>
    </row>
    <row r="2732" spans="1:27" s="455" customFormat="1" ht="37.5" customHeight="1">
      <c r="A2732" s="404">
        <f t="shared" si="372"/>
        <v>85</v>
      </c>
      <c r="B2732" s="543" t="s">
        <v>2222</v>
      </c>
      <c r="C2732" s="455" t="s">
        <v>299</v>
      </c>
      <c r="D2732" s="772">
        <f t="shared" si="381"/>
        <v>6444.5258620689656</v>
      </c>
      <c r="E2732" s="388">
        <v>1150.0999999999999</v>
      </c>
      <c r="F2732" s="388" t="s">
        <v>219</v>
      </c>
      <c r="G2732" s="388">
        <v>476</v>
      </c>
      <c r="H2732" s="446">
        <v>5</v>
      </c>
      <c r="I2732" s="446">
        <v>2</v>
      </c>
      <c r="J2732" s="446">
        <v>40</v>
      </c>
      <c r="K2732" s="504" t="s">
        <v>33</v>
      </c>
      <c r="L2732" s="384">
        <f t="shared" si="380"/>
        <v>1182315.6200000001</v>
      </c>
      <c r="M2732" s="519">
        <v>1142562</v>
      </c>
      <c r="N2732" s="388"/>
      <c r="O2732" s="473">
        <v>19883</v>
      </c>
      <c r="P2732" s="388"/>
      <c r="Q2732" s="388">
        <v>19870.62</v>
      </c>
      <c r="R2732" s="446">
        <f>M2732/G2732</f>
        <v>2400.340336134454</v>
      </c>
      <c r="S2732" s="383">
        <f t="shared" si="378"/>
        <v>1.127773430198431E-10</v>
      </c>
      <c r="U2732" s="404"/>
      <c r="V2732" s="390"/>
    </row>
    <row r="2733" spans="1:27" s="455" customFormat="1" ht="56.25" customHeight="1">
      <c r="A2733" s="404">
        <f t="shared" si="372"/>
        <v>86</v>
      </c>
      <c r="B2733" s="543" t="s">
        <v>2236</v>
      </c>
      <c r="C2733" s="455" t="s">
        <v>299</v>
      </c>
      <c r="D2733" s="772">
        <f>E2733/1.16/2*13</f>
        <v>18550.21551724138</v>
      </c>
      <c r="E2733" s="388">
        <v>3310.5</v>
      </c>
      <c r="F2733" s="388" t="s">
        <v>219</v>
      </c>
      <c r="G2733" s="388">
        <v>1575</v>
      </c>
      <c r="H2733" s="446">
        <v>5</v>
      </c>
      <c r="I2733" s="446">
        <v>6</v>
      </c>
      <c r="J2733" s="446">
        <v>100</v>
      </c>
      <c r="K2733" s="397" t="s">
        <v>30</v>
      </c>
      <c r="L2733" s="384">
        <f t="shared" si="380"/>
        <v>3055465</v>
      </c>
      <c r="M2733" s="519">
        <v>3000000</v>
      </c>
      <c r="N2733" s="388"/>
      <c r="O2733" s="473">
        <v>15665</v>
      </c>
      <c r="P2733" s="388"/>
      <c r="Q2733" s="388">
        <v>39800</v>
      </c>
      <c r="R2733" s="446">
        <f>M2733/J2733</f>
        <v>30000</v>
      </c>
      <c r="S2733" s="383">
        <f t="shared" si="378"/>
        <v>0</v>
      </c>
      <c r="U2733" s="404"/>
      <c r="V2733" s="390"/>
      <c r="X2733" s="403"/>
      <c r="Z2733" s="416">
        <v>1</v>
      </c>
      <c r="AA2733" s="416">
        <f>J2733</f>
        <v>100</v>
      </c>
    </row>
    <row r="2734" spans="1:27" s="403" customFormat="1" ht="56.25" customHeight="1">
      <c r="A2734" s="404">
        <f t="shared" si="372"/>
        <v>87</v>
      </c>
      <c r="B2734" s="403" t="s">
        <v>2225</v>
      </c>
      <c r="C2734" s="455" t="s">
        <v>299</v>
      </c>
      <c r="D2734" s="772">
        <f t="shared" si="381"/>
        <v>17645.258620689659</v>
      </c>
      <c r="E2734" s="388">
        <v>3149</v>
      </c>
      <c r="F2734" s="388" t="s">
        <v>219</v>
      </c>
      <c r="G2734" s="388">
        <v>1268</v>
      </c>
      <c r="H2734" s="446">
        <v>5</v>
      </c>
      <c r="I2734" s="446">
        <v>6</v>
      </c>
      <c r="J2734" s="446">
        <v>100</v>
      </c>
      <c r="K2734" s="397" t="s">
        <v>30</v>
      </c>
      <c r="L2734" s="384">
        <f t="shared" si="380"/>
        <v>3055245</v>
      </c>
      <c r="M2734" s="519">
        <v>3000000</v>
      </c>
      <c r="N2734" s="388"/>
      <c r="O2734" s="473">
        <v>15445</v>
      </c>
      <c r="P2734" s="388"/>
      <c r="Q2734" s="388">
        <v>39800</v>
      </c>
      <c r="R2734" s="446">
        <f>M2734/J2734</f>
        <v>30000</v>
      </c>
      <c r="S2734" s="383">
        <f t="shared" si="378"/>
        <v>0</v>
      </c>
      <c r="U2734" s="404"/>
      <c r="V2734" s="390"/>
      <c r="X2734" s="403">
        <v>1</v>
      </c>
      <c r="Z2734" s="416">
        <v>1</v>
      </c>
      <c r="AA2734" s="416">
        <f>J2734</f>
        <v>100</v>
      </c>
    </row>
    <row r="2735" spans="1:27" s="455" customFormat="1" ht="37.5" customHeight="1">
      <c r="A2735" s="404">
        <f t="shared" ref="A2735:A2743" si="382">A2734+1</f>
        <v>88</v>
      </c>
      <c r="B2735" s="403" t="s">
        <v>2226</v>
      </c>
      <c r="C2735" s="455" t="s">
        <v>299</v>
      </c>
      <c r="D2735" s="531">
        <f t="shared" si="381"/>
        <v>12686.206896551725</v>
      </c>
      <c r="E2735" s="388">
        <v>2264</v>
      </c>
      <c r="F2735" s="388" t="s">
        <v>219</v>
      </c>
      <c r="G2735" s="388">
        <v>972</v>
      </c>
      <c r="H2735" s="446">
        <v>5</v>
      </c>
      <c r="I2735" s="446">
        <v>4</v>
      </c>
      <c r="J2735" s="446">
        <v>78</v>
      </c>
      <c r="K2735" s="458" t="s">
        <v>33</v>
      </c>
      <c r="L2735" s="384">
        <f t="shared" si="380"/>
        <v>2314280</v>
      </c>
      <c r="M2735" s="519">
        <v>2272123</v>
      </c>
      <c r="N2735" s="388"/>
      <c r="O2735" s="473">
        <v>22257</v>
      </c>
      <c r="P2735" s="388"/>
      <c r="Q2735" s="388">
        <v>19900</v>
      </c>
      <c r="R2735" s="446">
        <f>M2735/G2735</f>
        <v>2337.5751028806585</v>
      </c>
      <c r="S2735" s="383">
        <f t="shared" si="378"/>
        <v>0</v>
      </c>
      <c r="U2735" s="404"/>
      <c r="V2735" s="390"/>
    </row>
    <row r="2736" spans="1:27" s="455" customFormat="1" ht="37.5" customHeight="1">
      <c r="A2736" s="404">
        <f t="shared" si="382"/>
        <v>89</v>
      </c>
      <c r="B2736" s="543" t="s">
        <v>2227</v>
      </c>
      <c r="C2736" s="531" t="s">
        <v>218</v>
      </c>
      <c r="D2736" s="772">
        <f t="shared" si="381"/>
        <v>13112.068965517241</v>
      </c>
      <c r="E2736" s="388">
        <v>2340</v>
      </c>
      <c r="F2736" s="388" t="s">
        <v>219</v>
      </c>
      <c r="G2736" s="388">
        <v>1050</v>
      </c>
      <c r="H2736" s="446">
        <v>5</v>
      </c>
      <c r="I2736" s="446">
        <v>4</v>
      </c>
      <c r="J2736" s="446">
        <v>80</v>
      </c>
      <c r="K2736" s="504" t="s">
        <v>33</v>
      </c>
      <c r="L2736" s="384">
        <f t="shared" si="380"/>
        <v>2562319</v>
      </c>
      <c r="M2736" s="519">
        <v>2520000</v>
      </c>
      <c r="N2736" s="388"/>
      <c r="O2736" s="473">
        <v>22419</v>
      </c>
      <c r="P2736" s="388"/>
      <c r="Q2736" s="388">
        <v>19900</v>
      </c>
      <c r="R2736" s="446">
        <f>M2736/G2736</f>
        <v>2400</v>
      </c>
      <c r="S2736" s="383">
        <f t="shared" si="378"/>
        <v>0</v>
      </c>
      <c r="U2736" s="404"/>
      <c r="V2736" s="390"/>
    </row>
    <row r="2737" spans="1:23" s="455" customFormat="1" ht="56.25" customHeight="1">
      <c r="A2737" s="404">
        <f t="shared" si="382"/>
        <v>90</v>
      </c>
      <c r="B2737" s="543" t="s">
        <v>2228</v>
      </c>
      <c r="C2737" s="455" t="s">
        <v>299</v>
      </c>
      <c r="D2737" s="772">
        <f t="shared" si="381"/>
        <v>7273.2758620689656</v>
      </c>
      <c r="E2737" s="388">
        <v>1298</v>
      </c>
      <c r="F2737" s="388" t="s">
        <v>219</v>
      </c>
      <c r="G2737" s="388">
        <v>446</v>
      </c>
      <c r="H2737" s="446">
        <v>5</v>
      </c>
      <c r="I2737" s="446">
        <v>1</v>
      </c>
      <c r="J2737" s="446">
        <v>20</v>
      </c>
      <c r="K2737" s="397" t="s">
        <v>33</v>
      </c>
      <c r="L2737" s="384">
        <f t="shared" si="380"/>
        <v>1173386</v>
      </c>
      <c r="M2737" s="519">
        <v>1152000</v>
      </c>
      <c r="N2737" s="388"/>
      <c r="O2737" s="473">
        <v>21386</v>
      </c>
      <c r="P2737" s="388"/>
      <c r="Q2737" s="388"/>
      <c r="R2737" s="446">
        <f>M2737/J2737</f>
        <v>57600</v>
      </c>
      <c r="S2737" s="383">
        <f t="shared" si="378"/>
        <v>0</v>
      </c>
      <c r="U2737" s="404"/>
      <c r="V2737" s="390"/>
    </row>
    <row r="2738" spans="1:23" s="455" customFormat="1" ht="37.5" customHeight="1">
      <c r="A2738" s="404">
        <f t="shared" si="382"/>
        <v>91</v>
      </c>
      <c r="B2738" s="543" t="s">
        <v>2235</v>
      </c>
      <c r="C2738" s="455" t="s">
        <v>299</v>
      </c>
      <c r="D2738" s="772">
        <f t="shared" si="381"/>
        <v>17564.512931034482</v>
      </c>
      <c r="E2738" s="388">
        <v>3134.59</v>
      </c>
      <c r="F2738" s="388" t="s">
        <v>219</v>
      </c>
      <c r="G2738" s="388">
        <v>848.5</v>
      </c>
      <c r="H2738" s="446">
        <v>5</v>
      </c>
      <c r="I2738" s="446">
        <v>2</v>
      </c>
      <c r="J2738" s="446">
        <v>40</v>
      </c>
      <c r="K2738" s="504" t="s">
        <v>33</v>
      </c>
      <c r="L2738" s="384">
        <f t="shared" si="380"/>
        <v>3017182</v>
      </c>
      <c r="M2738" s="519">
        <v>2973169</v>
      </c>
      <c r="N2738" s="388"/>
      <c r="O2738" s="473">
        <v>24113</v>
      </c>
      <c r="P2738" s="388"/>
      <c r="Q2738" s="388">
        <v>19900</v>
      </c>
      <c r="R2738" s="446">
        <f>M2738/G2738</f>
        <v>3504.0294637595757</v>
      </c>
      <c r="S2738" s="383">
        <f t="shared" ref="S2738:S2759" si="383">L2738-M2738-N2738-O2738-P2738-Q2738</f>
        <v>0</v>
      </c>
      <c r="U2738" s="404"/>
      <c r="V2738" s="390"/>
    </row>
    <row r="2739" spans="1:23" s="455" customFormat="1" ht="37.5" customHeight="1">
      <c r="A2739" s="404">
        <f t="shared" si="382"/>
        <v>92</v>
      </c>
      <c r="B2739" s="543" t="s">
        <v>2237</v>
      </c>
      <c r="C2739" s="455" t="s">
        <v>299</v>
      </c>
      <c r="D2739" s="772">
        <f t="shared" si="381"/>
        <v>6292.1120689655181</v>
      </c>
      <c r="E2739" s="388">
        <v>1122.9000000000001</v>
      </c>
      <c r="F2739" s="388" t="s">
        <v>223</v>
      </c>
      <c r="G2739" s="388">
        <v>1240</v>
      </c>
      <c r="H2739" s="446">
        <v>4</v>
      </c>
      <c r="I2739" s="446">
        <v>3</v>
      </c>
      <c r="J2739" s="446">
        <v>48</v>
      </c>
      <c r="K2739" s="504" t="s">
        <v>225</v>
      </c>
      <c r="L2739" s="384">
        <f t="shared" si="380"/>
        <v>762077.55</v>
      </c>
      <c r="M2739" s="519">
        <v>720000</v>
      </c>
      <c r="N2739" s="383">
        <v>29770.400000000001</v>
      </c>
      <c r="O2739" s="385"/>
      <c r="P2739" s="383"/>
      <c r="Q2739" s="388">
        <v>12307.15</v>
      </c>
      <c r="R2739" s="382">
        <f>M2739/J2739</f>
        <v>15000</v>
      </c>
      <c r="S2739" s="383">
        <f t="shared" si="383"/>
        <v>4.5474735088646412E-11</v>
      </c>
      <c r="U2739" s="404"/>
      <c r="V2739" s="390"/>
      <c r="W2739" s="403"/>
    </row>
    <row r="2740" spans="1:23" s="455" customFormat="1" ht="37.5" customHeight="1">
      <c r="A2740" s="404">
        <f t="shared" si="382"/>
        <v>93</v>
      </c>
      <c r="B2740" s="403" t="s">
        <v>2239</v>
      </c>
      <c r="C2740" s="455" t="s">
        <v>299</v>
      </c>
      <c r="D2740" s="772">
        <f>E2740/1.16/2*13</f>
        <v>12959.767241379312</v>
      </c>
      <c r="E2740" s="391">
        <v>2312.8200000000002</v>
      </c>
      <c r="F2740" s="391" t="s">
        <v>252</v>
      </c>
      <c r="G2740" s="391">
        <v>1050</v>
      </c>
      <c r="H2740" s="528">
        <v>5</v>
      </c>
      <c r="I2740" s="528">
        <v>4</v>
      </c>
      <c r="J2740" s="528">
        <v>80</v>
      </c>
      <c r="K2740" s="504" t="s">
        <v>33</v>
      </c>
      <c r="L2740" s="384">
        <f t="shared" si="380"/>
        <v>3079582.92</v>
      </c>
      <c r="M2740" s="519">
        <v>3011906</v>
      </c>
      <c r="N2740" s="383">
        <v>27876.92</v>
      </c>
      <c r="O2740" s="385"/>
      <c r="P2740" s="383"/>
      <c r="Q2740" s="388">
        <v>39800</v>
      </c>
      <c r="R2740" s="446">
        <f>M2740/G2740</f>
        <v>2868.4819047619048</v>
      </c>
      <c r="S2740" s="383">
        <f t="shared" si="383"/>
        <v>-7.2759576141834259E-11</v>
      </c>
      <c r="U2740" s="404"/>
      <c r="V2740" s="390"/>
      <c r="W2740" s="403"/>
    </row>
    <row r="2741" spans="1:23" s="455" customFormat="1" ht="37.5" customHeight="1">
      <c r="A2741" s="404">
        <f t="shared" si="382"/>
        <v>94</v>
      </c>
      <c r="B2741" s="403" t="s">
        <v>2240</v>
      </c>
      <c r="C2741" s="455" t="s">
        <v>299</v>
      </c>
      <c r="D2741" s="531">
        <f t="shared" si="381"/>
        <v>22279.310344827587</v>
      </c>
      <c r="E2741" s="388">
        <v>3976</v>
      </c>
      <c r="F2741" s="388" t="s">
        <v>219</v>
      </c>
      <c r="G2741" s="388">
        <v>1550</v>
      </c>
      <c r="H2741" s="446">
        <v>5</v>
      </c>
      <c r="I2741" s="446">
        <v>9</v>
      </c>
      <c r="J2741" s="446">
        <v>124</v>
      </c>
      <c r="K2741" s="458" t="s">
        <v>33</v>
      </c>
      <c r="L2741" s="384">
        <f t="shared" si="380"/>
        <v>4221806</v>
      </c>
      <c r="M2741" s="519">
        <v>4176000</v>
      </c>
      <c r="N2741" s="388"/>
      <c r="O2741" s="473">
        <v>25906</v>
      </c>
      <c r="P2741" s="388"/>
      <c r="Q2741" s="388">
        <v>19900</v>
      </c>
      <c r="R2741" s="446">
        <f>M2741/G2741</f>
        <v>2694.1935483870966</v>
      </c>
      <c r="S2741" s="383">
        <f t="shared" si="383"/>
        <v>0</v>
      </c>
      <c r="U2741" s="404"/>
      <c r="V2741" s="390"/>
    </row>
    <row r="2742" spans="1:23" s="455" customFormat="1" ht="37.5" customHeight="1">
      <c r="A2742" s="404">
        <f t="shared" si="382"/>
        <v>95</v>
      </c>
      <c r="B2742" s="403" t="s">
        <v>2241</v>
      </c>
      <c r="C2742" s="455" t="s">
        <v>299</v>
      </c>
      <c r="D2742" s="772">
        <f t="shared" si="381"/>
        <v>10915.517241379312</v>
      </c>
      <c r="E2742" s="391">
        <v>1948</v>
      </c>
      <c r="F2742" s="388" t="s">
        <v>219</v>
      </c>
      <c r="G2742" s="391">
        <v>996</v>
      </c>
      <c r="H2742" s="446">
        <v>5</v>
      </c>
      <c r="I2742" s="446">
        <v>2</v>
      </c>
      <c r="J2742" s="528">
        <v>93</v>
      </c>
      <c r="K2742" s="504" t="s">
        <v>33</v>
      </c>
      <c r="L2742" s="384">
        <f t="shared" si="380"/>
        <v>2164080</v>
      </c>
      <c r="M2742" s="519">
        <v>2122596</v>
      </c>
      <c r="N2742" s="388"/>
      <c r="O2742" s="473">
        <v>21584</v>
      </c>
      <c r="P2742" s="388"/>
      <c r="Q2742" s="388">
        <v>19900</v>
      </c>
      <c r="R2742" s="446">
        <f>M2742/G2742</f>
        <v>2131.1204819277109</v>
      </c>
      <c r="S2742" s="383">
        <f t="shared" si="383"/>
        <v>0</v>
      </c>
      <c r="U2742" s="404"/>
      <c r="V2742" s="390"/>
    </row>
    <row r="2743" spans="1:23" s="455" customFormat="1" ht="37.5" customHeight="1">
      <c r="A2743" s="404">
        <f t="shared" si="382"/>
        <v>96</v>
      </c>
      <c r="B2743" s="403" t="s">
        <v>2242</v>
      </c>
      <c r="C2743" s="455" t="s">
        <v>299</v>
      </c>
      <c r="D2743" s="531">
        <f t="shared" si="381"/>
        <v>35873.275862068964</v>
      </c>
      <c r="E2743" s="388">
        <v>6402</v>
      </c>
      <c r="F2743" s="388" t="s">
        <v>219</v>
      </c>
      <c r="G2743" s="388">
        <v>1862</v>
      </c>
      <c r="H2743" s="446">
        <v>5</v>
      </c>
      <c r="I2743" s="446">
        <v>12</v>
      </c>
      <c r="J2743" s="446">
        <v>130</v>
      </c>
      <c r="K2743" s="458" t="s">
        <v>33</v>
      </c>
      <c r="L2743" s="384">
        <f t="shared" si="380"/>
        <v>5837776</v>
      </c>
      <c r="M2743" s="519">
        <v>5786800</v>
      </c>
      <c r="N2743" s="388"/>
      <c r="O2743" s="473">
        <v>31076</v>
      </c>
      <c r="P2743" s="388"/>
      <c r="Q2743" s="388">
        <v>19900</v>
      </c>
      <c r="R2743" s="446">
        <f>M2743/G2743</f>
        <v>3107.8410311493017</v>
      </c>
      <c r="S2743" s="383">
        <f t="shared" si="383"/>
        <v>0</v>
      </c>
      <c r="U2743" s="404"/>
      <c r="V2743" s="390"/>
    </row>
    <row r="2744" spans="1:23" s="455" customFormat="1" ht="37.5" customHeight="1">
      <c r="A2744" s="404">
        <f>A2743+1</f>
        <v>97</v>
      </c>
      <c r="B2744" s="403" t="s">
        <v>2244</v>
      </c>
      <c r="C2744" s="455" t="s">
        <v>299</v>
      </c>
      <c r="D2744" s="772">
        <f>E2744/1.16/2*13</f>
        <v>12815.086206896553</v>
      </c>
      <c r="E2744" s="388">
        <v>2287</v>
      </c>
      <c r="F2744" s="388" t="s">
        <v>219</v>
      </c>
      <c r="G2744" s="388">
        <v>972</v>
      </c>
      <c r="H2744" s="446">
        <v>5</v>
      </c>
      <c r="I2744" s="446">
        <v>4</v>
      </c>
      <c r="J2744" s="446">
        <v>76</v>
      </c>
      <c r="K2744" s="458" t="s">
        <v>33</v>
      </c>
      <c r="L2744" s="384">
        <f t="shared" si="380"/>
        <v>2373650</v>
      </c>
      <c r="M2744" s="519">
        <v>2332000</v>
      </c>
      <c r="N2744" s="388"/>
      <c r="O2744" s="473">
        <v>21650</v>
      </c>
      <c r="P2744" s="388"/>
      <c r="Q2744" s="388">
        <v>20000</v>
      </c>
      <c r="R2744" s="446">
        <f>M2744/G2744</f>
        <v>2399.1769547325102</v>
      </c>
      <c r="S2744" s="383">
        <f t="shared" si="383"/>
        <v>0</v>
      </c>
      <c r="U2744" s="404"/>
      <c r="V2744" s="390"/>
    </row>
    <row r="2745" spans="1:23" s="403" customFormat="1" ht="54" customHeight="1">
      <c r="A2745" s="404">
        <f>A2744+1</f>
        <v>98</v>
      </c>
      <c r="B2745" s="403" t="s">
        <v>1237</v>
      </c>
      <c r="C2745" s="617" t="s">
        <v>299</v>
      </c>
      <c r="D2745" s="766">
        <f>E2745/1.16/2*13</f>
        <v>2466.6379310344828</v>
      </c>
      <c r="E2745" s="388">
        <v>440.2</v>
      </c>
      <c r="F2745" s="388" t="s">
        <v>252</v>
      </c>
      <c r="G2745" s="388">
        <v>700</v>
      </c>
      <c r="H2745" s="446">
        <v>2</v>
      </c>
      <c r="I2745" s="446">
        <v>2</v>
      </c>
      <c r="J2745" s="446">
        <v>13</v>
      </c>
      <c r="K2745" s="767" t="s">
        <v>33</v>
      </c>
      <c r="L2745" s="650">
        <f>M2745+N2745+O2745+P2745+Q2745</f>
        <v>1989470</v>
      </c>
      <c r="M2745" s="751">
        <v>1960250</v>
      </c>
      <c r="N2745" s="388">
        <v>29220</v>
      </c>
      <c r="O2745" s="473"/>
      <c r="P2745" s="388"/>
      <c r="Q2745" s="388"/>
      <c r="R2745" s="446">
        <f>M2745/J2745</f>
        <v>150788.46153846153</v>
      </c>
      <c r="S2745" s="383">
        <f t="shared" si="383"/>
        <v>0</v>
      </c>
      <c r="T2745" s="388"/>
      <c r="U2745" s="390"/>
      <c r="V2745" s="390"/>
    </row>
    <row r="2746" spans="1:23" s="403" customFormat="1" ht="58.5" customHeight="1">
      <c r="A2746" s="404">
        <f t="shared" ref="A2746:A2747" si="384">A2745+1</f>
        <v>99</v>
      </c>
      <c r="B2746" s="403" t="s">
        <v>2203</v>
      </c>
      <c r="C2746" s="455" t="s">
        <v>299</v>
      </c>
      <c r="D2746" s="772">
        <f>E2746/1.16/2*13</f>
        <v>3749.0431034482754</v>
      </c>
      <c r="E2746" s="391">
        <v>669.06</v>
      </c>
      <c r="F2746" s="391" t="s">
        <v>252</v>
      </c>
      <c r="G2746" s="391">
        <v>693</v>
      </c>
      <c r="H2746" s="528">
        <v>2</v>
      </c>
      <c r="I2746" s="528">
        <v>2</v>
      </c>
      <c r="J2746" s="528">
        <v>14</v>
      </c>
      <c r="K2746" s="397" t="s">
        <v>33</v>
      </c>
      <c r="L2746" s="650">
        <f>M2746+N2746+O2746+P2746+Q2746</f>
        <v>2449330.84</v>
      </c>
      <c r="M2746" s="388">
        <v>2400000</v>
      </c>
      <c r="N2746" s="383">
        <v>31064.9</v>
      </c>
      <c r="O2746" s="383"/>
      <c r="P2746" s="383"/>
      <c r="Q2746" s="388">
        <v>18265.939999999999</v>
      </c>
      <c r="R2746" s="528"/>
      <c r="S2746" s="383">
        <f t="shared" ref="S2746" si="385">L2746-M2746-N2746-O2746-P2746-Q2746</f>
        <v>-1.4915713109076023E-10</v>
      </c>
      <c r="T2746" s="387"/>
      <c r="U2746" s="390"/>
      <c r="V2746" s="390"/>
    </row>
    <row r="2747" spans="1:23" s="403" customFormat="1" ht="106.5" customHeight="1">
      <c r="A2747" s="404">
        <f t="shared" si="384"/>
        <v>100</v>
      </c>
      <c r="B2747" s="1112" t="s">
        <v>2157</v>
      </c>
      <c r="C2747" s="455" t="s">
        <v>299</v>
      </c>
      <c r="D2747" s="772">
        <v>15275</v>
      </c>
      <c r="E2747" s="531">
        <v>2726</v>
      </c>
      <c r="F2747" s="455" t="s">
        <v>219</v>
      </c>
      <c r="G2747" s="531">
        <v>500</v>
      </c>
      <c r="H2747" s="684">
        <v>9</v>
      </c>
      <c r="I2747" s="684">
        <v>1</v>
      </c>
      <c r="J2747" s="446">
        <v>72</v>
      </c>
      <c r="K2747" s="397" t="s">
        <v>4383</v>
      </c>
      <c r="L2747" s="1116">
        <f>M2747+N2747+O2747+P2747+Q2747+M2748+N2748+O2748+Q2748</f>
        <v>54199.94</v>
      </c>
      <c r="M2747" s="388"/>
      <c r="N2747" s="388"/>
      <c r="O2747" s="388">
        <v>19881</v>
      </c>
      <c r="P2747" s="388"/>
      <c r="Q2747" s="388"/>
      <c r="R2747" s="528"/>
      <c r="S2747" s="383"/>
      <c r="T2747" s="387"/>
      <c r="U2747" s="390"/>
      <c r="V2747" s="390"/>
    </row>
    <row r="2748" spans="1:23" s="403" customFormat="1" ht="78" customHeight="1">
      <c r="A2748" s="404"/>
      <c r="B2748" s="1112"/>
      <c r="C2748" s="455"/>
      <c r="D2748" s="772"/>
      <c r="E2748" s="531"/>
      <c r="F2748" s="455"/>
      <c r="G2748" s="531"/>
      <c r="H2748" s="684"/>
      <c r="I2748" s="684"/>
      <c r="J2748" s="446"/>
      <c r="K2748" s="397" t="s">
        <v>4370</v>
      </c>
      <c r="L2748" s="1116"/>
      <c r="M2748" s="388"/>
      <c r="N2748" s="388"/>
      <c r="O2748" s="388"/>
      <c r="P2748" s="388"/>
      <c r="Q2748" s="388">
        <v>34318.94</v>
      </c>
      <c r="R2748" s="528"/>
      <c r="S2748" s="383"/>
      <c r="T2748" s="387"/>
      <c r="U2748" s="390"/>
      <c r="V2748" s="390"/>
    </row>
    <row r="2749" spans="1:23" s="403" customFormat="1" ht="100.5" customHeight="1">
      <c r="A2749" s="404">
        <f>A2747+1</f>
        <v>101</v>
      </c>
      <c r="B2749" s="1112" t="s">
        <v>2158</v>
      </c>
      <c r="C2749" s="455" t="s">
        <v>299</v>
      </c>
      <c r="D2749" s="772">
        <v>13851.724137931036</v>
      </c>
      <c r="E2749" s="531">
        <v>2472</v>
      </c>
      <c r="F2749" s="455" t="s">
        <v>219</v>
      </c>
      <c r="G2749" s="531">
        <v>1007</v>
      </c>
      <c r="H2749" s="531">
        <v>5</v>
      </c>
      <c r="I2749" s="531">
        <v>2</v>
      </c>
      <c r="J2749" s="446">
        <v>120</v>
      </c>
      <c r="K2749" s="397" t="s">
        <v>4383</v>
      </c>
      <c r="L2749" s="1116">
        <f>M2749+N2749+O2749+P2749+Q2749+M2750+N2750+O2750+Q2750</f>
        <v>49340.94</v>
      </c>
      <c r="M2749" s="388"/>
      <c r="N2749" s="388"/>
      <c r="O2749" s="388">
        <v>15022</v>
      </c>
      <c r="P2749" s="388"/>
      <c r="Q2749" s="388"/>
      <c r="R2749" s="528"/>
      <c r="S2749" s="383"/>
      <c r="T2749" s="387"/>
      <c r="U2749" s="390"/>
      <c r="V2749" s="390"/>
    </row>
    <row r="2750" spans="1:23" s="403" customFormat="1" ht="100.5" customHeight="1">
      <c r="A2750" s="404"/>
      <c r="B2750" s="1112"/>
      <c r="C2750" s="455"/>
      <c r="D2750" s="772"/>
      <c r="E2750" s="531"/>
      <c r="F2750" s="455"/>
      <c r="G2750" s="531"/>
      <c r="H2750" s="531"/>
      <c r="I2750" s="531"/>
      <c r="J2750" s="446"/>
      <c r="K2750" s="397" t="s">
        <v>4370</v>
      </c>
      <c r="L2750" s="1116"/>
      <c r="M2750" s="388"/>
      <c r="N2750" s="388"/>
      <c r="O2750" s="388"/>
      <c r="P2750" s="388"/>
      <c r="Q2750" s="388">
        <v>34318.94</v>
      </c>
      <c r="R2750" s="528"/>
      <c r="S2750" s="383"/>
      <c r="T2750" s="387"/>
      <c r="U2750" s="390"/>
      <c r="V2750" s="390"/>
    </row>
    <row r="2751" spans="1:23" s="403" customFormat="1" ht="114" customHeight="1">
      <c r="A2751" s="404">
        <f>A2749+1</f>
        <v>102</v>
      </c>
      <c r="B2751" s="1112" t="s">
        <v>2204</v>
      </c>
      <c r="C2751" s="455" t="s">
        <v>299</v>
      </c>
      <c r="D2751" s="772">
        <v>16037.068965517243</v>
      </c>
      <c r="E2751" s="531">
        <v>2862</v>
      </c>
      <c r="F2751" s="455" t="s">
        <v>219</v>
      </c>
      <c r="G2751" s="531">
        <v>388</v>
      </c>
      <c r="H2751" s="531">
        <v>9</v>
      </c>
      <c r="I2751" s="531">
        <v>1</v>
      </c>
      <c r="J2751" s="446">
        <v>54</v>
      </c>
      <c r="K2751" s="397" t="s">
        <v>4383</v>
      </c>
      <c r="L2751" s="1116">
        <f>M2751+N2751+O2751+P2751+Q2751+M2752+N2752+O2752+Q2752</f>
        <v>54367.94</v>
      </c>
      <c r="M2751" s="388"/>
      <c r="N2751" s="388"/>
      <c r="O2751" s="388">
        <v>20049</v>
      </c>
      <c r="P2751" s="388"/>
      <c r="Q2751" s="388"/>
      <c r="R2751" s="528"/>
      <c r="S2751" s="383"/>
      <c r="T2751" s="387"/>
      <c r="U2751" s="390"/>
      <c r="V2751" s="390"/>
    </row>
    <row r="2752" spans="1:23" s="403" customFormat="1" ht="94.5" customHeight="1">
      <c r="A2752" s="404"/>
      <c r="B2752" s="1112"/>
      <c r="C2752" s="455"/>
      <c r="D2752" s="772"/>
      <c r="E2752" s="531"/>
      <c r="F2752" s="455"/>
      <c r="G2752" s="531"/>
      <c r="H2752" s="531"/>
      <c r="I2752" s="531"/>
      <c r="J2752" s="446"/>
      <c r="K2752" s="397" t="s">
        <v>4370</v>
      </c>
      <c r="L2752" s="1116"/>
      <c r="M2752" s="388"/>
      <c r="N2752" s="388"/>
      <c r="O2752" s="388"/>
      <c r="P2752" s="388"/>
      <c r="Q2752" s="388">
        <v>34318.94</v>
      </c>
      <c r="R2752" s="528"/>
      <c r="S2752" s="383"/>
      <c r="T2752" s="387"/>
      <c r="U2752" s="390"/>
      <c r="V2752" s="390"/>
    </row>
    <row r="2753" spans="1:22" s="403" customFormat="1" ht="105" customHeight="1">
      <c r="A2753" s="404">
        <f>A2751+1</f>
        <v>103</v>
      </c>
      <c r="B2753" s="1112" t="s">
        <v>2206</v>
      </c>
      <c r="C2753" s="455" t="s">
        <v>218</v>
      </c>
      <c r="D2753" s="772">
        <v>31166.37931034483</v>
      </c>
      <c r="E2753" s="531">
        <v>5562</v>
      </c>
      <c r="F2753" s="455" t="s">
        <v>219</v>
      </c>
      <c r="G2753" s="531">
        <v>967</v>
      </c>
      <c r="H2753" s="531">
        <v>9</v>
      </c>
      <c r="I2753" s="531">
        <v>3</v>
      </c>
      <c r="J2753" s="446">
        <v>108</v>
      </c>
      <c r="K2753" s="397" t="s">
        <v>4383</v>
      </c>
      <c r="L2753" s="1116">
        <f>M2753+N2753+O2753+P2753+Q2753+M2754+N2754+O2754+Q2754</f>
        <v>60954</v>
      </c>
      <c r="M2753" s="388"/>
      <c r="N2753" s="388"/>
      <c r="O2753" s="388">
        <v>21154</v>
      </c>
      <c r="P2753" s="388"/>
      <c r="Q2753" s="388"/>
      <c r="R2753" s="528"/>
      <c r="S2753" s="383"/>
      <c r="T2753" s="387"/>
      <c r="U2753" s="390"/>
      <c r="V2753" s="390"/>
    </row>
    <row r="2754" spans="1:22" s="403" customFormat="1" ht="97.5" customHeight="1">
      <c r="A2754" s="404"/>
      <c r="B2754" s="1112"/>
      <c r="C2754" s="455"/>
      <c r="D2754" s="772"/>
      <c r="E2754" s="531"/>
      <c r="F2754" s="455"/>
      <c r="G2754" s="531"/>
      <c r="H2754" s="531"/>
      <c r="I2754" s="531"/>
      <c r="J2754" s="446"/>
      <c r="K2754" s="397" t="s">
        <v>4370</v>
      </c>
      <c r="L2754" s="1116"/>
      <c r="M2754" s="388"/>
      <c r="N2754" s="388"/>
      <c r="O2754" s="388"/>
      <c r="P2754" s="388"/>
      <c r="Q2754" s="388">
        <v>39800</v>
      </c>
      <c r="R2754" s="528"/>
      <c r="S2754" s="383"/>
      <c r="T2754" s="387"/>
      <c r="U2754" s="390"/>
      <c r="V2754" s="390"/>
    </row>
    <row r="2755" spans="1:22" s="403" customFormat="1" ht="87" customHeight="1">
      <c r="A2755" s="404">
        <f>A2753+1</f>
        <v>104</v>
      </c>
      <c r="B2755" s="1115" t="s">
        <v>2223</v>
      </c>
      <c r="C2755" s="455" t="s">
        <v>299</v>
      </c>
      <c r="D2755" s="772">
        <v>17645.258620689659</v>
      </c>
      <c r="E2755" s="531">
        <v>3149</v>
      </c>
      <c r="F2755" s="455" t="s">
        <v>219</v>
      </c>
      <c r="G2755" s="531">
        <v>1268</v>
      </c>
      <c r="H2755" s="531">
        <v>5</v>
      </c>
      <c r="I2755" s="531">
        <v>6</v>
      </c>
      <c r="J2755" s="531">
        <v>100</v>
      </c>
      <c r="K2755" s="397" t="s">
        <v>4383</v>
      </c>
      <c r="L2755" s="1116">
        <f>M2755+N2755+O2755+P2755+Q2755+M2756+N2756+O2756+Q2756</f>
        <v>55245</v>
      </c>
      <c r="M2755" s="388"/>
      <c r="N2755" s="388"/>
      <c r="O2755" s="388">
        <v>15445</v>
      </c>
      <c r="P2755" s="388"/>
      <c r="Q2755" s="388"/>
      <c r="R2755" s="528"/>
      <c r="S2755" s="383"/>
      <c r="T2755" s="387"/>
      <c r="U2755" s="390"/>
      <c r="V2755" s="390"/>
    </row>
    <row r="2756" spans="1:22" s="403" customFormat="1" ht="85.5" customHeight="1">
      <c r="A2756" s="404"/>
      <c r="B2756" s="1115"/>
      <c r="C2756" s="455"/>
      <c r="D2756" s="772"/>
      <c r="E2756" s="531"/>
      <c r="F2756" s="455"/>
      <c r="G2756" s="531"/>
      <c r="H2756" s="531"/>
      <c r="I2756" s="531"/>
      <c r="J2756" s="531"/>
      <c r="K2756" s="397" t="s">
        <v>4370</v>
      </c>
      <c r="L2756" s="1116"/>
      <c r="M2756" s="388"/>
      <c r="N2756" s="388"/>
      <c r="O2756" s="388"/>
      <c r="P2756" s="388"/>
      <c r="Q2756" s="388">
        <v>39800</v>
      </c>
      <c r="R2756" s="528"/>
      <c r="S2756" s="383"/>
      <c r="T2756" s="387"/>
      <c r="U2756" s="390"/>
      <c r="V2756" s="390"/>
    </row>
    <row r="2757" spans="1:22" s="403" customFormat="1" ht="96" customHeight="1">
      <c r="A2757" s="404">
        <v>105</v>
      </c>
      <c r="B2757" s="1112" t="s">
        <v>2238</v>
      </c>
      <c r="C2757" s="455" t="s">
        <v>299</v>
      </c>
      <c r="D2757" s="531">
        <v>27798.706896551725</v>
      </c>
      <c r="E2757" s="531">
        <v>4961</v>
      </c>
      <c r="F2757" s="455" t="s">
        <v>219</v>
      </c>
      <c r="G2757" s="531">
        <v>1615</v>
      </c>
      <c r="H2757" s="531">
        <v>5</v>
      </c>
      <c r="I2757" s="531">
        <v>8</v>
      </c>
      <c r="J2757" s="446">
        <v>120</v>
      </c>
      <c r="K2757" s="397" t="s">
        <v>4383</v>
      </c>
      <c r="L2757" s="1116">
        <f>M2757+N2757+O2757+P2757+Q2757+M2758+N2758+O2758+Q2758</f>
        <v>56480</v>
      </c>
      <c r="M2757" s="388"/>
      <c r="N2757" s="388"/>
      <c r="O2757" s="388">
        <v>16680</v>
      </c>
      <c r="P2757" s="388"/>
      <c r="Q2757" s="388"/>
      <c r="R2757" s="528"/>
      <c r="S2757" s="383"/>
      <c r="T2757" s="387"/>
      <c r="U2757" s="390"/>
      <c r="V2757" s="390"/>
    </row>
    <row r="2758" spans="1:22" s="403" customFormat="1" ht="96" customHeight="1">
      <c r="A2758" s="404"/>
      <c r="B2758" s="1112"/>
      <c r="C2758" s="455"/>
      <c r="D2758" s="531"/>
      <c r="E2758" s="531"/>
      <c r="F2758" s="455"/>
      <c r="G2758" s="531"/>
      <c r="H2758" s="531"/>
      <c r="I2758" s="531"/>
      <c r="J2758" s="446"/>
      <c r="K2758" s="397" t="s">
        <v>4370</v>
      </c>
      <c r="L2758" s="1116"/>
      <c r="M2758" s="388"/>
      <c r="N2758" s="388"/>
      <c r="O2758" s="388"/>
      <c r="P2758" s="388"/>
      <c r="Q2758" s="388">
        <v>39800</v>
      </c>
      <c r="R2758" s="528"/>
      <c r="S2758" s="383"/>
      <c r="T2758" s="387"/>
      <c r="U2758" s="390"/>
      <c r="V2758" s="390"/>
    </row>
    <row r="2759" spans="1:22" s="455" customFormat="1" ht="42.75" customHeight="1">
      <c r="A2759" s="1112" t="s">
        <v>168</v>
      </c>
      <c r="B2759" s="1112"/>
      <c r="C2759" s="388" t="s">
        <v>28</v>
      </c>
      <c r="D2759" s="388">
        <f>SUM(D2646:D2758)</f>
        <v>1947047.6146026447</v>
      </c>
      <c r="E2759" s="388">
        <f>SUM(E2646:E2758)</f>
        <v>344460.14000000007</v>
      </c>
      <c r="F2759" s="388" t="s">
        <v>28</v>
      </c>
      <c r="G2759" s="388">
        <f>SUM(G2646:G2758)</f>
        <v>119577.3</v>
      </c>
      <c r="H2759" s="446" t="s">
        <v>28</v>
      </c>
      <c r="I2759" s="446" t="s">
        <v>28</v>
      </c>
      <c r="J2759" s="446">
        <f>SUM(J2646:J2758)</f>
        <v>9168</v>
      </c>
      <c r="K2759" s="458" t="s">
        <v>28</v>
      </c>
      <c r="L2759" s="519">
        <f t="shared" ref="L2759:Q2759" si="386">SUM(L2646:L2758)</f>
        <v>341439819.68999994</v>
      </c>
      <c r="M2759" s="519">
        <f t="shared" si="386"/>
        <v>334916612.16999996</v>
      </c>
      <c r="N2759" s="388">
        <f t="shared" si="386"/>
        <v>3122236.08</v>
      </c>
      <c r="O2759" s="473">
        <f t="shared" si="386"/>
        <v>1522793</v>
      </c>
      <c r="P2759" s="388">
        <f t="shared" si="386"/>
        <v>0</v>
      </c>
      <c r="Q2759" s="388">
        <f t="shared" si="386"/>
        <v>1878178.44</v>
      </c>
      <c r="R2759" s="446" t="s">
        <v>28</v>
      </c>
      <c r="S2759" s="383">
        <f t="shared" si="383"/>
        <v>-1.909211277961731E-8</v>
      </c>
      <c r="T2759" s="387">
        <f>'1.перечень МКД'!N222</f>
        <v>341439819.69</v>
      </c>
      <c r="U2759" s="390">
        <f>L2759-T2759</f>
        <v>0</v>
      </c>
      <c r="V2759" s="390"/>
    </row>
    <row r="2760" spans="1:22" s="403" customFormat="1" ht="42.75" customHeight="1">
      <c r="A2760" s="1113" t="s">
        <v>169</v>
      </c>
      <c r="B2760" s="1113"/>
      <c r="C2760" s="1113"/>
      <c r="D2760" s="1113"/>
      <c r="E2760" s="1113"/>
      <c r="F2760" s="1113"/>
      <c r="G2760" s="1113"/>
      <c r="H2760" s="1113"/>
      <c r="I2760" s="1113"/>
      <c r="J2760" s="1113"/>
      <c r="K2760" s="1113"/>
      <c r="L2760" s="1113"/>
      <c r="M2760" s="1113"/>
      <c r="N2760" s="1113"/>
      <c r="O2760" s="1113"/>
      <c r="P2760" s="1113"/>
      <c r="Q2760" s="1113"/>
      <c r="R2760" s="458"/>
      <c r="U2760" s="404"/>
      <c r="V2760" s="390"/>
    </row>
    <row r="2761" spans="1:22" s="455" customFormat="1" ht="37.5">
      <c r="A2761" s="404">
        <v>1</v>
      </c>
      <c r="B2761" s="770" t="s">
        <v>2245</v>
      </c>
      <c r="C2761" s="455" t="s">
        <v>218</v>
      </c>
      <c r="E2761" s="388">
        <v>3083</v>
      </c>
      <c r="F2761" s="388" t="s">
        <v>234</v>
      </c>
      <c r="G2761" s="388">
        <v>1220.5</v>
      </c>
      <c r="H2761" s="446">
        <v>5</v>
      </c>
      <c r="I2761" s="446">
        <v>6</v>
      </c>
      <c r="J2761" s="446">
        <v>89</v>
      </c>
      <c r="K2761" s="537" t="s">
        <v>33</v>
      </c>
      <c r="L2761" s="384">
        <f t="shared" ref="L2761:L2768" si="387">M2761+N2761+O2761+Q2761</f>
        <v>2064265</v>
      </c>
      <c r="M2761" s="519">
        <v>2021849</v>
      </c>
      <c r="N2761" s="388"/>
      <c r="O2761" s="473">
        <v>22516</v>
      </c>
      <c r="P2761" s="388"/>
      <c r="Q2761" s="388">
        <v>19900</v>
      </c>
      <c r="R2761" s="446">
        <f t="shared" ref="R2761:R2771" si="388">M2761/G2761</f>
        <v>1656.5743547726343</v>
      </c>
      <c r="S2761" s="383">
        <f t="shared" ref="S2761:S2772" si="389">L2761-M2761-N2761-O2761-P2761-Q2761</f>
        <v>0</v>
      </c>
      <c r="U2761" s="404"/>
      <c r="V2761" s="390"/>
    </row>
    <row r="2762" spans="1:22" s="455" customFormat="1" ht="37.5">
      <c r="A2762" s="404">
        <f>A2761+1</f>
        <v>2</v>
      </c>
      <c r="B2762" s="770" t="s">
        <v>2246</v>
      </c>
      <c r="C2762" s="455" t="s">
        <v>218</v>
      </c>
      <c r="E2762" s="388">
        <v>2179</v>
      </c>
      <c r="F2762" s="388" t="s">
        <v>234</v>
      </c>
      <c r="G2762" s="388">
        <v>806.3</v>
      </c>
      <c r="H2762" s="446">
        <v>5</v>
      </c>
      <c r="I2762" s="446">
        <v>4</v>
      </c>
      <c r="J2762" s="446">
        <v>60</v>
      </c>
      <c r="K2762" s="537" t="s">
        <v>33</v>
      </c>
      <c r="L2762" s="384">
        <f t="shared" si="387"/>
        <v>1953943</v>
      </c>
      <c r="M2762" s="519">
        <v>1912085</v>
      </c>
      <c r="N2762" s="388"/>
      <c r="O2762" s="473">
        <v>21958</v>
      </c>
      <c r="P2762" s="388"/>
      <c r="Q2762" s="388">
        <v>19900</v>
      </c>
      <c r="R2762" s="446">
        <f t="shared" si="388"/>
        <v>2371.4312290710654</v>
      </c>
      <c r="S2762" s="383">
        <f t="shared" si="389"/>
        <v>0</v>
      </c>
      <c r="U2762" s="404"/>
      <c r="V2762" s="390"/>
    </row>
    <row r="2763" spans="1:22" s="455" customFormat="1" ht="37.5">
      <c r="A2763" s="404">
        <f t="shared" ref="A2763:A2771" si="390">A2762+1</f>
        <v>3</v>
      </c>
      <c r="B2763" s="770" t="s">
        <v>2247</v>
      </c>
      <c r="C2763" s="455" t="s">
        <v>218</v>
      </c>
      <c r="E2763" s="388">
        <v>3435.5</v>
      </c>
      <c r="F2763" s="388" t="s">
        <v>234</v>
      </c>
      <c r="G2763" s="388">
        <v>1213.3</v>
      </c>
      <c r="H2763" s="446">
        <v>5</v>
      </c>
      <c r="I2763" s="446">
        <v>6</v>
      </c>
      <c r="J2763" s="446">
        <v>88</v>
      </c>
      <c r="K2763" s="537" t="s">
        <v>33</v>
      </c>
      <c r="L2763" s="384">
        <f t="shared" si="387"/>
        <v>3149587</v>
      </c>
      <c r="M2763" s="519">
        <v>3107171</v>
      </c>
      <c r="N2763" s="388"/>
      <c r="O2763" s="473">
        <v>22516</v>
      </c>
      <c r="P2763" s="388"/>
      <c r="Q2763" s="388">
        <v>19900</v>
      </c>
      <c r="R2763" s="446">
        <f t="shared" si="388"/>
        <v>2560.9255748784308</v>
      </c>
      <c r="S2763" s="383">
        <f t="shared" si="389"/>
        <v>0</v>
      </c>
      <c r="U2763" s="404"/>
      <c r="V2763" s="390"/>
    </row>
    <row r="2764" spans="1:22" s="455" customFormat="1" ht="37.5">
      <c r="A2764" s="404">
        <f t="shared" si="390"/>
        <v>4</v>
      </c>
      <c r="B2764" s="770" t="s">
        <v>2248</v>
      </c>
      <c r="C2764" s="455" t="s">
        <v>218</v>
      </c>
      <c r="E2764" s="388">
        <v>3083</v>
      </c>
      <c r="F2764" s="388" t="s">
        <v>234</v>
      </c>
      <c r="G2764" s="388">
        <v>1212.2</v>
      </c>
      <c r="H2764" s="446">
        <v>5</v>
      </c>
      <c r="I2764" s="446">
        <v>6</v>
      </c>
      <c r="J2764" s="446">
        <v>87</v>
      </c>
      <c r="K2764" s="537" t="s">
        <v>33</v>
      </c>
      <c r="L2764" s="384">
        <f t="shared" si="387"/>
        <v>2594228</v>
      </c>
      <c r="M2764" s="519">
        <v>2551812</v>
      </c>
      <c r="N2764" s="388"/>
      <c r="O2764" s="473">
        <v>22516</v>
      </c>
      <c r="P2764" s="388"/>
      <c r="Q2764" s="388">
        <v>19900</v>
      </c>
      <c r="R2764" s="446">
        <f t="shared" si="388"/>
        <v>2105.1080679755814</v>
      </c>
      <c r="S2764" s="383">
        <f t="shared" si="389"/>
        <v>0</v>
      </c>
      <c r="U2764" s="404"/>
      <c r="V2764" s="390"/>
    </row>
    <row r="2765" spans="1:22" s="455" customFormat="1" ht="36" customHeight="1">
      <c r="A2765" s="404">
        <f t="shared" si="390"/>
        <v>5</v>
      </c>
      <c r="B2765" s="770" t="s">
        <v>2249</v>
      </c>
      <c r="C2765" s="455" t="s">
        <v>218</v>
      </c>
      <c r="E2765" s="388">
        <v>2179</v>
      </c>
      <c r="F2765" s="388" t="s">
        <v>234</v>
      </c>
      <c r="G2765" s="388">
        <v>820.7</v>
      </c>
      <c r="H2765" s="446">
        <v>5</v>
      </c>
      <c r="I2765" s="446">
        <v>4</v>
      </c>
      <c r="J2765" s="446">
        <v>59</v>
      </c>
      <c r="K2765" s="537" t="s">
        <v>33</v>
      </c>
      <c r="L2765" s="384">
        <f t="shared" si="387"/>
        <v>1968417</v>
      </c>
      <c r="M2765" s="519">
        <v>1926559</v>
      </c>
      <c r="N2765" s="388"/>
      <c r="O2765" s="473">
        <v>21958</v>
      </c>
      <c r="P2765" s="388"/>
      <c r="Q2765" s="388">
        <v>19900</v>
      </c>
      <c r="R2765" s="446">
        <f t="shared" si="388"/>
        <v>2347.4582673327645</v>
      </c>
      <c r="S2765" s="383">
        <f t="shared" si="389"/>
        <v>0</v>
      </c>
      <c r="U2765" s="404"/>
      <c r="V2765" s="390"/>
    </row>
    <row r="2766" spans="1:22" s="455" customFormat="1" ht="36" customHeight="1">
      <c r="A2766" s="404">
        <f t="shared" si="390"/>
        <v>6</v>
      </c>
      <c r="B2766" s="770" t="s">
        <v>2250</v>
      </c>
      <c r="C2766" s="455" t="s">
        <v>218</v>
      </c>
      <c r="E2766" s="388">
        <v>2218.5</v>
      </c>
      <c r="F2766" s="388" t="s">
        <v>234</v>
      </c>
      <c r="G2766" s="388">
        <v>936.3</v>
      </c>
      <c r="H2766" s="446">
        <v>5</v>
      </c>
      <c r="I2766" s="446">
        <v>5</v>
      </c>
      <c r="J2766" s="446">
        <v>75</v>
      </c>
      <c r="K2766" s="537" t="s">
        <v>33</v>
      </c>
      <c r="L2766" s="384">
        <f t="shared" si="387"/>
        <v>2396398</v>
      </c>
      <c r="M2766" s="519">
        <v>2354666</v>
      </c>
      <c r="N2766" s="388"/>
      <c r="O2766" s="473">
        <v>21832</v>
      </c>
      <c r="P2766" s="388"/>
      <c r="Q2766" s="388">
        <v>19900</v>
      </c>
      <c r="R2766" s="446">
        <f t="shared" si="388"/>
        <v>2514.8627576631425</v>
      </c>
      <c r="S2766" s="383">
        <f t="shared" si="389"/>
        <v>0</v>
      </c>
      <c r="U2766" s="404"/>
      <c r="V2766" s="390"/>
    </row>
    <row r="2767" spans="1:22" s="455" customFormat="1" ht="37.5" customHeight="1">
      <c r="A2767" s="404">
        <f t="shared" si="390"/>
        <v>7</v>
      </c>
      <c r="B2767" s="770" t="s">
        <v>2251</v>
      </c>
      <c r="C2767" s="455" t="s">
        <v>218</v>
      </c>
      <c r="E2767" s="388">
        <v>2218.5</v>
      </c>
      <c r="F2767" s="388" t="s">
        <v>234</v>
      </c>
      <c r="G2767" s="388">
        <v>935</v>
      </c>
      <c r="H2767" s="446">
        <v>5</v>
      </c>
      <c r="I2767" s="446">
        <v>5</v>
      </c>
      <c r="J2767" s="446">
        <v>75</v>
      </c>
      <c r="K2767" s="537" t="s">
        <v>33</v>
      </c>
      <c r="L2767" s="384">
        <f t="shared" si="387"/>
        <v>3159070</v>
      </c>
      <c r="M2767" s="519">
        <v>3117338</v>
      </c>
      <c r="N2767" s="388"/>
      <c r="O2767" s="473">
        <v>21832</v>
      </c>
      <c r="P2767" s="388"/>
      <c r="Q2767" s="388">
        <v>19900</v>
      </c>
      <c r="R2767" s="446">
        <f t="shared" si="388"/>
        <v>3334.0513368983957</v>
      </c>
      <c r="S2767" s="383">
        <f t="shared" si="389"/>
        <v>0</v>
      </c>
      <c r="U2767" s="404"/>
      <c r="V2767" s="390"/>
    </row>
    <row r="2768" spans="1:22" s="455" customFormat="1" ht="43.5" customHeight="1">
      <c r="A2768" s="404">
        <f t="shared" si="390"/>
        <v>8</v>
      </c>
      <c r="B2768" s="770" t="s">
        <v>2252</v>
      </c>
      <c r="C2768" s="455" t="s">
        <v>218</v>
      </c>
      <c r="E2768" s="388">
        <v>1943</v>
      </c>
      <c r="F2768" s="388" t="s">
        <v>234</v>
      </c>
      <c r="G2768" s="388">
        <v>979</v>
      </c>
      <c r="H2768" s="446">
        <v>5</v>
      </c>
      <c r="I2768" s="446">
        <v>2</v>
      </c>
      <c r="J2768" s="446">
        <v>77</v>
      </c>
      <c r="K2768" s="537" t="s">
        <v>33</v>
      </c>
      <c r="L2768" s="384">
        <f t="shared" si="387"/>
        <v>2551507</v>
      </c>
      <c r="M2768" s="519">
        <v>2510023</v>
      </c>
      <c r="N2768" s="388"/>
      <c r="O2768" s="473">
        <v>21584</v>
      </c>
      <c r="P2768" s="388"/>
      <c r="Q2768" s="388">
        <v>19900</v>
      </c>
      <c r="R2768" s="446">
        <f t="shared" si="388"/>
        <v>2563.864147088866</v>
      </c>
      <c r="S2768" s="383">
        <f t="shared" si="389"/>
        <v>0</v>
      </c>
      <c r="U2768" s="404"/>
      <c r="V2768" s="390"/>
    </row>
    <row r="2769" spans="1:27" s="403" customFormat="1" ht="39" customHeight="1">
      <c r="A2769" s="404">
        <f t="shared" si="390"/>
        <v>9</v>
      </c>
      <c r="B2769" s="403" t="s">
        <v>1287</v>
      </c>
      <c r="C2769" s="766"/>
      <c r="D2769" s="455"/>
      <c r="E2769" s="388"/>
      <c r="F2769" s="388" t="s">
        <v>234</v>
      </c>
      <c r="G2769" s="388">
        <v>913.2</v>
      </c>
      <c r="H2769" s="446">
        <v>5</v>
      </c>
      <c r="I2769" s="446">
        <v>4</v>
      </c>
      <c r="J2769" s="446">
        <v>75</v>
      </c>
      <c r="K2769" s="767" t="s">
        <v>33</v>
      </c>
      <c r="L2769" s="519">
        <f>SUM(M2769:Q2769)</f>
        <v>1632228.74</v>
      </c>
      <c r="M2769" s="519">
        <v>1627322.4</v>
      </c>
      <c r="N2769" s="388"/>
      <c r="O2769" s="473">
        <v>4906.34</v>
      </c>
      <c r="P2769" s="388"/>
      <c r="Q2769" s="388"/>
      <c r="R2769" s="446">
        <f t="shared" si="388"/>
        <v>1781.9999999999998</v>
      </c>
      <c r="S2769" s="383">
        <f t="shared" si="389"/>
        <v>8.3673512563109398E-11</v>
      </c>
      <c r="U2769" s="404"/>
      <c r="V2769" s="390"/>
    </row>
    <row r="2770" spans="1:27" s="403" customFormat="1" ht="39" customHeight="1">
      <c r="A2770" s="404">
        <f t="shared" si="390"/>
        <v>10</v>
      </c>
      <c r="B2770" s="403" t="s">
        <v>1290</v>
      </c>
      <c r="C2770" s="766" t="s">
        <v>218</v>
      </c>
      <c r="D2770" s="455"/>
      <c r="E2770" s="388"/>
      <c r="F2770" s="388" t="s">
        <v>234</v>
      </c>
      <c r="G2770" s="388">
        <v>940.7</v>
      </c>
      <c r="H2770" s="446">
        <v>5</v>
      </c>
      <c r="I2770" s="446">
        <v>5</v>
      </c>
      <c r="J2770" s="446">
        <v>74</v>
      </c>
      <c r="K2770" s="767" t="s">
        <v>33</v>
      </c>
      <c r="L2770" s="519">
        <f>SUM(M2770:Q2770)</f>
        <v>1774791.89</v>
      </c>
      <c r="M2770" s="519">
        <v>1769456.7</v>
      </c>
      <c r="N2770" s="388"/>
      <c r="O2770" s="473">
        <v>5335.19</v>
      </c>
      <c r="P2770" s="388"/>
      <c r="Q2770" s="388"/>
      <c r="R2770" s="446">
        <f t="shared" si="388"/>
        <v>1880.9999999999998</v>
      </c>
      <c r="S2770" s="383">
        <f t="shared" si="389"/>
        <v>-5.5479176808148623E-11</v>
      </c>
      <c r="U2770" s="404"/>
      <c r="V2770" s="390"/>
    </row>
    <row r="2771" spans="1:27" s="403" customFormat="1" ht="37.5" customHeight="1">
      <c r="A2771" s="404">
        <f t="shared" si="390"/>
        <v>11</v>
      </c>
      <c r="B2771" s="403" t="s">
        <v>3468</v>
      </c>
      <c r="C2771" s="766"/>
      <c r="D2771" s="455"/>
      <c r="E2771" s="388"/>
      <c r="F2771" s="388" t="s">
        <v>234</v>
      </c>
      <c r="G2771" s="388">
        <v>824</v>
      </c>
      <c r="H2771" s="446">
        <v>5</v>
      </c>
      <c r="I2771" s="446">
        <v>4</v>
      </c>
      <c r="J2771" s="446">
        <v>58</v>
      </c>
      <c r="K2771" s="767" t="s">
        <v>33</v>
      </c>
      <c r="L2771" s="519">
        <f>SUM(M2771:Q2771)</f>
        <v>1554570.75</v>
      </c>
      <c r="M2771" s="519">
        <v>1549944</v>
      </c>
      <c r="N2771" s="388"/>
      <c r="O2771" s="473">
        <v>4626.75</v>
      </c>
      <c r="P2771" s="388"/>
      <c r="Q2771" s="388"/>
      <c r="R2771" s="446">
        <f t="shared" si="388"/>
        <v>1881</v>
      </c>
      <c r="S2771" s="383">
        <f t="shared" si="389"/>
        <v>0</v>
      </c>
      <c r="U2771" s="404"/>
    </row>
    <row r="2772" spans="1:27" s="403" customFormat="1" ht="42.75" customHeight="1">
      <c r="A2772" s="1112" t="s">
        <v>170</v>
      </c>
      <c r="B2772" s="1112"/>
      <c r="C2772" s="388" t="s">
        <v>28</v>
      </c>
      <c r="D2772" s="388">
        <f>SUM(D2761:D2771)</f>
        <v>0</v>
      </c>
      <c r="E2772" s="388">
        <f>SUM(E2761:E2771)</f>
        <v>20339.5</v>
      </c>
      <c r="F2772" s="388" t="s">
        <v>28</v>
      </c>
      <c r="G2772" s="388">
        <f>SUM(G2761:G2771)</f>
        <v>10801.2</v>
      </c>
      <c r="H2772" s="446" t="s">
        <v>28</v>
      </c>
      <c r="I2772" s="446" t="s">
        <v>28</v>
      </c>
      <c r="J2772" s="446">
        <f>SUM(J2761:J2771)</f>
        <v>817</v>
      </c>
      <c r="K2772" s="458" t="s">
        <v>28</v>
      </c>
      <c r="L2772" s="519">
        <f t="shared" ref="L2772:Q2772" si="391">SUM(L2761:L2771)</f>
        <v>24799006.379999999</v>
      </c>
      <c r="M2772" s="519">
        <f t="shared" si="391"/>
        <v>24448226.099999998</v>
      </c>
      <c r="N2772" s="388">
        <f t="shared" si="391"/>
        <v>0</v>
      </c>
      <c r="O2772" s="473">
        <f t="shared" si="391"/>
        <v>191580.28</v>
      </c>
      <c r="P2772" s="388">
        <f t="shared" si="391"/>
        <v>0</v>
      </c>
      <c r="Q2772" s="388">
        <f t="shared" si="391"/>
        <v>159200</v>
      </c>
      <c r="R2772" s="446" t="s">
        <v>28</v>
      </c>
      <c r="S2772" s="383">
        <f t="shared" si="389"/>
        <v>1.1932570487260818E-9</v>
      </c>
      <c r="T2772" s="387" t="e">
        <f>'1.перечень МКД'!#REF!</f>
        <v>#REF!</v>
      </c>
      <c r="U2772" s="390" t="e">
        <f>L2772-T2772</f>
        <v>#REF!</v>
      </c>
      <c r="V2772" s="390"/>
    </row>
    <row r="2773" spans="1:27" s="403" customFormat="1" ht="42.75" customHeight="1">
      <c r="A2773" s="1113" t="s">
        <v>171</v>
      </c>
      <c r="B2773" s="1113"/>
      <c r="C2773" s="1113"/>
      <c r="D2773" s="1113"/>
      <c r="E2773" s="1113"/>
      <c r="F2773" s="1113"/>
      <c r="G2773" s="1113"/>
      <c r="H2773" s="1113"/>
      <c r="I2773" s="1113"/>
      <c r="J2773" s="1113"/>
      <c r="K2773" s="1113"/>
      <c r="L2773" s="1113"/>
      <c r="M2773" s="1113"/>
      <c r="N2773" s="1113"/>
      <c r="O2773" s="1113"/>
      <c r="P2773" s="1113"/>
      <c r="Q2773" s="1113"/>
      <c r="R2773" s="458"/>
      <c r="U2773" s="404"/>
      <c r="V2773" s="390"/>
    </row>
    <row r="2774" spans="1:27" s="403" customFormat="1" ht="39" customHeight="1">
      <c r="A2774" s="774">
        <v>1</v>
      </c>
      <c r="B2774" s="775" t="s">
        <v>3688</v>
      </c>
      <c r="C2774" s="773" t="s">
        <v>240</v>
      </c>
      <c r="D2774" s="773">
        <v>1023</v>
      </c>
      <c r="E2774" s="539">
        <v>585.76</v>
      </c>
      <c r="F2774" s="539" t="s">
        <v>252</v>
      </c>
      <c r="G2774" s="675">
        <v>546</v>
      </c>
      <c r="H2774" s="726">
        <v>2</v>
      </c>
      <c r="I2774" s="726">
        <v>2</v>
      </c>
      <c r="J2774" s="599">
        <v>8</v>
      </c>
      <c r="K2774" s="612" t="s">
        <v>33</v>
      </c>
      <c r="L2774" s="677">
        <f>SUM(M2774:Q2774)</f>
        <v>1560676</v>
      </c>
      <c r="M2774" s="677">
        <v>1528800</v>
      </c>
      <c r="N2774" s="675">
        <v>26867</v>
      </c>
      <c r="O2774" s="473"/>
      <c r="P2774" s="388"/>
      <c r="Q2774" s="388">
        <v>5009</v>
      </c>
      <c r="R2774" s="446">
        <f>M2774/G2774</f>
        <v>2800</v>
      </c>
      <c r="U2774" s="404"/>
      <c r="V2774" s="390"/>
    </row>
    <row r="2775" spans="1:27" s="403" customFormat="1" ht="37.5" customHeight="1">
      <c r="A2775" s="774">
        <v>2</v>
      </c>
      <c r="B2775" s="775" t="s">
        <v>2253</v>
      </c>
      <c r="C2775" s="773" t="s">
        <v>240</v>
      </c>
      <c r="D2775" s="773">
        <v>3030</v>
      </c>
      <c r="E2775" s="539">
        <v>619.44000000000005</v>
      </c>
      <c r="F2775" s="539" t="s">
        <v>252</v>
      </c>
      <c r="G2775" s="675">
        <v>679</v>
      </c>
      <c r="H2775" s="726">
        <v>2</v>
      </c>
      <c r="I2775" s="726">
        <v>2</v>
      </c>
      <c r="J2775" s="599">
        <v>16</v>
      </c>
      <c r="K2775" s="612" t="s">
        <v>33</v>
      </c>
      <c r="L2775" s="677">
        <f>SUM(M2775:Q2775)</f>
        <v>2350451</v>
      </c>
      <c r="M2775" s="677">
        <v>2304960</v>
      </c>
      <c r="N2775" s="675">
        <v>30654</v>
      </c>
      <c r="O2775" s="473"/>
      <c r="P2775" s="388"/>
      <c r="Q2775" s="388">
        <v>14837</v>
      </c>
      <c r="R2775" s="446">
        <f>M2775/G2775</f>
        <v>3394.6391752577319</v>
      </c>
      <c r="U2775" s="404"/>
      <c r="V2775" s="390"/>
    </row>
    <row r="2776" spans="1:27" s="403" customFormat="1" ht="42.75" customHeight="1">
      <c r="A2776" s="1112" t="s">
        <v>172</v>
      </c>
      <c r="B2776" s="1112"/>
      <c r="C2776" s="388"/>
      <c r="D2776" s="388">
        <f>SUM(D2774:D2775)</f>
        <v>4053</v>
      </c>
      <c r="E2776" s="388">
        <f>SUM(E2774:E2775)</f>
        <v>1205.2</v>
      </c>
      <c r="F2776" s="388" t="s">
        <v>28</v>
      </c>
      <c r="G2776" s="388">
        <f>SUM(G2774:G2775)</f>
        <v>1225</v>
      </c>
      <c r="H2776" s="446" t="s">
        <v>28</v>
      </c>
      <c r="I2776" s="446" t="s">
        <v>28</v>
      </c>
      <c r="J2776" s="446">
        <f>SUM(J2774:J2775)</f>
        <v>24</v>
      </c>
      <c r="K2776" s="458" t="s">
        <v>28</v>
      </c>
      <c r="L2776" s="519">
        <f t="shared" ref="L2776:Q2776" si="392">SUM(L2774:L2775)</f>
        <v>3911127</v>
      </c>
      <c r="M2776" s="519">
        <f t="shared" si="392"/>
        <v>3833760</v>
      </c>
      <c r="N2776" s="388">
        <f t="shared" si="392"/>
        <v>57521</v>
      </c>
      <c r="O2776" s="473">
        <f t="shared" si="392"/>
        <v>0</v>
      </c>
      <c r="P2776" s="388">
        <f t="shared" si="392"/>
        <v>0</v>
      </c>
      <c r="Q2776" s="388">
        <f t="shared" si="392"/>
        <v>19846</v>
      </c>
      <c r="R2776" s="446" t="s">
        <v>28</v>
      </c>
      <c r="S2776" s="383">
        <f>L2776-M2776-N2776-O2776-P2776-Q2776</f>
        <v>0</v>
      </c>
      <c r="T2776" s="387" t="e">
        <f>'1.перечень МКД'!#REF!</f>
        <v>#REF!</v>
      </c>
      <c r="U2776" s="390" t="e">
        <f>L2776-T2776</f>
        <v>#REF!</v>
      </c>
      <c r="V2776" s="390"/>
    </row>
    <row r="2777" spans="1:27" s="403" customFormat="1" ht="42.75" customHeight="1">
      <c r="A2777" s="1113" t="s">
        <v>173</v>
      </c>
      <c r="B2777" s="1113"/>
      <c r="C2777" s="1113"/>
      <c r="D2777" s="1113"/>
      <c r="E2777" s="1113"/>
      <c r="F2777" s="1113"/>
      <c r="G2777" s="1113"/>
      <c r="H2777" s="1113"/>
      <c r="I2777" s="1113"/>
      <c r="J2777" s="1113"/>
      <c r="K2777" s="1113"/>
      <c r="L2777" s="1113"/>
      <c r="M2777" s="1113"/>
      <c r="N2777" s="1113"/>
      <c r="O2777" s="1113"/>
      <c r="P2777" s="1113"/>
      <c r="Q2777" s="1113"/>
      <c r="R2777" s="458"/>
      <c r="U2777" s="404"/>
      <c r="V2777" s="390"/>
    </row>
    <row r="2778" spans="1:27" s="403" customFormat="1" ht="73.5" customHeight="1">
      <c r="A2778" s="774">
        <v>1</v>
      </c>
      <c r="B2778" s="775" t="s">
        <v>2254</v>
      </c>
      <c r="C2778" s="773" t="s">
        <v>222</v>
      </c>
      <c r="D2778" s="773"/>
      <c r="E2778" s="539">
        <v>654</v>
      </c>
      <c r="F2778" s="539" t="s">
        <v>302</v>
      </c>
      <c r="G2778" s="675">
        <v>583</v>
      </c>
      <c r="H2778" s="726">
        <v>2</v>
      </c>
      <c r="I2778" s="726">
        <v>3</v>
      </c>
      <c r="J2778" s="599">
        <v>25</v>
      </c>
      <c r="K2778" s="612" t="s">
        <v>30</v>
      </c>
      <c r="L2778" s="677">
        <f>M2778+N2778+O2778+P2778+Q2778</f>
        <v>660183.06999999995</v>
      </c>
      <c r="M2778" s="677">
        <v>638005</v>
      </c>
      <c r="N2778" s="675"/>
      <c r="O2778" s="473">
        <v>11048</v>
      </c>
      <c r="P2778" s="388"/>
      <c r="Q2778" s="388">
        <v>11130.07</v>
      </c>
      <c r="R2778" s="446">
        <f>M2778/J2778</f>
        <v>25520.2</v>
      </c>
      <c r="U2778" s="404"/>
      <c r="V2778" s="390"/>
      <c r="Z2778" s="416">
        <v>1</v>
      </c>
      <c r="AA2778" s="416">
        <f>J2778</f>
        <v>25</v>
      </c>
    </row>
    <row r="2779" spans="1:27" s="403" customFormat="1" ht="63" customHeight="1">
      <c r="A2779" s="774">
        <v>2</v>
      </c>
      <c r="B2779" s="775" t="s">
        <v>2255</v>
      </c>
      <c r="C2779" s="773" t="s">
        <v>300</v>
      </c>
      <c r="D2779" s="773"/>
      <c r="E2779" s="539">
        <v>700</v>
      </c>
      <c r="F2779" s="539" t="s">
        <v>4185</v>
      </c>
      <c r="G2779" s="675">
        <v>601</v>
      </c>
      <c r="H2779" s="726">
        <v>2</v>
      </c>
      <c r="I2779" s="726">
        <v>2</v>
      </c>
      <c r="J2779" s="599">
        <v>17</v>
      </c>
      <c r="K2779" s="612" t="s">
        <v>30</v>
      </c>
      <c r="L2779" s="677">
        <f>M2779+N2779+O2779+P2779+Q2779</f>
        <v>502876.07</v>
      </c>
      <c r="M2779" s="677">
        <v>475000</v>
      </c>
      <c r="N2779" s="675"/>
      <c r="O2779" s="473">
        <v>16746</v>
      </c>
      <c r="P2779" s="388"/>
      <c r="Q2779" s="388">
        <v>11130.07</v>
      </c>
      <c r="R2779" s="446">
        <f>M2779/J2779</f>
        <v>27941.176470588234</v>
      </c>
      <c r="U2779" s="404"/>
      <c r="V2779" s="390"/>
      <c r="Z2779" s="416">
        <v>1</v>
      </c>
      <c r="AA2779" s="416">
        <f>J2779</f>
        <v>17</v>
      </c>
    </row>
    <row r="2780" spans="1:27" s="403" customFormat="1" ht="42.75" customHeight="1">
      <c r="A2780" s="1112" t="s">
        <v>174</v>
      </c>
      <c r="B2780" s="1112"/>
      <c r="C2780" s="388">
        <f>SUM(C2779)</f>
        <v>0</v>
      </c>
      <c r="D2780" s="388">
        <f>SUM(D2778:D2779)</f>
        <v>0</v>
      </c>
      <c r="E2780" s="388">
        <f>SUM(E2778:E2779)</f>
        <v>1354</v>
      </c>
      <c r="F2780" s="388" t="s">
        <v>28</v>
      </c>
      <c r="G2780" s="388">
        <f>SUM(G2778:G2779)</f>
        <v>1184</v>
      </c>
      <c r="H2780" s="446" t="s">
        <v>28</v>
      </c>
      <c r="I2780" s="446" t="s">
        <v>28</v>
      </c>
      <c r="J2780" s="446">
        <f>SUM(J2778:J2779)</f>
        <v>42</v>
      </c>
      <c r="K2780" s="458" t="s">
        <v>28</v>
      </c>
      <c r="L2780" s="519">
        <f t="shared" ref="L2780:Q2780" si="393">SUM(L2778:L2779)</f>
        <v>1163059.1399999999</v>
      </c>
      <c r="M2780" s="519">
        <f t="shared" si="393"/>
        <v>1113005</v>
      </c>
      <c r="N2780" s="388">
        <f t="shared" si="393"/>
        <v>0</v>
      </c>
      <c r="O2780" s="473">
        <f t="shared" si="393"/>
        <v>27794</v>
      </c>
      <c r="P2780" s="388">
        <f t="shared" si="393"/>
        <v>0</v>
      </c>
      <c r="Q2780" s="388">
        <f t="shared" si="393"/>
        <v>22260.14</v>
      </c>
      <c r="R2780" s="446" t="s">
        <v>28</v>
      </c>
      <c r="S2780" s="383">
        <f>L2780-M2780-N2780-O2780-P2780-Q2780</f>
        <v>-1.0186340659856796E-10</v>
      </c>
      <c r="T2780" s="387" t="e">
        <f>'1.перечень МКД'!#REF!</f>
        <v>#REF!</v>
      </c>
      <c r="U2780" s="390" t="e">
        <f>L2780-T2780</f>
        <v>#REF!</v>
      </c>
      <c r="V2780" s="390"/>
    </row>
    <row r="2781" spans="1:27" s="403" customFormat="1" ht="42.75" customHeight="1">
      <c r="A2781" s="1113" t="s">
        <v>175</v>
      </c>
      <c r="B2781" s="1113"/>
      <c r="C2781" s="1113"/>
      <c r="D2781" s="1113"/>
      <c r="E2781" s="1113"/>
      <c r="F2781" s="1113"/>
      <c r="G2781" s="1113"/>
      <c r="H2781" s="1113"/>
      <c r="I2781" s="1113"/>
      <c r="J2781" s="1113"/>
      <c r="K2781" s="1113"/>
      <c r="L2781" s="1113"/>
      <c r="M2781" s="1113"/>
      <c r="N2781" s="1113"/>
      <c r="O2781" s="1113"/>
      <c r="P2781" s="1113"/>
      <c r="Q2781" s="1113"/>
      <c r="R2781" s="458"/>
      <c r="U2781" s="404"/>
      <c r="V2781" s="390"/>
    </row>
    <row r="2782" spans="1:27" s="403" customFormat="1" ht="44.25" customHeight="1">
      <c r="A2782" s="774">
        <v>1</v>
      </c>
      <c r="B2782" s="775" t="s">
        <v>4259</v>
      </c>
      <c r="C2782" s="773" t="s">
        <v>315</v>
      </c>
      <c r="D2782" s="773">
        <v>2944</v>
      </c>
      <c r="E2782" s="539">
        <v>2432.1999999999998</v>
      </c>
      <c r="F2782" s="539" t="s">
        <v>229</v>
      </c>
      <c r="G2782" s="675">
        <v>614</v>
      </c>
      <c r="H2782" s="726">
        <v>2</v>
      </c>
      <c r="I2782" s="726">
        <v>2</v>
      </c>
      <c r="J2782" s="599">
        <v>16</v>
      </c>
      <c r="K2782" s="612" t="s">
        <v>239</v>
      </c>
      <c r="L2782" s="677">
        <f>M2782+N2782+O2782+Q2782</f>
        <v>771440</v>
      </c>
      <c r="M2782" s="677">
        <v>745720</v>
      </c>
      <c r="N2782" s="675">
        <v>25720</v>
      </c>
      <c r="O2782" s="473"/>
      <c r="P2782" s="388"/>
      <c r="Q2782" s="388"/>
      <c r="R2782" s="446">
        <f>M2782/G2782</f>
        <v>1214.5276872964168</v>
      </c>
      <c r="U2782" s="404"/>
      <c r="V2782" s="390"/>
    </row>
    <row r="2783" spans="1:27" s="403" customFormat="1" ht="44.25" customHeight="1">
      <c r="A2783" s="774">
        <f>A2782+1</f>
        <v>2</v>
      </c>
      <c r="B2783" s="775" t="s">
        <v>3471</v>
      </c>
      <c r="C2783" s="773" t="s">
        <v>315</v>
      </c>
      <c r="D2783" s="773">
        <v>2212</v>
      </c>
      <c r="E2783" s="539">
        <v>1917.2</v>
      </c>
      <c r="F2783" s="539" t="s">
        <v>234</v>
      </c>
      <c r="G2783" s="675">
        <v>1134</v>
      </c>
      <c r="H2783" s="726">
        <v>3</v>
      </c>
      <c r="I2783" s="726">
        <v>3</v>
      </c>
      <c r="J2783" s="599">
        <v>36</v>
      </c>
      <c r="K2783" s="612" t="s">
        <v>239</v>
      </c>
      <c r="L2783" s="677">
        <f>M2783+N2783+O2783+Q2783</f>
        <v>1674108</v>
      </c>
      <c r="M2783" s="677">
        <v>1647054</v>
      </c>
      <c r="N2783" s="675">
        <v>27054</v>
      </c>
      <c r="O2783" s="473"/>
      <c r="P2783" s="388"/>
      <c r="Q2783" s="388"/>
      <c r="R2783" s="446">
        <f>M2783/G2783</f>
        <v>1452.4285714285713</v>
      </c>
      <c r="U2783" s="404"/>
      <c r="V2783" s="390"/>
    </row>
    <row r="2784" spans="1:27" s="403" customFormat="1" ht="44.25" customHeight="1">
      <c r="A2784" s="774">
        <f>A2783+1</f>
        <v>3</v>
      </c>
      <c r="B2784" s="775" t="s">
        <v>4260</v>
      </c>
      <c r="C2784" s="773" t="s">
        <v>315</v>
      </c>
      <c r="D2784" s="773">
        <v>2212</v>
      </c>
      <c r="E2784" s="539">
        <v>1917.2</v>
      </c>
      <c r="F2784" s="539" t="s">
        <v>252</v>
      </c>
      <c r="G2784" s="675">
        <v>442</v>
      </c>
      <c r="H2784" s="726">
        <v>2</v>
      </c>
      <c r="I2784" s="726">
        <v>2</v>
      </c>
      <c r="J2784" s="599">
        <v>12</v>
      </c>
      <c r="K2784" s="612" t="s">
        <v>239</v>
      </c>
      <c r="L2784" s="677">
        <f>M2784+N2784+O2784+Q2784</f>
        <v>589438</v>
      </c>
      <c r="M2784" s="677">
        <v>564719</v>
      </c>
      <c r="N2784" s="675">
        <v>24719</v>
      </c>
      <c r="O2784" s="473"/>
      <c r="P2784" s="388"/>
      <c r="Q2784" s="388"/>
      <c r="R2784" s="446"/>
      <c r="U2784" s="404"/>
      <c r="V2784" s="390"/>
    </row>
    <row r="2785" spans="1:27" s="403" customFormat="1" ht="44.25" customHeight="1">
      <c r="A2785" s="774">
        <f>A2784+1</f>
        <v>4</v>
      </c>
      <c r="B2785" s="775" t="s">
        <v>2256</v>
      </c>
      <c r="C2785" s="773" t="s">
        <v>315</v>
      </c>
      <c r="D2785" s="773">
        <v>2805</v>
      </c>
      <c r="E2785" s="539">
        <v>2352.1999999999998</v>
      </c>
      <c r="F2785" s="539"/>
      <c r="G2785" s="675">
        <v>966.2</v>
      </c>
      <c r="H2785" s="726">
        <v>2</v>
      </c>
      <c r="I2785" s="726">
        <v>2</v>
      </c>
      <c r="J2785" s="599">
        <v>16</v>
      </c>
      <c r="K2785" s="612" t="s">
        <v>225</v>
      </c>
      <c r="L2785" s="677">
        <f>M2785+N2785+O2785+Q2785</f>
        <v>446068.49</v>
      </c>
      <c r="M2785" s="677">
        <v>420600</v>
      </c>
      <c r="N2785" s="675">
        <v>22780</v>
      </c>
      <c r="O2785" s="473"/>
      <c r="P2785" s="388"/>
      <c r="Q2785" s="388">
        <v>2688.49</v>
      </c>
      <c r="R2785" s="446">
        <f>M2785/J2785</f>
        <v>26287.5</v>
      </c>
      <c r="U2785" s="404"/>
      <c r="V2785" s="390"/>
    </row>
    <row r="2786" spans="1:27" s="455" customFormat="1" ht="42.75" customHeight="1">
      <c r="A2786" s="1112" t="s">
        <v>176</v>
      </c>
      <c r="B2786" s="1112"/>
      <c r="C2786" s="679" t="s">
        <v>28</v>
      </c>
      <c r="D2786" s="388">
        <f>SUM(D2782:D2785)</f>
        <v>10173</v>
      </c>
      <c r="E2786" s="388">
        <f>SUM(E2782:E2785)</f>
        <v>8618.7999999999993</v>
      </c>
      <c r="F2786" s="388" t="s">
        <v>28</v>
      </c>
      <c r="G2786" s="388">
        <f>SUM(G2782:G2785)</f>
        <v>3156.2</v>
      </c>
      <c r="H2786" s="446" t="s">
        <v>28</v>
      </c>
      <c r="I2786" s="446" t="s">
        <v>28</v>
      </c>
      <c r="J2786" s="446">
        <f>SUM(J2782:J2785)</f>
        <v>80</v>
      </c>
      <c r="K2786" s="458" t="s">
        <v>28</v>
      </c>
      <c r="L2786" s="519">
        <f t="shared" ref="L2786:Q2786" si="394">SUM(L2782:L2785)</f>
        <v>3481054.49</v>
      </c>
      <c r="M2786" s="519">
        <f t="shared" si="394"/>
        <v>3378093</v>
      </c>
      <c r="N2786" s="388">
        <f t="shared" si="394"/>
        <v>100273</v>
      </c>
      <c r="O2786" s="473">
        <f t="shared" si="394"/>
        <v>0</v>
      </c>
      <c r="P2786" s="388">
        <f t="shared" si="394"/>
        <v>0</v>
      </c>
      <c r="Q2786" s="388">
        <f t="shared" si="394"/>
        <v>2688.49</v>
      </c>
      <c r="R2786" s="446" t="s">
        <v>28</v>
      </c>
      <c r="S2786" s="383">
        <f>L2786-M2786-N2786-O2786-P2786-Q2786</f>
        <v>2.2373569663614035E-10</v>
      </c>
      <c r="T2786" s="387" t="e">
        <f>'1.перечень МКД'!#REF!</f>
        <v>#REF!</v>
      </c>
      <c r="U2786" s="390" t="e">
        <f>L2786-T2786</f>
        <v>#REF!</v>
      </c>
      <c r="V2786" s="390"/>
    </row>
    <row r="2787" spans="1:27" s="403" customFormat="1" ht="42.75" customHeight="1">
      <c r="A2787" s="1113" t="s">
        <v>177</v>
      </c>
      <c r="B2787" s="1113"/>
      <c r="C2787" s="1113"/>
      <c r="D2787" s="1113"/>
      <c r="E2787" s="1113"/>
      <c r="F2787" s="1113"/>
      <c r="G2787" s="1113"/>
      <c r="H2787" s="1113"/>
      <c r="I2787" s="1113"/>
      <c r="J2787" s="1113"/>
      <c r="K2787" s="1113"/>
      <c r="L2787" s="1113"/>
      <c r="M2787" s="1113"/>
      <c r="N2787" s="1113"/>
      <c r="O2787" s="1113"/>
      <c r="P2787" s="1113"/>
      <c r="Q2787" s="1113"/>
      <c r="R2787" s="458"/>
      <c r="U2787" s="404"/>
      <c r="V2787" s="390"/>
    </row>
    <row r="2788" spans="1:27" s="403" customFormat="1" ht="56.25" customHeight="1">
      <c r="A2788" s="774">
        <v>1</v>
      </c>
      <c r="B2788" s="775" t="s">
        <v>3838</v>
      </c>
      <c r="C2788" s="773" t="s">
        <v>283</v>
      </c>
      <c r="D2788" s="773"/>
      <c r="E2788" s="539"/>
      <c r="F2788" s="539"/>
      <c r="G2788" s="675"/>
      <c r="H2788" s="726">
        <v>2</v>
      </c>
      <c r="I2788" s="726">
        <v>3</v>
      </c>
      <c r="J2788" s="599">
        <v>22</v>
      </c>
      <c r="K2788" s="612" t="s">
        <v>30</v>
      </c>
      <c r="L2788" s="677">
        <f t="shared" ref="L2788:L2793" si="395">SUM(M2788:Q2788)</f>
        <v>571988</v>
      </c>
      <c r="M2788" s="677">
        <v>550000</v>
      </c>
      <c r="N2788" s="675"/>
      <c r="O2788" s="473">
        <v>10802</v>
      </c>
      <c r="P2788" s="388"/>
      <c r="Q2788" s="388">
        <v>11186</v>
      </c>
      <c r="R2788" s="446">
        <f>M2788/J2788</f>
        <v>25000</v>
      </c>
      <c r="U2788" s="404"/>
      <c r="V2788" s="390"/>
      <c r="Z2788" s="416">
        <v>1</v>
      </c>
      <c r="AA2788" s="416">
        <f>J2788</f>
        <v>22</v>
      </c>
    </row>
    <row r="2789" spans="1:27" s="403" customFormat="1" ht="56.25" customHeight="1">
      <c r="A2789" s="774">
        <f>A2788+1</f>
        <v>2</v>
      </c>
      <c r="B2789" s="775" t="s">
        <v>2257</v>
      </c>
      <c r="C2789" s="773"/>
      <c r="D2789" s="773"/>
      <c r="E2789" s="539"/>
      <c r="F2789" s="539"/>
      <c r="G2789" s="675"/>
      <c r="H2789" s="726">
        <v>2</v>
      </c>
      <c r="I2789" s="726">
        <v>3</v>
      </c>
      <c r="J2789" s="599">
        <v>22</v>
      </c>
      <c r="K2789" s="612" t="s">
        <v>30</v>
      </c>
      <c r="L2789" s="677">
        <f t="shared" si="395"/>
        <v>571988</v>
      </c>
      <c r="M2789" s="677">
        <v>550000</v>
      </c>
      <c r="N2789" s="675"/>
      <c r="O2789" s="473">
        <v>10802</v>
      </c>
      <c r="P2789" s="388"/>
      <c r="Q2789" s="388">
        <v>11186</v>
      </c>
      <c r="R2789" s="446">
        <f>M2789/J2789</f>
        <v>25000</v>
      </c>
      <c r="U2789" s="404"/>
      <c r="V2789" s="390"/>
      <c r="Z2789" s="416">
        <v>1</v>
      </c>
      <c r="AA2789" s="416">
        <f>J2789</f>
        <v>22</v>
      </c>
    </row>
    <row r="2790" spans="1:27" s="403" customFormat="1" ht="56.25" customHeight="1">
      <c r="A2790" s="774">
        <f>A2789+1</f>
        <v>3</v>
      </c>
      <c r="B2790" s="775" t="s">
        <v>3839</v>
      </c>
      <c r="C2790" s="773" t="s">
        <v>315</v>
      </c>
      <c r="D2790" s="773"/>
      <c r="E2790" s="539">
        <v>8889.7999999999993</v>
      </c>
      <c r="F2790" s="539" t="s">
        <v>252</v>
      </c>
      <c r="G2790" s="675">
        <v>1689.9</v>
      </c>
      <c r="H2790" s="726">
        <v>5</v>
      </c>
      <c r="I2790" s="726">
        <v>6</v>
      </c>
      <c r="J2790" s="599">
        <v>79</v>
      </c>
      <c r="K2790" s="612" t="s">
        <v>33</v>
      </c>
      <c r="L2790" s="677">
        <f t="shared" si="395"/>
        <v>5960976</v>
      </c>
      <c r="M2790" s="677">
        <v>5891400</v>
      </c>
      <c r="N2790" s="675">
        <v>29576</v>
      </c>
      <c r="O2790" s="473"/>
      <c r="P2790" s="388"/>
      <c r="Q2790" s="388">
        <v>40000</v>
      </c>
      <c r="R2790" s="446">
        <f>M2790/G2790</f>
        <v>3486.2417894549972</v>
      </c>
      <c r="U2790" s="404"/>
      <c r="V2790" s="390"/>
    </row>
    <row r="2791" spans="1:27" s="403" customFormat="1" ht="37.5" customHeight="1">
      <c r="A2791" s="774">
        <f>A2790+1</f>
        <v>4</v>
      </c>
      <c r="B2791" s="775" t="s">
        <v>3840</v>
      </c>
      <c r="C2791" s="773" t="s">
        <v>3841</v>
      </c>
      <c r="D2791" s="773"/>
      <c r="E2791" s="539">
        <v>989.8</v>
      </c>
      <c r="F2791" s="539" t="s">
        <v>252</v>
      </c>
      <c r="G2791" s="675">
        <v>604.4</v>
      </c>
      <c r="H2791" s="726">
        <v>2</v>
      </c>
      <c r="I2791" s="726">
        <v>2</v>
      </c>
      <c r="J2791" s="599">
        <v>16</v>
      </c>
      <c r="K2791" s="612" t="s">
        <v>33</v>
      </c>
      <c r="L2791" s="677">
        <f t="shared" si="395"/>
        <v>2146432</v>
      </c>
      <c r="M2791" s="677">
        <v>2104000</v>
      </c>
      <c r="N2791" s="675">
        <v>29353</v>
      </c>
      <c r="O2791" s="473"/>
      <c r="P2791" s="388"/>
      <c r="Q2791" s="388">
        <v>13079</v>
      </c>
      <c r="R2791" s="446">
        <f>M2791/G2791</f>
        <v>3481.1383189940439</v>
      </c>
      <c r="U2791" s="404"/>
      <c r="V2791" s="390"/>
    </row>
    <row r="2792" spans="1:27" s="403" customFormat="1" ht="37.5" customHeight="1">
      <c r="A2792" s="774">
        <f>A2791+1</f>
        <v>5</v>
      </c>
      <c r="B2792" s="775" t="s">
        <v>3842</v>
      </c>
      <c r="C2792" s="773" t="s">
        <v>315</v>
      </c>
      <c r="D2792" s="773"/>
      <c r="E2792" s="539">
        <v>1257.8</v>
      </c>
      <c r="F2792" s="539" t="s">
        <v>252</v>
      </c>
      <c r="G2792" s="675">
        <v>642</v>
      </c>
      <c r="H2792" s="726">
        <v>2</v>
      </c>
      <c r="I2792" s="726">
        <v>2</v>
      </c>
      <c r="J2792" s="599">
        <v>22</v>
      </c>
      <c r="K2792" s="612" t="s">
        <v>225</v>
      </c>
      <c r="L2792" s="677">
        <f t="shared" si="395"/>
        <v>364267</v>
      </c>
      <c r="M2792" s="677">
        <v>330000</v>
      </c>
      <c r="N2792" s="675">
        <v>23209</v>
      </c>
      <c r="O2792" s="473"/>
      <c r="P2792" s="388"/>
      <c r="Q2792" s="388">
        <v>11058</v>
      </c>
      <c r="R2792" s="446">
        <f>M2792/J2792</f>
        <v>15000</v>
      </c>
      <c r="U2792" s="404"/>
      <c r="V2792" s="390"/>
    </row>
    <row r="2793" spans="1:27" s="403" customFormat="1" ht="37.5" customHeight="1">
      <c r="A2793" s="774">
        <f>A2792+1</f>
        <v>6</v>
      </c>
      <c r="B2793" s="775" t="s">
        <v>3843</v>
      </c>
      <c r="C2793" s="773" t="s">
        <v>315</v>
      </c>
      <c r="D2793" s="773"/>
      <c r="E2793" s="539">
        <v>604</v>
      </c>
      <c r="F2793" s="539" t="s">
        <v>252</v>
      </c>
      <c r="G2793" s="675">
        <v>3991</v>
      </c>
      <c r="H2793" s="726">
        <v>2</v>
      </c>
      <c r="I2793" s="726">
        <v>2</v>
      </c>
      <c r="J2793" s="599">
        <v>16</v>
      </c>
      <c r="K2793" s="612" t="s">
        <v>225</v>
      </c>
      <c r="L2793" s="677">
        <f t="shared" si="395"/>
        <v>267623</v>
      </c>
      <c r="M2793" s="677">
        <v>240000</v>
      </c>
      <c r="N2793" s="675">
        <v>21400</v>
      </c>
      <c r="O2793" s="473"/>
      <c r="P2793" s="388"/>
      <c r="Q2793" s="388">
        <v>6223</v>
      </c>
      <c r="R2793" s="446">
        <f>M2793/J2793</f>
        <v>15000</v>
      </c>
      <c r="U2793" s="404"/>
      <c r="V2793" s="390"/>
    </row>
    <row r="2794" spans="1:27" s="403" customFormat="1" ht="42.75" customHeight="1">
      <c r="A2794" s="1112" t="s">
        <v>178</v>
      </c>
      <c r="B2794" s="1112"/>
      <c r="C2794" s="679" t="s">
        <v>28</v>
      </c>
      <c r="D2794" s="388"/>
      <c r="E2794" s="388">
        <f>SUM(E2788:E2793)</f>
        <v>11741.399999999998</v>
      </c>
      <c r="F2794" s="388" t="s">
        <v>28</v>
      </c>
      <c r="G2794" s="388">
        <f>SUM(G2788:G2793)</f>
        <v>6927.3</v>
      </c>
      <c r="H2794" s="446" t="s">
        <v>28</v>
      </c>
      <c r="I2794" s="446" t="s">
        <v>28</v>
      </c>
      <c r="J2794" s="446">
        <f>SUM(J2788:J2793)</f>
        <v>177</v>
      </c>
      <c r="K2794" s="458" t="s">
        <v>28</v>
      </c>
      <c r="L2794" s="519">
        <f t="shared" ref="L2794:Q2794" si="396">SUM(L2788:L2793)</f>
        <v>9883274</v>
      </c>
      <c r="M2794" s="519">
        <f t="shared" si="396"/>
        <v>9665400</v>
      </c>
      <c r="N2794" s="388">
        <f t="shared" si="396"/>
        <v>103538</v>
      </c>
      <c r="O2794" s="473">
        <f t="shared" si="396"/>
        <v>21604</v>
      </c>
      <c r="P2794" s="388">
        <f t="shared" si="396"/>
        <v>0</v>
      </c>
      <c r="Q2794" s="388">
        <f t="shared" si="396"/>
        <v>92732</v>
      </c>
      <c r="R2794" s="446" t="s">
        <v>28</v>
      </c>
      <c r="S2794" s="383">
        <f>L2794-M2794-N2794-O2794-P2794-Q2794</f>
        <v>0</v>
      </c>
      <c r="T2794" s="387" t="e">
        <f>'1.перечень МКД'!#REF!</f>
        <v>#REF!</v>
      </c>
      <c r="U2794" s="390" t="e">
        <f>L2794-T2794</f>
        <v>#REF!</v>
      </c>
      <c r="V2794" s="390"/>
    </row>
    <row r="2795" spans="1:27" s="403" customFormat="1" ht="42.75" customHeight="1">
      <c r="A2795" s="1113" t="s">
        <v>179</v>
      </c>
      <c r="B2795" s="1113"/>
      <c r="C2795" s="1113"/>
      <c r="D2795" s="1113"/>
      <c r="E2795" s="1113"/>
      <c r="F2795" s="1113"/>
      <c r="G2795" s="1113"/>
      <c r="H2795" s="1113"/>
      <c r="I2795" s="1113"/>
      <c r="J2795" s="1113"/>
      <c r="K2795" s="1113"/>
      <c r="L2795" s="1113"/>
      <c r="M2795" s="1113"/>
      <c r="N2795" s="1113"/>
      <c r="O2795" s="1113"/>
      <c r="P2795" s="1113"/>
      <c r="Q2795" s="1113"/>
      <c r="R2795" s="458"/>
      <c r="U2795" s="404"/>
      <c r="V2795" s="390"/>
    </row>
    <row r="2796" spans="1:27" s="403" customFormat="1" ht="37.5" customHeight="1">
      <c r="A2796" s="404">
        <v>1</v>
      </c>
      <c r="B2796" s="403" t="s">
        <v>1307</v>
      </c>
      <c r="C2796" s="455" t="s">
        <v>283</v>
      </c>
      <c r="D2796" s="446">
        <v>65598</v>
      </c>
      <c r="E2796" s="388">
        <v>10395</v>
      </c>
      <c r="F2796" s="388" t="s">
        <v>254</v>
      </c>
      <c r="G2796" s="388">
        <v>2811</v>
      </c>
      <c r="H2796" s="446">
        <v>9</v>
      </c>
      <c r="I2796" s="446">
        <v>8</v>
      </c>
      <c r="J2796" s="446">
        <v>291</v>
      </c>
      <c r="K2796" s="389" t="s">
        <v>220</v>
      </c>
      <c r="L2796" s="519">
        <f>SUM(M2796:Q2796)</f>
        <v>15048700</v>
      </c>
      <c r="M2796" s="519">
        <v>14836200</v>
      </c>
      <c r="N2796" s="388">
        <v>212500</v>
      </c>
      <c r="O2796" s="473"/>
      <c r="P2796" s="388"/>
      <c r="Q2796" s="388"/>
      <c r="R2796" s="528">
        <f>M2796/7</f>
        <v>2119457.1428571427</v>
      </c>
      <c r="U2796" s="404"/>
      <c r="V2796" s="390"/>
    </row>
    <row r="2797" spans="1:27" s="403" customFormat="1" ht="37.5" customHeight="1">
      <c r="A2797" s="404">
        <f t="shared" ref="A2797:A2819" si="397">A2796+1</f>
        <v>2</v>
      </c>
      <c r="B2797" s="403" t="s">
        <v>1312</v>
      </c>
      <c r="C2797" s="455" t="s">
        <v>283</v>
      </c>
      <c r="D2797" s="446">
        <v>52538</v>
      </c>
      <c r="E2797" s="388">
        <v>7295</v>
      </c>
      <c r="F2797" s="388" t="s">
        <v>254</v>
      </c>
      <c r="G2797" s="388">
        <v>1510</v>
      </c>
      <c r="H2797" s="446">
        <v>9</v>
      </c>
      <c r="I2797" s="446">
        <v>6</v>
      </c>
      <c r="J2797" s="446">
        <v>219</v>
      </c>
      <c r="K2797" s="389" t="s">
        <v>220</v>
      </c>
      <c r="L2797" s="519">
        <f>SUM(M2797:Q2797)</f>
        <v>2211950</v>
      </c>
      <c r="M2797" s="519">
        <v>2126950</v>
      </c>
      <c r="N2797" s="388">
        <v>85000</v>
      </c>
      <c r="O2797" s="473"/>
      <c r="P2797" s="388"/>
      <c r="Q2797" s="388"/>
      <c r="R2797" s="446">
        <f>M2797/1</f>
        <v>2126950</v>
      </c>
      <c r="U2797" s="404"/>
      <c r="V2797" s="390"/>
    </row>
    <row r="2798" spans="1:27" s="403" customFormat="1" ht="75.75" customHeight="1">
      <c r="A2798" s="404">
        <f t="shared" si="397"/>
        <v>3</v>
      </c>
      <c r="B2798" s="403" t="s">
        <v>2263</v>
      </c>
      <c r="C2798" s="455" t="s">
        <v>222</v>
      </c>
      <c r="D2798" s="446">
        <v>7606</v>
      </c>
      <c r="E2798" s="388">
        <v>1686</v>
      </c>
      <c r="F2798" s="388" t="s">
        <v>228</v>
      </c>
      <c r="G2798" s="388">
        <v>345.5</v>
      </c>
      <c r="H2798" s="446">
        <v>9</v>
      </c>
      <c r="I2798" s="446">
        <v>1</v>
      </c>
      <c r="J2798" s="446">
        <v>54</v>
      </c>
      <c r="K2798" s="389" t="s">
        <v>220</v>
      </c>
      <c r="L2798" s="519">
        <f>SUM(M2798:Q2798)</f>
        <v>2211010</v>
      </c>
      <c r="M2798" s="519">
        <v>2126010</v>
      </c>
      <c r="N2798" s="388">
        <v>85000</v>
      </c>
      <c r="O2798" s="473"/>
      <c r="P2798" s="388"/>
      <c r="Q2798" s="388"/>
      <c r="R2798" s="446">
        <f>M2798/1</f>
        <v>2126010</v>
      </c>
      <c r="U2798" s="404"/>
      <c r="V2798" s="390"/>
    </row>
    <row r="2799" spans="1:27" s="403" customFormat="1" ht="51.75" customHeight="1">
      <c r="A2799" s="404">
        <f t="shared" si="397"/>
        <v>4</v>
      </c>
      <c r="B2799" s="1112" t="s">
        <v>3496</v>
      </c>
      <c r="C2799" s="455" t="s">
        <v>218</v>
      </c>
      <c r="D2799" s="446">
        <v>15435</v>
      </c>
      <c r="E2799" s="388">
        <v>3588</v>
      </c>
      <c r="F2799" s="388" t="s">
        <v>224</v>
      </c>
      <c r="G2799" s="388">
        <v>609</v>
      </c>
      <c r="H2799" s="446">
        <v>9</v>
      </c>
      <c r="I2799" s="446">
        <v>2</v>
      </c>
      <c r="J2799" s="446">
        <v>72</v>
      </c>
      <c r="K2799" s="389" t="s">
        <v>33</v>
      </c>
      <c r="L2799" s="519">
        <f>M2799+N2799+O2799+P2799+Q2799+M2800+N2800+O2800+Q2800</f>
        <v>5958902</v>
      </c>
      <c r="M2799" s="519">
        <v>1614729</v>
      </c>
      <c r="N2799" s="388"/>
      <c r="O2799" s="473">
        <v>26303</v>
      </c>
      <c r="P2799" s="388"/>
      <c r="Q2799" s="388">
        <v>20000</v>
      </c>
      <c r="R2799" s="446">
        <f>M2799/G2799</f>
        <v>2651.4433497536947</v>
      </c>
      <c r="U2799" s="404"/>
      <c r="V2799" s="390"/>
    </row>
    <row r="2800" spans="1:27" s="403" customFormat="1" ht="67.5" customHeight="1">
      <c r="A2800" s="404"/>
      <c r="B2800" s="1112"/>
      <c r="C2800" s="455"/>
      <c r="D2800" s="446"/>
      <c r="E2800" s="388"/>
      <c r="F2800" s="388"/>
      <c r="G2800" s="388"/>
      <c r="H2800" s="446"/>
      <c r="I2800" s="446"/>
      <c r="J2800" s="446"/>
      <c r="K2800" s="389" t="s">
        <v>220</v>
      </c>
      <c r="L2800" s="519"/>
      <c r="M2800" s="519">
        <v>4191620</v>
      </c>
      <c r="N2800" s="388">
        <v>106250</v>
      </c>
      <c r="O2800" s="473"/>
      <c r="P2800" s="388"/>
      <c r="Q2800" s="388"/>
      <c r="R2800" s="446">
        <f>M2800/I2799</f>
        <v>2095810</v>
      </c>
      <c r="U2800" s="404"/>
      <c r="V2800" s="390"/>
    </row>
    <row r="2801" spans="1:22" s="455" customFormat="1" ht="37.5">
      <c r="A2801" s="404">
        <v>5</v>
      </c>
      <c r="B2801" s="848" t="s">
        <v>3901</v>
      </c>
      <c r="C2801" s="493" t="s">
        <v>3902</v>
      </c>
      <c r="D2801" s="446">
        <v>18167</v>
      </c>
      <c r="E2801" s="388">
        <v>3086</v>
      </c>
      <c r="F2801" s="388" t="s">
        <v>254</v>
      </c>
      <c r="G2801" s="388">
        <v>625</v>
      </c>
      <c r="H2801" s="446">
        <v>9</v>
      </c>
      <c r="I2801" s="446">
        <v>2</v>
      </c>
      <c r="J2801" s="446">
        <v>72</v>
      </c>
      <c r="K2801" s="458" t="s">
        <v>220</v>
      </c>
      <c r="L2801" s="519">
        <f t="shared" ref="L2801:L2808" si="398">M2801+N2801+O2801+P2801+Q2801</f>
        <v>4344990</v>
      </c>
      <c r="M2801" s="519">
        <v>4238740</v>
      </c>
      <c r="N2801" s="388">
        <v>106250</v>
      </c>
      <c r="O2801" s="473"/>
      <c r="P2801" s="446"/>
      <c r="Q2801" s="446"/>
      <c r="R2801" s="446">
        <f>M2801/I2801</f>
        <v>2119370</v>
      </c>
      <c r="S2801" s="388"/>
    </row>
    <row r="2802" spans="1:22" s="455" customFormat="1" ht="37.5">
      <c r="A2802" s="404">
        <f t="shared" ref="A2802:A2811" si="399">A2801+1</f>
        <v>6</v>
      </c>
      <c r="B2802" s="403" t="s">
        <v>3903</v>
      </c>
      <c r="C2802" s="493" t="s">
        <v>3902</v>
      </c>
      <c r="D2802" s="446">
        <v>30378</v>
      </c>
      <c r="E2802" s="388">
        <v>5186</v>
      </c>
      <c r="F2802" s="388" t="s">
        <v>254</v>
      </c>
      <c r="G2802" s="388">
        <v>1203</v>
      </c>
      <c r="H2802" s="446">
        <v>9</v>
      </c>
      <c r="I2802" s="446">
        <v>4</v>
      </c>
      <c r="J2802" s="446">
        <v>144</v>
      </c>
      <c r="K2802" s="458" t="s">
        <v>220</v>
      </c>
      <c r="L2802" s="519">
        <f t="shared" si="398"/>
        <v>8532720</v>
      </c>
      <c r="M2802" s="519">
        <v>8383970</v>
      </c>
      <c r="N2802" s="388">
        <v>148750</v>
      </c>
      <c r="O2802" s="473"/>
      <c r="P2802" s="446"/>
      <c r="Q2802" s="446"/>
      <c r="R2802" s="446">
        <f>M2802/I2802</f>
        <v>2095992.5</v>
      </c>
    </row>
    <row r="2803" spans="1:22" s="455" customFormat="1" ht="37.5">
      <c r="A2803" s="404">
        <f t="shared" si="399"/>
        <v>7</v>
      </c>
      <c r="B2803" s="849" t="s">
        <v>3904</v>
      </c>
      <c r="C2803" s="493" t="s">
        <v>3902</v>
      </c>
      <c r="D2803" s="446">
        <v>27368</v>
      </c>
      <c r="E2803" s="748">
        <v>3898</v>
      </c>
      <c r="F2803" s="388" t="s">
        <v>254</v>
      </c>
      <c r="G2803" s="388">
        <v>960</v>
      </c>
      <c r="H2803" s="446">
        <v>9</v>
      </c>
      <c r="I2803" s="446">
        <v>3</v>
      </c>
      <c r="J2803" s="446">
        <v>96</v>
      </c>
      <c r="K2803" s="458" t="s">
        <v>220</v>
      </c>
      <c r="L2803" s="519">
        <f t="shared" si="398"/>
        <v>2208900</v>
      </c>
      <c r="M2803" s="519">
        <v>2123900</v>
      </c>
      <c r="N2803" s="388">
        <v>85000</v>
      </c>
      <c r="O2803" s="473"/>
      <c r="P2803" s="446"/>
      <c r="Q2803" s="446"/>
      <c r="R2803" s="446">
        <f>M2803</f>
        <v>2123900</v>
      </c>
    </row>
    <row r="2804" spans="1:22" s="455" customFormat="1" ht="37.5">
      <c r="A2804" s="404">
        <f t="shared" si="399"/>
        <v>8</v>
      </c>
      <c r="B2804" s="849" t="s">
        <v>3905</v>
      </c>
      <c r="C2804" s="493" t="s">
        <v>3902</v>
      </c>
      <c r="D2804" s="446">
        <v>19338</v>
      </c>
      <c r="E2804" s="748">
        <v>5198</v>
      </c>
      <c r="F2804" s="388" t="s">
        <v>254</v>
      </c>
      <c r="G2804" s="388">
        <v>1450</v>
      </c>
      <c r="H2804" s="446">
        <v>9</v>
      </c>
      <c r="I2804" s="446">
        <v>4</v>
      </c>
      <c r="J2804" s="446">
        <v>138</v>
      </c>
      <c r="K2804" s="458" t="s">
        <v>220</v>
      </c>
      <c r="L2804" s="519">
        <f t="shared" si="398"/>
        <v>8615980</v>
      </c>
      <c r="M2804" s="519">
        <v>8467230</v>
      </c>
      <c r="N2804" s="388">
        <v>148750</v>
      </c>
      <c r="O2804" s="473"/>
      <c r="P2804" s="446"/>
      <c r="Q2804" s="446"/>
      <c r="R2804" s="446">
        <f>M2804/I2804</f>
        <v>2116807.5</v>
      </c>
    </row>
    <row r="2805" spans="1:22" s="455" customFormat="1" ht="37.5">
      <c r="A2805" s="404">
        <f t="shared" si="399"/>
        <v>9</v>
      </c>
      <c r="B2805" s="849" t="s">
        <v>3906</v>
      </c>
      <c r="C2805" s="493" t="s">
        <v>3902</v>
      </c>
      <c r="D2805" s="446">
        <v>24696</v>
      </c>
      <c r="E2805" s="388">
        <v>3478</v>
      </c>
      <c r="F2805" s="388" t="s">
        <v>254</v>
      </c>
      <c r="G2805" s="388">
        <v>704</v>
      </c>
      <c r="H2805" s="446">
        <v>9</v>
      </c>
      <c r="I2805" s="446">
        <v>2</v>
      </c>
      <c r="J2805" s="446">
        <v>65</v>
      </c>
      <c r="K2805" s="458" t="s">
        <v>220</v>
      </c>
      <c r="L2805" s="519">
        <f t="shared" si="398"/>
        <v>4342370</v>
      </c>
      <c r="M2805" s="519">
        <v>4236120</v>
      </c>
      <c r="N2805" s="388">
        <v>106250</v>
      </c>
      <c r="O2805" s="473"/>
      <c r="P2805" s="446"/>
      <c r="Q2805" s="446"/>
      <c r="R2805" s="446">
        <f>M2805/I2805</f>
        <v>2118060</v>
      </c>
    </row>
    <row r="2806" spans="1:22" s="455" customFormat="1" ht="37.5">
      <c r="A2806" s="404">
        <f t="shared" si="399"/>
        <v>10</v>
      </c>
      <c r="B2806" s="849" t="s">
        <v>3907</v>
      </c>
      <c r="C2806" s="493" t="s">
        <v>3902</v>
      </c>
      <c r="D2806" s="446">
        <v>16665</v>
      </c>
      <c r="E2806" s="388">
        <v>3122</v>
      </c>
      <c r="F2806" s="388" t="s">
        <v>254</v>
      </c>
      <c r="G2806" s="388">
        <v>823</v>
      </c>
      <c r="H2806" s="446">
        <v>9</v>
      </c>
      <c r="I2806" s="446">
        <v>3</v>
      </c>
      <c r="J2806" s="446">
        <v>65</v>
      </c>
      <c r="K2806" s="458" t="s">
        <v>220</v>
      </c>
      <c r="L2806" s="519">
        <f t="shared" si="398"/>
        <v>2210600</v>
      </c>
      <c r="M2806" s="519">
        <v>2125600</v>
      </c>
      <c r="N2806" s="388">
        <v>85000</v>
      </c>
      <c r="O2806" s="473"/>
      <c r="P2806" s="446"/>
      <c r="Q2806" s="446"/>
      <c r="R2806" s="446">
        <f>M2806</f>
        <v>2125600</v>
      </c>
    </row>
    <row r="2807" spans="1:22" s="455" customFormat="1" ht="37.5">
      <c r="A2807" s="404">
        <f t="shared" si="399"/>
        <v>11</v>
      </c>
      <c r="B2807" s="849" t="s">
        <v>3908</v>
      </c>
      <c r="C2807" s="493" t="s">
        <v>3902</v>
      </c>
      <c r="D2807" s="446">
        <v>21402</v>
      </c>
      <c r="E2807" s="388">
        <v>4125</v>
      </c>
      <c r="F2807" s="388" t="s">
        <v>254</v>
      </c>
      <c r="G2807" s="388">
        <v>902</v>
      </c>
      <c r="H2807" s="446">
        <v>9</v>
      </c>
      <c r="I2807" s="446">
        <v>1</v>
      </c>
      <c r="J2807" s="446">
        <v>98</v>
      </c>
      <c r="K2807" s="458" t="s">
        <v>220</v>
      </c>
      <c r="L2807" s="519">
        <f t="shared" si="398"/>
        <v>2211510</v>
      </c>
      <c r="M2807" s="519">
        <v>2126510</v>
      </c>
      <c r="N2807" s="388">
        <v>85000</v>
      </c>
      <c r="O2807" s="473"/>
      <c r="P2807" s="446"/>
      <c r="Q2807" s="446"/>
      <c r="R2807" s="446">
        <f>M2807/I2807</f>
        <v>2126510</v>
      </c>
    </row>
    <row r="2808" spans="1:22" s="455" customFormat="1" ht="37.5">
      <c r="A2808" s="404">
        <f t="shared" si="399"/>
        <v>12</v>
      </c>
      <c r="B2808" s="849" t="s">
        <v>3909</v>
      </c>
      <c r="C2808" s="493" t="s">
        <v>315</v>
      </c>
      <c r="D2808" s="446">
        <v>12701.5</v>
      </c>
      <c r="E2808" s="388">
        <v>1811.6</v>
      </c>
      <c r="F2808" s="388" t="s">
        <v>304</v>
      </c>
      <c r="G2808" s="388">
        <v>698</v>
      </c>
      <c r="H2808" s="446">
        <v>9</v>
      </c>
      <c r="I2808" s="446">
        <v>1</v>
      </c>
      <c r="J2808" s="446">
        <v>102</v>
      </c>
      <c r="K2808" s="458" t="s">
        <v>220</v>
      </c>
      <c r="L2808" s="519">
        <f t="shared" si="398"/>
        <v>2216810</v>
      </c>
      <c r="M2808" s="519">
        <v>2131810</v>
      </c>
      <c r="N2808" s="388">
        <v>85000</v>
      </c>
      <c r="O2808" s="473"/>
      <c r="P2808" s="446"/>
      <c r="Q2808" s="446"/>
      <c r="R2808" s="446">
        <f>M2808/I2808</f>
        <v>2131810</v>
      </c>
    </row>
    <row r="2809" spans="1:22" s="403" customFormat="1" ht="37.5" customHeight="1">
      <c r="A2809" s="404">
        <f t="shared" si="399"/>
        <v>13</v>
      </c>
      <c r="B2809" s="403" t="s">
        <v>2258</v>
      </c>
      <c r="C2809" s="455" t="s">
        <v>222</v>
      </c>
      <c r="D2809" s="446">
        <v>35780</v>
      </c>
      <c r="E2809" s="388">
        <v>2925</v>
      </c>
      <c r="F2809" s="388" t="s">
        <v>223</v>
      </c>
      <c r="G2809" s="388">
        <v>2391</v>
      </c>
      <c r="H2809" s="446">
        <v>5</v>
      </c>
      <c r="I2809" s="446">
        <v>8</v>
      </c>
      <c r="J2809" s="446">
        <v>112</v>
      </c>
      <c r="K2809" s="389" t="s">
        <v>33</v>
      </c>
      <c r="L2809" s="519">
        <f t="shared" ref="L2809:L2819" si="400">SUM(M2809:Q2809)</f>
        <v>7758651</v>
      </c>
      <c r="M2809" s="519">
        <v>7683200</v>
      </c>
      <c r="N2809" s="388">
        <v>35651</v>
      </c>
      <c r="O2809" s="473"/>
      <c r="P2809" s="388"/>
      <c r="Q2809" s="388">
        <v>39800</v>
      </c>
      <c r="R2809" s="446">
        <f t="shared" ref="R2809:R2817" si="401">M2809/G2809</f>
        <v>3213.383521539105</v>
      </c>
      <c r="U2809" s="404"/>
      <c r="V2809" s="390"/>
    </row>
    <row r="2810" spans="1:22" s="403" customFormat="1" ht="37.5" customHeight="1">
      <c r="A2810" s="404">
        <f t="shared" si="399"/>
        <v>14</v>
      </c>
      <c r="B2810" s="403" t="s">
        <v>2259</v>
      </c>
      <c r="C2810" s="455" t="s">
        <v>222</v>
      </c>
      <c r="D2810" s="446">
        <v>28964</v>
      </c>
      <c r="E2810" s="388">
        <v>3955</v>
      </c>
      <c r="F2810" s="388" t="s">
        <v>234</v>
      </c>
      <c r="G2810" s="388">
        <v>1691.48</v>
      </c>
      <c r="H2810" s="446">
        <v>5</v>
      </c>
      <c r="I2810" s="446">
        <v>8</v>
      </c>
      <c r="J2810" s="446">
        <v>89</v>
      </c>
      <c r="K2810" s="389" t="s">
        <v>33</v>
      </c>
      <c r="L2810" s="519">
        <f t="shared" si="400"/>
        <v>4017610.86</v>
      </c>
      <c r="M2810" s="519">
        <v>3974400</v>
      </c>
      <c r="N2810" s="388"/>
      <c r="O2810" s="473">
        <v>23310.86</v>
      </c>
      <c r="P2810" s="388"/>
      <c r="Q2810" s="388">
        <v>19900</v>
      </c>
      <c r="R2810" s="446">
        <f t="shared" si="401"/>
        <v>2349.6582874169367</v>
      </c>
      <c r="U2810" s="404"/>
      <c r="V2810" s="390"/>
    </row>
    <row r="2811" spans="1:22" s="403" customFormat="1" ht="37.5" customHeight="1">
      <c r="A2811" s="404">
        <f t="shared" si="399"/>
        <v>15</v>
      </c>
      <c r="B2811" s="403" t="s">
        <v>2260</v>
      </c>
      <c r="C2811" s="455" t="s">
        <v>240</v>
      </c>
      <c r="D2811" s="446">
        <v>9135</v>
      </c>
      <c r="E2811" s="388">
        <v>1300</v>
      </c>
      <c r="F2811" s="388" t="s">
        <v>223</v>
      </c>
      <c r="G2811" s="388">
        <f>49*14.4*1.3</f>
        <v>917.28000000000009</v>
      </c>
      <c r="H2811" s="446">
        <v>3</v>
      </c>
      <c r="I2811" s="446">
        <v>3</v>
      </c>
      <c r="J2811" s="446">
        <v>33</v>
      </c>
      <c r="K2811" s="389" t="s">
        <v>33</v>
      </c>
      <c r="L2811" s="519">
        <f t="shared" si="400"/>
        <v>2734958.3800000004</v>
      </c>
      <c r="M2811" s="519">
        <v>2674000</v>
      </c>
      <c r="N2811" s="388">
        <v>32794.199999999997</v>
      </c>
      <c r="O2811" s="473"/>
      <c r="P2811" s="388"/>
      <c r="Q2811" s="388">
        <v>28164.18</v>
      </c>
      <c r="R2811" s="446">
        <f t="shared" si="401"/>
        <v>2915.1404151404149</v>
      </c>
      <c r="U2811" s="404"/>
      <c r="V2811" s="390"/>
    </row>
    <row r="2812" spans="1:22" s="403" customFormat="1" ht="37.5" customHeight="1">
      <c r="A2812" s="404">
        <f t="shared" si="397"/>
        <v>16</v>
      </c>
      <c r="B2812" s="403" t="s">
        <v>2261</v>
      </c>
      <c r="C2812" s="455" t="s">
        <v>240</v>
      </c>
      <c r="D2812" s="446">
        <v>11306</v>
      </c>
      <c r="E2812" s="388">
        <v>2109</v>
      </c>
      <c r="F2812" s="388" t="s">
        <v>223</v>
      </c>
      <c r="G2812" s="388">
        <v>1067</v>
      </c>
      <c r="H2812" s="446">
        <v>5</v>
      </c>
      <c r="I2812" s="446">
        <v>4</v>
      </c>
      <c r="J2812" s="446">
        <v>80</v>
      </c>
      <c r="K2812" s="389" t="s">
        <v>33</v>
      </c>
      <c r="L2812" s="519">
        <f t="shared" si="400"/>
        <v>3292450.4699999997</v>
      </c>
      <c r="M2812" s="519">
        <v>3230500</v>
      </c>
      <c r="N2812" s="388">
        <v>27092.86</v>
      </c>
      <c r="O2812" s="473"/>
      <c r="P2812" s="388"/>
      <c r="Q2812" s="388">
        <v>34857.61</v>
      </c>
      <c r="R2812" s="446">
        <f t="shared" si="401"/>
        <v>3027.6476101218368</v>
      </c>
      <c r="U2812" s="404"/>
      <c r="V2812" s="390"/>
    </row>
    <row r="2813" spans="1:22" s="403" customFormat="1" ht="37.5" customHeight="1">
      <c r="A2813" s="404">
        <f t="shared" si="397"/>
        <v>17</v>
      </c>
      <c r="B2813" s="403" t="s">
        <v>2262</v>
      </c>
      <c r="C2813" s="455" t="s">
        <v>222</v>
      </c>
      <c r="D2813" s="446">
        <v>9800</v>
      </c>
      <c r="E2813" s="388">
        <v>1887</v>
      </c>
      <c r="F2813" s="388" t="s">
        <v>223</v>
      </c>
      <c r="G2813" s="388">
        <v>906</v>
      </c>
      <c r="H2813" s="446">
        <v>5</v>
      </c>
      <c r="I2813" s="446">
        <v>3</v>
      </c>
      <c r="J2813" s="446">
        <v>60</v>
      </c>
      <c r="K2813" s="389" t="s">
        <v>33</v>
      </c>
      <c r="L2813" s="519">
        <f t="shared" si="400"/>
        <v>2841743.1300000004</v>
      </c>
      <c r="M2813" s="519">
        <v>2784600</v>
      </c>
      <c r="N2813" s="388">
        <v>26928.68</v>
      </c>
      <c r="O2813" s="473"/>
      <c r="P2813" s="388"/>
      <c r="Q2813" s="388">
        <v>30214.45</v>
      </c>
      <c r="R2813" s="446">
        <f t="shared" si="401"/>
        <v>3073.5099337748343</v>
      </c>
      <c r="U2813" s="404"/>
      <c r="V2813" s="390"/>
    </row>
    <row r="2814" spans="1:22" s="403" customFormat="1" ht="37.5" customHeight="1">
      <c r="A2814" s="404">
        <f t="shared" si="397"/>
        <v>18</v>
      </c>
      <c r="B2814" s="403" t="s">
        <v>2264</v>
      </c>
      <c r="C2814" s="455" t="s">
        <v>222</v>
      </c>
      <c r="D2814" s="446">
        <v>13463</v>
      </c>
      <c r="E2814" s="388">
        <v>2408</v>
      </c>
      <c r="F2814" s="388" t="s">
        <v>234</v>
      </c>
      <c r="G2814" s="388">
        <v>1083</v>
      </c>
      <c r="H2814" s="446">
        <v>5</v>
      </c>
      <c r="I2814" s="446">
        <v>4</v>
      </c>
      <c r="J2814" s="446">
        <v>59</v>
      </c>
      <c r="K2814" s="389" t="s">
        <v>33</v>
      </c>
      <c r="L2814" s="519">
        <f t="shared" si="400"/>
        <v>2633779.56</v>
      </c>
      <c r="M2814" s="519">
        <v>2592100</v>
      </c>
      <c r="N2814" s="388"/>
      <c r="O2814" s="473">
        <v>21779.56</v>
      </c>
      <c r="P2814" s="388"/>
      <c r="Q2814" s="388">
        <v>19900</v>
      </c>
      <c r="R2814" s="446">
        <f t="shared" si="401"/>
        <v>2393.4441366574329</v>
      </c>
      <c r="U2814" s="404"/>
      <c r="V2814" s="390"/>
    </row>
    <row r="2815" spans="1:22" s="403" customFormat="1" ht="37.5" customHeight="1">
      <c r="A2815" s="404">
        <f t="shared" si="397"/>
        <v>19</v>
      </c>
      <c r="B2815" s="403" t="s">
        <v>2265</v>
      </c>
      <c r="C2815" s="455" t="s">
        <v>222</v>
      </c>
      <c r="D2815" s="446">
        <v>13308</v>
      </c>
      <c r="E2815" s="388">
        <v>2430</v>
      </c>
      <c r="F2815" s="388" t="s">
        <v>223</v>
      </c>
      <c r="G2815" s="388">
        <v>1265</v>
      </c>
      <c r="H2815" s="446">
        <v>5</v>
      </c>
      <c r="I2815" s="446">
        <v>4</v>
      </c>
      <c r="J2815" s="446">
        <v>69</v>
      </c>
      <c r="K2815" s="389" t="s">
        <v>33</v>
      </c>
      <c r="L2815" s="519">
        <f t="shared" si="400"/>
        <v>3534242.08</v>
      </c>
      <c r="M2815" s="519">
        <v>3466400</v>
      </c>
      <c r="N2815" s="388">
        <v>28042.080000000002</v>
      </c>
      <c r="O2815" s="473"/>
      <c r="P2815" s="388"/>
      <c r="Q2815" s="388">
        <v>39800</v>
      </c>
      <c r="R2815" s="446">
        <f t="shared" si="401"/>
        <v>2740.2371541501975</v>
      </c>
      <c r="U2815" s="404"/>
      <c r="V2815" s="390"/>
    </row>
    <row r="2816" spans="1:22" s="403" customFormat="1" ht="37.5" customHeight="1">
      <c r="A2816" s="404">
        <f t="shared" si="397"/>
        <v>20</v>
      </c>
      <c r="B2816" s="403" t="s">
        <v>2266</v>
      </c>
      <c r="C2816" s="455" t="s">
        <v>222</v>
      </c>
      <c r="D2816" s="446">
        <v>11559</v>
      </c>
      <c r="E2816" s="388">
        <v>2130</v>
      </c>
      <c r="F2816" s="388" t="s">
        <v>223</v>
      </c>
      <c r="G2816" s="388">
        <f>63*14*1.3</f>
        <v>1146.6000000000001</v>
      </c>
      <c r="H2816" s="446">
        <v>5</v>
      </c>
      <c r="I2816" s="446">
        <v>4</v>
      </c>
      <c r="J2816" s="446">
        <v>80</v>
      </c>
      <c r="K2816" s="389" t="s">
        <v>33</v>
      </c>
      <c r="L2816" s="519">
        <f t="shared" si="400"/>
        <v>3476050.89</v>
      </c>
      <c r="M2816" s="519">
        <v>3413200</v>
      </c>
      <c r="N2816" s="388">
        <v>27213.25</v>
      </c>
      <c r="O2816" s="473"/>
      <c r="P2816" s="388"/>
      <c r="Q2816" s="388">
        <v>35637.64</v>
      </c>
      <c r="R2816" s="446">
        <f t="shared" si="401"/>
        <v>2976.8009768009765</v>
      </c>
      <c r="U2816" s="404"/>
      <c r="V2816" s="390"/>
    </row>
    <row r="2817" spans="1:22" s="403" customFormat="1" ht="37.5" customHeight="1">
      <c r="A2817" s="404">
        <f t="shared" si="397"/>
        <v>21</v>
      </c>
      <c r="B2817" s="403" t="s">
        <v>2267</v>
      </c>
      <c r="C2817" s="455" t="s">
        <v>222</v>
      </c>
      <c r="D2817" s="446">
        <v>5236</v>
      </c>
      <c r="E2817" s="388">
        <v>1010</v>
      </c>
      <c r="F2817" s="388" t="s">
        <v>223</v>
      </c>
      <c r="G2817" s="388">
        <f>36*15*1.3</f>
        <v>702</v>
      </c>
      <c r="H2817" s="446">
        <v>3</v>
      </c>
      <c r="I2817" s="446">
        <v>2</v>
      </c>
      <c r="J2817" s="446">
        <v>16</v>
      </c>
      <c r="K2817" s="389" t="s">
        <v>33</v>
      </c>
      <c r="L2817" s="519">
        <f t="shared" si="400"/>
        <v>1985539.44</v>
      </c>
      <c r="M2817" s="519">
        <v>1940400</v>
      </c>
      <c r="N2817" s="388">
        <v>28996.29</v>
      </c>
      <c r="O2817" s="473"/>
      <c r="P2817" s="388"/>
      <c r="Q2817" s="388">
        <v>16143.15</v>
      </c>
      <c r="R2817" s="446">
        <f t="shared" si="401"/>
        <v>2764.102564102564</v>
      </c>
      <c r="U2817" s="404"/>
      <c r="V2817" s="390"/>
    </row>
    <row r="2818" spans="1:22" s="403" customFormat="1" ht="37.5" customHeight="1">
      <c r="A2818" s="404">
        <f t="shared" si="397"/>
        <v>22</v>
      </c>
      <c r="B2818" s="403" t="s">
        <v>2268</v>
      </c>
      <c r="C2818" s="455" t="s">
        <v>222</v>
      </c>
      <c r="D2818" s="446">
        <v>6116</v>
      </c>
      <c r="E2818" s="388">
        <v>1309</v>
      </c>
      <c r="F2818" s="388" t="s">
        <v>223</v>
      </c>
      <c r="G2818" s="388">
        <f>15*36*1.3</f>
        <v>702</v>
      </c>
      <c r="H2818" s="446">
        <v>3</v>
      </c>
      <c r="I2818" s="446">
        <v>2</v>
      </c>
      <c r="J2818" s="446">
        <v>14</v>
      </c>
      <c r="K2818" s="389" t="s">
        <v>38</v>
      </c>
      <c r="L2818" s="519">
        <f t="shared" si="400"/>
        <v>2218205.81</v>
      </c>
      <c r="M2818" s="519">
        <v>2180000</v>
      </c>
      <c r="N2818" s="388"/>
      <c r="O2818" s="473">
        <v>13897</v>
      </c>
      <c r="P2818" s="388"/>
      <c r="Q2818" s="388">
        <v>24308.81</v>
      </c>
      <c r="R2818" s="528">
        <f>M2818/E2818</f>
        <v>1665.3934300993124</v>
      </c>
      <c r="U2818" s="404"/>
      <c r="V2818" s="390"/>
    </row>
    <row r="2819" spans="1:22" s="403" customFormat="1" ht="37.5" customHeight="1">
      <c r="A2819" s="404">
        <f t="shared" si="397"/>
        <v>23</v>
      </c>
      <c r="B2819" s="403" t="s">
        <v>2272</v>
      </c>
      <c r="C2819" s="455" t="s">
        <v>222</v>
      </c>
      <c r="D2819" s="446">
        <v>3905</v>
      </c>
      <c r="E2819" s="388">
        <v>515</v>
      </c>
      <c r="F2819" s="388" t="s">
        <v>231</v>
      </c>
      <c r="G2819" s="388">
        <v>661</v>
      </c>
      <c r="H2819" s="446">
        <v>2</v>
      </c>
      <c r="I2819" s="446">
        <v>2</v>
      </c>
      <c r="J2819" s="446">
        <v>16</v>
      </c>
      <c r="K2819" s="389" t="s">
        <v>33</v>
      </c>
      <c r="L2819" s="519">
        <f t="shared" si="400"/>
        <v>2304629</v>
      </c>
      <c r="M2819" s="519">
        <v>2254000</v>
      </c>
      <c r="N2819" s="388">
        <v>31603</v>
      </c>
      <c r="O2819" s="473"/>
      <c r="P2819" s="388"/>
      <c r="Q2819" s="388">
        <v>19026</v>
      </c>
      <c r="R2819" s="446">
        <f>M2819/G2819</f>
        <v>3409.984871406959</v>
      </c>
      <c r="U2819" s="404"/>
      <c r="V2819" s="390"/>
    </row>
    <row r="2820" spans="1:22" s="403" customFormat="1" ht="37.5" customHeight="1">
      <c r="A2820" s="404">
        <f>A2819+1</f>
        <v>24</v>
      </c>
      <c r="B2820" s="403" t="s">
        <v>4148</v>
      </c>
      <c r="C2820" s="455" t="s">
        <v>370</v>
      </c>
      <c r="D2820" s="446">
        <v>2274</v>
      </c>
      <c r="E2820" s="388">
        <v>575</v>
      </c>
      <c r="F2820" s="388" t="s">
        <v>231</v>
      </c>
      <c r="G2820" s="388">
        <v>403</v>
      </c>
      <c r="H2820" s="446">
        <v>2</v>
      </c>
      <c r="I2820" s="446">
        <v>2</v>
      </c>
      <c r="J2820" s="446">
        <v>8</v>
      </c>
      <c r="K2820" s="389" t="s">
        <v>33</v>
      </c>
      <c r="L2820" s="1129">
        <f>M2820+N2820+O2820+P2820+Q2820+M2821+N2821+O2821+P2821+Q2821</f>
        <v>2295377</v>
      </c>
      <c r="M2820" s="519">
        <v>1310400</v>
      </c>
      <c r="N2820" s="388">
        <v>28728</v>
      </c>
      <c r="O2820" s="473"/>
      <c r="P2820" s="388"/>
      <c r="Q2820" s="388">
        <v>11135</v>
      </c>
      <c r="R2820" s="446">
        <f>M2820/G2820</f>
        <v>3251.6129032258063</v>
      </c>
      <c r="U2820" s="404"/>
      <c r="V2820" s="390"/>
    </row>
    <row r="2821" spans="1:22" s="403" customFormat="1" ht="39" customHeight="1">
      <c r="A2821" s="404"/>
      <c r="C2821" s="455"/>
      <c r="D2821" s="446"/>
      <c r="E2821" s="388"/>
      <c r="F2821" s="388"/>
      <c r="G2821" s="388"/>
      <c r="H2821" s="446"/>
      <c r="I2821" s="446"/>
      <c r="J2821" s="446"/>
      <c r="K2821" s="389" t="s">
        <v>38</v>
      </c>
      <c r="L2821" s="1129"/>
      <c r="M2821" s="519">
        <v>918000</v>
      </c>
      <c r="N2821" s="388"/>
      <c r="O2821" s="473">
        <v>12612</v>
      </c>
      <c r="P2821" s="388"/>
      <c r="Q2821" s="388">
        <v>14502</v>
      </c>
      <c r="R2821" s="528">
        <f>M2821/E2820</f>
        <v>1596.5217391304348</v>
      </c>
      <c r="U2821" s="404"/>
      <c r="V2821" s="390"/>
    </row>
    <row r="2822" spans="1:22" s="403" customFormat="1" ht="28.5" customHeight="1">
      <c r="A2822" s="404">
        <v>25</v>
      </c>
      <c r="B2822" s="403" t="s">
        <v>1314</v>
      </c>
      <c r="C2822" s="455" t="s">
        <v>240</v>
      </c>
      <c r="D2822" s="446">
        <v>10262</v>
      </c>
      <c r="E2822" s="388">
        <v>1702</v>
      </c>
      <c r="F2822" s="388" t="s">
        <v>223</v>
      </c>
      <c r="G2822" s="388">
        <v>1194</v>
      </c>
      <c r="H2822" s="446">
        <v>3</v>
      </c>
      <c r="I2822" s="446">
        <v>4</v>
      </c>
      <c r="J2822" s="446">
        <v>21</v>
      </c>
      <c r="K2822" s="389" t="s">
        <v>33</v>
      </c>
      <c r="L2822" s="519">
        <f>M2822+N2822+O2822+P2822+Q2822</f>
        <v>3694411</v>
      </c>
      <c r="M2822" s="519">
        <v>3628800</v>
      </c>
      <c r="N2822" s="388">
        <v>33813</v>
      </c>
      <c r="O2822" s="473"/>
      <c r="P2822" s="388"/>
      <c r="Q2822" s="388">
        <v>31798</v>
      </c>
      <c r="R2822" s="446">
        <f>M2822/G2822</f>
        <v>3039.1959798994976</v>
      </c>
      <c r="U2822" s="404"/>
      <c r="V2822" s="390"/>
    </row>
    <row r="2823" spans="1:22" s="403" customFormat="1" ht="37.5" customHeight="1">
      <c r="A2823" s="404">
        <f>A2822+1</f>
        <v>26</v>
      </c>
      <c r="B2823" s="403" t="s">
        <v>3581</v>
      </c>
      <c r="C2823" s="455" t="s">
        <v>240</v>
      </c>
      <c r="D2823" s="446">
        <v>8994</v>
      </c>
      <c r="E2823" s="388">
        <v>1846.4</v>
      </c>
      <c r="F2823" s="388" t="s">
        <v>223</v>
      </c>
      <c r="G2823" s="388">
        <v>1131</v>
      </c>
      <c r="H2823" s="446">
        <v>3</v>
      </c>
      <c r="I2823" s="446">
        <v>3</v>
      </c>
      <c r="J2823" s="446">
        <v>23</v>
      </c>
      <c r="K2823" s="389" t="s">
        <v>38</v>
      </c>
      <c r="L2823" s="519">
        <f>M2823+N2823+O2823+P2823+Q2823</f>
        <v>3005878</v>
      </c>
      <c r="M2823" s="519">
        <v>2961200</v>
      </c>
      <c r="N2823" s="388"/>
      <c r="O2823" s="473">
        <v>14678</v>
      </c>
      <c r="P2823" s="388"/>
      <c r="Q2823" s="388">
        <v>30000</v>
      </c>
      <c r="R2823" s="528">
        <f>M2823/E2823</f>
        <v>1603.7694974003466</v>
      </c>
      <c r="U2823" s="404"/>
      <c r="V2823" s="390"/>
    </row>
    <row r="2824" spans="1:22" s="403" customFormat="1" ht="37.5" customHeight="1">
      <c r="A2824" s="404">
        <f>A2823+1</f>
        <v>27</v>
      </c>
      <c r="B2824" s="403" t="s">
        <v>3582</v>
      </c>
      <c r="C2824" s="455" t="s">
        <v>240</v>
      </c>
      <c r="D2824" s="446">
        <v>3193</v>
      </c>
      <c r="E2824" s="388">
        <v>784</v>
      </c>
      <c r="F2824" s="388" t="s">
        <v>223</v>
      </c>
      <c r="G2824" s="388">
        <v>867</v>
      </c>
      <c r="H2824" s="446">
        <v>3</v>
      </c>
      <c r="I2824" s="446">
        <v>3</v>
      </c>
      <c r="J2824" s="446">
        <v>18</v>
      </c>
      <c r="K2824" s="389" t="s">
        <v>33</v>
      </c>
      <c r="L2824" s="519">
        <f>M2824+N2824+O2824+P2824+Q2824</f>
        <v>2880799</v>
      </c>
      <c r="M2824" s="519">
        <v>2843836</v>
      </c>
      <c r="N2824" s="388">
        <v>27069</v>
      </c>
      <c r="O2824" s="473"/>
      <c r="P2824" s="388"/>
      <c r="Q2824" s="388">
        <v>9894</v>
      </c>
      <c r="R2824" s="446">
        <f>M2824/G2824</f>
        <v>3280.087658592849</v>
      </c>
      <c r="U2824" s="404"/>
      <c r="V2824" s="390"/>
    </row>
    <row r="2825" spans="1:22" s="403" customFormat="1" ht="42.75" customHeight="1">
      <c r="A2825" s="1112" t="s">
        <v>180</v>
      </c>
      <c r="B2825" s="1112"/>
      <c r="C2825" s="455" t="s">
        <v>28</v>
      </c>
      <c r="D2825" s="388">
        <f>SUM(D2796:D2824)</f>
        <v>485187.5</v>
      </c>
      <c r="E2825" s="388">
        <f>SUM(E2796:E2824)</f>
        <v>79754</v>
      </c>
      <c r="F2825" s="388" t="s">
        <v>28</v>
      </c>
      <c r="G2825" s="388">
        <f>SUM(G2796:G2824)</f>
        <v>28767.859999999997</v>
      </c>
      <c r="H2825" s="446" t="s">
        <v>28</v>
      </c>
      <c r="I2825" s="446" t="s">
        <v>28</v>
      </c>
      <c r="J2825" s="446">
        <f>SUM(J2796:J2824)</f>
        <v>2114</v>
      </c>
      <c r="K2825" s="458" t="s">
        <v>28</v>
      </c>
      <c r="L2825" s="519">
        <f t="shared" ref="L2825:Q2825" si="402">SUM(L2796:L2824)</f>
        <v>108788767.61999999</v>
      </c>
      <c r="M2825" s="519">
        <f t="shared" si="402"/>
        <v>106584425</v>
      </c>
      <c r="N2825" s="388">
        <f t="shared" si="402"/>
        <v>1666681.36</v>
      </c>
      <c r="O2825" s="473">
        <f t="shared" si="402"/>
        <v>112580.42</v>
      </c>
      <c r="P2825" s="388">
        <f t="shared" si="402"/>
        <v>0</v>
      </c>
      <c r="Q2825" s="388">
        <f t="shared" si="402"/>
        <v>425080.84</v>
      </c>
      <c r="R2825" s="446" t="s">
        <v>28</v>
      </c>
      <c r="S2825" s="383">
        <f>L2825-M2825-N2825-O2825-P2825-Q2825</f>
        <v>-1.0244548320770264E-8</v>
      </c>
      <c r="T2825" s="387" t="e">
        <f>'1.перечень МКД'!#REF!</f>
        <v>#REF!</v>
      </c>
      <c r="U2825" s="390" t="e">
        <f>L2825-T2825</f>
        <v>#REF!</v>
      </c>
      <c r="V2825" s="390"/>
    </row>
    <row r="2826" spans="1:22" s="403" customFormat="1" ht="42.75" customHeight="1">
      <c r="A2826" s="1113" t="s">
        <v>183</v>
      </c>
      <c r="B2826" s="1113"/>
      <c r="C2826" s="1113"/>
      <c r="D2826" s="1113"/>
      <c r="E2826" s="1113"/>
      <c r="F2826" s="1113"/>
      <c r="G2826" s="1113"/>
      <c r="H2826" s="1113"/>
      <c r="I2826" s="1113"/>
      <c r="J2826" s="1113"/>
      <c r="K2826" s="1113"/>
      <c r="L2826" s="1113"/>
      <c r="M2826" s="1113"/>
      <c r="N2826" s="1113"/>
      <c r="O2826" s="1113"/>
      <c r="P2826" s="1113"/>
      <c r="Q2826" s="1113"/>
      <c r="R2826" s="458"/>
      <c r="U2826" s="404"/>
      <c r="V2826" s="390"/>
    </row>
    <row r="2827" spans="1:22" s="403" customFormat="1" ht="56.25">
      <c r="A2827" s="404">
        <v>1</v>
      </c>
      <c r="B2827" s="403" t="s">
        <v>2273</v>
      </c>
      <c r="C2827" s="455" t="s">
        <v>306</v>
      </c>
      <c r="D2827" s="446">
        <v>2967</v>
      </c>
      <c r="E2827" s="388">
        <v>617.14</v>
      </c>
      <c r="F2827" s="388" t="s">
        <v>252</v>
      </c>
      <c r="G2827" s="388">
        <v>653.79999999999995</v>
      </c>
      <c r="H2827" s="446">
        <v>2</v>
      </c>
      <c r="I2827" s="446">
        <v>2</v>
      </c>
      <c r="J2827" s="446">
        <v>16</v>
      </c>
      <c r="K2827" s="389" t="s">
        <v>3763</v>
      </c>
      <c r="L2827" s="519">
        <f>M2827+N2827+O2827+P2827+Q2827</f>
        <v>2039570</v>
      </c>
      <c r="M2827" s="519">
        <v>1994944</v>
      </c>
      <c r="N2827" s="388">
        <v>30098</v>
      </c>
      <c r="O2827" s="473"/>
      <c r="P2827" s="388"/>
      <c r="Q2827" s="388">
        <v>14528</v>
      </c>
      <c r="R2827" s="446">
        <f>M2827/G2827</f>
        <v>3051.3062098501073</v>
      </c>
      <c r="U2827" s="404"/>
      <c r="V2827" s="390"/>
    </row>
    <row r="2828" spans="1:22" s="403" customFormat="1" ht="75">
      <c r="A2828" s="404">
        <v>2</v>
      </c>
      <c r="B2828" s="403" t="s">
        <v>3173</v>
      </c>
      <c r="C2828" s="455" t="s">
        <v>306</v>
      </c>
      <c r="D2828" s="446">
        <v>2137</v>
      </c>
      <c r="E2828" s="388">
        <v>494.76</v>
      </c>
      <c r="F2828" s="388" t="s">
        <v>310</v>
      </c>
      <c r="G2828" s="388">
        <v>487.31</v>
      </c>
      <c r="H2828" s="446">
        <v>2</v>
      </c>
      <c r="I2828" s="446">
        <v>2</v>
      </c>
      <c r="J2828" s="446">
        <v>12</v>
      </c>
      <c r="K2828" s="389" t="s">
        <v>4175</v>
      </c>
      <c r="L2828" s="519">
        <f>M2828+N2828+O2828+P2828+Q2828</f>
        <v>1395313</v>
      </c>
      <c r="M2828" s="519">
        <v>1350313</v>
      </c>
      <c r="N2828" s="388">
        <v>25000</v>
      </c>
      <c r="O2828" s="473"/>
      <c r="P2828" s="388"/>
      <c r="Q2828" s="388">
        <v>20000</v>
      </c>
      <c r="R2828" s="446">
        <f>M2828/G2828</f>
        <v>2770.95278159693</v>
      </c>
      <c r="U2828" s="404"/>
      <c r="V2828" s="390"/>
    </row>
    <row r="2829" spans="1:22" s="403" customFormat="1" ht="56.25">
      <c r="A2829" s="404">
        <v>3</v>
      </c>
      <c r="B2829" s="403" t="s">
        <v>2275</v>
      </c>
      <c r="C2829" s="455" t="s">
        <v>306</v>
      </c>
      <c r="D2829" s="446">
        <v>4260</v>
      </c>
      <c r="E2829" s="388">
        <v>794.6</v>
      </c>
      <c r="F2829" s="388" t="s">
        <v>252</v>
      </c>
      <c r="G2829" s="388">
        <v>360.13</v>
      </c>
      <c r="H2829" s="446">
        <v>2</v>
      </c>
      <c r="I2829" s="446">
        <v>2</v>
      </c>
      <c r="J2829" s="446">
        <v>8</v>
      </c>
      <c r="K2829" s="389" t="s">
        <v>3763</v>
      </c>
      <c r="L2829" s="519">
        <f>M2829+N2829+O2829+P2829+Q2829</f>
        <v>1114353.3999999999</v>
      </c>
      <c r="M2829" s="519">
        <v>1061460.3999999999</v>
      </c>
      <c r="N2829" s="388">
        <v>32033</v>
      </c>
      <c r="O2829" s="473"/>
      <c r="P2829" s="388"/>
      <c r="Q2829" s="388">
        <v>20860</v>
      </c>
      <c r="R2829" s="446">
        <f>M2829/G2829</f>
        <v>2947.4367589481576</v>
      </c>
      <c r="U2829" s="404"/>
      <c r="V2829" s="390"/>
    </row>
    <row r="2830" spans="1:22" s="403" customFormat="1" ht="42.75" customHeight="1">
      <c r="A2830" s="1112" t="s">
        <v>184</v>
      </c>
      <c r="B2830" s="1112"/>
      <c r="C2830" s="455" t="s">
        <v>28</v>
      </c>
      <c r="D2830" s="388">
        <f>SUM(D2827)</f>
        <v>2967</v>
      </c>
      <c r="E2830" s="388">
        <f>SUM(E2827:E2829)</f>
        <v>1906.5</v>
      </c>
      <c r="F2830" s="388" t="s">
        <v>28</v>
      </c>
      <c r="G2830" s="388">
        <f>SUM(G2827:G2829)</f>
        <v>1501.2399999999998</v>
      </c>
      <c r="H2830" s="446" t="s">
        <v>28</v>
      </c>
      <c r="I2830" s="446" t="s">
        <v>28</v>
      </c>
      <c r="J2830" s="446">
        <f>SUM(J2827:J2829)</f>
        <v>36</v>
      </c>
      <c r="K2830" s="458" t="s">
        <v>28</v>
      </c>
      <c r="L2830" s="519">
        <f t="shared" ref="L2830:Q2830" si="403">SUM(L2827:L2829)</f>
        <v>4549236.4000000004</v>
      </c>
      <c r="M2830" s="519">
        <f t="shared" si="403"/>
        <v>4406717.4000000004</v>
      </c>
      <c r="N2830" s="388">
        <f t="shared" si="403"/>
        <v>87131</v>
      </c>
      <c r="O2830" s="473">
        <f t="shared" si="403"/>
        <v>0</v>
      </c>
      <c r="P2830" s="388">
        <f t="shared" si="403"/>
        <v>0</v>
      </c>
      <c r="Q2830" s="388">
        <f t="shared" si="403"/>
        <v>55388</v>
      </c>
      <c r="R2830" s="446" t="s">
        <v>28</v>
      </c>
      <c r="S2830" s="383">
        <f>L2830-M2830-N2830-O2830-P2830-Q2830</f>
        <v>0</v>
      </c>
      <c r="T2830" s="387" t="e">
        <f>'1.перечень МКД'!#REF!</f>
        <v>#REF!</v>
      </c>
      <c r="U2830" s="390" t="e">
        <f>L2830-T2830</f>
        <v>#REF!</v>
      </c>
      <c r="V2830" s="390"/>
    </row>
    <row r="2831" spans="1:22" s="403" customFormat="1" ht="42.75" customHeight="1">
      <c r="A2831" s="1113" t="s">
        <v>185</v>
      </c>
      <c r="B2831" s="1113"/>
      <c r="C2831" s="1113"/>
      <c r="D2831" s="1113"/>
      <c r="E2831" s="1113"/>
      <c r="F2831" s="1113"/>
      <c r="G2831" s="1113"/>
      <c r="H2831" s="1113"/>
      <c r="I2831" s="1113"/>
      <c r="J2831" s="1113"/>
      <c r="K2831" s="1113"/>
      <c r="L2831" s="1113"/>
      <c r="M2831" s="1113"/>
      <c r="N2831" s="1113"/>
      <c r="O2831" s="1113"/>
      <c r="P2831" s="1113"/>
      <c r="Q2831" s="1113"/>
      <c r="R2831" s="458"/>
      <c r="U2831" s="404"/>
      <c r="V2831" s="390"/>
    </row>
    <row r="2832" spans="1:22" s="403" customFormat="1" ht="37.5">
      <c r="A2832" s="506">
        <v>1</v>
      </c>
      <c r="B2832" s="543" t="s">
        <v>2276</v>
      </c>
      <c r="C2832" s="531" t="s">
        <v>324</v>
      </c>
      <c r="D2832" s="455">
        <v>4349</v>
      </c>
      <c r="E2832" s="388"/>
      <c r="F2832" s="388" t="s">
        <v>223</v>
      </c>
      <c r="G2832" s="388">
        <v>620</v>
      </c>
      <c r="H2832" s="446">
        <v>3</v>
      </c>
      <c r="I2832" s="446">
        <v>2</v>
      </c>
      <c r="J2832" s="446">
        <v>18</v>
      </c>
      <c r="K2832" s="458" t="s">
        <v>33</v>
      </c>
      <c r="L2832" s="519">
        <f>M2832+N2832+O2832+P2832+Q2832</f>
        <v>2201457</v>
      </c>
      <c r="M2832" s="677">
        <v>2152400</v>
      </c>
      <c r="N2832" s="675">
        <v>27762</v>
      </c>
      <c r="O2832" s="678"/>
      <c r="P2832" s="675"/>
      <c r="Q2832" s="388">
        <v>21295</v>
      </c>
      <c r="R2832" s="676">
        <f>M2832/G2832</f>
        <v>3471.6129032258063</v>
      </c>
      <c r="U2832" s="404"/>
      <c r="V2832" s="390"/>
    </row>
    <row r="2833" spans="1:22" s="403" customFormat="1" ht="42.75" customHeight="1">
      <c r="A2833" s="1112" t="s">
        <v>186</v>
      </c>
      <c r="B2833" s="1112"/>
      <c r="C2833" s="455" t="s">
        <v>28</v>
      </c>
      <c r="D2833" s="388">
        <f>SUM(C2832)</f>
        <v>0</v>
      </c>
      <c r="E2833" s="388">
        <f t="shared" ref="E2833:J2833" si="404">SUM(E2832)</f>
        <v>0</v>
      </c>
      <c r="F2833" s="388" t="s">
        <v>28</v>
      </c>
      <c r="G2833" s="388">
        <f t="shared" si="404"/>
        <v>620</v>
      </c>
      <c r="H2833" s="446" t="s">
        <v>28</v>
      </c>
      <c r="I2833" s="446" t="s">
        <v>28</v>
      </c>
      <c r="J2833" s="446">
        <f t="shared" si="404"/>
        <v>18</v>
      </c>
      <c r="K2833" s="458" t="s">
        <v>28</v>
      </c>
      <c r="L2833" s="519">
        <f t="shared" ref="L2833:Q2833" si="405">SUM(L2832)</f>
        <v>2201457</v>
      </c>
      <c r="M2833" s="519">
        <f t="shared" si="405"/>
        <v>2152400</v>
      </c>
      <c r="N2833" s="388">
        <f t="shared" si="405"/>
        <v>27762</v>
      </c>
      <c r="O2833" s="388">
        <f t="shared" si="405"/>
        <v>0</v>
      </c>
      <c r="P2833" s="388">
        <f t="shared" si="405"/>
        <v>0</v>
      </c>
      <c r="Q2833" s="388">
        <f t="shared" si="405"/>
        <v>21295</v>
      </c>
      <c r="R2833" s="446" t="s">
        <v>28</v>
      </c>
      <c r="S2833" s="383">
        <f>L2833-M2833-N2833-O2833-P2833-Q2833</f>
        <v>0</v>
      </c>
      <c r="T2833" s="387" t="e">
        <f>'1.перечень МКД'!#REF!</f>
        <v>#REF!</v>
      </c>
      <c r="U2833" s="390" t="e">
        <f>L2833-T2833</f>
        <v>#REF!</v>
      </c>
      <c r="V2833" s="390"/>
    </row>
    <row r="2834" spans="1:22" s="403" customFormat="1" ht="42.75" customHeight="1">
      <c r="A2834" s="1113" t="s">
        <v>187</v>
      </c>
      <c r="B2834" s="1113"/>
      <c r="C2834" s="1113"/>
      <c r="D2834" s="1113"/>
      <c r="E2834" s="1113"/>
      <c r="F2834" s="1113"/>
      <c r="G2834" s="1113"/>
      <c r="H2834" s="1113"/>
      <c r="I2834" s="1113"/>
      <c r="J2834" s="1113"/>
      <c r="K2834" s="1113"/>
      <c r="L2834" s="1113"/>
      <c r="M2834" s="1113"/>
      <c r="N2834" s="1113"/>
      <c r="O2834" s="1113"/>
      <c r="P2834" s="1113"/>
      <c r="Q2834" s="1113"/>
      <c r="R2834" s="458"/>
      <c r="U2834" s="404"/>
      <c r="V2834" s="390"/>
    </row>
    <row r="2835" spans="1:22" s="403" customFormat="1" ht="37.5">
      <c r="A2835" s="506">
        <v>1</v>
      </c>
      <c r="B2835" s="403" t="s">
        <v>4266</v>
      </c>
      <c r="C2835" s="780" t="s">
        <v>240</v>
      </c>
      <c r="D2835" s="780"/>
      <c r="E2835" s="781">
        <v>643.20000000000005</v>
      </c>
      <c r="F2835" s="781" t="s">
        <v>4267</v>
      </c>
      <c r="G2835" s="388">
        <v>605</v>
      </c>
      <c r="H2835" s="446">
        <v>2</v>
      </c>
      <c r="I2835" s="446">
        <v>1</v>
      </c>
      <c r="J2835" s="446">
        <v>17</v>
      </c>
      <c r="K2835" s="458" t="s">
        <v>38</v>
      </c>
      <c r="L2835" s="519">
        <f>M2835+N2835+O2835+P2835+Q2835</f>
        <v>1065662</v>
      </c>
      <c r="M2835" s="675">
        <v>1062000</v>
      </c>
      <c r="N2835" s="675"/>
      <c r="O2835" s="473">
        <v>3662</v>
      </c>
      <c r="P2835" s="675"/>
      <c r="Q2835" s="388"/>
      <c r="R2835" s="528">
        <f>M2835/E2835</f>
        <v>1651.1194029850744</v>
      </c>
      <c r="U2835" s="404"/>
      <c r="V2835" s="390"/>
    </row>
    <row r="2836" spans="1:22" s="403" customFormat="1" ht="42.75" customHeight="1">
      <c r="A2836" s="1112" t="s">
        <v>188</v>
      </c>
      <c r="B2836" s="1112"/>
      <c r="C2836" s="455" t="s">
        <v>28</v>
      </c>
      <c r="D2836" s="388">
        <f>SUM(D2835:D2835)</f>
        <v>0</v>
      </c>
      <c r="E2836" s="388">
        <f>SUM(E2835:E2835)</f>
        <v>643.20000000000005</v>
      </c>
      <c r="F2836" s="388" t="s">
        <v>28</v>
      </c>
      <c r="G2836" s="388">
        <f>SUM(G2835:G2835)</f>
        <v>605</v>
      </c>
      <c r="H2836" s="446" t="s">
        <v>28</v>
      </c>
      <c r="I2836" s="446" t="s">
        <v>28</v>
      </c>
      <c r="J2836" s="446">
        <f>SUM(J2835:J2835)</f>
        <v>17</v>
      </c>
      <c r="K2836" s="458" t="s">
        <v>28</v>
      </c>
      <c r="L2836" s="519">
        <f t="shared" ref="L2836:Q2836" si="406">SUM(L2835:L2835)</f>
        <v>1065662</v>
      </c>
      <c r="M2836" s="388">
        <f t="shared" si="406"/>
        <v>1062000</v>
      </c>
      <c r="N2836" s="388">
        <f t="shared" si="406"/>
        <v>0</v>
      </c>
      <c r="O2836" s="473">
        <f t="shared" si="406"/>
        <v>3662</v>
      </c>
      <c r="P2836" s="388">
        <f t="shared" si="406"/>
        <v>0</v>
      </c>
      <c r="Q2836" s="388">
        <f t="shared" si="406"/>
        <v>0</v>
      </c>
      <c r="R2836" s="446" t="s">
        <v>28</v>
      </c>
      <c r="S2836" s="383">
        <f>L2836-M2836-N2836-O2836-P2836-Q2836</f>
        <v>0</v>
      </c>
      <c r="T2836" s="387" t="e">
        <f>'1.перечень МКД'!#REF!</f>
        <v>#REF!</v>
      </c>
      <c r="U2836" s="390" t="e">
        <f>L2836-T2836</f>
        <v>#REF!</v>
      </c>
      <c r="V2836" s="390"/>
    </row>
    <row r="2837" spans="1:22" s="403" customFormat="1" ht="42.75" customHeight="1">
      <c r="A2837" s="1113" t="s">
        <v>189</v>
      </c>
      <c r="B2837" s="1113"/>
      <c r="C2837" s="1113"/>
      <c r="D2837" s="1113"/>
      <c r="E2837" s="1113"/>
      <c r="F2837" s="1113"/>
      <c r="G2837" s="1113"/>
      <c r="H2837" s="1113"/>
      <c r="I2837" s="1113"/>
      <c r="J2837" s="1113"/>
      <c r="K2837" s="1113"/>
      <c r="L2837" s="1113"/>
      <c r="M2837" s="1113"/>
      <c r="N2837" s="1113"/>
      <c r="O2837" s="1113"/>
      <c r="P2837" s="1113"/>
      <c r="Q2837" s="1113"/>
      <c r="R2837" s="458"/>
      <c r="U2837" s="404"/>
      <c r="V2837" s="390"/>
    </row>
    <row r="2838" spans="1:22" s="403" customFormat="1" ht="37.5">
      <c r="A2838" s="506">
        <v>1</v>
      </c>
      <c r="B2838" s="543" t="s">
        <v>2283</v>
      </c>
      <c r="C2838" s="531" t="s">
        <v>222</v>
      </c>
      <c r="D2838" s="455">
        <v>34600</v>
      </c>
      <c r="E2838" s="388">
        <v>3673.7</v>
      </c>
      <c r="F2838" s="388" t="s">
        <v>234</v>
      </c>
      <c r="G2838" s="388">
        <v>1384</v>
      </c>
      <c r="H2838" s="446">
        <v>9</v>
      </c>
      <c r="I2838" s="446">
        <v>2</v>
      </c>
      <c r="J2838" s="446">
        <v>64</v>
      </c>
      <c r="K2838" s="458" t="s">
        <v>220</v>
      </c>
      <c r="L2838" s="519">
        <f t="shared" ref="L2838:L2850" si="407">SUM(M2838:Q2838)</f>
        <v>4327710</v>
      </c>
      <c r="M2838" s="677">
        <v>4221460</v>
      </c>
      <c r="N2838" s="675">
        <v>106250</v>
      </c>
      <c r="O2838" s="678"/>
      <c r="P2838" s="675"/>
      <c r="Q2838" s="388"/>
      <c r="R2838" s="446">
        <f t="shared" ref="R2838:R2844" si="408">M2838/I2838</f>
        <v>2110730</v>
      </c>
      <c r="S2838" s="383">
        <f t="shared" ref="S2838:S2843" si="409">L2838-M2838-N2838-O2838-P2838-Q2838</f>
        <v>0</v>
      </c>
      <c r="U2838" s="404"/>
      <c r="V2838" s="390"/>
    </row>
    <row r="2839" spans="1:22" s="403" customFormat="1" ht="37.5">
      <c r="A2839" s="506">
        <f t="shared" ref="A2839:A2845" si="410">A2838+1</f>
        <v>2</v>
      </c>
      <c r="B2839" s="543" t="s">
        <v>2284</v>
      </c>
      <c r="C2839" s="531" t="s">
        <v>222</v>
      </c>
      <c r="D2839" s="455">
        <v>34600</v>
      </c>
      <c r="E2839" s="388">
        <v>3315</v>
      </c>
      <c r="F2839" s="388" t="s">
        <v>234</v>
      </c>
      <c r="G2839" s="388">
        <v>692</v>
      </c>
      <c r="H2839" s="446">
        <v>9</v>
      </c>
      <c r="I2839" s="446">
        <v>2</v>
      </c>
      <c r="J2839" s="446">
        <v>63</v>
      </c>
      <c r="K2839" s="458" t="s">
        <v>220</v>
      </c>
      <c r="L2839" s="519">
        <f t="shared" si="407"/>
        <v>4383720</v>
      </c>
      <c r="M2839" s="677">
        <v>4277470</v>
      </c>
      <c r="N2839" s="675">
        <v>106250</v>
      </c>
      <c r="O2839" s="678"/>
      <c r="P2839" s="675"/>
      <c r="Q2839" s="388"/>
      <c r="R2839" s="446">
        <f t="shared" si="408"/>
        <v>2138735</v>
      </c>
      <c r="S2839" s="383">
        <f t="shared" si="409"/>
        <v>0</v>
      </c>
      <c r="U2839" s="404"/>
      <c r="V2839" s="390"/>
    </row>
    <row r="2840" spans="1:22" s="403" customFormat="1" ht="37.5">
      <c r="A2840" s="506">
        <f t="shared" si="410"/>
        <v>3</v>
      </c>
      <c r="B2840" s="543" t="s">
        <v>2288</v>
      </c>
      <c r="C2840" s="531" t="s">
        <v>218</v>
      </c>
      <c r="D2840" s="455">
        <v>39300</v>
      </c>
      <c r="E2840" s="388">
        <v>7960.9</v>
      </c>
      <c r="F2840" s="388" t="s">
        <v>234</v>
      </c>
      <c r="G2840" s="388">
        <v>1870</v>
      </c>
      <c r="H2840" s="446">
        <v>9</v>
      </c>
      <c r="I2840" s="446">
        <v>5</v>
      </c>
      <c r="J2840" s="446">
        <v>189</v>
      </c>
      <c r="K2840" s="458" t="s">
        <v>220</v>
      </c>
      <c r="L2840" s="519">
        <f t="shared" si="407"/>
        <v>10673220</v>
      </c>
      <c r="M2840" s="677">
        <v>10503220</v>
      </c>
      <c r="N2840" s="675">
        <v>170000</v>
      </c>
      <c r="O2840" s="678"/>
      <c r="P2840" s="675"/>
      <c r="Q2840" s="388"/>
      <c r="R2840" s="446">
        <f t="shared" si="408"/>
        <v>2100644</v>
      </c>
      <c r="S2840" s="383">
        <f t="shared" si="409"/>
        <v>0</v>
      </c>
      <c r="U2840" s="404"/>
      <c r="V2840" s="390"/>
    </row>
    <row r="2841" spans="1:22" s="403" customFormat="1" ht="37.5">
      <c r="A2841" s="506">
        <f t="shared" si="410"/>
        <v>4</v>
      </c>
      <c r="B2841" s="543" t="s">
        <v>2289</v>
      </c>
      <c r="C2841" s="531" t="s">
        <v>218</v>
      </c>
      <c r="D2841" s="455">
        <v>39150</v>
      </c>
      <c r="E2841" s="388">
        <v>4893.1000000000004</v>
      </c>
      <c r="F2841" s="388" t="s">
        <v>234</v>
      </c>
      <c r="G2841" s="388">
        <v>1450</v>
      </c>
      <c r="H2841" s="446">
        <v>9</v>
      </c>
      <c r="I2841" s="446">
        <v>4</v>
      </c>
      <c r="J2841" s="446">
        <v>153</v>
      </c>
      <c r="K2841" s="458" t="s">
        <v>220</v>
      </c>
      <c r="L2841" s="519">
        <f t="shared" si="407"/>
        <v>8559310</v>
      </c>
      <c r="M2841" s="677">
        <v>8410560</v>
      </c>
      <c r="N2841" s="675">
        <v>148750</v>
      </c>
      <c r="O2841" s="678"/>
      <c r="P2841" s="675"/>
      <c r="Q2841" s="388"/>
      <c r="R2841" s="446">
        <f t="shared" si="408"/>
        <v>2102640</v>
      </c>
      <c r="S2841" s="383">
        <f t="shared" si="409"/>
        <v>0</v>
      </c>
      <c r="U2841" s="404"/>
      <c r="V2841" s="390"/>
    </row>
    <row r="2842" spans="1:22" s="403" customFormat="1" ht="37.5">
      <c r="A2842" s="506">
        <f t="shared" si="410"/>
        <v>5</v>
      </c>
      <c r="B2842" s="543" t="s">
        <v>2290</v>
      </c>
      <c r="C2842" s="531" t="s">
        <v>218</v>
      </c>
      <c r="D2842" s="455">
        <v>36207</v>
      </c>
      <c r="E2842" s="388">
        <v>3719.83</v>
      </c>
      <c r="F2842" s="388" t="s">
        <v>234</v>
      </c>
      <c r="G2842" s="388">
        <v>1341</v>
      </c>
      <c r="H2842" s="446">
        <v>9</v>
      </c>
      <c r="I2842" s="446">
        <v>4</v>
      </c>
      <c r="J2842" s="446">
        <v>145</v>
      </c>
      <c r="K2842" s="458" t="s">
        <v>220</v>
      </c>
      <c r="L2842" s="519">
        <f t="shared" si="407"/>
        <v>8510910</v>
      </c>
      <c r="M2842" s="677">
        <v>8362160</v>
      </c>
      <c r="N2842" s="675">
        <v>148750</v>
      </c>
      <c r="O2842" s="678"/>
      <c r="P2842" s="675"/>
      <c r="Q2842" s="388"/>
      <c r="R2842" s="446">
        <f t="shared" si="408"/>
        <v>2090540</v>
      </c>
      <c r="S2842" s="383">
        <f t="shared" si="409"/>
        <v>0</v>
      </c>
      <c r="U2842" s="404"/>
      <c r="V2842" s="390"/>
    </row>
    <row r="2843" spans="1:22" s="403" customFormat="1" ht="37.5">
      <c r="A2843" s="506">
        <f t="shared" si="410"/>
        <v>6</v>
      </c>
      <c r="B2843" s="543" t="s">
        <v>2291</v>
      </c>
      <c r="C2843" s="531" t="s">
        <v>218</v>
      </c>
      <c r="D2843" s="455">
        <v>49300</v>
      </c>
      <c r="E2843" s="388">
        <v>8497.1</v>
      </c>
      <c r="F2843" s="388" t="s">
        <v>234</v>
      </c>
      <c r="G2843" s="388">
        <v>1929</v>
      </c>
      <c r="H2843" s="446">
        <v>9</v>
      </c>
      <c r="I2843" s="446">
        <v>6</v>
      </c>
      <c r="J2843" s="446">
        <v>225</v>
      </c>
      <c r="K2843" s="458" t="s">
        <v>220</v>
      </c>
      <c r="L2843" s="519">
        <f t="shared" si="407"/>
        <v>12775810</v>
      </c>
      <c r="M2843" s="677">
        <v>12584560</v>
      </c>
      <c r="N2843" s="675">
        <v>191250</v>
      </c>
      <c r="O2843" s="678"/>
      <c r="P2843" s="675"/>
      <c r="Q2843" s="388"/>
      <c r="R2843" s="446">
        <f t="shared" si="408"/>
        <v>2097426.6666666665</v>
      </c>
      <c r="S2843" s="383">
        <f t="shared" si="409"/>
        <v>0</v>
      </c>
      <c r="U2843" s="404"/>
      <c r="V2843" s="390"/>
    </row>
    <row r="2844" spans="1:22" s="403" customFormat="1" ht="58.5" customHeight="1">
      <c r="A2844" s="506">
        <f t="shared" si="410"/>
        <v>7</v>
      </c>
      <c r="B2844" s="543" t="s">
        <v>4173</v>
      </c>
      <c r="C2844" s="531" t="s">
        <v>222</v>
      </c>
      <c r="D2844" s="455">
        <v>33794</v>
      </c>
      <c r="E2844" s="388">
        <v>4560.3</v>
      </c>
      <c r="F2844" s="388" t="s">
        <v>234</v>
      </c>
      <c r="G2844" s="388">
        <v>1020</v>
      </c>
      <c r="H2844" s="446">
        <v>9</v>
      </c>
      <c r="I2844" s="446">
        <v>1</v>
      </c>
      <c r="J2844" s="446">
        <v>171</v>
      </c>
      <c r="K2844" s="458" t="s">
        <v>220</v>
      </c>
      <c r="L2844" s="519">
        <f t="shared" si="407"/>
        <v>2223120</v>
      </c>
      <c r="M2844" s="677">
        <v>2138120</v>
      </c>
      <c r="N2844" s="675">
        <v>85000</v>
      </c>
      <c r="O2844" s="678"/>
      <c r="P2844" s="675"/>
      <c r="Q2844" s="388"/>
      <c r="R2844" s="446">
        <f t="shared" si="408"/>
        <v>2138120</v>
      </c>
      <c r="S2844" s="383"/>
      <c r="U2844" s="404"/>
      <c r="V2844" s="390"/>
    </row>
    <row r="2845" spans="1:22" s="403" customFormat="1" ht="37.5">
      <c r="A2845" s="506">
        <f t="shared" si="410"/>
        <v>8</v>
      </c>
      <c r="B2845" s="543" t="s">
        <v>2278</v>
      </c>
      <c r="C2845" s="531" t="s">
        <v>222</v>
      </c>
      <c r="D2845" s="455">
        <v>14458</v>
      </c>
      <c r="E2845" s="388">
        <v>2399.8000000000002</v>
      </c>
      <c r="F2845" s="388" t="s">
        <v>234</v>
      </c>
      <c r="G2845" s="388">
        <v>1092.5</v>
      </c>
      <c r="H2845" s="446">
        <v>5</v>
      </c>
      <c r="I2845" s="446">
        <v>5</v>
      </c>
      <c r="J2845" s="446">
        <v>53</v>
      </c>
      <c r="K2845" s="458" t="s">
        <v>225</v>
      </c>
      <c r="L2845" s="519">
        <f t="shared" si="407"/>
        <v>1681414.7</v>
      </c>
      <c r="M2845" s="677">
        <v>1629199</v>
      </c>
      <c r="N2845" s="675">
        <v>33218</v>
      </c>
      <c r="O2845" s="678"/>
      <c r="P2845" s="675"/>
      <c r="Q2845" s="388">
        <v>18997.7</v>
      </c>
      <c r="R2845" s="676">
        <f>M2845/J2845</f>
        <v>30739.603773584906</v>
      </c>
      <c r="S2845" s="383">
        <f t="shared" ref="S2845:S2871" si="411">L2845-M2845-N2845-O2845-P2845-Q2845</f>
        <v>-4.7293724492192268E-11</v>
      </c>
      <c r="U2845" s="404"/>
      <c r="V2845" s="390"/>
    </row>
    <row r="2846" spans="1:22" s="403" customFormat="1" ht="37.5">
      <c r="A2846" s="506">
        <f>A2845+1</f>
        <v>9</v>
      </c>
      <c r="B2846" s="543" t="s">
        <v>2279</v>
      </c>
      <c r="C2846" s="531" t="s">
        <v>222</v>
      </c>
      <c r="D2846" s="455">
        <v>40038</v>
      </c>
      <c r="E2846" s="388">
        <v>13314.4</v>
      </c>
      <c r="F2846" s="388" t="s">
        <v>234</v>
      </c>
      <c r="G2846" s="388">
        <v>2994</v>
      </c>
      <c r="H2846" s="446">
        <v>5</v>
      </c>
      <c r="I2846" s="446">
        <v>14</v>
      </c>
      <c r="J2846" s="446">
        <v>199</v>
      </c>
      <c r="K2846" s="458" t="s">
        <v>225</v>
      </c>
      <c r="L2846" s="519">
        <f t="shared" si="407"/>
        <v>4440910.8499999996</v>
      </c>
      <c r="M2846" s="677">
        <v>4378000</v>
      </c>
      <c r="N2846" s="675">
        <v>43010.85</v>
      </c>
      <c r="O2846" s="678"/>
      <c r="P2846" s="675"/>
      <c r="Q2846" s="388">
        <v>19900</v>
      </c>
      <c r="R2846" s="676">
        <f>M2846/J2846</f>
        <v>22000</v>
      </c>
      <c r="S2846" s="383">
        <f t="shared" si="411"/>
        <v>-3.7107383832335472E-10</v>
      </c>
      <c r="U2846" s="404"/>
      <c r="V2846" s="390"/>
    </row>
    <row r="2847" spans="1:22" s="403" customFormat="1" ht="37.5">
      <c r="A2847" s="506">
        <f t="shared" ref="A2847:A2857" si="412">A2846+1</f>
        <v>10</v>
      </c>
      <c r="B2847" s="543" t="s">
        <v>2280</v>
      </c>
      <c r="C2847" s="531" t="s">
        <v>222</v>
      </c>
      <c r="D2847" s="455">
        <v>5197</v>
      </c>
      <c r="E2847" s="388">
        <v>792</v>
      </c>
      <c r="F2847" s="388" t="s">
        <v>229</v>
      </c>
      <c r="G2847" s="388">
        <v>777</v>
      </c>
      <c r="H2847" s="446">
        <v>3</v>
      </c>
      <c r="I2847" s="446">
        <v>2</v>
      </c>
      <c r="J2847" s="446">
        <v>30</v>
      </c>
      <c r="K2847" s="458" t="s">
        <v>225</v>
      </c>
      <c r="L2847" s="519">
        <f t="shared" si="407"/>
        <v>802730.76</v>
      </c>
      <c r="M2847" s="677">
        <v>776225</v>
      </c>
      <c r="N2847" s="675">
        <v>21851</v>
      </c>
      <c r="O2847" s="678"/>
      <c r="P2847" s="675"/>
      <c r="Q2847" s="388">
        <v>4654.76</v>
      </c>
      <c r="R2847" s="676">
        <f>M2847/J2847</f>
        <v>25874.166666666668</v>
      </c>
      <c r="S2847" s="383">
        <f t="shared" si="411"/>
        <v>9.0949470177292824E-12</v>
      </c>
      <c r="U2847" s="404"/>
      <c r="V2847" s="390"/>
    </row>
    <row r="2848" spans="1:22" s="403" customFormat="1" ht="37.5">
      <c r="A2848" s="506">
        <f t="shared" si="412"/>
        <v>11</v>
      </c>
      <c r="B2848" s="543" t="s">
        <v>2282</v>
      </c>
      <c r="C2848" s="531" t="s">
        <v>222</v>
      </c>
      <c r="D2848" s="455">
        <v>2430</v>
      </c>
      <c r="E2848" s="388" t="s">
        <v>325</v>
      </c>
      <c r="F2848" s="388" t="s">
        <v>252</v>
      </c>
      <c r="G2848" s="388">
        <v>350</v>
      </c>
      <c r="H2848" s="446">
        <v>2</v>
      </c>
      <c r="I2848" s="446">
        <v>1</v>
      </c>
      <c r="J2848" s="446">
        <v>6</v>
      </c>
      <c r="K2848" s="458" t="s">
        <v>308</v>
      </c>
      <c r="L2848" s="519">
        <f t="shared" si="407"/>
        <v>1147500.49</v>
      </c>
      <c r="M2848" s="677">
        <v>1106535</v>
      </c>
      <c r="N2848" s="675">
        <v>29126</v>
      </c>
      <c r="O2848" s="678"/>
      <c r="P2848" s="675"/>
      <c r="Q2848" s="388">
        <v>11839.49</v>
      </c>
      <c r="R2848" s="676">
        <f>M2848/G2848</f>
        <v>3161.5285714285715</v>
      </c>
      <c r="S2848" s="383">
        <f t="shared" si="411"/>
        <v>0</v>
      </c>
      <c r="U2848" s="404"/>
      <c r="V2848" s="390"/>
    </row>
    <row r="2849" spans="1:22" s="403" customFormat="1" ht="37.5">
      <c r="A2849" s="506">
        <f t="shared" si="412"/>
        <v>12</v>
      </c>
      <c r="B2849" s="543" t="s">
        <v>2285</v>
      </c>
      <c r="C2849" s="531" t="s">
        <v>222</v>
      </c>
      <c r="D2849" s="455">
        <v>14611</v>
      </c>
      <c r="E2849" s="388">
        <v>1343</v>
      </c>
      <c r="F2849" s="388" t="s">
        <v>234</v>
      </c>
      <c r="G2849" s="388">
        <v>1085</v>
      </c>
      <c r="H2849" s="446">
        <v>5</v>
      </c>
      <c r="I2849" s="446">
        <v>4</v>
      </c>
      <c r="J2849" s="446">
        <v>68</v>
      </c>
      <c r="K2849" s="458" t="s">
        <v>308</v>
      </c>
      <c r="L2849" s="519">
        <f t="shared" si="407"/>
        <v>2621676</v>
      </c>
      <c r="M2849" s="677">
        <v>2580139</v>
      </c>
      <c r="N2849" s="675"/>
      <c r="O2849" s="678">
        <v>21637</v>
      </c>
      <c r="P2849" s="675"/>
      <c r="Q2849" s="388">
        <v>19900</v>
      </c>
      <c r="R2849" s="676">
        <f>M2849/G2849</f>
        <v>2378.0082949308758</v>
      </c>
      <c r="S2849" s="383">
        <f t="shared" si="411"/>
        <v>0</v>
      </c>
      <c r="U2849" s="404"/>
      <c r="V2849" s="390"/>
    </row>
    <row r="2850" spans="1:22" s="403" customFormat="1" ht="37.5">
      <c r="A2850" s="506">
        <f t="shared" si="412"/>
        <v>13</v>
      </c>
      <c r="B2850" s="543" t="s">
        <v>2286</v>
      </c>
      <c r="C2850" s="531" t="s">
        <v>222</v>
      </c>
      <c r="D2850" s="455">
        <v>18340</v>
      </c>
      <c r="E2850" s="388">
        <v>3549</v>
      </c>
      <c r="F2850" s="388" t="s">
        <v>234</v>
      </c>
      <c r="G2850" s="388">
        <v>1247</v>
      </c>
      <c r="H2850" s="446">
        <v>5</v>
      </c>
      <c r="I2850" s="446">
        <v>6</v>
      </c>
      <c r="J2850" s="446">
        <v>105</v>
      </c>
      <c r="K2850" s="458" t="s">
        <v>225</v>
      </c>
      <c r="L2850" s="519">
        <f t="shared" si="407"/>
        <v>1852822.4700000002</v>
      </c>
      <c r="M2850" s="677">
        <v>1800000</v>
      </c>
      <c r="N2850" s="675">
        <v>34553.360000000001</v>
      </c>
      <c r="O2850" s="678"/>
      <c r="P2850" s="675"/>
      <c r="Q2850" s="388">
        <v>18269.11</v>
      </c>
      <c r="R2850" s="676">
        <f>M2850/J2850</f>
        <v>17142.857142857141</v>
      </c>
      <c r="S2850" s="383">
        <f t="shared" si="411"/>
        <v>2.0372681319713593E-10</v>
      </c>
      <c r="U2850" s="404"/>
      <c r="V2850" s="390"/>
    </row>
    <row r="2851" spans="1:22" s="403" customFormat="1" ht="37.5">
      <c r="A2851" s="506">
        <f t="shared" si="412"/>
        <v>14</v>
      </c>
      <c r="B2851" s="543" t="s">
        <v>2287</v>
      </c>
      <c r="C2851" s="531" t="s">
        <v>222</v>
      </c>
      <c r="D2851" s="455">
        <v>33793</v>
      </c>
      <c r="E2851" s="388">
        <v>3482.14</v>
      </c>
      <c r="F2851" s="388" t="s">
        <v>224</v>
      </c>
      <c r="G2851" s="388">
        <v>1341</v>
      </c>
      <c r="H2851" s="446">
        <v>9</v>
      </c>
      <c r="I2851" s="446">
        <v>2</v>
      </c>
      <c r="J2851" s="446">
        <v>72</v>
      </c>
      <c r="K2851" s="458" t="s">
        <v>308</v>
      </c>
      <c r="L2851" s="519">
        <f>M2851+N2851+O2851+P2851+Q2851</f>
        <v>3634091</v>
      </c>
      <c r="M2851" s="677">
        <v>3569000</v>
      </c>
      <c r="N2851" s="675"/>
      <c r="O2851" s="678">
        <v>25291</v>
      </c>
      <c r="P2851" s="675"/>
      <c r="Q2851" s="388">
        <v>39800</v>
      </c>
      <c r="R2851" s="676">
        <f>M2851/G2851</f>
        <v>2661.4466815809096</v>
      </c>
      <c r="S2851" s="383">
        <f t="shared" si="411"/>
        <v>0</v>
      </c>
      <c r="U2851" s="404"/>
      <c r="V2851" s="390"/>
    </row>
    <row r="2852" spans="1:22" s="403" customFormat="1" ht="37.5">
      <c r="A2852" s="506">
        <f t="shared" si="412"/>
        <v>15</v>
      </c>
      <c r="B2852" s="403" t="s">
        <v>1350</v>
      </c>
      <c r="C2852" s="780" t="s">
        <v>222</v>
      </c>
      <c r="D2852" s="780">
        <v>23869</v>
      </c>
      <c r="E2852" s="781">
        <v>4082.5</v>
      </c>
      <c r="F2852" s="781" t="s">
        <v>234</v>
      </c>
      <c r="G2852" s="388">
        <v>1716</v>
      </c>
      <c r="H2852" s="446">
        <v>5</v>
      </c>
      <c r="I2852" s="446">
        <v>8</v>
      </c>
      <c r="J2852" s="446">
        <v>130</v>
      </c>
      <c r="K2852" s="458" t="s">
        <v>262</v>
      </c>
      <c r="L2852" s="1129">
        <f>M2852+N2852+O2852+P2852+Q2852+M2853+N2853+O2853+Q2853</f>
        <v>11223847</v>
      </c>
      <c r="M2852" s="677">
        <v>8132015</v>
      </c>
      <c r="N2852" s="675">
        <v>31832</v>
      </c>
      <c r="O2852" s="678"/>
      <c r="P2852" s="675"/>
      <c r="Q2852" s="388">
        <v>20000</v>
      </c>
      <c r="R2852" s="676">
        <f>M2852/G2852</f>
        <v>4738.9364801864804</v>
      </c>
      <c r="S2852" s="383">
        <f t="shared" si="411"/>
        <v>3040000</v>
      </c>
      <c r="U2852" s="404"/>
      <c r="V2852" s="390"/>
    </row>
    <row r="2853" spans="1:22" s="403" customFormat="1" ht="54.75" customHeight="1">
      <c r="A2853" s="506"/>
      <c r="C2853" s="780"/>
      <c r="D2853" s="780"/>
      <c r="E2853" s="781"/>
      <c r="F2853" s="781"/>
      <c r="G2853" s="388"/>
      <c r="H2853" s="446"/>
      <c r="I2853" s="446"/>
      <c r="J2853" s="446"/>
      <c r="K2853" s="458" t="s">
        <v>3610</v>
      </c>
      <c r="L2853" s="1129"/>
      <c r="M2853" s="677">
        <v>3000000</v>
      </c>
      <c r="N2853" s="675">
        <v>40000</v>
      </c>
      <c r="O2853" s="678"/>
      <c r="P2853" s="675"/>
      <c r="Q2853" s="388"/>
      <c r="R2853" s="676"/>
      <c r="S2853" s="383"/>
      <c r="U2853" s="404"/>
      <c r="V2853" s="390"/>
    </row>
    <row r="2854" spans="1:22" s="403" customFormat="1" ht="37.5">
      <c r="A2854" s="506">
        <f>A2852+1</f>
        <v>16</v>
      </c>
      <c r="B2854" s="543" t="s">
        <v>3919</v>
      </c>
      <c r="C2854" s="531" t="s">
        <v>222</v>
      </c>
      <c r="D2854" s="455">
        <v>14611</v>
      </c>
      <c r="E2854" s="388">
        <v>2200</v>
      </c>
      <c r="F2854" s="388" t="s">
        <v>3910</v>
      </c>
      <c r="G2854" s="388">
        <v>1000</v>
      </c>
      <c r="H2854" s="446">
        <v>5</v>
      </c>
      <c r="I2854" s="446">
        <v>4</v>
      </c>
      <c r="J2854" s="446">
        <v>60</v>
      </c>
      <c r="K2854" s="458" t="s">
        <v>235</v>
      </c>
      <c r="L2854" s="519">
        <f t="shared" ref="L2854:L2862" si="413">M2854+N2854+O2854+Q2854</f>
        <v>2050313</v>
      </c>
      <c r="M2854" s="677">
        <v>2028000</v>
      </c>
      <c r="N2854" s="675"/>
      <c r="O2854" s="678">
        <v>22313</v>
      </c>
      <c r="P2854" s="455"/>
      <c r="Q2854" s="675"/>
      <c r="R2854" s="676">
        <f>M2854/G2854</f>
        <v>2028</v>
      </c>
      <c r="S2854" s="383">
        <f t="shared" si="411"/>
        <v>0</v>
      </c>
      <c r="U2854" s="404"/>
      <c r="V2854" s="390"/>
    </row>
    <row r="2855" spans="1:22" s="480" customFormat="1" ht="37.5">
      <c r="A2855" s="506">
        <f t="shared" si="412"/>
        <v>17</v>
      </c>
      <c r="B2855" s="379" t="s">
        <v>3911</v>
      </c>
      <c r="C2855" s="506" t="s">
        <v>222</v>
      </c>
      <c r="D2855" s="380">
        <v>2511</v>
      </c>
      <c r="E2855" s="383">
        <v>542</v>
      </c>
      <c r="F2855" s="388" t="s">
        <v>229</v>
      </c>
      <c r="G2855" s="383">
        <v>563</v>
      </c>
      <c r="H2855" s="382">
        <v>2</v>
      </c>
      <c r="I2855" s="382">
        <v>2</v>
      </c>
      <c r="J2855" s="382">
        <v>16</v>
      </c>
      <c r="K2855" s="458" t="s">
        <v>339</v>
      </c>
      <c r="L2855" s="519">
        <f t="shared" si="413"/>
        <v>211120</v>
      </c>
      <c r="M2855" s="677">
        <v>208000</v>
      </c>
      <c r="N2855" s="675">
        <v>3120</v>
      </c>
      <c r="O2855" s="678"/>
      <c r="P2855" s="376"/>
      <c r="Q2855" s="383"/>
      <c r="R2855" s="850">
        <f>M2855/J2855</f>
        <v>13000</v>
      </c>
      <c r="S2855" s="383">
        <f t="shared" si="411"/>
        <v>0</v>
      </c>
      <c r="T2855" s="377"/>
      <c r="U2855" s="381"/>
    </row>
    <row r="2856" spans="1:22" s="480" customFormat="1" ht="37.5">
      <c r="A2856" s="506">
        <f t="shared" si="412"/>
        <v>18</v>
      </c>
      <c r="B2856" s="379" t="s">
        <v>3912</v>
      </c>
      <c r="C2856" s="506" t="s">
        <v>222</v>
      </c>
      <c r="D2856" s="380">
        <v>2497</v>
      </c>
      <c r="E2856" s="383">
        <v>544</v>
      </c>
      <c r="F2856" s="388" t="s">
        <v>229</v>
      </c>
      <c r="G2856" s="383">
        <v>621</v>
      </c>
      <c r="H2856" s="382">
        <v>2</v>
      </c>
      <c r="I2856" s="382">
        <v>2</v>
      </c>
      <c r="J2856" s="382">
        <v>16</v>
      </c>
      <c r="K2856" s="458" t="s">
        <v>339</v>
      </c>
      <c r="L2856" s="519">
        <f t="shared" si="413"/>
        <v>211120</v>
      </c>
      <c r="M2856" s="677">
        <v>208000</v>
      </c>
      <c r="N2856" s="675">
        <v>3120</v>
      </c>
      <c r="O2856" s="678"/>
      <c r="P2856" s="376"/>
      <c r="Q2856" s="383"/>
      <c r="R2856" s="850">
        <f>M2856/J2856</f>
        <v>13000</v>
      </c>
      <c r="S2856" s="383">
        <f t="shared" si="411"/>
        <v>0</v>
      </c>
      <c r="T2856" s="377"/>
      <c r="U2856" s="381"/>
    </row>
    <row r="2857" spans="1:22" s="480" customFormat="1" ht="37.5" customHeight="1">
      <c r="A2857" s="506">
        <f t="shared" si="412"/>
        <v>19</v>
      </c>
      <c r="B2857" s="379" t="s">
        <v>3913</v>
      </c>
      <c r="C2857" s="506" t="s">
        <v>222</v>
      </c>
      <c r="D2857" s="380">
        <v>2890</v>
      </c>
      <c r="E2857" s="383">
        <v>527</v>
      </c>
      <c r="F2857" s="388" t="s">
        <v>229</v>
      </c>
      <c r="G2857" s="383">
        <v>626</v>
      </c>
      <c r="H2857" s="382">
        <v>2</v>
      </c>
      <c r="I2857" s="382">
        <v>2</v>
      </c>
      <c r="J2857" s="382">
        <v>16</v>
      </c>
      <c r="K2857" s="458" t="s">
        <v>339</v>
      </c>
      <c r="L2857" s="519">
        <f t="shared" si="413"/>
        <v>211120</v>
      </c>
      <c r="M2857" s="677">
        <v>208000</v>
      </c>
      <c r="N2857" s="675">
        <v>3120</v>
      </c>
      <c r="O2857" s="678"/>
      <c r="P2857" s="376"/>
      <c r="Q2857" s="383"/>
      <c r="R2857" s="850">
        <f>M2857/J2857</f>
        <v>13000</v>
      </c>
      <c r="S2857" s="383">
        <f t="shared" si="411"/>
        <v>0</v>
      </c>
      <c r="T2857" s="377"/>
      <c r="U2857" s="381"/>
    </row>
    <row r="2858" spans="1:22" s="480" customFormat="1" ht="37.5">
      <c r="A2858" s="506">
        <f t="shared" ref="A2858:A2873" si="414">A2857+1</f>
        <v>20</v>
      </c>
      <c r="B2858" s="379" t="s">
        <v>3914</v>
      </c>
      <c r="C2858" s="506" t="s">
        <v>222</v>
      </c>
      <c r="D2858" s="380">
        <v>3424</v>
      </c>
      <c r="E2858" s="383">
        <v>642</v>
      </c>
      <c r="F2858" s="388" t="s">
        <v>229</v>
      </c>
      <c r="G2858" s="383">
        <v>784</v>
      </c>
      <c r="H2858" s="382">
        <v>2</v>
      </c>
      <c r="I2858" s="382">
        <v>3</v>
      </c>
      <c r="J2858" s="382">
        <v>18</v>
      </c>
      <c r="K2858" s="458" t="s">
        <v>339</v>
      </c>
      <c r="L2858" s="519">
        <f t="shared" si="413"/>
        <v>237510</v>
      </c>
      <c r="M2858" s="677">
        <v>234000</v>
      </c>
      <c r="N2858" s="675">
        <v>3510</v>
      </c>
      <c r="O2858" s="678"/>
      <c r="P2858" s="376"/>
      <c r="Q2858" s="383"/>
      <c r="R2858" s="850">
        <f>M2858/J2858</f>
        <v>13000</v>
      </c>
      <c r="S2858" s="383">
        <f t="shared" si="411"/>
        <v>0</v>
      </c>
      <c r="T2858" s="377"/>
      <c r="U2858" s="381"/>
    </row>
    <row r="2859" spans="1:22" s="480" customFormat="1" ht="31.5" customHeight="1">
      <c r="A2859" s="506">
        <f t="shared" si="414"/>
        <v>21</v>
      </c>
      <c r="B2859" s="381" t="s">
        <v>3915</v>
      </c>
      <c r="C2859" s="381" t="s">
        <v>240</v>
      </c>
      <c r="D2859" s="379">
        <v>2368</v>
      </c>
      <c r="E2859" s="383">
        <v>656</v>
      </c>
      <c r="F2859" s="383" t="s">
        <v>252</v>
      </c>
      <c r="G2859" s="383">
        <v>729</v>
      </c>
      <c r="H2859" s="382">
        <v>2</v>
      </c>
      <c r="I2859" s="382">
        <v>2</v>
      </c>
      <c r="J2859" s="382">
        <v>12</v>
      </c>
      <c r="K2859" s="377" t="s">
        <v>33</v>
      </c>
      <c r="L2859" s="519">
        <f t="shared" si="413"/>
        <v>2504168</v>
      </c>
      <c r="M2859" s="384">
        <v>2475200</v>
      </c>
      <c r="N2859" s="383">
        <v>28968</v>
      </c>
      <c r="O2859" s="385"/>
      <c r="P2859" s="383"/>
      <c r="Q2859" s="383"/>
      <c r="R2859" s="851">
        <f t="shared" ref="R2859:R2868" si="415">M2859/G2859</f>
        <v>3395.3360768175585</v>
      </c>
      <c r="S2859" s="383">
        <f t="shared" si="411"/>
        <v>0</v>
      </c>
      <c r="T2859" s="377"/>
      <c r="U2859" s="377"/>
    </row>
    <row r="2860" spans="1:22" s="480" customFormat="1" ht="31.5" customHeight="1">
      <c r="A2860" s="506">
        <f t="shared" si="414"/>
        <v>22</v>
      </c>
      <c r="B2860" s="381" t="s">
        <v>3916</v>
      </c>
      <c r="C2860" s="381" t="s">
        <v>240</v>
      </c>
      <c r="D2860" s="379">
        <v>3093</v>
      </c>
      <c r="E2860" s="383">
        <v>790</v>
      </c>
      <c r="F2860" s="383" t="s">
        <v>252</v>
      </c>
      <c r="G2860" s="383">
        <v>619</v>
      </c>
      <c r="H2860" s="382">
        <v>2</v>
      </c>
      <c r="I2860" s="382">
        <v>2</v>
      </c>
      <c r="J2860" s="382">
        <v>12</v>
      </c>
      <c r="K2860" s="377" t="s">
        <v>33</v>
      </c>
      <c r="L2860" s="519">
        <f t="shared" si="413"/>
        <v>2102995</v>
      </c>
      <c r="M2860" s="384">
        <v>2072980</v>
      </c>
      <c r="N2860" s="383">
        <v>30015</v>
      </c>
      <c r="O2860" s="385"/>
      <c r="P2860" s="383"/>
      <c r="Q2860" s="383"/>
      <c r="R2860" s="851">
        <f t="shared" si="415"/>
        <v>3348.91760904685</v>
      </c>
      <c r="S2860" s="383">
        <f t="shared" si="411"/>
        <v>0</v>
      </c>
      <c r="T2860" s="377"/>
      <c r="U2860" s="377"/>
    </row>
    <row r="2861" spans="1:22" s="480" customFormat="1" ht="31.5" customHeight="1">
      <c r="A2861" s="506">
        <f t="shared" si="414"/>
        <v>23</v>
      </c>
      <c r="B2861" s="381" t="s">
        <v>3917</v>
      </c>
      <c r="C2861" s="381" t="s">
        <v>240</v>
      </c>
      <c r="D2861" s="379">
        <v>2258</v>
      </c>
      <c r="E2861" s="383">
        <v>479</v>
      </c>
      <c r="F2861" s="383" t="s">
        <v>252</v>
      </c>
      <c r="G2861" s="383">
        <v>452</v>
      </c>
      <c r="H2861" s="382">
        <v>2</v>
      </c>
      <c r="I2861" s="382">
        <v>1</v>
      </c>
      <c r="J2861" s="382">
        <v>8</v>
      </c>
      <c r="K2861" s="377" t="s">
        <v>33</v>
      </c>
      <c r="L2861" s="519">
        <f t="shared" si="413"/>
        <v>1404607</v>
      </c>
      <c r="M2861" s="384">
        <v>1375920</v>
      </c>
      <c r="N2861" s="383">
        <v>28687</v>
      </c>
      <c r="O2861" s="385"/>
      <c r="P2861" s="383"/>
      <c r="Q2861" s="383"/>
      <c r="R2861" s="851">
        <f t="shared" si="415"/>
        <v>3044.070796460177</v>
      </c>
      <c r="S2861" s="383">
        <f t="shared" si="411"/>
        <v>0</v>
      </c>
      <c r="T2861" s="377"/>
      <c r="U2861" s="377"/>
    </row>
    <row r="2862" spans="1:22" s="480" customFormat="1" ht="46.5" customHeight="1">
      <c r="A2862" s="506">
        <f t="shared" si="414"/>
        <v>24</v>
      </c>
      <c r="B2862" s="381" t="s">
        <v>3918</v>
      </c>
      <c r="C2862" s="381" t="s">
        <v>222</v>
      </c>
      <c r="D2862" s="379">
        <v>4264</v>
      </c>
      <c r="E2862" s="383">
        <v>480</v>
      </c>
      <c r="F2862" s="383" t="s">
        <v>252</v>
      </c>
      <c r="G2862" s="383">
        <v>860</v>
      </c>
      <c r="H2862" s="382">
        <v>2</v>
      </c>
      <c r="I2862" s="382">
        <v>3</v>
      </c>
      <c r="J2862" s="382">
        <v>12</v>
      </c>
      <c r="K2862" s="377" t="s">
        <v>33</v>
      </c>
      <c r="L2862" s="519">
        <f t="shared" si="413"/>
        <v>2632043</v>
      </c>
      <c r="M2862" s="384">
        <v>2600000</v>
      </c>
      <c r="N2862" s="383">
        <v>32043</v>
      </c>
      <c r="O2862" s="385"/>
      <c r="P2862" s="383"/>
      <c r="Q2862" s="383"/>
      <c r="R2862" s="851">
        <f t="shared" si="415"/>
        <v>3023.2558139534885</v>
      </c>
      <c r="S2862" s="383">
        <f t="shared" si="411"/>
        <v>0</v>
      </c>
      <c r="T2862" s="377"/>
      <c r="U2862" s="377"/>
    </row>
    <row r="2863" spans="1:22" s="480" customFormat="1" ht="56.25">
      <c r="A2863" s="506">
        <f t="shared" si="414"/>
        <v>25</v>
      </c>
      <c r="B2863" s="381" t="s">
        <v>4143</v>
      </c>
      <c r="C2863" s="381" t="s">
        <v>230</v>
      </c>
      <c r="D2863" s="379">
        <v>1869</v>
      </c>
      <c r="E2863" s="383">
        <v>627.04999999999995</v>
      </c>
      <c r="F2863" s="383" t="s">
        <v>252</v>
      </c>
      <c r="G2863" s="383">
        <v>370.44</v>
      </c>
      <c r="H2863" s="382">
        <v>2</v>
      </c>
      <c r="I2863" s="382">
        <v>2</v>
      </c>
      <c r="J2863" s="382">
        <v>8</v>
      </c>
      <c r="K2863" s="377" t="s">
        <v>4090</v>
      </c>
      <c r="L2863" s="519">
        <f t="shared" ref="L2863:L2871" si="416">M2863+N2863+O2863+P2863+Q2863</f>
        <v>2265445</v>
      </c>
      <c r="M2863" s="384">
        <v>2240430</v>
      </c>
      <c r="N2863" s="383">
        <v>25015</v>
      </c>
      <c r="O2863" s="385"/>
      <c r="P2863" s="383"/>
      <c r="Q2863" s="383"/>
      <c r="R2863" s="851">
        <f t="shared" si="415"/>
        <v>6048.0239714933596</v>
      </c>
      <c r="S2863" s="383">
        <f t="shared" si="411"/>
        <v>0</v>
      </c>
      <c r="T2863" s="377"/>
      <c r="U2863" s="381"/>
    </row>
    <row r="2864" spans="1:22" s="480" customFormat="1" ht="41.25" customHeight="1">
      <c r="A2864" s="506">
        <f t="shared" si="414"/>
        <v>26</v>
      </c>
      <c r="B2864" s="381" t="s">
        <v>4158</v>
      </c>
      <c r="C2864" s="381" t="s">
        <v>222</v>
      </c>
      <c r="D2864" s="379">
        <v>19101</v>
      </c>
      <c r="E2864" s="383">
        <v>3316</v>
      </c>
      <c r="F2864" s="383" t="s">
        <v>234</v>
      </c>
      <c r="G2864" s="383">
        <v>670</v>
      </c>
      <c r="H2864" s="382">
        <v>12</v>
      </c>
      <c r="I2864" s="382">
        <v>1</v>
      </c>
      <c r="J2864" s="382">
        <v>83</v>
      </c>
      <c r="K2864" s="377" t="s">
        <v>235</v>
      </c>
      <c r="L2864" s="519">
        <f t="shared" si="416"/>
        <v>1438516</v>
      </c>
      <c r="M2864" s="384">
        <v>1412200</v>
      </c>
      <c r="N2864" s="383"/>
      <c r="O2864" s="385">
        <v>26316</v>
      </c>
      <c r="P2864" s="383"/>
      <c r="Q2864" s="383"/>
      <c r="R2864" s="851">
        <f t="shared" si="415"/>
        <v>2107.7611940298507</v>
      </c>
      <c r="S2864" s="383">
        <f t="shared" si="411"/>
        <v>0</v>
      </c>
      <c r="T2864" s="377"/>
      <c r="U2864" s="381"/>
    </row>
    <row r="2865" spans="1:27" s="480" customFormat="1" ht="41.25" customHeight="1">
      <c r="A2865" s="506">
        <f t="shared" si="414"/>
        <v>27</v>
      </c>
      <c r="B2865" s="381" t="s">
        <v>4160</v>
      </c>
      <c r="C2865" s="381" t="s">
        <v>222</v>
      </c>
      <c r="D2865" s="379">
        <v>8178</v>
      </c>
      <c r="E2865" s="383">
        <v>1622</v>
      </c>
      <c r="F2865" s="383" t="s">
        <v>252</v>
      </c>
      <c r="G2865" s="383">
        <v>1057.9000000000001</v>
      </c>
      <c r="H2865" s="382">
        <v>3</v>
      </c>
      <c r="I2865" s="382">
        <v>3</v>
      </c>
      <c r="J2865" s="382">
        <v>23</v>
      </c>
      <c r="K2865" s="377" t="s">
        <v>235</v>
      </c>
      <c r="L2865" s="519">
        <f t="shared" si="416"/>
        <v>3307565</v>
      </c>
      <c r="M2865" s="384">
        <v>3276000</v>
      </c>
      <c r="N2865" s="383">
        <v>31565</v>
      </c>
      <c r="O2865" s="385"/>
      <c r="P2865" s="383"/>
      <c r="Q2865" s="383"/>
      <c r="R2865" s="851">
        <f t="shared" si="415"/>
        <v>3096.7010114377536</v>
      </c>
      <c r="S2865" s="383">
        <f t="shared" si="411"/>
        <v>0</v>
      </c>
      <c r="T2865" s="377"/>
      <c r="U2865" s="381"/>
    </row>
    <row r="2866" spans="1:27" s="480" customFormat="1" ht="41.25" customHeight="1">
      <c r="A2866" s="506">
        <f t="shared" si="414"/>
        <v>28</v>
      </c>
      <c r="B2866" s="381" t="s">
        <v>4164</v>
      </c>
      <c r="C2866" s="381" t="s">
        <v>222</v>
      </c>
      <c r="D2866" s="379">
        <v>11057</v>
      </c>
      <c r="E2866" s="383">
        <v>1277.0999999999999</v>
      </c>
      <c r="F2866" s="383" t="s">
        <v>234</v>
      </c>
      <c r="G2866" s="383">
        <v>1189</v>
      </c>
      <c r="H2866" s="382">
        <v>3</v>
      </c>
      <c r="I2866" s="382">
        <v>4</v>
      </c>
      <c r="J2866" s="382">
        <v>42</v>
      </c>
      <c r="K2866" s="377" t="s">
        <v>235</v>
      </c>
      <c r="L2866" s="519">
        <f t="shared" si="416"/>
        <v>2910453</v>
      </c>
      <c r="M2866" s="384">
        <v>2889850</v>
      </c>
      <c r="N2866" s="383"/>
      <c r="O2866" s="385">
        <v>20603</v>
      </c>
      <c r="P2866" s="383"/>
      <c r="Q2866" s="383"/>
      <c r="R2866" s="851">
        <f t="shared" si="415"/>
        <v>2430.4878048780488</v>
      </c>
      <c r="S2866" s="383">
        <f t="shared" si="411"/>
        <v>0</v>
      </c>
      <c r="T2866" s="377"/>
      <c r="U2866" s="381"/>
    </row>
    <row r="2867" spans="1:27" s="480" customFormat="1" ht="41.25" customHeight="1">
      <c r="A2867" s="506">
        <f t="shared" si="414"/>
        <v>29</v>
      </c>
      <c r="B2867" s="381" t="s">
        <v>4162</v>
      </c>
      <c r="C2867" s="381" t="s">
        <v>222</v>
      </c>
      <c r="D2867" s="379">
        <v>14423</v>
      </c>
      <c r="E2867" s="383">
        <v>2208</v>
      </c>
      <c r="F2867" s="383" t="s">
        <v>234</v>
      </c>
      <c r="G2867" s="383">
        <v>1343</v>
      </c>
      <c r="H2867" s="382">
        <v>5</v>
      </c>
      <c r="I2867" s="382">
        <v>5</v>
      </c>
      <c r="J2867" s="382">
        <v>65</v>
      </c>
      <c r="K2867" s="377" t="s">
        <v>235</v>
      </c>
      <c r="L2867" s="519">
        <f t="shared" si="416"/>
        <v>2783499</v>
      </c>
      <c r="M2867" s="384">
        <v>2761255</v>
      </c>
      <c r="N2867" s="383"/>
      <c r="O2867" s="385">
        <v>22244</v>
      </c>
      <c r="P2867" s="383"/>
      <c r="Q2867" s="383"/>
      <c r="R2867" s="851">
        <f t="shared" si="415"/>
        <v>2056.0349962769919</v>
      </c>
      <c r="S2867" s="383">
        <f t="shared" si="411"/>
        <v>0</v>
      </c>
      <c r="T2867" s="377"/>
      <c r="U2867" s="381"/>
    </row>
    <row r="2868" spans="1:27" s="480" customFormat="1" ht="41.25" customHeight="1">
      <c r="A2868" s="506">
        <f t="shared" si="414"/>
        <v>30</v>
      </c>
      <c r="B2868" s="381" t="s">
        <v>4163</v>
      </c>
      <c r="C2868" s="381" t="s">
        <v>240</v>
      </c>
      <c r="D2868" s="379">
        <v>3431</v>
      </c>
      <c r="E2868" s="383">
        <v>824</v>
      </c>
      <c r="F2868" s="383" t="s">
        <v>223</v>
      </c>
      <c r="G2868" s="383">
        <v>699</v>
      </c>
      <c r="H2868" s="382">
        <v>2</v>
      </c>
      <c r="I2868" s="382">
        <v>2</v>
      </c>
      <c r="J2868" s="382">
        <v>16</v>
      </c>
      <c r="K2868" s="377" t="s">
        <v>235</v>
      </c>
      <c r="L2868" s="519">
        <f t="shared" si="416"/>
        <v>2471670</v>
      </c>
      <c r="M2868" s="384">
        <v>2440816</v>
      </c>
      <c r="N2868" s="383">
        <v>30854</v>
      </c>
      <c r="O2868" s="385"/>
      <c r="P2868" s="383"/>
      <c r="Q2868" s="383"/>
      <c r="R2868" s="851">
        <f t="shared" si="415"/>
        <v>3491.8683834048643</v>
      </c>
      <c r="S2868" s="383">
        <f t="shared" si="411"/>
        <v>0</v>
      </c>
      <c r="T2868" s="377"/>
      <c r="U2868" s="381"/>
    </row>
    <row r="2869" spans="1:27" s="480" customFormat="1" ht="41.25" customHeight="1">
      <c r="A2869" s="506">
        <f t="shared" si="414"/>
        <v>31</v>
      </c>
      <c r="B2869" s="381" t="s">
        <v>4172</v>
      </c>
      <c r="C2869" s="381" t="s">
        <v>222</v>
      </c>
      <c r="D2869" s="379">
        <v>12330</v>
      </c>
      <c r="E2869" s="383">
        <v>2362.8000000000002</v>
      </c>
      <c r="F2869" s="383" t="s">
        <v>223</v>
      </c>
      <c r="G2869" s="383">
        <v>1435</v>
      </c>
      <c r="H2869" s="382">
        <v>5</v>
      </c>
      <c r="I2869" s="382">
        <v>4</v>
      </c>
      <c r="J2869" s="382">
        <v>79</v>
      </c>
      <c r="K2869" s="377" t="s">
        <v>246</v>
      </c>
      <c r="L2869" s="519">
        <f t="shared" si="416"/>
        <v>1216441</v>
      </c>
      <c r="M2869" s="677">
        <v>1185000</v>
      </c>
      <c r="N2869" s="675"/>
      <c r="O2869" s="385">
        <v>15127</v>
      </c>
      <c r="P2869" s="675"/>
      <c r="Q2869" s="383">
        <v>16314</v>
      </c>
      <c r="R2869" s="376">
        <f>M2869/J2869</f>
        <v>15000</v>
      </c>
      <c r="S2869" s="383">
        <f t="shared" si="411"/>
        <v>0</v>
      </c>
      <c r="T2869" s="377"/>
      <c r="U2869" s="381"/>
      <c r="Z2869" s="416">
        <v>1</v>
      </c>
      <c r="AA2869" s="416">
        <f>J2869</f>
        <v>79</v>
      </c>
    </row>
    <row r="2870" spans="1:27" s="480" customFormat="1" ht="80.25" customHeight="1">
      <c r="A2870" s="506">
        <f t="shared" si="414"/>
        <v>32</v>
      </c>
      <c r="B2870" s="381" t="s">
        <v>4174</v>
      </c>
      <c r="C2870" s="381" t="s">
        <v>222</v>
      </c>
      <c r="D2870" s="379">
        <v>14423</v>
      </c>
      <c r="E2870" s="383">
        <v>2257.62</v>
      </c>
      <c r="F2870" s="383" t="s">
        <v>234</v>
      </c>
      <c r="G2870" s="383">
        <v>1149</v>
      </c>
      <c r="H2870" s="382">
        <v>5</v>
      </c>
      <c r="I2870" s="382">
        <v>5</v>
      </c>
      <c r="J2870" s="382">
        <v>75</v>
      </c>
      <c r="K2870" s="377" t="s">
        <v>4181</v>
      </c>
      <c r="L2870" s="519">
        <f t="shared" si="416"/>
        <v>3075185</v>
      </c>
      <c r="M2870" s="384">
        <v>3044853</v>
      </c>
      <c r="N2870" s="383">
        <v>30332</v>
      </c>
      <c r="O2870" s="385"/>
      <c r="P2870" s="383"/>
      <c r="Q2870" s="383"/>
      <c r="R2870" s="376">
        <f>M2870/E2870</f>
        <v>1348.7004013075718</v>
      </c>
      <c r="S2870" s="383">
        <f t="shared" si="411"/>
        <v>0</v>
      </c>
      <c r="T2870" s="377"/>
      <c r="U2870" s="381"/>
    </row>
    <row r="2871" spans="1:27" s="480" customFormat="1" ht="61.5" customHeight="1">
      <c r="A2871" s="506">
        <f t="shared" si="414"/>
        <v>33</v>
      </c>
      <c r="B2871" s="381" t="s">
        <v>4179</v>
      </c>
      <c r="C2871" s="381" t="s">
        <v>222</v>
      </c>
      <c r="D2871" s="379">
        <v>10050</v>
      </c>
      <c r="E2871" s="383">
        <v>1799</v>
      </c>
      <c r="F2871" s="383" t="s">
        <v>234</v>
      </c>
      <c r="G2871" s="383">
        <v>1320</v>
      </c>
      <c r="H2871" s="382">
        <v>4</v>
      </c>
      <c r="I2871" s="382">
        <v>4</v>
      </c>
      <c r="J2871" s="382">
        <v>48</v>
      </c>
      <c r="K2871" s="377" t="s">
        <v>3610</v>
      </c>
      <c r="L2871" s="519">
        <f t="shared" si="416"/>
        <v>2412253</v>
      </c>
      <c r="M2871" s="384">
        <v>2376000</v>
      </c>
      <c r="N2871" s="383"/>
      <c r="O2871" s="385">
        <v>16253</v>
      </c>
      <c r="P2871" s="383"/>
      <c r="Q2871" s="383">
        <v>20000</v>
      </c>
      <c r="R2871" s="851">
        <f>M2871/G2871</f>
        <v>1800</v>
      </c>
      <c r="S2871" s="383">
        <f t="shared" si="411"/>
        <v>0</v>
      </c>
      <c r="T2871" s="377"/>
      <c r="U2871" s="381"/>
    </row>
    <row r="2872" spans="1:27" s="480" customFormat="1" ht="41.25" customHeight="1">
      <c r="A2872" s="506">
        <f t="shared" si="414"/>
        <v>34</v>
      </c>
      <c r="B2872" s="381" t="s">
        <v>4180</v>
      </c>
      <c r="C2872" s="381" t="s">
        <v>222</v>
      </c>
      <c r="D2872" s="379">
        <v>5912</v>
      </c>
      <c r="E2872" s="383">
        <v>1202</v>
      </c>
      <c r="F2872" s="383" t="s">
        <v>252</v>
      </c>
      <c r="G2872" s="383">
        <v>1097</v>
      </c>
      <c r="H2872" s="382">
        <v>3</v>
      </c>
      <c r="I2872" s="382">
        <v>3</v>
      </c>
      <c r="J2872" s="382">
        <v>36</v>
      </c>
      <c r="K2872" s="377" t="s">
        <v>33</v>
      </c>
      <c r="L2872" s="519">
        <f t="shared" ref="L2872" si="417">M2872+N2872+O2872+P2872+Q2872</f>
        <v>2832993</v>
      </c>
      <c r="M2872" s="384">
        <v>2802800</v>
      </c>
      <c r="N2872" s="383">
        <v>30193</v>
      </c>
      <c r="O2872" s="385"/>
      <c r="P2872" s="383"/>
      <c r="Q2872" s="383"/>
      <c r="R2872" s="851">
        <f>M2872/G2872</f>
        <v>2554.9680948040109</v>
      </c>
      <c r="S2872" s="383">
        <f t="shared" ref="S2872:S2874" si="418">L2872-M2872-N2872-O2872-P2872-Q2872</f>
        <v>0</v>
      </c>
      <c r="T2872" s="377"/>
      <c r="U2872" s="381"/>
    </row>
    <row r="2873" spans="1:27" s="480" customFormat="1" ht="69.75" customHeight="1">
      <c r="A2873" s="506">
        <f t="shared" si="414"/>
        <v>35</v>
      </c>
      <c r="B2873" s="1111" t="s">
        <v>2292</v>
      </c>
      <c r="C2873" s="531" t="s">
        <v>222</v>
      </c>
      <c r="D2873" s="455">
        <v>4800</v>
      </c>
      <c r="E2873" s="852">
        <v>1203.3</v>
      </c>
      <c r="F2873" s="531" t="s">
        <v>223</v>
      </c>
      <c r="G2873" s="852">
        <v>848.8</v>
      </c>
      <c r="H2873" s="531">
        <v>3</v>
      </c>
      <c r="I2873" s="531">
        <v>3</v>
      </c>
      <c r="J2873" s="446">
        <v>36</v>
      </c>
      <c r="K2873" s="458" t="s">
        <v>4379</v>
      </c>
      <c r="L2873" s="1109">
        <f>M2873+N2873+O2873+P2873+Q2873+M2874+N2874+O2874+Q2874</f>
        <v>43261.91</v>
      </c>
      <c r="M2873" s="675"/>
      <c r="N2873" s="675">
        <v>28463</v>
      </c>
      <c r="O2873" s="783"/>
      <c r="P2873" s="388"/>
      <c r="Q2873" s="388"/>
      <c r="R2873" s="851"/>
      <c r="S2873" s="383">
        <f t="shared" si="418"/>
        <v>14798.910000000003</v>
      </c>
      <c r="T2873" s="377"/>
      <c r="U2873" s="381"/>
    </row>
    <row r="2874" spans="1:27" s="403" customFormat="1" ht="42.75" customHeight="1">
      <c r="A2874" s="543"/>
      <c r="B2874" s="1111"/>
      <c r="C2874" s="455"/>
      <c r="D2874" s="388"/>
      <c r="E2874" s="388"/>
      <c r="F2874" s="388"/>
      <c r="G2874" s="388"/>
      <c r="H2874" s="446"/>
      <c r="I2874" s="446"/>
      <c r="J2874" s="446"/>
      <c r="K2874" s="458" t="s">
        <v>4368</v>
      </c>
      <c r="L2874" s="1109"/>
      <c r="M2874" s="519"/>
      <c r="N2874" s="388"/>
      <c r="O2874" s="473"/>
      <c r="P2874" s="388"/>
      <c r="Q2874" s="388">
        <v>14798.91</v>
      </c>
      <c r="R2874" s="446"/>
      <c r="S2874" s="383">
        <f t="shared" si="418"/>
        <v>-14798.91</v>
      </c>
      <c r="T2874" s="387"/>
      <c r="U2874" s="390"/>
      <c r="V2874" s="390"/>
    </row>
    <row r="2875" spans="1:27" s="403" customFormat="1" ht="42.75" customHeight="1">
      <c r="A2875" s="1115" t="s">
        <v>152</v>
      </c>
      <c r="B2875" s="1115"/>
      <c r="C2875" s="455" t="s">
        <v>278</v>
      </c>
      <c r="D2875" s="519">
        <f t="shared" ref="D2875:E2875" si="419">SUM(D2838:D2874)</f>
        <v>563177</v>
      </c>
      <c r="E2875" s="519">
        <f t="shared" si="419"/>
        <v>91141.640000000014</v>
      </c>
      <c r="F2875" s="388" t="s">
        <v>278</v>
      </c>
      <c r="G2875" s="519">
        <f>SUM(G2838:G2874)</f>
        <v>37721.64</v>
      </c>
      <c r="H2875" s="446" t="s">
        <v>278</v>
      </c>
      <c r="I2875" s="446" t="s">
        <v>278</v>
      </c>
      <c r="J2875" s="519">
        <f>SUM(J2838:J2874)</f>
        <v>2354</v>
      </c>
      <c r="K2875" s="458" t="s">
        <v>28</v>
      </c>
      <c r="L2875" s="519">
        <f>SUM(L2838:L2874)</f>
        <v>115181071.18000001</v>
      </c>
      <c r="M2875" s="519">
        <f t="shared" ref="M2875:Q2875" si="420">SUM(M2838:M2874)</f>
        <v>113307967</v>
      </c>
      <c r="N2875" s="519">
        <f t="shared" si="420"/>
        <v>1498846.2100000002</v>
      </c>
      <c r="O2875" s="519">
        <f t="shared" si="420"/>
        <v>169784</v>
      </c>
      <c r="P2875" s="519">
        <f t="shared" si="420"/>
        <v>0</v>
      </c>
      <c r="Q2875" s="519">
        <f t="shared" si="420"/>
        <v>204473.97</v>
      </c>
      <c r="R2875" s="446" t="s">
        <v>28</v>
      </c>
      <c r="S2875" s="383">
        <f>L2875-M2875-N2875-O2875-P2875-Q2875</f>
        <v>6.9558154791593552E-9</v>
      </c>
      <c r="T2875" s="387" t="e">
        <f>'1.перечень МКД'!#REF!</f>
        <v>#REF!</v>
      </c>
      <c r="U2875" s="390" t="e">
        <f>L2875-T2875</f>
        <v>#REF!</v>
      </c>
      <c r="V2875" s="390"/>
    </row>
    <row r="2876" spans="1:27" s="403" customFormat="1" ht="42.75" customHeight="1">
      <c r="A2876" s="1113" t="s">
        <v>190</v>
      </c>
      <c r="B2876" s="1113"/>
      <c r="C2876" s="1113"/>
      <c r="D2876" s="1113"/>
      <c r="E2876" s="1113"/>
      <c r="F2876" s="1113"/>
      <c r="G2876" s="1113"/>
      <c r="H2876" s="1113"/>
      <c r="I2876" s="1113"/>
      <c r="J2876" s="1113"/>
      <c r="K2876" s="1113"/>
      <c r="L2876" s="1113"/>
      <c r="M2876" s="1113"/>
      <c r="N2876" s="1113"/>
      <c r="O2876" s="1113"/>
      <c r="P2876" s="1113"/>
      <c r="Q2876" s="1113"/>
      <c r="R2876" s="458"/>
      <c r="U2876" s="404"/>
      <c r="V2876" s="390"/>
    </row>
    <row r="2877" spans="1:27" s="403" customFormat="1" ht="37.5">
      <c r="A2877" s="506">
        <v>1</v>
      </c>
      <c r="B2877" s="543" t="s">
        <v>3194</v>
      </c>
      <c r="C2877" s="531">
        <v>2925</v>
      </c>
      <c r="D2877" s="455" t="s">
        <v>297</v>
      </c>
      <c r="E2877" s="388">
        <v>532</v>
      </c>
      <c r="F2877" s="388" t="s">
        <v>304</v>
      </c>
      <c r="G2877" s="388">
        <v>650</v>
      </c>
      <c r="H2877" s="446">
        <v>2</v>
      </c>
      <c r="I2877" s="446">
        <v>3</v>
      </c>
      <c r="J2877" s="446">
        <v>18</v>
      </c>
      <c r="K2877" s="458" t="s">
        <v>253</v>
      </c>
      <c r="L2877" s="519">
        <f>SUM(M2877:Q2877)</f>
        <v>1889329</v>
      </c>
      <c r="M2877" s="677">
        <v>1845014</v>
      </c>
      <c r="N2877" s="675">
        <v>29992</v>
      </c>
      <c r="O2877" s="678"/>
      <c r="P2877" s="675"/>
      <c r="Q2877" s="388">
        <v>14323</v>
      </c>
      <c r="R2877" s="676">
        <f>M2877/G2877</f>
        <v>2838.4830769230771</v>
      </c>
      <c r="U2877" s="404"/>
      <c r="V2877" s="390"/>
    </row>
    <row r="2878" spans="1:27" s="403" customFormat="1" ht="37.5" customHeight="1">
      <c r="A2878" s="506">
        <f>A2877+1</f>
        <v>2</v>
      </c>
      <c r="B2878" s="543" t="s">
        <v>4171</v>
      </c>
      <c r="C2878" s="531">
        <v>4048.3</v>
      </c>
      <c r="D2878" s="455" t="s">
        <v>283</v>
      </c>
      <c r="E2878" s="388">
        <v>294.39999999999998</v>
      </c>
      <c r="F2878" s="388" t="s">
        <v>252</v>
      </c>
      <c r="G2878" s="388">
        <v>884.45</v>
      </c>
      <c r="H2878" s="446">
        <v>2</v>
      </c>
      <c r="I2878" s="446">
        <v>2</v>
      </c>
      <c r="J2878" s="446">
        <v>31</v>
      </c>
      <c r="K2878" s="458" t="s">
        <v>33</v>
      </c>
      <c r="L2878" s="519">
        <f>SUM(M2878:Q2878)</f>
        <v>2579953</v>
      </c>
      <c r="M2878" s="677">
        <v>2548000</v>
      </c>
      <c r="N2878" s="675">
        <v>31953</v>
      </c>
      <c r="O2878" s="678"/>
      <c r="P2878" s="675"/>
      <c r="Q2878" s="388"/>
      <c r="R2878" s="676">
        <f>M2878/G2878</f>
        <v>2880.8864265927978</v>
      </c>
      <c r="U2878" s="404"/>
      <c r="V2878" s="390"/>
    </row>
    <row r="2879" spans="1:27" s="403" customFormat="1" ht="37.5">
      <c r="A2879" s="506">
        <f>A2878+1</f>
        <v>3</v>
      </c>
      <c r="B2879" s="543" t="s">
        <v>2293</v>
      </c>
      <c r="C2879" s="531" t="s">
        <v>326</v>
      </c>
      <c r="D2879" s="455">
        <v>2218</v>
      </c>
      <c r="E2879" s="388">
        <v>400</v>
      </c>
      <c r="F2879" s="388" t="s">
        <v>252</v>
      </c>
      <c r="G2879" s="388">
        <v>550</v>
      </c>
      <c r="H2879" s="446">
        <v>2</v>
      </c>
      <c r="I2879" s="446">
        <v>2</v>
      </c>
      <c r="J2879" s="446">
        <v>12</v>
      </c>
      <c r="K2879" s="458" t="s">
        <v>33</v>
      </c>
      <c r="L2879" s="519">
        <f>SUM(M2879:Q2879)</f>
        <v>1922699.58</v>
      </c>
      <c r="M2879" s="677">
        <v>1883308</v>
      </c>
      <c r="N2879" s="675">
        <v>28585</v>
      </c>
      <c r="O2879" s="678"/>
      <c r="P2879" s="675"/>
      <c r="Q2879" s="388">
        <v>10806.58</v>
      </c>
      <c r="R2879" s="676">
        <f>M2879/G2879</f>
        <v>3424.1963636363635</v>
      </c>
      <c r="U2879" s="404"/>
      <c r="V2879" s="390"/>
    </row>
    <row r="2880" spans="1:27" s="403" customFormat="1" ht="42.75" customHeight="1">
      <c r="A2880" s="1112" t="s">
        <v>191</v>
      </c>
      <c r="B2880" s="1112"/>
      <c r="C2880" s="455" t="s">
        <v>28</v>
      </c>
      <c r="D2880" s="388">
        <f>SUM(D2877:D2879)</f>
        <v>2218</v>
      </c>
      <c r="E2880" s="388">
        <f>SUM(E2877:E2879)</f>
        <v>1226.4000000000001</v>
      </c>
      <c r="F2880" s="388" t="s">
        <v>28</v>
      </c>
      <c r="G2880" s="388">
        <f>SUM(G2877:G2879)</f>
        <v>2084.4499999999998</v>
      </c>
      <c r="H2880" s="446" t="s">
        <v>28</v>
      </c>
      <c r="I2880" s="446" t="s">
        <v>28</v>
      </c>
      <c r="J2880" s="446">
        <f>SUM(J2877:J2879)</f>
        <v>61</v>
      </c>
      <c r="K2880" s="458" t="s">
        <v>28</v>
      </c>
      <c r="L2880" s="519">
        <f t="shared" ref="L2880:Q2880" si="421">SUM(L2877:L2879)</f>
        <v>6391981.5800000001</v>
      </c>
      <c r="M2880" s="519">
        <f t="shared" si="421"/>
        <v>6276322</v>
      </c>
      <c r="N2880" s="388">
        <f t="shared" si="421"/>
        <v>90530</v>
      </c>
      <c r="O2880" s="473">
        <f t="shared" si="421"/>
        <v>0</v>
      </c>
      <c r="P2880" s="388">
        <f t="shared" si="421"/>
        <v>0</v>
      </c>
      <c r="Q2880" s="388">
        <f t="shared" si="421"/>
        <v>25129.58</v>
      </c>
      <c r="R2880" s="446" t="s">
        <v>28</v>
      </c>
      <c r="S2880" s="383">
        <f>L2880-M2880-N2880-O2880-P2880-Q2880</f>
        <v>7.2759576141834259E-11</v>
      </c>
      <c r="T2880" s="387" t="e">
        <f>'1.перечень МКД'!#REF!</f>
        <v>#REF!</v>
      </c>
      <c r="U2880" s="390" t="e">
        <f>L2880-T2880</f>
        <v>#REF!</v>
      </c>
      <c r="V2880" s="390"/>
    </row>
    <row r="2881" spans="1:1024" s="403" customFormat="1" ht="42.75" customHeight="1">
      <c r="A2881" s="1113" t="s">
        <v>192</v>
      </c>
      <c r="B2881" s="1113"/>
      <c r="C2881" s="1113"/>
      <c r="D2881" s="1113"/>
      <c r="E2881" s="1113"/>
      <c r="F2881" s="1113"/>
      <c r="G2881" s="1113"/>
      <c r="H2881" s="1113"/>
      <c r="I2881" s="1113"/>
      <c r="J2881" s="1113"/>
      <c r="K2881" s="1113"/>
      <c r="L2881" s="1113"/>
      <c r="M2881" s="1113"/>
      <c r="N2881" s="1113"/>
      <c r="O2881" s="1113"/>
      <c r="P2881" s="1113"/>
      <c r="Q2881" s="1113"/>
      <c r="R2881" s="458"/>
      <c r="U2881" s="404"/>
      <c r="V2881" s="390"/>
    </row>
    <row r="2882" spans="1:1024" s="403" customFormat="1" ht="37.5" customHeight="1">
      <c r="A2882" s="404">
        <v>1</v>
      </c>
      <c r="B2882" s="788" t="s">
        <v>2294</v>
      </c>
      <c r="C2882" s="518" t="s">
        <v>319</v>
      </c>
      <c r="D2882" s="789">
        <v>5746</v>
      </c>
      <c r="E2882" s="539">
        <v>1078</v>
      </c>
      <c r="F2882" s="539" t="s">
        <v>231</v>
      </c>
      <c r="G2882" s="790">
        <v>902</v>
      </c>
      <c r="H2882" s="789">
        <v>2</v>
      </c>
      <c r="I2882" s="789">
        <v>4</v>
      </c>
      <c r="J2882" s="599">
        <v>31</v>
      </c>
      <c r="K2882" s="791" t="s">
        <v>225</v>
      </c>
      <c r="L2882" s="519">
        <f>SUM(M2882:Q2882)</f>
        <v>804552.88</v>
      </c>
      <c r="M2882" s="792">
        <v>775000</v>
      </c>
      <c r="N2882" s="790">
        <v>25980</v>
      </c>
      <c r="O2882" s="643"/>
      <c r="P2882" s="790"/>
      <c r="Q2882" s="388">
        <v>3572.88</v>
      </c>
      <c r="R2882" s="446">
        <f>M2882/J2882</f>
        <v>25000</v>
      </c>
      <c r="U2882" s="404"/>
      <c r="V2882" s="390"/>
    </row>
    <row r="2883" spans="1:1024" s="403" customFormat="1" ht="37.5">
      <c r="A2883" s="404">
        <v>2</v>
      </c>
      <c r="B2883" s="403" t="s">
        <v>3689</v>
      </c>
      <c r="C2883" s="780" t="s">
        <v>222</v>
      </c>
      <c r="D2883" s="780">
        <v>4572</v>
      </c>
      <c r="E2883" s="781">
        <v>933</v>
      </c>
      <c r="F2883" s="781" t="s">
        <v>223</v>
      </c>
      <c r="G2883" s="388">
        <v>990.72</v>
      </c>
      <c r="H2883" s="446">
        <v>2</v>
      </c>
      <c r="I2883" s="446">
        <v>3</v>
      </c>
      <c r="J2883" s="446">
        <v>21</v>
      </c>
      <c r="K2883" s="458" t="s">
        <v>33</v>
      </c>
      <c r="L2883" s="519">
        <f>SUM(M2883:Q2883)</f>
        <v>2855174</v>
      </c>
      <c r="M2883" s="677">
        <v>2800000</v>
      </c>
      <c r="N2883" s="675">
        <v>32787</v>
      </c>
      <c r="O2883" s="678"/>
      <c r="P2883" s="675"/>
      <c r="Q2883" s="388">
        <v>22387</v>
      </c>
      <c r="R2883" s="676">
        <f>M2883/G2883</f>
        <v>2826.2273901808785</v>
      </c>
      <c r="U2883" s="404"/>
      <c r="V2883" s="390"/>
    </row>
    <row r="2884" spans="1:1024" s="403" customFormat="1" ht="42.75" customHeight="1">
      <c r="A2884" s="1112" t="s">
        <v>193</v>
      </c>
      <c r="B2884" s="1112"/>
      <c r="C2884" s="455" t="s">
        <v>28</v>
      </c>
      <c r="D2884" s="539">
        <f>SUM(D2882:D2883)</f>
        <v>10318</v>
      </c>
      <c r="E2884" s="539">
        <f>SUM(E2882:E2883)</f>
        <v>2011</v>
      </c>
      <c r="F2884" s="539" t="s">
        <v>28</v>
      </c>
      <c r="G2884" s="539">
        <f>SUM(G2882:G2883)</f>
        <v>1892.72</v>
      </c>
      <c r="H2884" s="599" t="s">
        <v>28</v>
      </c>
      <c r="I2884" s="599" t="s">
        <v>28</v>
      </c>
      <c r="J2884" s="599">
        <f>SUM(J2882:J2883)</f>
        <v>52</v>
      </c>
      <c r="K2884" s="458" t="s">
        <v>28</v>
      </c>
      <c r="L2884" s="538">
        <f t="shared" ref="L2884:Q2884" si="422">SUM(L2882:L2883)</f>
        <v>3659726.88</v>
      </c>
      <c r="M2884" s="538">
        <f t="shared" si="422"/>
        <v>3575000</v>
      </c>
      <c r="N2884" s="539">
        <f t="shared" si="422"/>
        <v>58767</v>
      </c>
      <c r="O2884" s="540">
        <f t="shared" si="422"/>
        <v>0</v>
      </c>
      <c r="P2884" s="539">
        <f t="shared" si="422"/>
        <v>0</v>
      </c>
      <c r="Q2884" s="539">
        <f t="shared" si="422"/>
        <v>25959.88</v>
      </c>
      <c r="R2884" s="446" t="s">
        <v>28</v>
      </c>
      <c r="S2884" s="383">
        <f>L2884-M2884-N2884-O2884-P2884-Q2884</f>
        <v>-1.127773430198431E-10</v>
      </c>
      <c r="T2884" s="387" t="e">
        <f>'1.перечень МКД'!#REF!</f>
        <v>#REF!</v>
      </c>
      <c r="U2884" s="390" t="e">
        <f>L2884-T2884</f>
        <v>#REF!</v>
      </c>
      <c r="V2884" s="390"/>
    </row>
    <row r="2885" spans="1:1024" s="403" customFormat="1" ht="42.75" customHeight="1">
      <c r="A2885" s="1113" t="s">
        <v>194</v>
      </c>
      <c r="B2885" s="1113"/>
      <c r="C2885" s="1113"/>
      <c r="D2885" s="1113"/>
      <c r="E2885" s="1113"/>
      <c r="F2885" s="1113"/>
      <c r="G2885" s="1113"/>
      <c r="H2885" s="1113"/>
      <c r="I2885" s="1113"/>
      <c r="J2885" s="1113"/>
      <c r="K2885" s="1113"/>
      <c r="L2885" s="1113"/>
      <c r="M2885" s="1113"/>
      <c r="N2885" s="1113"/>
      <c r="O2885" s="1113"/>
      <c r="P2885" s="1113"/>
      <c r="Q2885" s="1113"/>
      <c r="R2885" s="458"/>
      <c r="U2885" s="404"/>
      <c r="V2885" s="390"/>
    </row>
    <row r="2886" spans="1:1024" s="403" customFormat="1" ht="37.5" customHeight="1">
      <c r="A2886" s="404">
        <v>1</v>
      </c>
      <c r="B2886" s="403" t="s">
        <v>2296</v>
      </c>
      <c r="C2886" s="455" t="s">
        <v>293</v>
      </c>
      <c r="D2886" s="455">
        <v>4784.5</v>
      </c>
      <c r="E2886" s="675">
        <v>490</v>
      </c>
      <c r="F2886" s="675" t="s">
        <v>252</v>
      </c>
      <c r="G2886" s="388">
        <v>918.98</v>
      </c>
      <c r="H2886" s="676">
        <v>2</v>
      </c>
      <c r="I2886" s="599">
        <v>3</v>
      </c>
      <c r="J2886" s="599">
        <v>23</v>
      </c>
      <c r="K2886" s="504" t="s">
        <v>33</v>
      </c>
      <c r="L2886" s="519">
        <f>M2886+O2886+Q2886+N2886</f>
        <v>2656155.12</v>
      </c>
      <c r="M2886" s="853">
        <v>2600000</v>
      </c>
      <c r="N2886" s="794">
        <v>32844</v>
      </c>
      <c r="O2886" s="795"/>
      <c r="P2886" s="794"/>
      <c r="Q2886" s="388">
        <v>23311.119999999999</v>
      </c>
      <c r="R2886" s="796">
        <f>M2886/G2886</f>
        <v>2829.223704541992</v>
      </c>
      <c r="U2886" s="404"/>
      <c r="V2886" s="390"/>
    </row>
    <row r="2887" spans="1:1024" s="403" customFormat="1" ht="42.75" customHeight="1">
      <c r="A2887" s="1112" t="s">
        <v>195</v>
      </c>
      <c r="B2887" s="1112"/>
      <c r="C2887" s="455" t="s">
        <v>28</v>
      </c>
      <c r="D2887" s="388">
        <f>SUM(D2886:D2886)</f>
        <v>4784.5</v>
      </c>
      <c r="E2887" s="388">
        <f>SUM(E2886:E2886)</f>
        <v>490</v>
      </c>
      <c r="F2887" s="388" t="s">
        <v>28</v>
      </c>
      <c r="G2887" s="388">
        <f>SUM(G2886:G2886)</f>
        <v>918.98</v>
      </c>
      <c r="H2887" s="446" t="s">
        <v>28</v>
      </c>
      <c r="I2887" s="446" t="s">
        <v>28</v>
      </c>
      <c r="J2887" s="446">
        <f>SUM(J2886:J2886)</f>
        <v>23</v>
      </c>
      <c r="K2887" s="458" t="s">
        <v>28</v>
      </c>
      <c r="L2887" s="519">
        <f t="shared" ref="L2887:Q2887" si="423">SUM(L2886:L2886)</f>
        <v>2656155.12</v>
      </c>
      <c r="M2887" s="519">
        <f t="shared" si="423"/>
        <v>2600000</v>
      </c>
      <c r="N2887" s="388">
        <f t="shared" si="423"/>
        <v>32844</v>
      </c>
      <c r="O2887" s="473">
        <f t="shared" si="423"/>
        <v>0</v>
      </c>
      <c r="P2887" s="388">
        <f t="shared" si="423"/>
        <v>0</v>
      </c>
      <c r="Q2887" s="388">
        <f t="shared" si="423"/>
        <v>23311.119999999999</v>
      </c>
      <c r="R2887" s="446" t="s">
        <v>28</v>
      </c>
      <c r="S2887" s="383">
        <f>L2887-M2887-N2887-O2887-P2887-Q2887</f>
        <v>1.127773430198431E-10</v>
      </c>
      <c r="T2887" s="387" t="e">
        <f>'1.перечень МКД'!#REF!</f>
        <v>#REF!</v>
      </c>
      <c r="U2887" s="390" t="e">
        <f>L2887-T2887</f>
        <v>#REF!</v>
      </c>
      <c r="V2887" s="390"/>
    </row>
    <row r="2888" spans="1:1024" s="403" customFormat="1" ht="42.75" customHeight="1">
      <c r="A2888" s="1113" t="s">
        <v>196</v>
      </c>
      <c r="B2888" s="1113"/>
      <c r="C2888" s="1113"/>
      <c r="D2888" s="1113"/>
      <c r="E2888" s="1113"/>
      <c r="F2888" s="1113"/>
      <c r="G2888" s="1113"/>
      <c r="H2888" s="1113"/>
      <c r="I2888" s="1113"/>
      <c r="J2888" s="1113"/>
      <c r="K2888" s="1113"/>
      <c r="L2888" s="1113"/>
      <c r="M2888" s="1113"/>
      <c r="N2888" s="1113"/>
      <c r="O2888" s="1113"/>
      <c r="P2888" s="1113"/>
      <c r="Q2888" s="1113"/>
      <c r="R2888" s="458"/>
      <c r="U2888" s="404"/>
      <c r="V2888" s="390"/>
    </row>
    <row r="2889" spans="1:1024" s="403" customFormat="1" ht="56.25">
      <c r="A2889" s="404">
        <v>1</v>
      </c>
      <c r="B2889" s="403" t="s">
        <v>2304</v>
      </c>
      <c r="C2889" s="455" t="s">
        <v>332</v>
      </c>
      <c r="D2889" s="455">
        <v>45750</v>
      </c>
      <c r="E2889" s="675">
        <v>8690</v>
      </c>
      <c r="F2889" s="675" t="s">
        <v>310</v>
      </c>
      <c r="G2889" s="388">
        <v>2222</v>
      </c>
      <c r="H2889" s="676">
        <v>9</v>
      </c>
      <c r="I2889" s="599">
        <v>6</v>
      </c>
      <c r="J2889" s="599">
        <v>204</v>
      </c>
      <c r="K2889" s="504" t="s">
        <v>220</v>
      </c>
      <c r="L2889" s="519">
        <f t="shared" ref="L2889:L2910" si="424">M2889+O2889+Q2889+N2889</f>
        <v>12902990</v>
      </c>
      <c r="M2889" s="853">
        <v>12711740</v>
      </c>
      <c r="N2889" s="794">
        <v>191250</v>
      </c>
      <c r="O2889" s="795"/>
      <c r="P2889" s="794"/>
      <c r="Q2889" s="388"/>
      <c r="R2889" s="446">
        <f>M2889/I2889</f>
        <v>2118623.3333333335</v>
      </c>
      <c r="U2889" s="404"/>
      <c r="V2889" s="390"/>
    </row>
    <row r="2890" spans="1:1024" s="403" customFormat="1" ht="37.5">
      <c r="A2890" s="404">
        <f t="shared" ref="A2890:A2899" si="425">A2889+1</f>
        <v>2</v>
      </c>
      <c r="B2890" s="403" t="s">
        <v>2308</v>
      </c>
      <c r="C2890" s="455" t="s">
        <v>335</v>
      </c>
      <c r="D2890" s="455">
        <v>88869</v>
      </c>
      <c r="E2890" s="675">
        <v>16224</v>
      </c>
      <c r="F2890" s="675" t="s">
        <v>310</v>
      </c>
      <c r="G2890" s="388">
        <v>3473</v>
      </c>
      <c r="H2890" s="676">
        <v>9</v>
      </c>
      <c r="I2890" s="599">
        <v>11</v>
      </c>
      <c r="J2890" s="599">
        <v>424</v>
      </c>
      <c r="K2890" s="504" t="s">
        <v>220</v>
      </c>
      <c r="L2890" s="519">
        <f t="shared" si="424"/>
        <v>23460750</v>
      </c>
      <c r="M2890" s="853">
        <v>23163250</v>
      </c>
      <c r="N2890" s="794">
        <v>297500</v>
      </c>
      <c r="O2890" s="795"/>
      <c r="P2890" s="794"/>
      <c r="Q2890" s="388"/>
      <c r="R2890" s="446">
        <f>M2890/I2890</f>
        <v>2105750</v>
      </c>
      <c r="U2890" s="404"/>
      <c r="V2890" s="390"/>
    </row>
    <row r="2891" spans="1:1024" s="403" customFormat="1" ht="37.5">
      <c r="A2891" s="404">
        <f t="shared" si="425"/>
        <v>3</v>
      </c>
      <c r="B2891" s="403" t="s">
        <v>1377</v>
      </c>
      <c r="C2891" s="455" t="s">
        <v>312</v>
      </c>
      <c r="D2891" s="455">
        <v>79153</v>
      </c>
      <c r="E2891" s="675">
        <v>14100</v>
      </c>
      <c r="F2891" s="675" t="s">
        <v>310</v>
      </c>
      <c r="G2891" s="388">
        <v>3125</v>
      </c>
      <c r="H2891" s="676">
        <v>9</v>
      </c>
      <c r="I2891" s="599">
        <v>10</v>
      </c>
      <c r="J2891" s="599">
        <v>379</v>
      </c>
      <c r="K2891" s="504" t="s">
        <v>220</v>
      </c>
      <c r="L2891" s="519">
        <f t="shared" si="424"/>
        <v>12804400</v>
      </c>
      <c r="M2891" s="853">
        <v>12613150</v>
      </c>
      <c r="N2891" s="794">
        <v>191250</v>
      </c>
      <c r="O2891" s="795"/>
      <c r="P2891" s="794"/>
      <c r="Q2891" s="388"/>
      <c r="R2891" s="446">
        <f>M2891/8</f>
        <v>1576643.75</v>
      </c>
      <c r="U2891" s="404"/>
      <c r="V2891" s="390"/>
    </row>
    <row r="2892" spans="1:1024" s="505" customFormat="1" ht="56.25">
      <c r="A2892" s="404">
        <f t="shared" si="425"/>
        <v>4</v>
      </c>
      <c r="B2892" s="854" t="s">
        <v>1366</v>
      </c>
      <c r="C2892" s="404" t="s">
        <v>3920</v>
      </c>
      <c r="D2892" s="531">
        <v>131688</v>
      </c>
      <c r="E2892" s="675">
        <v>17290</v>
      </c>
      <c r="F2892" s="675" t="s">
        <v>310</v>
      </c>
      <c r="G2892" s="388">
        <v>5487</v>
      </c>
      <c r="H2892" s="676">
        <v>9</v>
      </c>
      <c r="I2892" s="599">
        <v>12</v>
      </c>
      <c r="J2892" s="599">
        <v>384</v>
      </c>
      <c r="K2892" s="504" t="s">
        <v>220</v>
      </c>
      <c r="L2892" s="519">
        <f t="shared" si="424"/>
        <v>2211340</v>
      </c>
      <c r="M2892" s="855">
        <v>2126340</v>
      </c>
      <c r="N2892" s="482">
        <v>85000</v>
      </c>
      <c r="O2892" s="856"/>
      <c r="P2892" s="482"/>
      <c r="Q2892" s="482"/>
      <c r="R2892" s="446">
        <f>M2892</f>
        <v>2126340</v>
      </c>
      <c r="S2892" s="857"/>
      <c r="T2892" s="854"/>
      <c r="U2892" s="854"/>
      <c r="V2892" s="481"/>
      <c r="W2892" s="481"/>
      <c r="X2892" s="481"/>
      <c r="Y2892" s="481"/>
      <c r="Z2892" s="481"/>
      <c r="AA2892" s="481"/>
      <c r="AB2892" s="481"/>
      <c r="AC2892" s="481"/>
      <c r="AD2892" s="481"/>
      <c r="AE2892" s="481"/>
      <c r="AF2892" s="481"/>
      <c r="AG2892" s="481"/>
      <c r="AH2892" s="481"/>
      <c r="AI2892" s="481"/>
      <c r="AJ2892" s="481"/>
      <c r="AK2892" s="481"/>
      <c r="AL2892" s="481"/>
      <c r="AM2892" s="481"/>
      <c r="AN2892" s="481"/>
      <c r="AO2892" s="481"/>
      <c r="AP2892" s="481"/>
      <c r="AQ2892" s="481"/>
      <c r="AR2892" s="481"/>
      <c r="AS2892" s="481"/>
      <c r="AT2892" s="481"/>
      <c r="AU2892" s="481"/>
      <c r="AV2892" s="481"/>
      <c r="AW2892" s="481"/>
      <c r="AX2892" s="481"/>
      <c r="AY2892" s="481"/>
      <c r="AZ2892" s="481"/>
      <c r="BA2892" s="481"/>
      <c r="BB2892" s="481"/>
      <c r="BC2892" s="481"/>
      <c r="BD2892" s="481"/>
      <c r="BE2892" s="481"/>
      <c r="BF2892" s="481"/>
      <c r="BG2892" s="481"/>
      <c r="BH2892" s="481"/>
      <c r="BI2892" s="481"/>
      <c r="BJ2892" s="481"/>
      <c r="BK2892" s="481"/>
      <c r="BL2892" s="481"/>
      <c r="BM2892" s="481"/>
      <c r="BN2892" s="481"/>
      <c r="BO2892" s="481"/>
      <c r="BP2892" s="481"/>
      <c r="BQ2892" s="481"/>
      <c r="BR2892" s="481"/>
      <c r="BS2892" s="481"/>
      <c r="BT2892" s="481"/>
      <c r="BU2892" s="481"/>
      <c r="BV2892" s="481"/>
      <c r="BW2892" s="481"/>
      <c r="BX2892" s="481"/>
      <c r="BY2892" s="481"/>
      <c r="BZ2892" s="481"/>
      <c r="CA2892" s="481"/>
      <c r="CB2892" s="481"/>
      <c r="CC2892" s="481"/>
      <c r="CD2892" s="481"/>
      <c r="CE2892" s="481"/>
      <c r="CF2892" s="481"/>
      <c r="CG2892" s="481"/>
      <c r="CH2892" s="481"/>
      <c r="CI2892" s="481"/>
      <c r="CJ2892" s="481"/>
      <c r="CK2892" s="481"/>
      <c r="CL2892" s="481"/>
      <c r="CM2892" s="481"/>
      <c r="CN2892" s="481"/>
      <c r="CO2892" s="481"/>
      <c r="CP2892" s="481"/>
      <c r="CQ2892" s="481"/>
      <c r="CR2892" s="481"/>
      <c r="CS2892" s="481"/>
      <c r="CT2892" s="481"/>
      <c r="CU2892" s="481"/>
      <c r="CV2892" s="481"/>
      <c r="CW2892" s="481"/>
      <c r="CX2892" s="481"/>
      <c r="CY2892" s="481"/>
      <c r="CZ2892" s="481"/>
      <c r="DA2892" s="481"/>
      <c r="DB2892" s="481"/>
      <c r="DC2892" s="481"/>
      <c r="DD2892" s="481"/>
      <c r="DE2892" s="481"/>
      <c r="DF2892" s="481"/>
      <c r="DG2892" s="481"/>
      <c r="DH2892" s="481"/>
      <c r="DI2892" s="481"/>
      <c r="DJ2892" s="481"/>
      <c r="DK2892" s="481"/>
      <c r="DL2892" s="481"/>
      <c r="DM2892" s="481"/>
      <c r="DN2892" s="481"/>
      <c r="DO2892" s="481"/>
      <c r="DP2892" s="481"/>
      <c r="DQ2892" s="481"/>
      <c r="DR2892" s="481"/>
      <c r="DS2892" s="481"/>
      <c r="DT2892" s="481"/>
      <c r="DU2892" s="481"/>
      <c r="DV2892" s="481"/>
      <c r="DW2892" s="481"/>
      <c r="DX2892" s="481"/>
      <c r="DY2892" s="481"/>
      <c r="DZ2892" s="481"/>
      <c r="EA2892" s="481"/>
      <c r="EB2892" s="481"/>
      <c r="EC2892" s="481"/>
      <c r="ED2892" s="481"/>
      <c r="EE2892" s="481"/>
      <c r="EF2892" s="481"/>
      <c r="EG2892" s="481"/>
      <c r="EH2892" s="481"/>
      <c r="EI2892" s="481"/>
      <c r="EJ2892" s="481"/>
      <c r="EK2892" s="481"/>
      <c r="EL2892" s="481"/>
      <c r="EM2892" s="481"/>
      <c r="EN2892" s="481"/>
      <c r="EO2892" s="481"/>
      <c r="EP2892" s="481"/>
      <c r="EQ2892" s="481"/>
      <c r="ER2892" s="481"/>
      <c r="ES2892" s="481"/>
      <c r="ET2892" s="481"/>
      <c r="EU2892" s="481"/>
      <c r="EV2892" s="481"/>
      <c r="EW2892" s="481"/>
      <c r="EX2892" s="481"/>
      <c r="EY2892" s="481"/>
      <c r="EZ2892" s="481"/>
      <c r="FA2892" s="481"/>
      <c r="FB2892" s="481"/>
      <c r="FC2892" s="481"/>
      <c r="FD2892" s="481"/>
      <c r="FE2892" s="481"/>
      <c r="FF2892" s="481"/>
      <c r="FG2892" s="481"/>
      <c r="FH2892" s="481"/>
      <c r="FI2892" s="481"/>
      <c r="FJ2892" s="481"/>
      <c r="FK2892" s="481"/>
      <c r="FL2892" s="481"/>
      <c r="FM2892" s="481"/>
      <c r="FN2892" s="481"/>
      <c r="FO2892" s="481"/>
      <c r="FP2892" s="481"/>
      <c r="FQ2892" s="481"/>
      <c r="FR2892" s="481"/>
      <c r="FS2892" s="481"/>
      <c r="FT2892" s="481"/>
      <c r="FU2892" s="481"/>
      <c r="FV2892" s="481"/>
      <c r="FW2892" s="481"/>
      <c r="FX2892" s="481"/>
      <c r="FY2892" s="481"/>
      <c r="FZ2892" s="481"/>
      <c r="GA2892" s="481"/>
      <c r="GB2892" s="481"/>
      <c r="GC2892" s="481"/>
      <c r="GD2892" s="481"/>
      <c r="GE2892" s="481"/>
      <c r="GF2892" s="481"/>
      <c r="GG2892" s="481"/>
      <c r="GH2892" s="481"/>
      <c r="GI2892" s="481"/>
      <c r="GJ2892" s="481"/>
      <c r="GK2892" s="481"/>
      <c r="GL2892" s="481"/>
      <c r="GM2892" s="481"/>
      <c r="GN2892" s="481"/>
      <c r="GO2892" s="481"/>
      <c r="GP2892" s="481"/>
      <c r="GQ2892" s="481"/>
      <c r="GR2892" s="481"/>
      <c r="GS2892" s="481"/>
      <c r="GT2892" s="481"/>
      <c r="GU2892" s="481"/>
      <c r="GV2892" s="481"/>
      <c r="GW2892" s="481"/>
      <c r="GX2892" s="481"/>
      <c r="GY2892" s="481"/>
      <c r="GZ2892" s="481"/>
      <c r="HA2892" s="481"/>
      <c r="HB2892" s="481"/>
      <c r="HC2892" s="481"/>
      <c r="HD2892" s="481"/>
      <c r="HE2892" s="481"/>
      <c r="HF2892" s="481"/>
      <c r="HG2892" s="481"/>
      <c r="HH2892" s="481"/>
      <c r="HI2892" s="481"/>
      <c r="HJ2892" s="481"/>
      <c r="HK2892" s="481"/>
      <c r="HL2892" s="481"/>
      <c r="HM2892" s="481"/>
      <c r="HN2892" s="481"/>
      <c r="HO2892" s="481"/>
      <c r="HP2892" s="481"/>
      <c r="HQ2892" s="481"/>
      <c r="HR2892" s="481"/>
      <c r="HS2892" s="481"/>
      <c r="HT2892" s="481"/>
      <c r="HU2892" s="481"/>
      <c r="HV2892" s="481"/>
      <c r="HW2892" s="481"/>
      <c r="HX2892" s="481"/>
      <c r="HY2892" s="481"/>
      <c r="HZ2892" s="481"/>
      <c r="IA2892" s="481"/>
      <c r="IB2892" s="481"/>
      <c r="IC2892" s="481"/>
      <c r="ID2892" s="481"/>
      <c r="IE2892" s="481"/>
      <c r="IF2892" s="481"/>
      <c r="IG2892" s="481"/>
      <c r="IH2892" s="481"/>
      <c r="II2892" s="481"/>
      <c r="IJ2892" s="481"/>
      <c r="IK2892" s="481"/>
      <c r="IL2892" s="481"/>
      <c r="IM2892" s="481"/>
      <c r="IN2892" s="481"/>
      <c r="IO2892" s="481"/>
      <c r="IP2892" s="481"/>
      <c r="IQ2892" s="481"/>
      <c r="IR2892" s="481"/>
      <c r="IS2892" s="481"/>
      <c r="IT2892" s="481"/>
      <c r="IU2892" s="481"/>
      <c r="IV2892" s="481"/>
      <c r="IW2892" s="481"/>
      <c r="IX2892" s="481"/>
      <c r="IY2892" s="481"/>
      <c r="IZ2892" s="481"/>
      <c r="JA2892" s="481"/>
      <c r="JB2892" s="481"/>
      <c r="JC2892" s="481"/>
      <c r="JD2892" s="481"/>
      <c r="JE2892" s="481"/>
      <c r="JF2892" s="481"/>
      <c r="JG2892" s="481"/>
      <c r="JH2892" s="481"/>
      <c r="JI2892" s="481"/>
      <c r="JJ2892" s="481"/>
      <c r="JK2892" s="481"/>
      <c r="JL2892" s="481"/>
      <c r="JM2892" s="481"/>
      <c r="JN2892" s="481"/>
      <c r="JO2892" s="481"/>
      <c r="JP2892" s="481"/>
      <c r="JQ2892" s="481"/>
      <c r="JR2892" s="481"/>
      <c r="JS2892" s="481"/>
      <c r="JT2892" s="481"/>
      <c r="JU2892" s="481"/>
      <c r="JV2892" s="481"/>
      <c r="JW2892" s="481"/>
      <c r="JX2892" s="481"/>
      <c r="JY2892" s="481"/>
      <c r="JZ2892" s="481"/>
      <c r="KA2892" s="481"/>
      <c r="KB2892" s="481"/>
      <c r="KC2892" s="481"/>
      <c r="KD2892" s="481"/>
      <c r="KE2892" s="481"/>
      <c r="KF2892" s="481"/>
      <c r="KG2892" s="481"/>
      <c r="KH2892" s="481"/>
      <c r="KI2892" s="481"/>
      <c r="KJ2892" s="481"/>
      <c r="KK2892" s="481"/>
      <c r="KL2892" s="481"/>
      <c r="KM2892" s="481"/>
      <c r="KN2892" s="481"/>
      <c r="KO2892" s="481"/>
      <c r="KP2892" s="481"/>
      <c r="KQ2892" s="481"/>
      <c r="KR2892" s="481"/>
      <c r="KS2892" s="481"/>
      <c r="KT2892" s="481"/>
      <c r="KU2892" s="481"/>
      <c r="KV2892" s="481"/>
      <c r="KW2892" s="481"/>
      <c r="KX2892" s="481"/>
      <c r="KY2892" s="481"/>
      <c r="KZ2892" s="481"/>
      <c r="LA2892" s="481"/>
      <c r="LB2892" s="481"/>
      <c r="LC2892" s="481"/>
      <c r="LD2892" s="481"/>
      <c r="LE2892" s="481"/>
      <c r="LF2892" s="481"/>
      <c r="LG2892" s="481"/>
      <c r="LH2892" s="481"/>
      <c r="LI2892" s="481"/>
      <c r="LJ2892" s="481"/>
      <c r="LK2892" s="481"/>
      <c r="LL2892" s="481"/>
      <c r="LM2892" s="481"/>
      <c r="LN2892" s="481"/>
      <c r="LO2892" s="481"/>
      <c r="LP2892" s="481"/>
      <c r="LQ2892" s="481"/>
      <c r="LR2892" s="481"/>
      <c r="LS2892" s="481"/>
      <c r="LT2892" s="481"/>
      <c r="LU2892" s="481"/>
      <c r="LV2892" s="481"/>
      <c r="LW2892" s="481"/>
      <c r="LX2892" s="481"/>
      <c r="LY2892" s="481"/>
      <c r="LZ2892" s="481"/>
      <c r="MA2892" s="481"/>
      <c r="MB2892" s="481"/>
      <c r="MC2892" s="481"/>
      <c r="MD2892" s="481"/>
      <c r="ME2892" s="481"/>
      <c r="MF2892" s="481"/>
      <c r="MG2892" s="481"/>
      <c r="MH2892" s="481"/>
      <c r="MI2892" s="481"/>
      <c r="MJ2892" s="481"/>
      <c r="MK2892" s="481"/>
      <c r="ML2892" s="481"/>
      <c r="MM2892" s="481"/>
      <c r="MN2892" s="481"/>
      <c r="MO2892" s="481"/>
      <c r="MP2892" s="481"/>
      <c r="MQ2892" s="481"/>
      <c r="MR2892" s="481"/>
      <c r="MS2892" s="481"/>
      <c r="MT2892" s="481"/>
      <c r="MU2892" s="481"/>
      <c r="MV2892" s="481"/>
      <c r="MW2892" s="481"/>
      <c r="MX2892" s="481"/>
      <c r="MY2892" s="481"/>
      <c r="MZ2892" s="481"/>
      <c r="NA2892" s="481"/>
      <c r="NB2892" s="481"/>
      <c r="NC2892" s="481"/>
      <c r="ND2892" s="481"/>
      <c r="NE2892" s="481"/>
      <c r="NF2892" s="481"/>
      <c r="NG2892" s="481"/>
      <c r="NH2892" s="481"/>
      <c r="NI2892" s="481"/>
      <c r="NJ2892" s="481"/>
      <c r="NK2892" s="481"/>
      <c r="NL2892" s="481"/>
      <c r="NM2892" s="481"/>
      <c r="NN2892" s="481"/>
      <c r="NO2892" s="481"/>
      <c r="NP2892" s="481"/>
      <c r="NQ2892" s="481"/>
      <c r="NR2892" s="481"/>
      <c r="NS2892" s="481"/>
      <c r="NT2892" s="481"/>
      <c r="NU2892" s="481"/>
      <c r="NV2892" s="481"/>
      <c r="NW2892" s="481"/>
      <c r="NX2892" s="481"/>
      <c r="NY2892" s="481"/>
      <c r="NZ2892" s="481"/>
      <c r="OA2892" s="481"/>
      <c r="OB2892" s="481"/>
      <c r="OC2892" s="481"/>
      <c r="OD2892" s="481"/>
      <c r="OE2892" s="481"/>
      <c r="OF2892" s="481"/>
      <c r="OG2892" s="481"/>
      <c r="OH2892" s="481"/>
      <c r="OI2892" s="481"/>
      <c r="OJ2892" s="481"/>
      <c r="OK2892" s="481"/>
      <c r="OL2892" s="481"/>
      <c r="OM2892" s="481"/>
      <c r="ON2892" s="481"/>
      <c r="OO2892" s="481"/>
      <c r="OP2892" s="481"/>
      <c r="OQ2892" s="481"/>
      <c r="OR2892" s="481"/>
      <c r="OS2892" s="481"/>
      <c r="OT2892" s="481"/>
      <c r="OU2892" s="481"/>
      <c r="OV2892" s="481"/>
      <c r="OW2892" s="481"/>
      <c r="OX2892" s="481"/>
      <c r="OY2892" s="481"/>
      <c r="OZ2892" s="481"/>
      <c r="PA2892" s="481"/>
      <c r="PB2892" s="481"/>
      <c r="PC2892" s="481"/>
      <c r="PD2892" s="481"/>
      <c r="PE2892" s="481"/>
      <c r="PF2892" s="481"/>
      <c r="PG2892" s="481"/>
      <c r="PH2892" s="481"/>
      <c r="PI2892" s="481"/>
      <c r="PJ2892" s="481"/>
      <c r="PK2892" s="481"/>
      <c r="PL2892" s="481"/>
      <c r="PM2892" s="481"/>
      <c r="PN2892" s="481"/>
      <c r="PO2892" s="481"/>
      <c r="PP2892" s="481"/>
      <c r="PQ2892" s="481"/>
      <c r="PR2892" s="481"/>
      <c r="PS2892" s="481"/>
      <c r="PT2892" s="481"/>
      <c r="PU2892" s="481"/>
      <c r="PV2892" s="481"/>
      <c r="PW2892" s="481"/>
      <c r="PX2892" s="481"/>
      <c r="PY2892" s="481"/>
      <c r="PZ2892" s="481"/>
      <c r="QA2892" s="481"/>
      <c r="QB2892" s="481"/>
      <c r="QC2892" s="481"/>
      <c r="QD2892" s="481"/>
      <c r="QE2892" s="481"/>
      <c r="QF2892" s="481"/>
      <c r="QG2892" s="481"/>
      <c r="QH2892" s="481"/>
      <c r="QI2892" s="481"/>
      <c r="QJ2892" s="481"/>
      <c r="QK2892" s="481"/>
      <c r="QL2892" s="481"/>
      <c r="QM2892" s="481"/>
      <c r="QN2892" s="481"/>
      <c r="QO2892" s="481"/>
      <c r="QP2892" s="481"/>
      <c r="QQ2892" s="481"/>
      <c r="QR2892" s="481"/>
      <c r="QS2892" s="481"/>
      <c r="QT2892" s="481"/>
      <c r="QU2892" s="481"/>
      <c r="QV2892" s="481"/>
      <c r="QW2892" s="481"/>
      <c r="QX2892" s="481"/>
      <c r="QY2892" s="481"/>
      <c r="QZ2892" s="481"/>
      <c r="RA2892" s="481"/>
      <c r="RB2892" s="481"/>
      <c r="RC2892" s="481"/>
      <c r="RD2892" s="481"/>
      <c r="RE2892" s="481"/>
      <c r="RF2892" s="481"/>
      <c r="RG2892" s="481"/>
      <c r="RH2892" s="481"/>
      <c r="RI2892" s="481"/>
      <c r="RJ2892" s="481"/>
      <c r="RK2892" s="481"/>
      <c r="RL2892" s="481"/>
      <c r="RM2892" s="481"/>
      <c r="RN2892" s="481"/>
      <c r="RO2892" s="481"/>
      <c r="RP2892" s="481"/>
      <c r="RQ2892" s="481"/>
      <c r="RR2892" s="481"/>
      <c r="RS2892" s="481"/>
      <c r="RT2892" s="481"/>
      <c r="RU2892" s="481"/>
      <c r="RV2892" s="481"/>
      <c r="RW2892" s="481"/>
      <c r="RX2892" s="481"/>
      <c r="RY2892" s="481"/>
      <c r="RZ2892" s="481"/>
      <c r="SA2892" s="481"/>
      <c r="SB2892" s="481"/>
      <c r="SC2892" s="481"/>
      <c r="SD2892" s="481"/>
      <c r="SE2892" s="481"/>
      <c r="SF2892" s="481"/>
      <c r="SG2892" s="481"/>
      <c r="SH2892" s="481"/>
      <c r="SI2892" s="481"/>
      <c r="SJ2892" s="481"/>
      <c r="SK2892" s="481"/>
      <c r="SL2892" s="481"/>
      <c r="SM2892" s="481"/>
      <c r="SN2892" s="481"/>
      <c r="SO2892" s="481"/>
      <c r="SP2892" s="481"/>
      <c r="SQ2892" s="481"/>
      <c r="SR2892" s="481"/>
      <c r="SS2892" s="481"/>
      <c r="ST2892" s="481"/>
      <c r="SU2892" s="481"/>
      <c r="SV2892" s="481"/>
      <c r="SW2892" s="481"/>
      <c r="SX2892" s="481"/>
      <c r="SY2892" s="481"/>
      <c r="SZ2892" s="481"/>
      <c r="TA2892" s="481"/>
      <c r="TB2892" s="481"/>
      <c r="TC2892" s="481"/>
      <c r="TD2892" s="481"/>
      <c r="TE2892" s="481"/>
      <c r="TF2892" s="481"/>
      <c r="TG2892" s="481"/>
      <c r="TH2892" s="481"/>
      <c r="TI2892" s="481"/>
      <c r="TJ2892" s="481"/>
      <c r="TK2892" s="481"/>
      <c r="TL2892" s="481"/>
      <c r="TM2892" s="481"/>
      <c r="TN2892" s="481"/>
      <c r="TO2892" s="481"/>
      <c r="TP2892" s="481"/>
      <c r="TQ2892" s="481"/>
      <c r="TR2892" s="481"/>
      <c r="TS2892" s="481"/>
      <c r="TT2892" s="481"/>
      <c r="TU2892" s="481"/>
      <c r="TV2892" s="481"/>
      <c r="TW2892" s="481"/>
      <c r="TX2892" s="481"/>
      <c r="TY2892" s="481"/>
      <c r="TZ2892" s="481"/>
      <c r="UA2892" s="481"/>
      <c r="UB2892" s="481"/>
      <c r="UC2892" s="481"/>
      <c r="UD2892" s="481"/>
      <c r="UE2892" s="481"/>
      <c r="UF2892" s="481"/>
      <c r="UG2892" s="481"/>
      <c r="UH2892" s="481"/>
      <c r="UI2892" s="481"/>
      <c r="UJ2892" s="481"/>
      <c r="UK2892" s="481"/>
      <c r="UL2892" s="481"/>
      <c r="UM2892" s="481"/>
      <c r="UN2892" s="481"/>
      <c r="UO2892" s="481"/>
      <c r="UP2892" s="481"/>
      <c r="UQ2892" s="481"/>
      <c r="UR2892" s="481"/>
      <c r="US2892" s="481"/>
      <c r="UT2892" s="481"/>
      <c r="UU2892" s="481"/>
      <c r="UV2892" s="481"/>
      <c r="UW2892" s="481"/>
      <c r="UX2892" s="481"/>
      <c r="UY2892" s="481"/>
      <c r="UZ2892" s="481"/>
      <c r="VA2892" s="481"/>
      <c r="VB2892" s="481"/>
      <c r="VC2892" s="481"/>
      <c r="VD2892" s="481"/>
      <c r="VE2892" s="481"/>
      <c r="VF2892" s="481"/>
      <c r="VG2892" s="481"/>
      <c r="VH2892" s="481"/>
      <c r="VI2892" s="481"/>
      <c r="VJ2892" s="481"/>
      <c r="VK2892" s="481"/>
      <c r="VL2892" s="481"/>
      <c r="VM2892" s="481"/>
      <c r="VN2892" s="481"/>
      <c r="VO2892" s="481"/>
      <c r="VP2892" s="481"/>
      <c r="VQ2892" s="481"/>
      <c r="VR2892" s="481"/>
      <c r="VS2892" s="481"/>
      <c r="VT2892" s="481"/>
      <c r="VU2892" s="481"/>
      <c r="VV2892" s="481"/>
      <c r="VW2892" s="481"/>
      <c r="VX2892" s="481"/>
      <c r="VY2892" s="481"/>
      <c r="VZ2892" s="481"/>
      <c r="WA2892" s="481"/>
      <c r="WB2892" s="481"/>
      <c r="WC2892" s="481"/>
      <c r="WD2892" s="481"/>
      <c r="WE2892" s="481"/>
      <c r="WF2892" s="481"/>
      <c r="WG2892" s="481"/>
      <c r="WH2892" s="481"/>
      <c r="WI2892" s="481"/>
      <c r="WJ2892" s="481"/>
      <c r="WK2892" s="481"/>
      <c r="WL2892" s="481"/>
      <c r="WM2892" s="481"/>
      <c r="WN2892" s="481"/>
      <c r="WO2892" s="481"/>
      <c r="WP2892" s="481"/>
      <c r="WQ2892" s="481"/>
      <c r="WR2892" s="481"/>
      <c r="WS2892" s="481"/>
      <c r="WT2892" s="481"/>
      <c r="WU2892" s="481"/>
      <c r="WV2892" s="481"/>
      <c r="WW2892" s="481"/>
      <c r="WX2892" s="481"/>
      <c r="WY2892" s="481"/>
      <c r="WZ2892" s="481"/>
      <c r="XA2892" s="481"/>
      <c r="XB2892" s="481"/>
      <c r="XC2892" s="481"/>
      <c r="XD2892" s="481"/>
      <c r="XE2892" s="481"/>
      <c r="XF2892" s="481"/>
      <c r="XG2892" s="481"/>
      <c r="XH2892" s="481"/>
      <c r="XI2892" s="481"/>
      <c r="XJ2892" s="481"/>
      <c r="XK2892" s="481"/>
      <c r="XL2892" s="481"/>
      <c r="XM2892" s="481"/>
      <c r="XN2892" s="481"/>
      <c r="XO2892" s="481"/>
      <c r="XP2892" s="481"/>
      <c r="XQ2892" s="481"/>
      <c r="XR2892" s="481"/>
      <c r="XS2892" s="481"/>
      <c r="XT2892" s="481"/>
      <c r="XU2892" s="481"/>
      <c r="XV2892" s="481"/>
      <c r="XW2892" s="481"/>
      <c r="XX2892" s="481"/>
      <c r="XY2892" s="481"/>
      <c r="XZ2892" s="481"/>
      <c r="YA2892" s="481"/>
      <c r="YB2892" s="481"/>
      <c r="YC2892" s="481"/>
      <c r="YD2892" s="481"/>
      <c r="YE2892" s="481"/>
      <c r="YF2892" s="481"/>
      <c r="YG2892" s="481"/>
      <c r="YH2892" s="481"/>
      <c r="YI2892" s="481"/>
      <c r="YJ2892" s="481"/>
      <c r="YK2892" s="481"/>
      <c r="YL2892" s="481"/>
      <c r="YM2892" s="481"/>
      <c r="YN2892" s="481"/>
      <c r="YO2892" s="481"/>
      <c r="YP2892" s="481"/>
      <c r="YQ2892" s="481"/>
      <c r="YR2892" s="481"/>
      <c r="YS2892" s="481"/>
      <c r="YT2892" s="481"/>
      <c r="YU2892" s="481"/>
      <c r="YV2892" s="481"/>
      <c r="YW2892" s="481"/>
      <c r="YX2892" s="481"/>
      <c r="YY2892" s="481"/>
      <c r="YZ2892" s="481"/>
      <c r="ZA2892" s="481"/>
      <c r="ZB2892" s="481"/>
      <c r="ZC2892" s="481"/>
      <c r="ZD2892" s="481"/>
      <c r="ZE2892" s="481"/>
      <c r="ZF2892" s="481"/>
      <c r="ZG2892" s="481"/>
      <c r="ZH2892" s="481"/>
      <c r="ZI2892" s="481"/>
      <c r="ZJ2892" s="481"/>
      <c r="ZK2892" s="481"/>
      <c r="ZL2892" s="481"/>
      <c r="ZM2892" s="481"/>
      <c r="ZN2892" s="481"/>
      <c r="ZO2892" s="481"/>
      <c r="ZP2892" s="481"/>
      <c r="ZQ2892" s="481"/>
      <c r="ZR2892" s="481"/>
      <c r="ZS2892" s="481"/>
      <c r="ZT2892" s="481"/>
      <c r="ZU2892" s="481"/>
      <c r="ZV2892" s="481"/>
      <c r="ZW2892" s="481"/>
      <c r="ZX2892" s="481"/>
      <c r="ZY2892" s="481"/>
      <c r="ZZ2892" s="481"/>
      <c r="AAA2892" s="481"/>
      <c r="AAB2892" s="481"/>
      <c r="AAC2892" s="481"/>
      <c r="AAD2892" s="481"/>
      <c r="AAE2892" s="481"/>
      <c r="AAF2892" s="481"/>
      <c r="AAG2892" s="481"/>
      <c r="AAH2892" s="481"/>
      <c r="AAI2892" s="481"/>
      <c r="AAJ2892" s="481"/>
      <c r="AAK2892" s="481"/>
      <c r="AAL2892" s="481"/>
      <c r="AAM2892" s="481"/>
      <c r="AAN2892" s="481"/>
      <c r="AAO2892" s="481"/>
      <c r="AAP2892" s="481"/>
      <c r="AAQ2892" s="481"/>
      <c r="AAR2892" s="481"/>
      <c r="AAS2892" s="481"/>
      <c r="AAT2892" s="481"/>
      <c r="AAU2892" s="481"/>
      <c r="AAV2892" s="481"/>
      <c r="AAW2892" s="481"/>
      <c r="AAX2892" s="481"/>
      <c r="AAY2892" s="481"/>
      <c r="AAZ2892" s="481"/>
      <c r="ABA2892" s="481"/>
      <c r="ABB2892" s="481"/>
      <c r="ABC2892" s="481"/>
      <c r="ABD2892" s="481"/>
      <c r="ABE2892" s="481"/>
      <c r="ABF2892" s="481"/>
      <c r="ABG2892" s="481"/>
      <c r="ABH2892" s="481"/>
      <c r="ABI2892" s="481"/>
      <c r="ABJ2892" s="481"/>
      <c r="ABK2892" s="481"/>
      <c r="ABL2892" s="481"/>
      <c r="ABM2892" s="481"/>
      <c r="ABN2892" s="481"/>
      <c r="ABO2892" s="481"/>
      <c r="ABP2892" s="481"/>
      <c r="ABQ2892" s="481"/>
      <c r="ABR2892" s="481"/>
      <c r="ABS2892" s="481"/>
      <c r="ABT2892" s="481"/>
      <c r="ABU2892" s="481"/>
      <c r="ABV2892" s="481"/>
      <c r="ABW2892" s="481"/>
      <c r="ABX2892" s="481"/>
      <c r="ABY2892" s="481"/>
      <c r="ABZ2892" s="481"/>
      <c r="ACA2892" s="481"/>
      <c r="ACB2892" s="481"/>
      <c r="ACC2892" s="481"/>
      <c r="ACD2892" s="481"/>
      <c r="ACE2892" s="481"/>
      <c r="ACF2892" s="481"/>
      <c r="ACG2892" s="481"/>
      <c r="ACH2892" s="481"/>
      <c r="ACI2892" s="481"/>
      <c r="ACJ2892" s="481"/>
      <c r="ACK2892" s="481"/>
      <c r="ACL2892" s="481"/>
      <c r="ACM2892" s="481"/>
      <c r="ACN2892" s="481"/>
      <c r="ACO2892" s="481"/>
      <c r="ACP2892" s="481"/>
      <c r="ACQ2892" s="481"/>
      <c r="ACR2892" s="481"/>
      <c r="ACS2892" s="481"/>
      <c r="ACT2892" s="481"/>
      <c r="ACU2892" s="481"/>
      <c r="ACV2892" s="481"/>
      <c r="ACW2892" s="481"/>
      <c r="ACX2892" s="481"/>
      <c r="ACY2892" s="481"/>
      <c r="ACZ2892" s="481"/>
      <c r="ADA2892" s="481"/>
      <c r="ADB2892" s="481"/>
      <c r="ADC2892" s="481"/>
      <c r="ADD2892" s="481"/>
      <c r="ADE2892" s="481"/>
      <c r="ADF2892" s="481"/>
      <c r="ADG2892" s="481"/>
      <c r="ADH2892" s="481"/>
      <c r="ADI2892" s="481"/>
      <c r="ADJ2892" s="481"/>
      <c r="ADK2892" s="481"/>
      <c r="ADL2892" s="481"/>
      <c r="ADM2892" s="481"/>
      <c r="ADN2892" s="481"/>
      <c r="ADO2892" s="481"/>
      <c r="ADP2892" s="481"/>
      <c r="ADQ2892" s="481"/>
      <c r="ADR2892" s="481"/>
      <c r="ADS2892" s="481"/>
      <c r="ADT2892" s="481"/>
      <c r="ADU2892" s="481"/>
      <c r="ADV2892" s="481"/>
      <c r="ADW2892" s="481"/>
      <c r="ADX2892" s="481"/>
      <c r="ADY2892" s="481"/>
      <c r="ADZ2892" s="481"/>
      <c r="AEA2892" s="481"/>
      <c r="AEB2892" s="481"/>
      <c r="AEC2892" s="481"/>
      <c r="AED2892" s="481"/>
      <c r="AEE2892" s="481"/>
      <c r="AEF2892" s="481"/>
      <c r="AEG2892" s="481"/>
      <c r="AEH2892" s="481"/>
      <c r="AEI2892" s="481"/>
      <c r="AEJ2892" s="481"/>
      <c r="AEK2892" s="481"/>
      <c r="AEL2892" s="481"/>
      <c r="AEM2892" s="481"/>
      <c r="AEN2892" s="481"/>
      <c r="AEO2892" s="481"/>
      <c r="AEP2892" s="481"/>
      <c r="AEQ2892" s="481"/>
      <c r="AER2892" s="481"/>
      <c r="AES2892" s="481"/>
      <c r="AET2892" s="481"/>
      <c r="AEU2892" s="481"/>
      <c r="AEV2892" s="481"/>
      <c r="AEW2892" s="481"/>
      <c r="AEX2892" s="481"/>
      <c r="AEY2892" s="481"/>
      <c r="AEZ2892" s="481"/>
      <c r="AFA2892" s="481"/>
      <c r="AFB2892" s="481"/>
      <c r="AFC2892" s="481"/>
      <c r="AFD2892" s="481"/>
      <c r="AFE2892" s="481"/>
      <c r="AFF2892" s="481"/>
      <c r="AFG2892" s="481"/>
      <c r="AFH2892" s="481"/>
      <c r="AFI2892" s="481"/>
      <c r="AFJ2892" s="481"/>
      <c r="AFK2892" s="481"/>
      <c r="AFL2892" s="481"/>
      <c r="AFM2892" s="481"/>
      <c r="AFN2892" s="481"/>
      <c r="AFO2892" s="481"/>
      <c r="AFP2892" s="481"/>
      <c r="AFQ2892" s="481"/>
      <c r="AFR2892" s="481"/>
      <c r="AFS2892" s="481"/>
      <c r="AFT2892" s="481"/>
      <c r="AFU2892" s="481"/>
      <c r="AFV2892" s="481"/>
      <c r="AFW2892" s="481"/>
      <c r="AFX2892" s="481"/>
      <c r="AFY2892" s="481"/>
      <c r="AFZ2892" s="481"/>
      <c r="AGA2892" s="481"/>
      <c r="AGB2892" s="481"/>
      <c r="AGC2892" s="481"/>
      <c r="AGD2892" s="481"/>
      <c r="AGE2892" s="481"/>
      <c r="AGF2892" s="481"/>
      <c r="AGG2892" s="481"/>
      <c r="AGH2892" s="481"/>
      <c r="AGI2892" s="481"/>
      <c r="AGJ2892" s="481"/>
      <c r="AGK2892" s="481"/>
      <c r="AGL2892" s="481"/>
      <c r="AGM2892" s="481"/>
      <c r="AGN2892" s="481"/>
      <c r="AGO2892" s="481"/>
      <c r="AGP2892" s="481"/>
      <c r="AGQ2892" s="481"/>
      <c r="AGR2892" s="481"/>
      <c r="AGS2892" s="481"/>
      <c r="AGT2892" s="481"/>
      <c r="AGU2892" s="481"/>
      <c r="AGV2892" s="481"/>
      <c r="AGW2892" s="481"/>
      <c r="AGX2892" s="481"/>
      <c r="AGY2892" s="481"/>
      <c r="AGZ2892" s="481"/>
      <c r="AHA2892" s="481"/>
      <c r="AHB2892" s="481"/>
      <c r="AHC2892" s="481"/>
      <c r="AHD2892" s="481"/>
      <c r="AHE2892" s="481"/>
      <c r="AHF2892" s="481"/>
      <c r="AHG2892" s="481"/>
      <c r="AHH2892" s="481"/>
      <c r="AHI2892" s="481"/>
      <c r="AHJ2892" s="481"/>
      <c r="AHK2892" s="481"/>
      <c r="AHL2892" s="481"/>
      <c r="AHM2892" s="481"/>
      <c r="AHN2892" s="481"/>
      <c r="AHO2892" s="481"/>
      <c r="AHP2892" s="481"/>
      <c r="AHQ2892" s="481"/>
      <c r="AHR2892" s="481"/>
      <c r="AHS2892" s="481"/>
      <c r="AHT2892" s="481"/>
      <c r="AHU2892" s="481"/>
      <c r="AHV2892" s="481"/>
      <c r="AHW2892" s="481"/>
      <c r="AHX2892" s="481"/>
      <c r="AHY2892" s="481"/>
      <c r="AHZ2892" s="481"/>
      <c r="AIA2892" s="481"/>
      <c r="AIB2892" s="481"/>
      <c r="AIC2892" s="481"/>
      <c r="AID2892" s="481"/>
      <c r="AIE2892" s="481"/>
      <c r="AIF2892" s="481"/>
      <c r="AIG2892" s="481"/>
      <c r="AIH2892" s="481"/>
      <c r="AII2892" s="481"/>
      <c r="AIJ2892" s="481"/>
      <c r="AIK2892" s="481"/>
      <c r="AIL2892" s="481"/>
      <c r="AIM2892" s="481"/>
      <c r="AIN2892" s="481"/>
      <c r="AIO2892" s="481"/>
      <c r="AIP2892" s="481"/>
      <c r="AIQ2892" s="481"/>
      <c r="AIR2892" s="481"/>
      <c r="AIS2892" s="481"/>
      <c r="AIT2892" s="481"/>
      <c r="AIU2892" s="481"/>
      <c r="AIV2892" s="481"/>
      <c r="AIW2892" s="481"/>
      <c r="AIX2892" s="481"/>
      <c r="AIY2892" s="481"/>
      <c r="AIZ2892" s="481"/>
      <c r="AJA2892" s="481"/>
      <c r="AJB2892" s="481"/>
      <c r="AJC2892" s="481"/>
      <c r="AJD2892" s="481"/>
      <c r="AJE2892" s="481"/>
      <c r="AJF2892" s="481"/>
      <c r="AJG2892" s="481"/>
      <c r="AJH2892" s="481"/>
      <c r="AJI2892" s="481"/>
      <c r="AJJ2892" s="481"/>
      <c r="AJK2892" s="481"/>
      <c r="AJL2892" s="481"/>
      <c r="AJM2892" s="481"/>
      <c r="AJN2892" s="481"/>
      <c r="AJO2892" s="481"/>
      <c r="AJP2892" s="481"/>
      <c r="AJQ2892" s="481"/>
      <c r="AJR2892" s="481"/>
      <c r="AJS2892" s="481"/>
      <c r="AJT2892" s="481"/>
      <c r="AJU2892" s="481"/>
      <c r="AJV2892" s="481"/>
      <c r="AJW2892" s="481"/>
      <c r="AJX2892" s="481"/>
      <c r="AJY2892" s="481"/>
      <c r="AJZ2892" s="481"/>
      <c r="AKA2892" s="481"/>
      <c r="AKB2892" s="481"/>
      <c r="AKC2892" s="481"/>
      <c r="AKD2892" s="481"/>
      <c r="AKE2892" s="481"/>
      <c r="AKF2892" s="481"/>
      <c r="AKG2892" s="481"/>
      <c r="AKH2892" s="481"/>
      <c r="AKI2892" s="481"/>
      <c r="AKJ2892" s="481"/>
      <c r="AKK2892" s="481"/>
      <c r="AKL2892" s="481"/>
      <c r="AKM2892" s="481"/>
      <c r="AKN2892" s="481"/>
      <c r="AKO2892" s="481"/>
      <c r="AKP2892" s="481"/>
      <c r="AKQ2892" s="481"/>
      <c r="AKR2892" s="481"/>
      <c r="AKS2892" s="481"/>
      <c r="AKT2892" s="481"/>
      <c r="AKU2892" s="481"/>
      <c r="AKV2892" s="481"/>
      <c r="AKW2892" s="481"/>
      <c r="AKX2892" s="481"/>
      <c r="AKY2892" s="481"/>
      <c r="AKZ2892" s="481"/>
      <c r="ALA2892" s="481"/>
      <c r="ALB2892" s="481"/>
      <c r="ALC2892" s="481"/>
      <c r="ALD2892" s="481"/>
      <c r="ALE2892" s="481"/>
      <c r="ALF2892" s="481"/>
      <c r="ALG2892" s="481"/>
      <c r="ALH2892" s="481"/>
      <c r="ALI2892" s="481"/>
      <c r="ALJ2892" s="481"/>
      <c r="ALK2892" s="481"/>
      <c r="ALL2892" s="481"/>
      <c r="ALM2892" s="481"/>
      <c r="ALN2892" s="481"/>
      <c r="ALO2892" s="481"/>
      <c r="ALP2892" s="481"/>
      <c r="ALQ2892" s="481"/>
      <c r="ALR2892" s="481"/>
      <c r="ALS2892" s="481"/>
      <c r="ALT2892" s="481"/>
      <c r="ALU2892" s="481"/>
      <c r="ALV2892" s="481"/>
      <c r="ALW2892" s="481"/>
      <c r="ALX2892" s="481"/>
      <c r="ALY2892" s="481"/>
      <c r="ALZ2892" s="481"/>
      <c r="AMA2892" s="481"/>
      <c r="AMB2892" s="481"/>
      <c r="AMC2892" s="481"/>
      <c r="AMD2892" s="481"/>
      <c r="AME2892" s="481"/>
      <c r="AMF2892" s="481"/>
      <c r="AMG2892" s="481"/>
      <c r="AMH2892" s="481"/>
      <c r="AMI2892" s="481"/>
      <c r="AMJ2892" s="481"/>
    </row>
    <row r="2893" spans="1:1024" s="483" customFormat="1" ht="37.5">
      <c r="A2893" s="404">
        <f t="shared" si="425"/>
        <v>5</v>
      </c>
      <c r="B2893" s="854" t="s">
        <v>3203</v>
      </c>
      <c r="C2893" s="858" t="s">
        <v>3921</v>
      </c>
      <c r="D2893" s="859">
        <v>19396</v>
      </c>
      <c r="E2893" s="860">
        <v>2882</v>
      </c>
      <c r="F2893" s="860" t="s">
        <v>310</v>
      </c>
      <c r="G2893" s="860">
        <v>648</v>
      </c>
      <c r="H2893" s="861">
        <v>9</v>
      </c>
      <c r="I2893" s="861">
        <v>2</v>
      </c>
      <c r="J2893" s="862">
        <v>66</v>
      </c>
      <c r="K2893" s="863" t="s">
        <v>220</v>
      </c>
      <c r="L2893" s="519">
        <f t="shared" si="424"/>
        <v>4337270</v>
      </c>
      <c r="M2893" s="855">
        <v>4231020</v>
      </c>
      <c r="N2893" s="482">
        <v>106250</v>
      </c>
      <c r="O2893" s="856"/>
      <c r="P2893" s="482"/>
      <c r="Q2893" s="482"/>
      <c r="R2893" s="446">
        <f>M2893/I2893</f>
        <v>2115510</v>
      </c>
      <c r="S2893" s="482"/>
      <c r="T2893" s="864"/>
      <c r="U2893" s="864"/>
    </row>
    <row r="2894" spans="1:1024" s="483" customFormat="1" ht="37.5">
      <c r="A2894" s="404">
        <f t="shared" si="425"/>
        <v>6</v>
      </c>
      <c r="B2894" s="854" t="s">
        <v>3479</v>
      </c>
      <c r="C2894" s="865" t="s">
        <v>218</v>
      </c>
      <c r="D2894" s="866">
        <v>39338</v>
      </c>
      <c r="E2894" s="867">
        <v>7890</v>
      </c>
      <c r="F2894" s="867" t="s">
        <v>234</v>
      </c>
      <c r="G2894" s="867">
        <v>1550</v>
      </c>
      <c r="H2894" s="868">
        <v>9</v>
      </c>
      <c r="I2894" s="868">
        <v>5</v>
      </c>
      <c r="J2894" s="868">
        <v>186</v>
      </c>
      <c r="K2894" s="869" t="s">
        <v>3922</v>
      </c>
      <c r="L2894" s="519">
        <f t="shared" si="424"/>
        <v>10673830</v>
      </c>
      <c r="M2894" s="855">
        <v>10503830</v>
      </c>
      <c r="N2894" s="482">
        <v>170000</v>
      </c>
      <c r="O2894" s="856"/>
      <c r="P2894" s="482"/>
      <c r="Q2894" s="482"/>
      <c r="R2894" s="446">
        <f>M2894/I2894</f>
        <v>2100766</v>
      </c>
      <c r="S2894" s="482"/>
      <c r="T2894" s="864"/>
      <c r="U2894" s="864"/>
    </row>
    <row r="2895" spans="1:1024" s="483" customFormat="1" ht="37.5">
      <c r="A2895" s="404">
        <f t="shared" si="425"/>
        <v>7</v>
      </c>
      <c r="B2895" s="854" t="s">
        <v>3923</v>
      </c>
      <c r="C2895" s="865" t="s">
        <v>218</v>
      </c>
      <c r="D2895" s="866">
        <v>39583</v>
      </c>
      <c r="E2895" s="867">
        <v>7884</v>
      </c>
      <c r="F2895" s="867" t="s">
        <v>234</v>
      </c>
      <c r="G2895" s="867">
        <v>1570</v>
      </c>
      <c r="H2895" s="868">
        <v>9</v>
      </c>
      <c r="I2895" s="868">
        <v>5</v>
      </c>
      <c r="J2895" s="868">
        <v>187</v>
      </c>
      <c r="K2895" s="863" t="s">
        <v>220</v>
      </c>
      <c r="L2895" s="519">
        <f t="shared" si="424"/>
        <v>10693900</v>
      </c>
      <c r="M2895" s="855">
        <v>10523900</v>
      </c>
      <c r="N2895" s="482">
        <v>170000</v>
      </c>
      <c r="O2895" s="856"/>
      <c r="P2895" s="482"/>
      <c r="Q2895" s="482"/>
      <c r="R2895" s="446">
        <f>M2895/I2895</f>
        <v>2104780</v>
      </c>
      <c r="S2895" s="482"/>
      <c r="T2895" s="864"/>
      <c r="U2895" s="864"/>
    </row>
    <row r="2896" spans="1:1024" s="483" customFormat="1" ht="60.75" customHeight="1">
      <c r="A2896" s="404">
        <f t="shared" si="425"/>
        <v>8</v>
      </c>
      <c r="B2896" s="854" t="s">
        <v>3938</v>
      </c>
      <c r="C2896" s="865" t="s">
        <v>4221</v>
      </c>
      <c r="D2896" s="870">
        <v>16079</v>
      </c>
      <c r="E2896" s="871">
        <v>1770</v>
      </c>
      <c r="F2896" s="871" t="s">
        <v>310</v>
      </c>
      <c r="G2896" s="871">
        <v>830</v>
      </c>
      <c r="H2896" s="872">
        <v>9</v>
      </c>
      <c r="I2896" s="872">
        <v>2</v>
      </c>
      <c r="J2896" s="872">
        <v>114</v>
      </c>
      <c r="K2896" s="873" t="s">
        <v>220</v>
      </c>
      <c r="L2896" s="519">
        <f t="shared" si="424"/>
        <v>4293250</v>
      </c>
      <c r="M2896" s="855">
        <v>4187000</v>
      </c>
      <c r="N2896" s="482">
        <v>106250</v>
      </c>
      <c r="O2896" s="856"/>
      <c r="P2896" s="482"/>
      <c r="Q2896" s="482"/>
      <c r="R2896" s="446"/>
      <c r="S2896" s="482"/>
      <c r="T2896" s="864"/>
      <c r="U2896" s="864"/>
    </row>
    <row r="2897" spans="1:27" s="403" customFormat="1" ht="56.25">
      <c r="A2897" s="404">
        <f t="shared" si="425"/>
        <v>9</v>
      </c>
      <c r="B2897" s="403" t="s">
        <v>2297</v>
      </c>
      <c r="C2897" s="455" t="s">
        <v>327</v>
      </c>
      <c r="D2897" s="455">
        <v>15074</v>
      </c>
      <c r="E2897" s="675">
        <v>2310</v>
      </c>
      <c r="F2897" s="675" t="s">
        <v>310</v>
      </c>
      <c r="G2897" s="388">
        <v>1040.8</v>
      </c>
      <c r="H2897" s="676">
        <v>5</v>
      </c>
      <c r="I2897" s="599">
        <v>2</v>
      </c>
      <c r="J2897" s="599">
        <v>40</v>
      </c>
      <c r="K2897" s="504" t="s">
        <v>33</v>
      </c>
      <c r="L2897" s="519">
        <f t="shared" si="424"/>
        <v>2387721</v>
      </c>
      <c r="M2897" s="853">
        <v>2346018</v>
      </c>
      <c r="N2897" s="794"/>
      <c r="O2897" s="795">
        <v>21803</v>
      </c>
      <c r="P2897" s="794"/>
      <c r="Q2897" s="388">
        <v>19900</v>
      </c>
      <c r="R2897" s="796">
        <f>M2897/G2897</f>
        <v>2254.0526518063029</v>
      </c>
      <c r="U2897" s="404"/>
      <c r="V2897" s="390"/>
    </row>
    <row r="2898" spans="1:27" s="403" customFormat="1" ht="56.25">
      <c r="A2898" s="404">
        <f t="shared" si="425"/>
        <v>10</v>
      </c>
      <c r="B2898" s="403" t="s">
        <v>2299</v>
      </c>
      <c r="C2898" s="455" t="s">
        <v>329</v>
      </c>
      <c r="D2898" s="455">
        <v>17734</v>
      </c>
      <c r="E2898" s="675">
        <v>3295</v>
      </c>
      <c r="F2898" s="675" t="s">
        <v>310</v>
      </c>
      <c r="G2898" s="388">
        <v>1242</v>
      </c>
      <c r="H2898" s="676">
        <v>5</v>
      </c>
      <c r="I2898" s="599">
        <v>6</v>
      </c>
      <c r="J2898" s="599">
        <v>99</v>
      </c>
      <c r="K2898" s="504" t="s">
        <v>33</v>
      </c>
      <c r="L2898" s="519">
        <f t="shared" si="424"/>
        <v>2841312.71</v>
      </c>
      <c r="M2898" s="794">
        <v>2795122</v>
      </c>
      <c r="N2898" s="794"/>
      <c r="O2898" s="795">
        <v>23466</v>
      </c>
      <c r="P2898" s="794"/>
      <c r="Q2898" s="388">
        <v>22724.71</v>
      </c>
      <c r="R2898" s="796">
        <f>M2898/G2898</f>
        <v>2250.500805152979</v>
      </c>
      <c r="U2898" s="404"/>
      <c r="V2898" s="390"/>
    </row>
    <row r="2899" spans="1:27" s="403" customFormat="1" ht="56.25">
      <c r="A2899" s="404">
        <f t="shared" si="425"/>
        <v>11</v>
      </c>
      <c r="B2899" s="403" t="s">
        <v>2300</v>
      </c>
      <c r="C2899" s="455" t="s">
        <v>330</v>
      </c>
      <c r="D2899" s="455">
        <v>11532</v>
      </c>
      <c r="E2899" s="675">
        <v>2282</v>
      </c>
      <c r="F2899" s="675" t="s">
        <v>310</v>
      </c>
      <c r="G2899" s="388">
        <v>815</v>
      </c>
      <c r="H2899" s="676">
        <v>5</v>
      </c>
      <c r="I2899" s="599">
        <v>4</v>
      </c>
      <c r="J2899" s="599">
        <v>80</v>
      </c>
      <c r="K2899" s="504" t="s">
        <v>239</v>
      </c>
      <c r="L2899" s="519">
        <f t="shared" si="424"/>
        <v>1997101.56</v>
      </c>
      <c r="M2899" s="853">
        <v>1948550.78</v>
      </c>
      <c r="N2899" s="794">
        <v>30000</v>
      </c>
      <c r="O2899" s="795"/>
      <c r="P2899" s="794"/>
      <c r="Q2899" s="388">
        <v>18550.78</v>
      </c>
      <c r="R2899" s="796">
        <f>M2899/J2899</f>
        <v>24356.884750000001</v>
      </c>
      <c r="U2899" s="404"/>
      <c r="V2899" s="390"/>
    </row>
    <row r="2900" spans="1:27" s="403" customFormat="1" ht="56.25" customHeight="1">
      <c r="A2900" s="404">
        <f t="shared" ref="A2900:A2910" si="426">A2899+1</f>
        <v>12</v>
      </c>
      <c r="B2900" s="403" t="s">
        <v>2301</v>
      </c>
      <c r="C2900" s="455" t="s">
        <v>331</v>
      </c>
      <c r="D2900" s="455">
        <v>25557</v>
      </c>
      <c r="E2900" s="675">
        <v>3240</v>
      </c>
      <c r="F2900" s="675" t="s">
        <v>310</v>
      </c>
      <c r="G2900" s="388">
        <v>1693</v>
      </c>
      <c r="H2900" s="676">
        <v>5</v>
      </c>
      <c r="I2900" s="599">
        <v>8</v>
      </c>
      <c r="J2900" s="599">
        <v>129</v>
      </c>
      <c r="K2900" s="504" t="s">
        <v>3628</v>
      </c>
      <c r="L2900" s="519">
        <f t="shared" si="424"/>
        <v>4040974</v>
      </c>
      <c r="M2900" s="794">
        <v>3985002</v>
      </c>
      <c r="N2900" s="794"/>
      <c r="O2900" s="795">
        <v>16172</v>
      </c>
      <c r="P2900" s="794"/>
      <c r="Q2900" s="388">
        <v>39800</v>
      </c>
      <c r="R2900" s="796">
        <f>M2900/J2900</f>
        <v>30891.488372093023</v>
      </c>
      <c r="U2900" s="404"/>
      <c r="V2900" s="390"/>
      <c r="Z2900" s="416">
        <v>1</v>
      </c>
      <c r="AA2900" s="416">
        <f>J2900</f>
        <v>129</v>
      </c>
    </row>
    <row r="2901" spans="1:27" s="403" customFormat="1" ht="75" customHeight="1">
      <c r="A2901" s="404">
        <f t="shared" si="426"/>
        <v>13</v>
      </c>
      <c r="B2901" s="403" t="s">
        <v>2302</v>
      </c>
      <c r="C2901" s="455" t="s">
        <v>311</v>
      </c>
      <c r="D2901" s="455">
        <v>2869</v>
      </c>
      <c r="E2901" s="675">
        <v>493.1</v>
      </c>
      <c r="F2901" s="675" t="s">
        <v>252</v>
      </c>
      <c r="G2901" s="388">
        <v>643</v>
      </c>
      <c r="H2901" s="676">
        <v>2</v>
      </c>
      <c r="I2901" s="599">
        <v>2</v>
      </c>
      <c r="J2901" s="599">
        <v>16</v>
      </c>
      <c r="K2901" s="504" t="s">
        <v>33</v>
      </c>
      <c r="L2901" s="519">
        <f t="shared" si="424"/>
        <v>2283801.39</v>
      </c>
      <c r="M2901" s="853">
        <v>2239972</v>
      </c>
      <c r="N2901" s="794">
        <v>29851</v>
      </c>
      <c r="O2901" s="795"/>
      <c r="P2901" s="794"/>
      <c r="Q2901" s="388">
        <v>13978.39</v>
      </c>
      <c r="R2901" s="796">
        <f>M2901/G2901</f>
        <v>3483.6267496111977</v>
      </c>
      <c r="U2901" s="404"/>
      <c r="V2901" s="390"/>
    </row>
    <row r="2902" spans="1:27" s="403" customFormat="1" ht="56.25" customHeight="1">
      <c r="A2902" s="404">
        <f t="shared" si="426"/>
        <v>14</v>
      </c>
      <c r="B2902" s="403" t="s">
        <v>2305</v>
      </c>
      <c r="C2902" s="455" t="s">
        <v>333</v>
      </c>
      <c r="D2902" s="455">
        <v>17344</v>
      </c>
      <c r="E2902" s="675">
        <v>2140</v>
      </c>
      <c r="F2902" s="675" t="s">
        <v>310</v>
      </c>
      <c r="G2902" s="388">
        <v>842</v>
      </c>
      <c r="H2902" s="676">
        <v>5</v>
      </c>
      <c r="I2902" s="599">
        <v>2</v>
      </c>
      <c r="J2902" s="599">
        <v>82</v>
      </c>
      <c r="K2902" s="504" t="s">
        <v>3628</v>
      </c>
      <c r="L2902" s="519">
        <f t="shared" si="424"/>
        <v>2105800</v>
      </c>
      <c r="M2902" s="794">
        <v>2050000</v>
      </c>
      <c r="N2902" s="794"/>
      <c r="O2902" s="795">
        <v>16000</v>
      </c>
      <c r="P2902" s="794"/>
      <c r="Q2902" s="388">
        <v>39800</v>
      </c>
      <c r="R2902" s="796">
        <f>M2902/J2902</f>
        <v>25000</v>
      </c>
      <c r="U2902" s="404"/>
      <c r="V2902" s="390"/>
      <c r="Z2902" s="416">
        <v>1</v>
      </c>
      <c r="AA2902" s="416">
        <f>J2902</f>
        <v>82</v>
      </c>
    </row>
    <row r="2903" spans="1:27" s="403" customFormat="1" ht="56.25">
      <c r="A2903" s="404">
        <f t="shared" si="426"/>
        <v>15</v>
      </c>
      <c r="B2903" s="403" t="s">
        <v>2306</v>
      </c>
      <c r="C2903" s="455" t="s">
        <v>313</v>
      </c>
      <c r="D2903" s="455">
        <v>7175</v>
      </c>
      <c r="E2903" s="675">
        <v>1705.53</v>
      </c>
      <c r="F2903" s="675" t="s">
        <v>310</v>
      </c>
      <c r="G2903" s="388">
        <v>723</v>
      </c>
      <c r="H2903" s="676">
        <v>3</v>
      </c>
      <c r="I2903" s="599">
        <v>3</v>
      </c>
      <c r="J2903" s="599">
        <v>33</v>
      </c>
      <c r="K2903" s="504" t="s">
        <v>33</v>
      </c>
      <c r="L2903" s="519">
        <f t="shared" si="424"/>
        <v>2504356</v>
      </c>
      <c r="M2903" s="853">
        <v>2465568</v>
      </c>
      <c r="N2903" s="794"/>
      <c r="O2903" s="795">
        <v>18888</v>
      </c>
      <c r="P2903" s="794"/>
      <c r="Q2903" s="388">
        <v>19900</v>
      </c>
      <c r="R2903" s="796">
        <f>M2903/G2903</f>
        <v>3410.1908713692947</v>
      </c>
      <c r="U2903" s="404"/>
      <c r="V2903" s="390"/>
    </row>
    <row r="2904" spans="1:27" s="403" customFormat="1" ht="86.25" customHeight="1">
      <c r="A2904" s="404">
        <f t="shared" si="426"/>
        <v>16</v>
      </c>
      <c r="B2904" s="403" t="s">
        <v>2307</v>
      </c>
      <c r="C2904" s="455" t="s">
        <v>334</v>
      </c>
      <c r="D2904" s="455">
        <v>2979</v>
      </c>
      <c r="E2904" s="675">
        <v>685.62</v>
      </c>
      <c r="F2904" s="675" t="s">
        <v>252</v>
      </c>
      <c r="G2904" s="388">
        <v>671.2</v>
      </c>
      <c r="H2904" s="676">
        <v>2</v>
      </c>
      <c r="I2904" s="599">
        <v>2</v>
      </c>
      <c r="J2904" s="599">
        <v>16</v>
      </c>
      <c r="K2904" s="504" t="s">
        <v>33</v>
      </c>
      <c r="L2904" s="519">
        <f t="shared" si="424"/>
        <v>1786843.47</v>
      </c>
      <c r="M2904" s="853">
        <v>1745585</v>
      </c>
      <c r="N2904" s="794">
        <v>30128</v>
      </c>
      <c r="O2904" s="795"/>
      <c r="P2904" s="794"/>
      <c r="Q2904" s="388">
        <v>11130.47</v>
      </c>
      <c r="R2904" s="796">
        <f>M2904/J2904</f>
        <v>109099.0625</v>
      </c>
      <c r="U2904" s="404"/>
      <c r="V2904" s="390"/>
    </row>
    <row r="2905" spans="1:27" s="403" customFormat="1" ht="56.25">
      <c r="A2905" s="404">
        <f t="shared" si="426"/>
        <v>17</v>
      </c>
      <c r="B2905" s="403" t="s">
        <v>2310</v>
      </c>
      <c r="C2905" s="455" t="s">
        <v>336</v>
      </c>
      <c r="D2905" s="455">
        <v>7598</v>
      </c>
      <c r="E2905" s="675">
        <v>1069</v>
      </c>
      <c r="F2905" s="675" t="s">
        <v>310</v>
      </c>
      <c r="G2905" s="388">
        <v>640</v>
      </c>
      <c r="H2905" s="676">
        <v>4</v>
      </c>
      <c r="I2905" s="599">
        <v>2</v>
      </c>
      <c r="J2905" s="599">
        <v>32</v>
      </c>
      <c r="K2905" s="504" t="s">
        <v>4257</v>
      </c>
      <c r="L2905" s="519">
        <f t="shared" si="424"/>
        <v>990097.39</v>
      </c>
      <c r="M2905" s="853">
        <f>J2905*30000</f>
        <v>960000</v>
      </c>
      <c r="N2905" s="794"/>
      <c r="O2905" s="795">
        <v>14793</v>
      </c>
      <c r="P2905" s="794"/>
      <c r="Q2905" s="388">
        <v>15304.39</v>
      </c>
      <c r="R2905" s="796">
        <f>M2905/J2905</f>
        <v>30000</v>
      </c>
      <c r="U2905" s="404"/>
      <c r="V2905" s="390"/>
    </row>
    <row r="2906" spans="1:27" s="403" customFormat="1" ht="56.25">
      <c r="A2906" s="404">
        <f t="shared" si="426"/>
        <v>18</v>
      </c>
      <c r="B2906" s="403" t="s">
        <v>2311</v>
      </c>
      <c r="C2906" s="455" t="s">
        <v>337</v>
      </c>
      <c r="D2906" s="455">
        <v>1164</v>
      </c>
      <c r="E2906" s="675">
        <v>716</v>
      </c>
      <c r="F2906" s="675" t="s">
        <v>310</v>
      </c>
      <c r="G2906" s="388">
        <v>830</v>
      </c>
      <c r="H2906" s="676">
        <v>5</v>
      </c>
      <c r="I2906" s="599">
        <v>3</v>
      </c>
      <c r="J2906" s="599">
        <v>55</v>
      </c>
      <c r="K2906" s="504" t="s">
        <v>33</v>
      </c>
      <c r="L2906" s="519">
        <f t="shared" si="424"/>
        <v>2348411.7400000002</v>
      </c>
      <c r="M2906" s="853">
        <v>2322507</v>
      </c>
      <c r="N2906" s="794"/>
      <c r="O2906" s="795">
        <v>22316</v>
      </c>
      <c r="P2906" s="794"/>
      <c r="Q2906" s="388">
        <v>3588.74</v>
      </c>
      <c r="R2906" s="796">
        <f>M2906/G2906</f>
        <v>2798.2012048192769</v>
      </c>
      <c r="U2906" s="404"/>
      <c r="V2906" s="390"/>
    </row>
    <row r="2907" spans="1:27" s="403" customFormat="1" ht="56.25">
      <c r="A2907" s="404">
        <f t="shared" si="426"/>
        <v>19</v>
      </c>
      <c r="B2907" s="404" t="s">
        <v>4151</v>
      </c>
      <c r="C2907" s="404" t="s">
        <v>329</v>
      </c>
      <c r="D2907" s="404">
        <v>10595</v>
      </c>
      <c r="E2907" s="675">
        <v>2562</v>
      </c>
      <c r="F2907" s="675" t="s">
        <v>310</v>
      </c>
      <c r="G2907" s="388">
        <v>815</v>
      </c>
      <c r="H2907" s="676">
        <v>5</v>
      </c>
      <c r="I2907" s="599">
        <v>4</v>
      </c>
      <c r="J2907" s="599">
        <v>80</v>
      </c>
      <c r="K2907" s="504" t="s">
        <v>4150</v>
      </c>
      <c r="L2907" s="519">
        <f t="shared" si="424"/>
        <v>1798150</v>
      </c>
      <c r="M2907" s="853">
        <v>1776688</v>
      </c>
      <c r="N2907" s="794"/>
      <c r="O2907" s="795">
        <v>21462</v>
      </c>
      <c r="P2907" s="794"/>
      <c r="Q2907" s="388"/>
      <c r="R2907" s="874">
        <f>M2907/G2907</f>
        <v>2179.9852760736198</v>
      </c>
    </row>
    <row r="2908" spans="1:27" s="403" customFormat="1" ht="56.25">
      <c r="A2908" s="404">
        <f t="shared" si="426"/>
        <v>20</v>
      </c>
      <c r="B2908" s="404" t="s">
        <v>3201</v>
      </c>
      <c r="C2908" s="797" t="s">
        <v>348</v>
      </c>
      <c r="D2908" s="797">
        <v>13146</v>
      </c>
      <c r="E2908" s="781">
        <v>2562</v>
      </c>
      <c r="F2908" s="781" t="s">
        <v>310</v>
      </c>
      <c r="G2908" s="388">
        <v>922.5</v>
      </c>
      <c r="H2908" s="446">
        <v>5</v>
      </c>
      <c r="I2908" s="446">
        <v>4</v>
      </c>
      <c r="J2908" s="446">
        <v>69</v>
      </c>
      <c r="K2908" s="504" t="s">
        <v>4150</v>
      </c>
      <c r="L2908" s="519">
        <f t="shared" si="424"/>
        <v>2070191</v>
      </c>
      <c r="M2908" s="853">
        <v>2048419</v>
      </c>
      <c r="N2908" s="794"/>
      <c r="O2908" s="795">
        <v>21772</v>
      </c>
      <c r="P2908" s="794"/>
      <c r="Q2908" s="388"/>
      <c r="R2908" s="874">
        <f>M2908/G2908</f>
        <v>2220.508401084011</v>
      </c>
    </row>
    <row r="2909" spans="1:27" s="403" customFormat="1" ht="74.25" customHeight="1">
      <c r="A2909" s="404">
        <f t="shared" si="426"/>
        <v>21</v>
      </c>
      <c r="B2909" s="404" t="s">
        <v>4154</v>
      </c>
      <c r="C2909" s="404" t="s">
        <v>4152</v>
      </c>
      <c r="D2909" s="404">
        <v>12187</v>
      </c>
      <c r="E2909" s="388">
        <v>2430</v>
      </c>
      <c r="F2909" s="675" t="s">
        <v>310</v>
      </c>
      <c r="G2909" s="388">
        <v>1741</v>
      </c>
      <c r="H2909" s="446">
        <v>2</v>
      </c>
      <c r="I2909" s="446">
        <v>3</v>
      </c>
      <c r="J2909" s="446">
        <v>36</v>
      </c>
      <c r="K2909" s="504" t="s">
        <v>4153</v>
      </c>
      <c r="L2909" s="519">
        <f t="shared" si="424"/>
        <v>4066262</v>
      </c>
      <c r="M2909" s="519">
        <v>4047301</v>
      </c>
      <c r="N2909" s="388"/>
      <c r="O2909" s="795">
        <v>18961</v>
      </c>
      <c r="P2909" s="388"/>
      <c r="Q2909" s="388"/>
      <c r="R2909" s="874">
        <f>M2909/G2909</f>
        <v>2324.6990235496842</v>
      </c>
    </row>
    <row r="2910" spans="1:27" s="403" customFormat="1" ht="74.25" customHeight="1">
      <c r="A2910" s="404">
        <f t="shared" si="426"/>
        <v>22</v>
      </c>
      <c r="B2910" s="404" t="s">
        <v>3204</v>
      </c>
      <c r="C2910" s="404" t="s">
        <v>328</v>
      </c>
      <c r="D2910" s="404">
        <v>76646</v>
      </c>
      <c r="E2910" s="388">
        <v>11316</v>
      </c>
      <c r="F2910" s="675" t="s">
        <v>310</v>
      </c>
      <c r="G2910" s="388">
        <v>3121</v>
      </c>
      <c r="H2910" s="446">
        <v>9</v>
      </c>
      <c r="I2910" s="446">
        <v>10</v>
      </c>
      <c r="J2910" s="446">
        <v>320</v>
      </c>
      <c r="K2910" s="504" t="s">
        <v>239</v>
      </c>
      <c r="L2910" s="519">
        <f t="shared" si="424"/>
        <v>12085836</v>
      </c>
      <c r="M2910" s="519">
        <v>12042918</v>
      </c>
      <c r="N2910" s="388">
        <v>42918</v>
      </c>
      <c r="O2910" s="795"/>
      <c r="P2910" s="388"/>
      <c r="Q2910" s="388"/>
      <c r="R2910" s="874">
        <f>M2910/J2910</f>
        <v>37634.118750000001</v>
      </c>
    </row>
    <row r="2911" spans="1:27" s="403" customFormat="1" ht="42.75" customHeight="1">
      <c r="A2911" s="1115" t="s">
        <v>197</v>
      </c>
      <c r="B2911" s="1115"/>
      <c r="C2911" s="617" t="s">
        <v>28</v>
      </c>
      <c r="D2911" s="388">
        <f>SUM(D2889:D2910)</f>
        <v>681456</v>
      </c>
      <c r="E2911" s="388">
        <f>SUM(E2889:E2910)</f>
        <v>113536.25</v>
      </c>
      <c r="F2911" s="539" t="s">
        <v>28</v>
      </c>
      <c r="G2911" s="388">
        <f>SUM(G2889:G2910)</f>
        <v>34644.5</v>
      </c>
      <c r="H2911" s="599" t="s">
        <v>28</v>
      </c>
      <c r="I2911" s="599" t="s">
        <v>28</v>
      </c>
      <c r="J2911" s="446">
        <f>SUM(J2889:J2910)</f>
        <v>3031</v>
      </c>
      <c r="K2911" s="458" t="s">
        <v>28</v>
      </c>
      <c r="L2911" s="519">
        <f t="shared" ref="L2911:Q2911" si="427">SUM(L2889:L2910)</f>
        <v>124684588.25999999</v>
      </c>
      <c r="M2911" s="519">
        <f t="shared" si="427"/>
        <v>122833880.78</v>
      </c>
      <c r="N2911" s="388">
        <f t="shared" si="427"/>
        <v>1450397</v>
      </c>
      <c r="O2911" s="473">
        <f t="shared" si="427"/>
        <v>195633</v>
      </c>
      <c r="P2911" s="388">
        <f t="shared" si="427"/>
        <v>0</v>
      </c>
      <c r="Q2911" s="388">
        <f t="shared" si="427"/>
        <v>204677.47999999998</v>
      </c>
      <c r="R2911" s="446" t="s">
        <v>28</v>
      </c>
      <c r="S2911" s="403">
        <f>SUBTOTAL(9,M2911:Q2911)</f>
        <v>124684588.26000001</v>
      </c>
      <c r="T2911" s="393">
        <f>S2911-L2911</f>
        <v>0</v>
      </c>
      <c r="U2911" s="404"/>
      <c r="V2911" s="390"/>
    </row>
    <row r="2912" spans="1:27" s="403" customFormat="1" ht="42.75" customHeight="1">
      <c r="A2912" s="1113" t="s">
        <v>198</v>
      </c>
      <c r="B2912" s="1113"/>
      <c r="C2912" s="1113"/>
      <c r="D2912" s="1113"/>
      <c r="E2912" s="1113"/>
      <c r="F2912" s="1113"/>
      <c r="G2912" s="1113"/>
      <c r="H2912" s="1113"/>
      <c r="I2912" s="1113"/>
      <c r="J2912" s="1113"/>
      <c r="K2912" s="1113"/>
      <c r="L2912" s="1113"/>
      <c r="M2912" s="1113"/>
      <c r="N2912" s="1113"/>
      <c r="O2912" s="1113"/>
      <c r="P2912" s="1113"/>
      <c r="Q2912" s="1113"/>
      <c r="R2912" s="458"/>
      <c r="U2912" s="404"/>
      <c r="V2912" s="390"/>
    </row>
    <row r="2913" spans="1:27" s="403" customFormat="1" ht="37.5">
      <c r="A2913" s="506">
        <v>1</v>
      </c>
      <c r="B2913" s="723" t="s">
        <v>2312</v>
      </c>
      <c r="C2913" s="780" t="s">
        <v>222</v>
      </c>
      <c r="D2913" s="780">
        <v>1889</v>
      </c>
      <c r="E2913" s="539">
        <v>172</v>
      </c>
      <c r="F2913" s="539" t="s">
        <v>252</v>
      </c>
      <c r="G2913" s="790">
        <v>3047</v>
      </c>
      <c r="H2913" s="789">
        <v>2</v>
      </c>
      <c r="I2913" s="789">
        <v>2</v>
      </c>
      <c r="J2913" s="599">
        <v>8</v>
      </c>
      <c r="K2913" s="791" t="s">
        <v>225</v>
      </c>
      <c r="L2913" s="519">
        <f>M2913+N2913+O2913+Q2913</f>
        <v>193852.16999999998</v>
      </c>
      <c r="M2913" s="792">
        <v>171200</v>
      </c>
      <c r="N2913" s="790">
        <v>21361.65</v>
      </c>
      <c r="O2913" s="643"/>
      <c r="P2913" s="790"/>
      <c r="Q2913" s="388">
        <v>1290.52</v>
      </c>
      <c r="R2913" s="446">
        <f>M2913/J2913</f>
        <v>21400</v>
      </c>
      <c r="U2913" s="404"/>
      <c r="V2913" s="390"/>
    </row>
    <row r="2914" spans="1:27" s="403" customFormat="1" ht="37.5">
      <c r="A2914" s="506">
        <f>A2913+1</f>
        <v>2</v>
      </c>
      <c r="B2914" s="723" t="s">
        <v>2313</v>
      </c>
      <c r="C2914" s="780" t="s">
        <v>222</v>
      </c>
      <c r="D2914" s="780">
        <v>1510</v>
      </c>
      <c r="E2914" s="539">
        <v>193.6</v>
      </c>
      <c r="F2914" s="539" t="s">
        <v>252</v>
      </c>
      <c r="G2914" s="790">
        <v>780.6</v>
      </c>
      <c r="H2914" s="789">
        <v>2</v>
      </c>
      <c r="I2914" s="789">
        <v>2</v>
      </c>
      <c r="J2914" s="599">
        <v>8</v>
      </c>
      <c r="K2914" s="791" t="s">
        <v>225</v>
      </c>
      <c r="L2914" s="519">
        <f>M2914+N2914+O2914+Q2914</f>
        <v>193350.69</v>
      </c>
      <c r="M2914" s="792">
        <v>171200</v>
      </c>
      <c r="N2914" s="790">
        <v>21056.19</v>
      </c>
      <c r="O2914" s="643"/>
      <c r="P2914" s="790"/>
      <c r="Q2914" s="388">
        <v>1094.5</v>
      </c>
      <c r="R2914" s="446">
        <f>M2914/J2914</f>
        <v>21400</v>
      </c>
      <c r="U2914" s="404"/>
      <c r="V2914" s="390"/>
    </row>
    <row r="2915" spans="1:27" s="403" customFormat="1" ht="37.5" customHeight="1">
      <c r="A2915" s="506">
        <f>A2914+1</f>
        <v>3</v>
      </c>
      <c r="B2915" s="403" t="s">
        <v>2314</v>
      </c>
      <c r="C2915" s="518" t="s">
        <v>222</v>
      </c>
      <c r="D2915" s="446">
        <v>1514</v>
      </c>
      <c r="E2915" s="388">
        <v>191.48</v>
      </c>
      <c r="F2915" s="388" t="s">
        <v>252</v>
      </c>
      <c r="G2915" s="388">
        <v>781</v>
      </c>
      <c r="H2915" s="446">
        <v>2</v>
      </c>
      <c r="I2915" s="446">
        <v>2</v>
      </c>
      <c r="J2915" s="446">
        <v>8</v>
      </c>
      <c r="K2915" s="458" t="s">
        <v>225</v>
      </c>
      <c r="L2915" s="519">
        <f>M2915+N2915+O2915+Q2915</f>
        <v>193372.58</v>
      </c>
      <c r="M2915" s="792">
        <v>171200</v>
      </c>
      <c r="N2915" s="388">
        <v>21064.15</v>
      </c>
      <c r="O2915" s="473"/>
      <c r="P2915" s="388"/>
      <c r="Q2915" s="790">
        <v>1108.43</v>
      </c>
      <c r="R2915" s="446">
        <f>M2915/J2915</f>
        <v>21400</v>
      </c>
      <c r="U2915" s="404"/>
      <c r="V2915" s="390"/>
    </row>
    <row r="2916" spans="1:27" s="403" customFormat="1" ht="37.5">
      <c r="A2916" s="506">
        <f t="shared" ref="A2916:A2917" si="428">A2915+1</f>
        <v>4</v>
      </c>
      <c r="B2916" s="723" t="s">
        <v>2315</v>
      </c>
      <c r="C2916" s="780" t="s">
        <v>222</v>
      </c>
      <c r="D2916" s="780">
        <v>1615</v>
      </c>
      <c r="E2916" s="539">
        <v>197</v>
      </c>
      <c r="F2916" s="539" t="s">
        <v>252</v>
      </c>
      <c r="G2916" s="790">
        <v>2564</v>
      </c>
      <c r="H2916" s="789">
        <v>2</v>
      </c>
      <c r="I2916" s="789">
        <v>2</v>
      </c>
      <c r="J2916" s="599">
        <v>8</v>
      </c>
      <c r="K2916" s="791" t="s">
        <v>225</v>
      </c>
      <c r="L2916" s="519">
        <f>M2916+N2916+O2916+Q2916</f>
        <v>194139.72</v>
      </c>
      <c r="M2916" s="792">
        <v>171200</v>
      </c>
      <c r="N2916" s="790">
        <v>21709.9</v>
      </c>
      <c r="O2916" s="643"/>
      <c r="P2916" s="790"/>
      <c r="Q2916" s="388">
        <v>1229.82</v>
      </c>
      <c r="R2916" s="446">
        <f>M2916/J2916</f>
        <v>21400</v>
      </c>
      <c r="T2916" s="393"/>
      <c r="U2916" s="404"/>
      <c r="V2916" s="390"/>
    </row>
    <row r="2917" spans="1:27" s="403" customFormat="1" ht="87.75" customHeight="1">
      <c r="A2917" s="1111">
        <f t="shared" si="428"/>
        <v>5</v>
      </c>
      <c r="B2917" s="1168" t="s">
        <v>4376</v>
      </c>
      <c r="C2917" s="780" t="s">
        <v>4377</v>
      </c>
      <c r="D2917" s="780">
        <v>7821</v>
      </c>
      <c r="E2917" s="875">
        <v>560.25</v>
      </c>
      <c r="F2917" s="617" t="s">
        <v>252</v>
      </c>
      <c r="G2917" s="876">
        <v>2631.48</v>
      </c>
      <c r="H2917" s="789">
        <v>2</v>
      </c>
      <c r="I2917" s="789">
        <v>2</v>
      </c>
      <c r="J2917" s="599">
        <v>27</v>
      </c>
      <c r="K2917" s="791" t="s">
        <v>4382</v>
      </c>
      <c r="L2917" s="1109">
        <f>M2917+N2917+O2917+Q2917+M2918+N2918+O2918+Q2918</f>
        <v>32663.86</v>
      </c>
      <c r="M2917" s="790"/>
      <c r="N2917" s="790">
        <v>27381.4</v>
      </c>
      <c r="O2917" s="790"/>
      <c r="P2917" s="388"/>
      <c r="Q2917" s="388"/>
      <c r="R2917" s="446"/>
      <c r="T2917" s="393"/>
      <c r="U2917" s="404"/>
      <c r="V2917" s="390"/>
    </row>
    <row r="2918" spans="1:27" s="403" customFormat="1" ht="69.75" customHeight="1">
      <c r="A2918" s="1111"/>
      <c r="B2918" s="1168"/>
      <c r="C2918" s="780"/>
      <c r="D2918" s="780"/>
      <c r="E2918" s="539"/>
      <c r="F2918" s="539"/>
      <c r="G2918" s="790"/>
      <c r="H2918" s="789"/>
      <c r="I2918" s="789"/>
      <c r="J2918" s="599"/>
      <c r="K2918" s="791" t="s">
        <v>4378</v>
      </c>
      <c r="L2918" s="1109"/>
      <c r="M2918" s="792"/>
      <c r="N2918" s="790"/>
      <c r="O2918" s="643"/>
      <c r="P2918" s="790"/>
      <c r="Q2918" s="388">
        <v>5282.46</v>
      </c>
      <c r="R2918" s="446"/>
      <c r="T2918" s="393"/>
      <c r="U2918" s="404"/>
      <c r="V2918" s="390"/>
    </row>
    <row r="2919" spans="1:27" s="403" customFormat="1" ht="42.75" customHeight="1">
      <c r="A2919" s="1112" t="s">
        <v>199</v>
      </c>
      <c r="B2919" s="1112"/>
      <c r="C2919" s="455" t="s">
        <v>28</v>
      </c>
      <c r="D2919" s="388">
        <f>SUM(D2913)</f>
        <v>1889</v>
      </c>
      <c r="E2919" s="388">
        <f>SUM(E2913)</f>
        <v>172</v>
      </c>
      <c r="F2919" s="388" t="s">
        <v>28</v>
      </c>
      <c r="G2919" s="388">
        <f>SUM(G2913)</f>
        <v>3047</v>
      </c>
      <c r="H2919" s="446" t="s">
        <v>28</v>
      </c>
      <c r="I2919" s="446" t="s">
        <v>28</v>
      </c>
      <c r="J2919" s="446">
        <f>SUM(J2913)</f>
        <v>8</v>
      </c>
      <c r="K2919" s="458" t="s">
        <v>28</v>
      </c>
      <c r="L2919" s="519">
        <f t="shared" ref="L2919:Q2919" si="429">SUM(L2913:L2918)</f>
        <v>807379.0199999999</v>
      </c>
      <c r="M2919" s="519">
        <f t="shared" si="429"/>
        <v>684800</v>
      </c>
      <c r="N2919" s="388">
        <f t="shared" si="429"/>
        <v>112573.29000000001</v>
      </c>
      <c r="O2919" s="473">
        <f t="shared" si="429"/>
        <v>0</v>
      </c>
      <c r="P2919" s="388">
        <f t="shared" si="429"/>
        <v>0</v>
      </c>
      <c r="Q2919" s="388">
        <f t="shared" si="429"/>
        <v>10005.73</v>
      </c>
      <c r="R2919" s="446" t="s">
        <v>28</v>
      </c>
      <c r="S2919" s="383">
        <f>L2919-M2919-N2919-O2919-P2919-Q2919</f>
        <v>-1.0550138540565968E-10</v>
      </c>
      <c r="T2919" s="387" t="e">
        <f>'1.перечень МКД'!#REF!</f>
        <v>#REF!</v>
      </c>
      <c r="U2919" s="390" t="e">
        <f>L2919-T2919</f>
        <v>#REF!</v>
      </c>
      <c r="V2919" s="390"/>
    </row>
    <row r="2920" spans="1:27" s="403" customFormat="1" ht="42.75" customHeight="1">
      <c r="A2920" s="1135" t="s">
        <v>200</v>
      </c>
      <c r="B2920" s="1135"/>
      <c r="C2920" s="1135"/>
      <c r="D2920" s="1135"/>
      <c r="E2920" s="1135"/>
      <c r="F2920" s="1135"/>
      <c r="G2920" s="1135"/>
      <c r="H2920" s="1135"/>
      <c r="I2920" s="1135"/>
      <c r="J2920" s="1135"/>
      <c r="K2920" s="1135"/>
      <c r="L2920" s="1135"/>
      <c r="M2920" s="1135"/>
      <c r="N2920" s="1135"/>
      <c r="O2920" s="1135"/>
      <c r="P2920" s="1135"/>
      <c r="Q2920" s="1135"/>
      <c r="R2920" s="728"/>
      <c r="U2920" s="404"/>
      <c r="V2920" s="390"/>
    </row>
    <row r="2921" spans="1:27" s="403" customFormat="1" ht="37.5">
      <c r="A2921" s="506">
        <v>1</v>
      </c>
      <c r="B2921" s="723" t="s">
        <v>2316</v>
      </c>
      <c r="C2921" s="780" t="s">
        <v>222</v>
      </c>
      <c r="D2921" s="780">
        <v>2877</v>
      </c>
      <c r="E2921" s="539">
        <v>596</v>
      </c>
      <c r="F2921" s="539" t="s">
        <v>291</v>
      </c>
      <c r="G2921" s="790">
        <v>560</v>
      </c>
      <c r="H2921" s="789">
        <v>2</v>
      </c>
      <c r="I2921" s="789">
        <v>2</v>
      </c>
      <c r="J2921" s="599">
        <v>16</v>
      </c>
      <c r="K2921" s="791" t="s">
        <v>227</v>
      </c>
      <c r="L2921" s="519">
        <f t="shared" ref="L2921:L2929" si="430">SUM(M2921:Q2921)</f>
        <v>1838096.26</v>
      </c>
      <c r="M2921" s="792">
        <v>1792438</v>
      </c>
      <c r="N2921" s="790">
        <v>27403</v>
      </c>
      <c r="O2921" s="643"/>
      <c r="P2921" s="790"/>
      <c r="Q2921" s="388">
        <v>18255.259999999998</v>
      </c>
      <c r="R2921" s="528">
        <f>M2921/E2921</f>
        <v>3007.4463087248323</v>
      </c>
      <c r="S2921" s="484"/>
      <c r="U2921" s="404"/>
      <c r="V2921" s="390"/>
    </row>
    <row r="2922" spans="1:27" s="403" customFormat="1" ht="37.5">
      <c r="A2922" s="506">
        <f>A2921+1</f>
        <v>2</v>
      </c>
      <c r="B2922" s="723" t="s">
        <v>1386</v>
      </c>
      <c r="C2922" s="780" t="s">
        <v>222</v>
      </c>
      <c r="D2922" s="780">
        <v>1722</v>
      </c>
      <c r="E2922" s="539">
        <v>441</v>
      </c>
      <c r="F2922" s="539" t="s">
        <v>223</v>
      </c>
      <c r="G2922" s="790">
        <v>409</v>
      </c>
      <c r="H2922" s="789">
        <v>2</v>
      </c>
      <c r="I2922" s="789">
        <v>2</v>
      </c>
      <c r="J2922" s="599">
        <v>8</v>
      </c>
      <c r="K2922" s="791" t="s">
        <v>227</v>
      </c>
      <c r="L2922" s="519">
        <f t="shared" si="430"/>
        <v>1538126.09</v>
      </c>
      <c r="M2922" s="792">
        <v>1501563</v>
      </c>
      <c r="N2922" s="790">
        <v>25637</v>
      </c>
      <c r="O2922" s="643"/>
      <c r="P2922" s="790"/>
      <c r="Q2922" s="388">
        <v>10926.09</v>
      </c>
      <c r="R2922" s="528">
        <f>M2922/E2922</f>
        <v>3404.9047619047619</v>
      </c>
      <c r="S2922" s="484"/>
      <c r="U2922" s="404"/>
      <c r="V2922" s="390"/>
    </row>
    <row r="2923" spans="1:27" s="403" customFormat="1" ht="56.25" customHeight="1">
      <c r="A2923" s="506">
        <f>A2924+1</f>
        <v>4</v>
      </c>
      <c r="B2923" s="788" t="s">
        <v>2317</v>
      </c>
      <c r="C2923" s="518" t="s">
        <v>222</v>
      </c>
      <c r="D2923" s="877">
        <v>7248</v>
      </c>
      <c r="E2923" s="878">
        <v>1003</v>
      </c>
      <c r="F2923" s="879" t="s">
        <v>234</v>
      </c>
      <c r="G2923" s="878">
        <v>1101</v>
      </c>
      <c r="H2923" s="726">
        <v>2</v>
      </c>
      <c r="I2923" s="726">
        <v>4</v>
      </c>
      <c r="J2923" s="880">
        <v>30</v>
      </c>
      <c r="K2923" s="612" t="s">
        <v>238</v>
      </c>
      <c r="L2923" s="519">
        <f t="shared" si="430"/>
        <v>932693.79</v>
      </c>
      <c r="M2923" s="792">
        <v>900000</v>
      </c>
      <c r="N2923" s="790"/>
      <c r="O2923" s="643">
        <v>11360</v>
      </c>
      <c r="P2923" s="790"/>
      <c r="Q2923" s="388">
        <v>21333.79</v>
      </c>
      <c r="R2923" s="446">
        <f>M2923/J2923</f>
        <v>30000</v>
      </c>
      <c r="U2923" s="404"/>
      <c r="V2923" s="390"/>
      <c r="Z2923" s="416">
        <v>1</v>
      </c>
      <c r="AA2923" s="416">
        <f>J2923</f>
        <v>30</v>
      </c>
    </row>
    <row r="2924" spans="1:27" s="403" customFormat="1" ht="37.5">
      <c r="A2924" s="506">
        <f t="shared" ref="A2924:A2929" si="431">A2922+1</f>
        <v>3</v>
      </c>
      <c r="B2924" s="723" t="s">
        <v>2318</v>
      </c>
      <c r="C2924" s="780" t="s">
        <v>222</v>
      </c>
      <c r="D2924" s="780">
        <v>15795</v>
      </c>
      <c r="E2924" s="539">
        <v>2307</v>
      </c>
      <c r="F2924" s="539" t="s">
        <v>291</v>
      </c>
      <c r="G2924" s="790">
        <v>987</v>
      </c>
      <c r="H2924" s="789">
        <v>5</v>
      </c>
      <c r="I2924" s="789">
        <v>4</v>
      </c>
      <c r="J2924" s="599">
        <v>60</v>
      </c>
      <c r="K2924" s="791" t="s">
        <v>33</v>
      </c>
      <c r="L2924" s="519">
        <f t="shared" si="430"/>
        <v>2009753</v>
      </c>
      <c r="M2924" s="792">
        <v>1966413</v>
      </c>
      <c r="N2924" s="790"/>
      <c r="O2924" s="643">
        <v>23440</v>
      </c>
      <c r="P2924" s="790"/>
      <c r="Q2924" s="388">
        <v>19900</v>
      </c>
      <c r="R2924" s="446">
        <f t="shared" ref="R2924:R2929" si="432">M2924/G2924</f>
        <v>1992.3130699088147</v>
      </c>
      <c r="U2924" s="404"/>
      <c r="V2924" s="390"/>
    </row>
    <row r="2925" spans="1:27" s="403" customFormat="1" ht="37.5">
      <c r="A2925" s="506">
        <f t="shared" si="431"/>
        <v>5</v>
      </c>
      <c r="B2925" s="723" t="s">
        <v>2319</v>
      </c>
      <c r="C2925" s="780" t="s">
        <v>222</v>
      </c>
      <c r="D2925" s="780">
        <v>2589</v>
      </c>
      <c r="E2925" s="539">
        <v>481</v>
      </c>
      <c r="F2925" s="539" t="s">
        <v>223</v>
      </c>
      <c r="G2925" s="790">
        <v>664</v>
      </c>
      <c r="H2925" s="789">
        <v>2</v>
      </c>
      <c r="I2925" s="789">
        <v>1</v>
      </c>
      <c r="J2925" s="599">
        <v>16</v>
      </c>
      <c r="K2925" s="791" t="s">
        <v>33</v>
      </c>
      <c r="L2925" s="519">
        <f t="shared" si="430"/>
        <v>1630867.61</v>
      </c>
      <c r="M2925" s="792">
        <v>1589079</v>
      </c>
      <c r="N2925" s="790">
        <v>29174</v>
      </c>
      <c r="O2925" s="643"/>
      <c r="P2925" s="790"/>
      <c r="Q2925" s="388">
        <v>12614.61</v>
      </c>
      <c r="R2925" s="446">
        <f t="shared" si="432"/>
        <v>2393.1912650602408</v>
      </c>
      <c r="U2925" s="404"/>
      <c r="V2925" s="390"/>
    </row>
    <row r="2926" spans="1:27" s="403" customFormat="1" ht="37.5">
      <c r="A2926" s="506">
        <f t="shared" si="431"/>
        <v>4</v>
      </c>
      <c r="B2926" s="723" t="s">
        <v>2320</v>
      </c>
      <c r="C2926" s="780" t="s">
        <v>222</v>
      </c>
      <c r="D2926" s="780">
        <v>2525</v>
      </c>
      <c r="E2926" s="539">
        <v>473</v>
      </c>
      <c r="F2926" s="539" t="s">
        <v>223</v>
      </c>
      <c r="G2926" s="790">
        <v>647</v>
      </c>
      <c r="H2926" s="789">
        <v>2</v>
      </c>
      <c r="I2926" s="789">
        <v>1</v>
      </c>
      <c r="J2926" s="599">
        <v>16</v>
      </c>
      <c r="K2926" s="791" t="s">
        <v>33</v>
      </c>
      <c r="L2926" s="519">
        <f t="shared" si="430"/>
        <v>1800136.18</v>
      </c>
      <c r="M2926" s="792">
        <v>1758848</v>
      </c>
      <c r="N2926" s="790">
        <v>28986</v>
      </c>
      <c r="O2926" s="643"/>
      <c r="P2926" s="790"/>
      <c r="Q2926" s="388">
        <v>12302.18</v>
      </c>
      <c r="R2926" s="446">
        <f t="shared" si="432"/>
        <v>2718.4667697063369</v>
      </c>
      <c r="U2926" s="404"/>
      <c r="V2926" s="390"/>
    </row>
    <row r="2927" spans="1:27" s="403" customFormat="1" ht="37.5">
      <c r="A2927" s="506">
        <f t="shared" si="431"/>
        <v>6</v>
      </c>
      <c r="B2927" s="723" t="s">
        <v>2321</v>
      </c>
      <c r="C2927" s="780" t="s">
        <v>222</v>
      </c>
      <c r="D2927" s="780">
        <v>4749</v>
      </c>
      <c r="E2927" s="539">
        <v>875</v>
      </c>
      <c r="F2927" s="539" t="s">
        <v>223</v>
      </c>
      <c r="G2927" s="790">
        <v>1124</v>
      </c>
      <c r="H2927" s="789">
        <v>2</v>
      </c>
      <c r="I2927" s="789">
        <v>2</v>
      </c>
      <c r="J2927" s="599">
        <v>32</v>
      </c>
      <c r="K2927" s="791" t="s">
        <v>33</v>
      </c>
      <c r="L2927" s="519">
        <f t="shared" si="430"/>
        <v>3203097.73</v>
      </c>
      <c r="M2927" s="792">
        <v>3147200</v>
      </c>
      <c r="N2927" s="790">
        <v>32760</v>
      </c>
      <c r="O2927" s="643"/>
      <c r="P2927" s="790"/>
      <c r="Q2927" s="388">
        <v>23137.73</v>
      </c>
      <c r="R2927" s="446">
        <f t="shared" si="432"/>
        <v>2800</v>
      </c>
      <c r="U2927" s="404"/>
      <c r="V2927" s="390"/>
    </row>
    <row r="2928" spans="1:27" s="403" customFormat="1" ht="37.5">
      <c r="A2928" s="506">
        <f t="shared" si="431"/>
        <v>5</v>
      </c>
      <c r="B2928" s="723" t="s">
        <v>2322</v>
      </c>
      <c r="C2928" s="780" t="s">
        <v>222</v>
      </c>
      <c r="D2928" s="780">
        <v>2888</v>
      </c>
      <c r="E2928" s="539">
        <v>597</v>
      </c>
      <c r="F2928" s="539" t="s">
        <v>291</v>
      </c>
      <c r="G2928" s="790">
        <v>562</v>
      </c>
      <c r="H2928" s="789">
        <v>2</v>
      </c>
      <c r="I2928" s="789">
        <v>2</v>
      </c>
      <c r="J2928" s="599">
        <v>16</v>
      </c>
      <c r="K2928" s="791" t="s">
        <v>33</v>
      </c>
      <c r="L2928" s="519">
        <f t="shared" si="430"/>
        <v>1380159.29</v>
      </c>
      <c r="M2928" s="792">
        <v>1348800</v>
      </c>
      <c r="N2928" s="790"/>
      <c r="O2928" s="643">
        <v>17288</v>
      </c>
      <c r="P2928" s="790"/>
      <c r="Q2928" s="388">
        <v>14071.29</v>
      </c>
      <c r="R2928" s="446">
        <f t="shared" si="432"/>
        <v>2400</v>
      </c>
      <c r="U2928" s="404"/>
      <c r="V2928" s="390"/>
    </row>
    <row r="2929" spans="1:27" s="403" customFormat="1" ht="37.5">
      <c r="A2929" s="506">
        <f t="shared" si="431"/>
        <v>7</v>
      </c>
      <c r="B2929" s="723" t="s">
        <v>2323</v>
      </c>
      <c r="C2929" s="780" t="s">
        <v>222</v>
      </c>
      <c r="D2929" s="780">
        <v>2559</v>
      </c>
      <c r="E2929" s="539">
        <v>503</v>
      </c>
      <c r="F2929" s="539" t="s">
        <v>223</v>
      </c>
      <c r="G2929" s="790">
        <v>756</v>
      </c>
      <c r="H2929" s="789">
        <v>2</v>
      </c>
      <c r="I2929" s="789">
        <v>2</v>
      </c>
      <c r="J2929" s="599">
        <v>12</v>
      </c>
      <c r="K2929" s="791" t="s">
        <v>33</v>
      </c>
      <c r="L2929" s="519">
        <f t="shared" si="430"/>
        <v>1952454.35</v>
      </c>
      <c r="M2929" s="792">
        <v>1911000</v>
      </c>
      <c r="N2929" s="790">
        <v>28986</v>
      </c>
      <c r="O2929" s="643"/>
      <c r="P2929" s="790"/>
      <c r="Q2929" s="388">
        <v>12468.35</v>
      </c>
      <c r="R2929" s="446">
        <f t="shared" si="432"/>
        <v>2527.7777777777778</v>
      </c>
      <c r="S2929" s="458"/>
      <c r="T2929" s="389"/>
      <c r="U2929" s="404"/>
      <c r="V2929" s="390"/>
    </row>
    <row r="2930" spans="1:27" s="728" customFormat="1" ht="42.75" customHeight="1">
      <c r="A2930" s="1167" t="s">
        <v>158</v>
      </c>
      <c r="B2930" s="1167"/>
      <c r="C2930" s="455" t="s">
        <v>28</v>
      </c>
      <c r="D2930" s="675">
        <f>SUM(D2921:D2929)</f>
        <v>42952</v>
      </c>
      <c r="E2930" s="675">
        <f>SUM(E2921:E2929)</f>
        <v>7276</v>
      </c>
      <c r="F2930" s="388" t="s">
        <v>28</v>
      </c>
      <c r="G2930" s="675">
        <f>SUM(G2921:G2929)</f>
        <v>6810</v>
      </c>
      <c r="H2930" s="446" t="s">
        <v>28</v>
      </c>
      <c r="I2930" s="446" t="s">
        <v>28</v>
      </c>
      <c r="J2930" s="676">
        <f>SUM(J2921:J2929)</f>
        <v>206</v>
      </c>
      <c r="K2930" s="458" t="s">
        <v>28</v>
      </c>
      <c r="L2930" s="677">
        <f t="shared" ref="L2930:Q2930" si="433">SUM(L2921:L2929)</f>
        <v>16285384.300000003</v>
      </c>
      <c r="M2930" s="677">
        <f t="shared" si="433"/>
        <v>15915341</v>
      </c>
      <c r="N2930" s="675">
        <f t="shared" si="433"/>
        <v>172946</v>
      </c>
      <c r="O2930" s="678">
        <f t="shared" si="433"/>
        <v>52088</v>
      </c>
      <c r="P2930" s="675">
        <f t="shared" si="433"/>
        <v>0</v>
      </c>
      <c r="Q2930" s="675">
        <f t="shared" si="433"/>
        <v>145009.29999999999</v>
      </c>
      <c r="R2930" s="446" t="s">
        <v>28</v>
      </c>
      <c r="S2930" s="383">
        <f>L2930-M2930-N2930-O2930-P2930-Q2930</f>
        <v>2.6193447411060333E-9</v>
      </c>
      <c r="T2930" s="387" t="e">
        <f>'1.перечень МКД'!#REF!</f>
        <v>#REF!</v>
      </c>
      <c r="U2930" s="390" t="e">
        <f>L2930-T2930</f>
        <v>#REF!</v>
      </c>
      <c r="V2930" s="390"/>
    </row>
    <row r="2931" spans="1:27" s="403" customFormat="1" ht="42.75" customHeight="1">
      <c r="A2931" s="1113" t="s">
        <v>201</v>
      </c>
      <c r="B2931" s="1113"/>
      <c r="C2931" s="1113"/>
      <c r="D2931" s="1113"/>
      <c r="E2931" s="1113"/>
      <c r="F2931" s="1113"/>
      <c r="G2931" s="1113"/>
      <c r="H2931" s="1113"/>
      <c r="I2931" s="1113"/>
      <c r="J2931" s="1113"/>
      <c r="K2931" s="1113"/>
      <c r="L2931" s="1113"/>
      <c r="M2931" s="1113"/>
      <c r="N2931" s="1113"/>
      <c r="O2931" s="1113"/>
      <c r="P2931" s="1113"/>
      <c r="Q2931" s="1113"/>
      <c r="R2931" s="458"/>
      <c r="U2931" s="404"/>
      <c r="V2931" s="390"/>
    </row>
    <row r="2932" spans="1:27" s="403" customFormat="1" ht="37.5">
      <c r="A2932" s="506">
        <v>1</v>
      </c>
      <c r="B2932" s="723" t="s">
        <v>2324</v>
      </c>
      <c r="C2932" s="780" t="s">
        <v>222</v>
      </c>
      <c r="D2932" s="780"/>
      <c r="E2932" s="539">
        <v>4248</v>
      </c>
      <c r="F2932" s="539" t="s">
        <v>318</v>
      </c>
      <c r="G2932" s="790">
        <v>1784</v>
      </c>
      <c r="H2932" s="789">
        <v>5</v>
      </c>
      <c r="I2932" s="789">
        <v>6</v>
      </c>
      <c r="J2932" s="599">
        <v>120</v>
      </c>
      <c r="K2932" s="791" t="s">
        <v>232</v>
      </c>
      <c r="L2932" s="519">
        <f t="shared" ref="L2932:L2944" si="434">SUM(M2932:Q2932)</f>
        <v>4257113.9000000004</v>
      </c>
      <c r="M2932" s="792">
        <v>4200000</v>
      </c>
      <c r="N2932" s="790">
        <v>34275</v>
      </c>
      <c r="O2932" s="643"/>
      <c r="P2932" s="790"/>
      <c r="Q2932" s="388">
        <v>22838.9</v>
      </c>
      <c r="R2932" s="446">
        <f>M2932/J2932</f>
        <v>35000</v>
      </c>
      <c r="S2932" s="458"/>
      <c r="T2932" s="389"/>
      <c r="U2932" s="404"/>
      <c r="V2932" s="390"/>
    </row>
    <row r="2933" spans="1:27" s="403" customFormat="1" ht="37.5">
      <c r="A2933" s="506">
        <f>A2932+1</f>
        <v>2</v>
      </c>
      <c r="B2933" s="403" t="s">
        <v>2325</v>
      </c>
      <c r="C2933" s="455" t="s">
        <v>222</v>
      </c>
      <c r="D2933" s="641"/>
      <c r="E2933" s="388"/>
      <c r="F2933" s="388" t="s">
        <v>252</v>
      </c>
      <c r="G2933" s="388"/>
      <c r="H2933" s="446">
        <v>4</v>
      </c>
      <c r="I2933" s="446">
        <v>4</v>
      </c>
      <c r="J2933" s="446">
        <v>62</v>
      </c>
      <c r="K2933" s="458" t="s">
        <v>225</v>
      </c>
      <c r="L2933" s="519">
        <f t="shared" si="434"/>
        <v>1068307.8500000001</v>
      </c>
      <c r="M2933" s="519">
        <v>1026819</v>
      </c>
      <c r="N2933" s="881">
        <v>32448</v>
      </c>
      <c r="O2933" s="882"/>
      <c r="P2933" s="881"/>
      <c r="Q2933" s="388">
        <v>9040.85</v>
      </c>
      <c r="R2933" s="883">
        <f>M2933/J2933</f>
        <v>16561.596774193549</v>
      </c>
      <c r="U2933" s="404"/>
      <c r="V2933" s="390"/>
    </row>
    <row r="2934" spans="1:27" s="403" customFormat="1" ht="37.5">
      <c r="A2934" s="506">
        <f t="shared" ref="A2934:A2952" si="435">A2933+1</f>
        <v>3</v>
      </c>
      <c r="B2934" s="723" t="s">
        <v>2326</v>
      </c>
      <c r="C2934" s="780" t="s">
        <v>222</v>
      </c>
      <c r="D2934" s="780">
        <v>26787</v>
      </c>
      <c r="E2934" s="539">
        <v>4029</v>
      </c>
      <c r="F2934" s="539" t="s">
        <v>316</v>
      </c>
      <c r="G2934" s="790">
        <v>2197</v>
      </c>
      <c r="H2934" s="789">
        <v>5</v>
      </c>
      <c r="I2934" s="789">
        <v>8</v>
      </c>
      <c r="J2934" s="599">
        <v>125</v>
      </c>
      <c r="K2934" s="791" t="s">
        <v>225</v>
      </c>
      <c r="L2934" s="519">
        <f t="shared" si="434"/>
        <v>2368389.36</v>
      </c>
      <c r="M2934" s="792">
        <v>2307863</v>
      </c>
      <c r="N2934" s="790">
        <v>38384</v>
      </c>
      <c r="O2934" s="643"/>
      <c r="P2934" s="790"/>
      <c r="Q2934" s="388">
        <v>22142.36</v>
      </c>
      <c r="R2934" s="446">
        <f>M2934/J2934</f>
        <v>18462.903999999999</v>
      </c>
      <c r="S2934" s="458"/>
      <c r="T2934" s="389"/>
      <c r="U2934" s="404"/>
      <c r="V2934" s="390"/>
    </row>
    <row r="2935" spans="1:27" s="403" customFormat="1" ht="37.5">
      <c r="A2935" s="506">
        <f t="shared" si="435"/>
        <v>4</v>
      </c>
      <c r="B2935" s="723" t="s">
        <v>2327</v>
      </c>
      <c r="C2935" s="780" t="s">
        <v>222</v>
      </c>
      <c r="D2935" s="780">
        <v>13092</v>
      </c>
      <c r="E2935" s="539">
        <v>2324</v>
      </c>
      <c r="F2935" s="539" t="s">
        <v>316</v>
      </c>
      <c r="G2935" s="790">
        <v>1128</v>
      </c>
      <c r="H2935" s="789">
        <v>5</v>
      </c>
      <c r="I2935" s="789">
        <v>4</v>
      </c>
      <c r="J2935" s="599">
        <v>70</v>
      </c>
      <c r="K2935" s="791" t="s">
        <v>225</v>
      </c>
      <c r="L2935" s="519">
        <f t="shared" si="434"/>
        <v>1186866.1000000001</v>
      </c>
      <c r="M2935" s="792">
        <v>1140998</v>
      </c>
      <c r="N2935" s="790">
        <v>32629</v>
      </c>
      <c r="O2935" s="643"/>
      <c r="P2935" s="790"/>
      <c r="Q2935" s="388">
        <v>13239.1</v>
      </c>
      <c r="R2935" s="446">
        <f>M2935/J2935</f>
        <v>16299.971428571429</v>
      </c>
      <c r="S2935" s="458"/>
      <c r="T2935" s="389"/>
      <c r="U2935" s="404"/>
      <c r="V2935" s="390"/>
    </row>
    <row r="2936" spans="1:27" s="403" customFormat="1" ht="37.5">
      <c r="A2936" s="506">
        <f t="shared" si="435"/>
        <v>5</v>
      </c>
      <c r="B2936" s="723" t="s">
        <v>2328</v>
      </c>
      <c r="C2936" s="780" t="s">
        <v>222</v>
      </c>
      <c r="D2936" s="780">
        <v>27294</v>
      </c>
      <c r="E2936" s="539">
        <v>4717</v>
      </c>
      <c r="F2936" s="539" t="s">
        <v>318</v>
      </c>
      <c r="G2936" s="790">
        <v>1917</v>
      </c>
      <c r="H2936" s="789">
        <v>5</v>
      </c>
      <c r="I2936" s="789">
        <v>10</v>
      </c>
      <c r="J2936" s="599">
        <v>123</v>
      </c>
      <c r="K2936" s="791" t="s">
        <v>232</v>
      </c>
      <c r="L2936" s="519">
        <f t="shared" si="434"/>
        <v>4565357.3</v>
      </c>
      <c r="M2936" s="792">
        <v>4500000</v>
      </c>
      <c r="N2936" s="790">
        <v>35993</v>
      </c>
      <c r="O2936" s="643"/>
      <c r="P2936" s="790"/>
      <c r="Q2936" s="388">
        <v>29364.3</v>
      </c>
      <c r="R2936" s="446">
        <f>M2936/J2936</f>
        <v>36585.365853658535</v>
      </c>
      <c r="S2936" s="458"/>
      <c r="T2936" s="389"/>
      <c r="U2936" s="404"/>
      <c r="V2936" s="390"/>
    </row>
    <row r="2937" spans="1:27" s="403" customFormat="1" ht="37.5">
      <c r="A2937" s="506">
        <f t="shared" si="435"/>
        <v>6</v>
      </c>
      <c r="B2937" s="723" t="s">
        <v>2329</v>
      </c>
      <c r="C2937" s="780" t="s">
        <v>222</v>
      </c>
      <c r="D2937" s="780">
        <v>13721</v>
      </c>
      <c r="E2937" s="539">
        <v>1561</v>
      </c>
      <c r="F2937" s="539" t="s">
        <v>316</v>
      </c>
      <c r="G2937" s="790">
        <v>1226</v>
      </c>
      <c r="H2937" s="789">
        <v>5</v>
      </c>
      <c r="I2937" s="789">
        <v>4</v>
      </c>
      <c r="J2937" s="599">
        <v>71</v>
      </c>
      <c r="K2937" s="791" t="s">
        <v>33</v>
      </c>
      <c r="L2937" s="519">
        <f t="shared" si="434"/>
        <v>4056319</v>
      </c>
      <c r="M2937" s="792">
        <v>3988436</v>
      </c>
      <c r="N2937" s="790">
        <v>27883</v>
      </c>
      <c r="O2937" s="643"/>
      <c r="P2937" s="790"/>
      <c r="Q2937" s="388">
        <v>40000</v>
      </c>
      <c r="R2937" s="446">
        <f>M2937/G2937</f>
        <v>3253.2104404567699</v>
      </c>
      <c r="S2937" s="458"/>
      <c r="T2937" s="389"/>
      <c r="U2937" s="404"/>
      <c r="V2937" s="390"/>
    </row>
    <row r="2938" spans="1:27" s="403" customFormat="1" ht="37.5">
      <c r="A2938" s="506">
        <f t="shared" si="435"/>
        <v>7</v>
      </c>
      <c r="B2938" s="723" t="s">
        <v>2330</v>
      </c>
      <c r="C2938" s="780" t="s">
        <v>222</v>
      </c>
      <c r="D2938" s="780">
        <v>9960</v>
      </c>
      <c r="E2938" s="539">
        <v>2415</v>
      </c>
      <c r="F2938" s="539" t="s">
        <v>316</v>
      </c>
      <c r="G2938" s="790">
        <v>918</v>
      </c>
      <c r="H2938" s="789">
        <v>5</v>
      </c>
      <c r="I2938" s="789">
        <v>3</v>
      </c>
      <c r="J2938" s="599">
        <v>60</v>
      </c>
      <c r="K2938" s="791" t="s">
        <v>225</v>
      </c>
      <c r="L2938" s="519">
        <f t="shared" si="434"/>
        <v>1124357.02</v>
      </c>
      <c r="M2938" s="792">
        <v>1084496</v>
      </c>
      <c r="N2938" s="790">
        <v>30894</v>
      </c>
      <c r="O2938" s="643"/>
      <c r="P2938" s="790"/>
      <c r="Q2938" s="388">
        <v>8967.02</v>
      </c>
      <c r="R2938" s="446">
        <f>M2938/J2938</f>
        <v>18074.933333333334</v>
      </c>
      <c r="S2938" s="458"/>
      <c r="T2938" s="389"/>
      <c r="U2938" s="404"/>
      <c r="V2938" s="390"/>
    </row>
    <row r="2939" spans="1:27" s="403" customFormat="1" ht="37.5">
      <c r="A2939" s="506">
        <f t="shared" si="435"/>
        <v>8</v>
      </c>
      <c r="B2939" s="723" t="s">
        <v>2331</v>
      </c>
      <c r="C2939" s="780" t="s">
        <v>222</v>
      </c>
      <c r="D2939" s="780">
        <v>3721</v>
      </c>
      <c r="E2939" s="539">
        <v>793</v>
      </c>
      <c r="F2939" s="539" t="s">
        <v>338</v>
      </c>
      <c r="G2939" s="790">
        <v>580</v>
      </c>
      <c r="H2939" s="789">
        <v>3</v>
      </c>
      <c r="I2939" s="789">
        <v>2</v>
      </c>
      <c r="J2939" s="599">
        <v>16</v>
      </c>
      <c r="K2939" s="791" t="s">
        <v>339</v>
      </c>
      <c r="L2939" s="519">
        <f t="shared" si="434"/>
        <v>135000</v>
      </c>
      <c r="M2939" s="792">
        <v>120000</v>
      </c>
      <c r="N2939" s="790">
        <v>15000</v>
      </c>
      <c r="O2939" s="643"/>
      <c r="P2939" s="790"/>
      <c r="Q2939" s="388"/>
      <c r="R2939" s="446">
        <f>M2939/J2939</f>
        <v>7500</v>
      </c>
      <c r="S2939" s="458"/>
      <c r="T2939" s="389"/>
      <c r="U2939" s="404"/>
      <c r="V2939" s="390"/>
    </row>
    <row r="2940" spans="1:27" s="403" customFormat="1" ht="37.5">
      <c r="A2940" s="506">
        <f t="shared" si="435"/>
        <v>9</v>
      </c>
      <c r="B2940" s="723" t="s">
        <v>2332</v>
      </c>
      <c r="C2940" s="780" t="s">
        <v>222</v>
      </c>
      <c r="D2940" s="780">
        <v>7889</v>
      </c>
      <c r="E2940" s="539">
        <v>1370</v>
      </c>
      <c r="F2940" s="539" t="s">
        <v>316</v>
      </c>
      <c r="G2940" s="790">
        <v>970</v>
      </c>
      <c r="H2940" s="789">
        <v>4</v>
      </c>
      <c r="I2940" s="789">
        <v>3</v>
      </c>
      <c r="J2940" s="599">
        <v>47</v>
      </c>
      <c r="K2940" s="791" t="s">
        <v>232</v>
      </c>
      <c r="L2940" s="519">
        <f t="shared" si="434"/>
        <v>1687011.3</v>
      </c>
      <c r="M2940" s="792">
        <v>1645000</v>
      </c>
      <c r="N2940" s="790">
        <v>26630</v>
      </c>
      <c r="O2940" s="643"/>
      <c r="P2940" s="790"/>
      <c r="Q2940" s="388">
        <v>15381.3</v>
      </c>
      <c r="R2940" s="446">
        <f>M2940/J2940</f>
        <v>35000</v>
      </c>
      <c r="S2940" s="458"/>
      <c r="T2940" s="389"/>
      <c r="U2940" s="404"/>
      <c r="V2940" s="390"/>
    </row>
    <row r="2941" spans="1:27" s="403" customFormat="1" ht="56.25" customHeight="1">
      <c r="A2941" s="506">
        <f t="shared" si="435"/>
        <v>10</v>
      </c>
      <c r="B2941" s="723" t="s">
        <v>2333</v>
      </c>
      <c r="C2941" s="780" t="s">
        <v>222</v>
      </c>
      <c r="D2941" s="780">
        <v>13304</v>
      </c>
      <c r="E2941" s="539">
        <v>2116</v>
      </c>
      <c r="F2941" s="539" t="s">
        <v>316</v>
      </c>
      <c r="G2941" s="790">
        <v>1059</v>
      </c>
      <c r="H2941" s="789">
        <v>5</v>
      </c>
      <c r="I2941" s="789">
        <v>4</v>
      </c>
      <c r="J2941" s="599">
        <v>68</v>
      </c>
      <c r="K2941" s="791" t="s">
        <v>30</v>
      </c>
      <c r="L2941" s="519">
        <f t="shared" si="434"/>
        <v>2612570.4</v>
      </c>
      <c r="M2941" s="792">
        <v>2562946</v>
      </c>
      <c r="N2941" s="790"/>
      <c r="O2941" s="643">
        <v>15133</v>
      </c>
      <c r="P2941" s="790"/>
      <c r="Q2941" s="388">
        <v>34491.4</v>
      </c>
      <c r="R2941" s="446">
        <f>M2941/J2941</f>
        <v>37690.382352941175</v>
      </c>
      <c r="S2941" s="458"/>
      <c r="T2941" s="389"/>
      <c r="U2941" s="404"/>
      <c r="V2941" s="390"/>
      <c r="Z2941" s="416">
        <v>1</v>
      </c>
      <c r="AA2941" s="416">
        <f>J2941</f>
        <v>68</v>
      </c>
    </row>
    <row r="2942" spans="1:27" s="403" customFormat="1" ht="37.5">
      <c r="A2942" s="506">
        <f t="shared" si="435"/>
        <v>11</v>
      </c>
      <c r="B2942" s="723" t="s">
        <v>2334</v>
      </c>
      <c r="C2942" s="780" t="s">
        <v>222</v>
      </c>
      <c r="D2942" s="780">
        <v>24185</v>
      </c>
      <c r="E2942" s="539">
        <v>4135</v>
      </c>
      <c r="F2942" s="539" t="s">
        <v>318</v>
      </c>
      <c r="G2942" s="790">
        <v>2011</v>
      </c>
      <c r="H2942" s="789">
        <v>5</v>
      </c>
      <c r="I2942" s="789">
        <v>8</v>
      </c>
      <c r="J2942" s="599">
        <v>120</v>
      </c>
      <c r="K2942" s="791" t="s">
        <v>33</v>
      </c>
      <c r="L2942" s="519">
        <f t="shared" si="434"/>
        <v>4101108</v>
      </c>
      <c r="M2942" s="792">
        <v>4057610</v>
      </c>
      <c r="N2942" s="790"/>
      <c r="O2942" s="643">
        <v>23498</v>
      </c>
      <c r="P2942" s="790"/>
      <c r="Q2942" s="388">
        <v>20000</v>
      </c>
      <c r="R2942" s="446">
        <f>M2942/G2942</f>
        <v>2017.7076081551468</v>
      </c>
      <c r="S2942" s="458"/>
      <c r="T2942" s="389"/>
      <c r="U2942" s="404"/>
      <c r="V2942" s="390"/>
    </row>
    <row r="2943" spans="1:27" s="403" customFormat="1" ht="37.5">
      <c r="A2943" s="506">
        <f t="shared" si="435"/>
        <v>12</v>
      </c>
      <c r="B2943" s="723" t="s">
        <v>2335</v>
      </c>
      <c r="C2943" s="780" t="s">
        <v>222</v>
      </c>
      <c r="D2943" s="780"/>
      <c r="E2943" s="539"/>
      <c r="F2943" s="539" t="s">
        <v>318</v>
      </c>
      <c r="G2943" s="790">
        <v>1262</v>
      </c>
      <c r="H2943" s="789">
        <v>5</v>
      </c>
      <c r="I2943" s="789">
        <v>6</v>
      </c>
      <c r="J2943" s="599">
        <v>98</v>
      </c>
      <c r="K2943" s="791" t="s">
        <v>225</v>
      </c>
      <c r="L2943" s="519">
        <f t="shared" si="434"/>
        <v>2088814.8</v>
      </c>
      <c r="M2943" s="792">
        <v>2038482</v>
      </c>
      <c r="N2943" s="790">
        <v>33919</v>
      </c>
      <c r="O2943" s="643"/>
      <c r="P2943" s="790"/>
      <c r="Q2943" s="388">
        <v>16413.8</v>
      </c>
      <c r="R2943" s="446">
        <f>M2943/J2943</f>
        <v>20800.836734693876</v>
      </c>
      <c r="S2943" s="458"/>
      <c r="T2943" s="389"/>
      <c r="U2943" s="404"/>
      <c r="V2943" s="390"/>
    </row>
    <row r="2944" spans="1:27" s="403" customFormat="1" ht="56.25" customHeight="1">
      <c r="A2944" s="506">
        <f t="shared" si="435"/>
        <v>13</v>
      </c>
      <c r="B2944" s="723" t="s">
        <v>2336</v>
      </c>
      <c r="C2944" s="780" t="s">
        <v>222</v>
      </c>
      <c r="D2944" s="780">
        <v>7811</v>
      </c>
      <c r="E2944" s="539">
        <v>1332</v>
      </c>
      <c r="F2944" s="539" t="s">
        <v>317</v>
      </c>
      <c r="G2944" s="790">
        <v>691</v>
      </c>
      <c r="H2944" s="789">
        <v>5</v>
      </c>
      <c r="I2944" s="789">
        <v>2</v>
      </c>
      <c r="J2944" s="599">
        <v>36</v>
      </c>
      <c r="K2944" s="791" t="s">
        <v>30</v>
      </c>
      <c r="L2944" s="519">
        <f t="shared" si="434"/>
        <v>1140747.6000000001</v>
      </c>
      <c r="M2944" s="792">
        <v>1104680</v>
      </c>
      <c r="N2944" s="790"/>
      <c r="O2944" s="643">
        <v>14627</v>
      </c>
      <c r="P2944" s="790"/>
      <c r="Q2944" s="388">
        <v>21440.6</v>
      </c>
      <c r="R2944" s="446">
        <f>M2944/J2944</f>
        <v>30685.555555555555</v>
      </c>
      <c r="S2944" s="458"/>
      <c r="T2944" s="389"/>
      <c r="U2944" s="404"/>
      <c r="V2944" s="390"/>
      <c r="Z2944" s="416">
        <v>1</v>
      </c>
      <c r="AA2944" s="416">
        <f>J2944</f>
        <v>36</v>
      </c>
    </row>
    <row r="2945" spans="1:27" s="403" customFormat="1" ht="56.25" customHeight="1">
      <c r="A2945" s="506">
        <f t="shared" si="435"/>
        <v>14</v>
      </c>
      <c r="B2945" s="723" t="s">
        <v>2337</v>
      </c>
      <c r="C2945" s="780" t="s">
        <v>222</v>
      </c>
      <c r="D2945" s="780">
        <v>17700</v>
      </c>
      <c r="E2945" s="539">
        <v>3075</v>
      </c>
      <c r="F2945" s="539" t="s">
        <v>317</v>
      </c>
      <c r="G2945" s="790">
        <v>1655</v>
      </c>
      <c r="H2945" s="789">
        <v>5</v>
      </c>
      <c r="I2945" s="789">
        <v>6</v>
      </c>
      <c r="J2945" s="599">
        <v>100</v>
      </c>
      <c r="K2945" s="791" t="s">
        <v>30</v>
      </c>
      <c r="L2945" s="519">
        <f>SUM(M2945:Q2945)+M2946+N2946+O2946+P2946+Q2946</f>
        <v>7151408.9000000004</v>
      </c>
      <c r="M2945" s="792">
        <v>3542036</v>
      </c>
      <c r="N2945" s="790"/>
      <c r="O2945" s="643">
        <v>15991</v>
      </c>
      <c r="P2945" s="790"/>
      <c r="Q2945" s="388">
        <v>40000</v>
      </c>
      <c r="R2945" s="446">
        <f>M2945/J2945</f>
        <v>35420.36</v>
      </c>
      <c r="S2945" s="458"/>
      <c r="T2945" s="389"/>
      <c r="U2945" s="404"/>
      <c r="V2945" s="390"/>
      <c r="Z2945" s="416">
        <v>1</v>
      </c>
      <c r="AA2945" s="416">
        <f>J2945</f>
        <v>100</v>
      </c>
    </row>
    <row r="2946" spans="1:27" s="403" customFormat="1" ht="37.5">
      <c r="A2946" s="506"/>
      <c r="C2946" s="780" t="s">
        <v>222</v>
      </c>
      <c r="D2946" s="780">
        <v>17700</v>
      </c>
      <c r="E2946" s="539">
        <v>3075</v>
      </c>
      <c r="F2946" s="539"/>
      <c r="G2946" s="790"/>
      <c r="H2946" s="789"/>
      <c r="I2946" s="789"/>
      <c r="J2946" s="599"/>
      <c r="K2946" s="791" t="s">
        <v>232</v>
      </c>
      <c r="L2946" s="519"/>
      <c r="M2946" s="792">
        <v>3500000</v>
      </c>
      <c r="N2946" s="790">
        <v>30543</v>
      </c>
      <c r="O2946" s="643"/>
      <c r="P2946" s="790"/>
      <c r="Q2946" s="388">
        <v>22838.9</v>
      </c>
      <c r="R2946" s="446">
        <f>M2946/J2945</f>
        <v>35000</v>
      </c>
      <c r="S2946" s="458"/>
      <c r="T2946" s="389"/>
      <c r="U2946" s="404"/>
      <c r="V2946" s="390"/>
    </row>
    <row r="2947" spans="1:27" s="403" customFormat="1" ht="37.5">
      <c r="A2947" s="506">
        <v>15</v>
      </c>
      <c r="B2947" s="723" t="s">
        <v>2338</v>
      </c>
      <c r="C2947" s="780" t="s">
        <v>222</v>
      </c>
      <c r="D2947" s="780">
        <v>13723</v>
      </c>
      <c r="E2947" s="539">
        <v>2398</v>
      </c>
      <c r="F2947" s="539" t="s">
        <v>317</v>
      </c>
      <c r="G2947" s="790">
        <v>1130</v>
      </c>
      <c r="H2947" s="789">
        <v>5</v>
      </c>
      <c r="I2947" s="789">
        <v>4</v>
      </c>
      <c r="J2947" s="599">
        <v>70</v>
      </c>
      <c r="K2947" s="791" t="s">
        <v>232</v>
      </c>
      <c r="L2947" s="519">
        <f>SUM(M2947:Q2947)</f>
        <v>2488797</v>
      </c>
      <c r="M2947" s="792">
        <v>2450000</v>
      </c>
      <c r="N2947" s="790">
        <v>20153</v>
      </c>
      <c r="O2947" s="643"/>
      <c r="P2947" s="790"/>
      <c r="Q2947" s="388">
        <v>18644</v>
      </c>
      <c r="R2947" s="446">
        <f>M2947/J2947</f>
        <v>35000</v>
      </c>
      <c r="S2947" s="458"/>
      <c r="T2947" s="389"/>
      <c r="U2947" s="404"/>
      <c r="V2947" s="390"/>
    </row>
    <row r="2948" spans="1:27" s="403" customFormat="1" ht="37.5">
      <c r="A2948" s="506">
        <f t="shared" si="435"/>
        <v>16</v>
      </c>
      <c r="B2948" s="723" t="s">
        <v>2339</v>
      </c>
      <c r="C2948" s="780" t="s">
        <v>222</v>
      </c>
      <c r="D2948" s="780">
        <v>12800</v>
      </c>
      <c r="E2948" s="539">
        <v>3426</v>
      </c>
      <c r="F2948" s="539" t="s">
        <v>318</v>
      </c>
      <c r="G2948" s="790">
        <v>1237</v>
      </c>
      <c r="H2948" s="789">
        <v>5</v>
      </c>
      <c r="I2948" s="789">
        <v>6</v>
      </c>
      <c r="J2948" s="599">
        <v>90</v>
      </c>
      <c r="K2948" s="791" t="s">
        <v>33</v>
      </c>
      <c r="L2948" s="519">
        <f>SUM(M2948:Q2948)</f>
        <v>3129311</v>
      </c>
      <c r="M2948" s="792">
        <v>3092258</v>
      </c>
      <c r="N2948" s="790"/>
      <c r="O2948" s="643">
        <v>17053</v>
      </c>
      <c r="P2948" s="790"/>
      <c r="Q2948" s="388">
        <v>20000</v>
      </c>
      <c r="R2948" s="446">
        <f>M2948/G2948</f>
        <v>2499.8043654001617</v>
      </c>
      <c r="S2948" s="458"/>
      <c r="T2948" s="389"/>
      <c r="U2948" s="404"/>
      <c r="V2948" s="390"/>
    </row>
    <row r="2949" spans="1:27" s="403" customFormat="1" ht="56.25">
      <c r="A2949" s="506">
        <f t="shared" si="435"/>
        <v>17</v>
      </c>
      <c r="B2949" s="723" t="s">
        <v>2340</v>
      </c>
      <c r="C2949" s="780" t="s">
        <v>222</v>
      </c>
      <c r="D2949" s="780">
        <v>30778</v>
      </c>
      <c r="E2949" s="539">
        <v>5178</v>
      </c>
      <c r="F2949" s="539" t="s">
        <v>318</v>
      </c>
      <c r="G2949" s="790">
        <v>2264</v>
      </c>
      <c r="H2949" s="789">
        <v>5</v>
      </c>
      <c r="I2949" s="789">
        <v>10</v>
      </c>
      <c r="J2949" s="599">
        <v>150</v>
      </c>
      <c r="K2949" s="791" t="s">
        <v>30</v>
      </c>
      <c r="L2949" s="519">
        <f>M2949+N2949+O2949+P2949+Q2949</f>
        <v>4693312</v>
      </c>
      <c r="M2949" s="792">
        <v>4656600</v>
      </c>
      <c r="N2949" s="790"/>
      <c r="O2949" s="643">
        <v>16712</v>
      </c>
      <c r="P2949" s="790"/>
      <c r="Q2949" s="388">
        <v>20000</v>
      </c>
      <c r="R2949" s="446">
        <f>M2949/G2949</f>
        <v>2056.8021201413426</v>
      </c>
      <c r="S2949" s="458"/>
      <c r="T2949" s="389"/>
      <c r="U2949" s="404"/>
      <c r="V2949" s="390"/>
      <c r="Z2949" s="416">
        <v>1</v>
      </c>
      <c r="AA2949" s="416">
        <f>J2949</f>
        <v>150</v>
      </c>
    </row>
    <row r="2950" spans="1:27" s="403" customFormat="1" ht="37.5" customHeight="1">
      <c r="A2950" s="506">
        <f t="shared" si="435"/>
        <v>18</v>
      </c>
      <c r="B2950" s="723" t="s">
        <v>2341</v>
      </c>
      <c r="C2950" s="780" t="s">
        <v>315</v>
      </c>
      <c r="D2950" s="780">
        <v>17745</v>
      </c>
      <c r="E2950" s="539">
        <v>3122</v>
      </c>
      <c r="F2950" s="539" t="s">
        <v>318</v>
      </c>
      <c r="G2950" s="790">
        <v>1268</v>
      </c>
      <c r="H2950" s="789">
        <v>5</v>
      </c>
      <c r="I2950" s="789">
        <v>6</v>
      </c>
      <c r="J2950" s="599">
        <v>80</v>
      </c>
      <c r="K2950" s="791" t="s">
        <v>33</v>
      </c>
      <c r="L2950" s="519">
        <f>M2950+N2950+O2950+P2950+Q2950</f>
        <v>2757019</v>
      </c>
      <c r="M2950" s="792">
        <v>2714260</v>
      </c>
      <c r="N2950" s="790"/>
      <c r="O2950" s="643">
        <v>22759</v>
      </c>
      <c r="P2950" s="790"/>
      <c r="Q2950" s="388">
        <v>20000</v>
      </c>
      <c r="R2950" s="446">
        <f>M2950/G2950</f>
        <v>2140.5835962145111</v>
      </c>
      <c r="U2950" s="404"/>
      <c r="V2950" s="390"/>
    </row>
    <row r="2951" spans="1:27" s="403" customFormat="1" ht="37.5" customHeight="1">
      <c r="A2951" s="506">
        <f t="shared" si="435"/>
        <v>19</v>
      </c>
      <c r="B2951" s="723" t="s">
        <v>2342</v>
      </c>
      <c r="C2951" s="518" t="s">
        <v>222</v>
      </c>
      <c r="D2951" s="446">
        <v>3720</v>
      </c>
      <c r="E2951" s="388">
        <v>799</v>
      </c>
      <c r="F2951" s="388" t="s">
        <v>316</v>
      </c>
      <c r="G2951" s="388">
        <v>581</v>
      </c>
      <c r="H2951" s="446">
        <v>3</v>
      </c>
      <c r="I2951" s="446">
        <v>2</v>
      </c>
      <c r="J2951" s="446">
        <v>24</v>
      </c>
      <c r="K2951" s="458" t="s">
        <v>339</v>
      </c>
      <c r="L2951" s="519">
        <f>M2951+N2951+O2951+P2951+Q2951</f>
        <v>165000</v>
      </c>
      <c r="M2951" s="519">
        <v>150000</v>
      </c>
      <c r="N2951" s="388">
        <v>15000</v>
      </c>
      <c r="O2951" s="795"/>
      <c r="P2951" s="388"/>
      <c r="Q2951" s="388"/>
      <c r="R2951" s="446">
        <f>M2951/J2951</f>
        <v>6250</v>
      </c>
      <c r="U2951" s="404"/>
      <c r="V2951" s="390"/>
    </row>
    <row r="2952" spans="1:27" s="403" customFormat="1" ht="37.5">
      <c r="A2952" s="506">
        <f t="shared" si="435"/>
        <v>20</v>
      </c>
      <c r="B2952" s="403" t="s">
        <v>2343</v>
      </c>
      <c r="C2952" s="780" t="s">
        <v>222</v>
      </c>
      <c r="D2952" s="780">
        <v>3489</v>
      </c>
      <c r="E2952" s="539">
        <v>898</v>
      </c>
      <c r="F2952" s="539" t="s">
        <v>318</v>
      </c>
      <c r="G2952" s="790" t="s">
        <v>4187</v>
      </c>
      <c r="H2952" s="789">
        <v>5</v>
      </c>
      <c r="I2952" s="789">
        <v>1</v>
      </c>
      <c r="J2952" s="599">
        <v>15</v>
      </c>
      <c r="K2952" s="791" t="s">
        <v>33</v>
      </c>
      <c r="L2952" s="519">
        <f>M2952+N2952+O2952+P2952+Q2952</f>
        <v>662324.02</v>
      </c>
      <c r="M2952" s="792">
        <v>630547</v>
      </c>
      <c r="N2952" s="790"/>
      <c r="O2952" s="643">
        <v>20966</v>
      </c>
      <c r="P2952" s="790"/>
      <c r="Q2952" s="388">
        <v>10811.02</v>
      </c>
      <c r="R2952" s="446">
        <f>M2952/G2952</f>
        <v>2694.6452991452993</v>
      </c>
      <c r="S2952" s="458"/>
      <c r="T2952" s="389"/>
      <c r="U2952" s="404"/>
      <c r="V2952" s="390"/>
    </row>
    <row r="2953" spans="1:27" s="403" customFormat="1" ht="42.75" customHeight="1">
      <c r="A2953" s="1112" t="s">
        <v>202</v>
      </c>
      <c r="B2953" s="1112"/>
      <c r="C2953" s="388" t="s">
        <v>28</v>
      </c>
      <c r="D2953" s="388">
        <f>SUM(D2932:D2952)</f>
        <v>265419</v>
      </c>
      <c r="E2953" s="388">
        <f>SUM(E2932:E2952)</f>
        <v>51011</v>
      </c>
      <c r="F2953" s="388" t="s">
        <v>28</v>
      </c>
      <c r="G2953" s="388">
        <f>SUM(G2932:G2952)</f>
        <v>23878</v>
      </c>
      <c r="H2953" s="446" t="s">
        <v>28</v>
      </c>
      <c r="I2953" s="446" t="s">
        <v>28</v>
      </c>
      <c r="J2953" s="446">
        <f>SUM(J2932:J2952)</f>
        <v>1545</v>
      </c>
      <c r="K2953" s="458" t="s">
        <v>28</v>
      </c>
      <c r="L2953" s="519">
        <f t="shared" ref="L2953:Q2953" si="436">SUM(L2932:L2952)</f>
        <v>51439134.550000004</v>
      </c>
      <c r="M2953" s="519">
        <f t="shared" si="436"/>
        <v>50513031</v>
      </c>
      <c r="N2953" s="388">
        <f t="shared" si="436"/>
        <v>373751</v>
      </c>
      <c r="O2953" s="473">
        <f t="shared" si="436"/>
        <v>146739</v>
      </c>
      <c r="P2953" s="388">
        <f t="shared" si="436"/>
        <v>0</v>
      </c>
      <c r="Q2953" s="388">
        <f t="shared" si="436"/>
        <v>405613.55000000005</v>
      </c>
      <c r="R2953" s="446" t="s">
        <v>28</v>
      </c>
      <c r="S2953" s="383">
        <f>L2953-M2953-N2953-O2953-P2953-Q2953</f>
        <v>4.4237822294235229E-9</v>
      </c>
      <c r="T2953" s="387" t="e">
        <f>'1.перечень МКД'!#REF!</f>
        <v>#REF!</v>
      </c>
      <c r="U2953" s="390"/>
      <c r="V2953" s="390"/>
    </row>
    <row r="2954" spans="1:27" s="403" customFormat="1" ht="42.75" customHeight="1">
      <c r="A2954" s="1135" t="s">
        <v>203</v>
      </c>
      <c r="B2954" s="1135"/>
      <c r="C2954" s="1135"/>
      <c r="D2954" s="1135"/>
      <c r="E2954" s="1135"/>
      <c r="F2954" s="1135"/>
      <c r="G2954" s="1135"/>
      <c r="H2954" s="1135"/>
      <c r="I2954" s="1135"/>
      <c r="J2954" s="1135"/>
      <c r="K2954" s="1135"/>
      <c r="L2954" s="1135"/>
      <c r="M2954" s="1135"/>
      <c r="N2954" s="1135"/>
      <c r="O2954" s="1135"/>
      <c r="P2954" s="1135"/>
      <c r="Q2954" s="1135"/>
      <c r="R2954" s="728"/>
      <c r="U2954" s="404"/>
      <c r="V2954" s="390"/>
    </row>
    <row r="2955" spans="1:27" s="403" customFormat="1" ht="37.5" customHeight="1">
      <c r="A2955" s="797">
        <v>1</v>
      </c>
      <c r="B2955" s="884" t="s">
        <v>2344</v>
      </c>
      <c r="C2955" s="518" t="s">
        <v>319</v>
      </c>
      <c r="D2955" s="885">
        <v>778.26</v>
      </c>
      <c r="E2955" s="539">
        <v>738</v>
      </c>
      <c r="F2955" s="539" t="s">
        <v>223</v>
      </c>
      <c r="G2955" s="790"/>
      <c r="H2955" s="789">
        <v>2</v>
      </c>
      <c r="I2955" s="789">
        <v>2</v>
      </c>
      <c r="J2955" s="599">
        <v>16</v>
      </c>
      <c r="K2955" s="791" t="s">
        <v>38</v>
      </c>
      <c r="L2955" s="519">
        <f>SUM(M2955:Q2955)</f>
        <v>1243097.48</v>
      </c>
      <c r="M2955" s="792">
        <v>1220591</v>
      </c>
      <c r="N2955" s="790"/>
      <c r="O2955" s="643">
        <v>17568</v>
      </c>
      <c r="P2955" s="790"/>
      <c r="Q2955" s="388">
        <v>4938.4799999999996</v>
      </c>
      <c r="R2955" s="528">
        <f>M2955/E2955</f>
        <v>1653.9173441734417</v>
      </c>
      <c r="U2955" s="404"/>
      <c r="V2955" s="390"/>
    </row>
    <row r="2956" spans="1:27" s="403" customFormat="1" ht="37.5" customHeight="1">
      <c r="A2956" s="797">
        <v>2</v>
      </c>
      <c r="B2956" s="884" t="s">
        <v>2345</v>
      </c>
      <c r="C2956" s="518" t="s">
        <v>319</v>
      </c>
      <c r="D2956" s="789">
        <v>2024</v>
      </c>
      <c r="E2956" s="539">
        <v>409</v>
      </c>
      <c r="F2956" s="539" t="s">
        <v>223</v>
      </c>
      <c r="G2956" s="790">
        <v>405</v>
      </c>
      <c r="H2956" s="789">
        <v>2</v>
      </c>
      <c r="I2956" s="789">
        <v>2</v>
      </c>
      <c r="J2956" s="599">
        <v>8</v>
      </c>
      <c r="K2956" s="791" t="s">
        <v>33</v>
      </c>
      <c r="L2956" s="519">
        <f>SUM(M2956:Q2956)</f>
        <v>1438317.37</v>
      </c>
      <c r="M2956" s="792">
        <v>1400000</v>
      </c>
      <c r="N2956" s="790">
        <v>28456</v>
      </c>
      <c r="O2956" s="643"/>
      <c r="P2956" s="790"/>
      <c r="Q2956" s="388">
        <v>9861.3700000000008</v>
      </c>
      <c r="R2956" s="446">
        <f>M2956/G2956</f>
        <v>3456.7901234567903</v>
      </c>
      <c r="U2956" s="404"/>
      <c r="V2956" s="390"/>
    </row>
    <row r="2957" spans="1:27" s="403" customFormat="1" ht="42.75" customHeight="1">
      <c r="A2957" s="1112" t="s">
        <v>204</v>
      </c>
      <c r="B2957" s="1112"/>
      <c r="C2957" s="617" t="s">
        <v>28</v>
      </c>
      <c r="D2957" s="539">
        <f>SUM(D2955:D2956)</f>
        <v>2802.26</v>
      </c>
      <c r="E2957" s="539">
        <f>SUM(E2955:E2956)</f>
        <v>1147</v>
      </c>
      <c r="F2957" s="539" t="s">
        <v>28</v>
      </c>
      <c r="G2957" s="539">
        <f>SUM(G2955:G2956)</f>
        <v>405</v>
      </c>
      <c r="H2957" s="599" t="s">
        <v>28</v>
      </c>
      <c r="I2957" s="599" t="s">
        <v>28</v>
      </c>
      <c r="J2957" s="599">
        <f>SUM(J2955:J2956)</f>
        <v>24</v>
      </c>
      <c r="K2957" s="458" t="s">
        <v>28</v>
      </c>
      <c r="L2957" s="538">
        <f t="shared" ref="L2957:Q2957" si="437">SUM(L2955:L2956)</f>
        <v>2681414.85</v>
      </c>
      <c r="M2957" s="538">
        <f t="shared" si="437"/>
        <v>2620591</v>
      </c>
      <c r="N2957" s="539">
        <f t="shared" si="437"/>
        <v>28456</v>
      </c>
      <c r="O2957" s="540">
        <f t="shared" si="437"/>
        <v>17568</v>
      </c>
      <c r="P2957" s="539">
        <f t="shared" si="437"/>
        <v>0</v>
      </c>
      <c r="Q2957" s="539">
        <f t="shared" si="437"/>
        <v>14799.85</v>
      </c>
      <c r="R2957" s="446" t="s">
        <v>28</v>
      </c>
      <c r="S2957" s="383">
        <f>L2957-M2957-N2957-O2957-P2957-Q2957</f>
        <v>9.276845958083868E-11</v>
      </c>
      <c r="T2957" s="387" t="e">
        <f>'1.перечень МКД'!#REF!</f>
        <v>#REF!</v>
      </c>
      <c r="U2957" s="390"/>
      <c r="V2957" s="390"/>
    </row>
    <row r="2958" spans="1:27" s="403" customFormat="1" ht="42.75" customHeight="1">
      <c r="A2958" s="1113" t="s">
        <v>205</v>
      </c>
      <c r="B2958" s="1113"/>
      <c r="C2958" s="1113"/>
      <c r="D2958" s="1113"/>
      <c r="E2958" s="1113"/>
      <c r="F2958" s="1113"/>
      <c r="G2958" s="1113"/>
      <c r="H2958" s="1113"/>
      <c r="I2958" s="1113"/>
      <c r="J2958" s="1113"/>
      <c r="K2958" s="1113"/>
      <c r="L2958" s="1113"/>
      <c r="M2958" s="1113"/>
      <c r="N2958" s="1113"/>
      <c r="O2958" s="1113"/>
      <c r="P2958" s="1113"/>
      <c r="Q2958" s="1113"/>
      <c r="R2958" s="458"/>
      <c r="U2958" s="404"/>
      <c r="V2958" s="390"/>
    </row>
    <row r="2959" spans="1:27" s="403" customFormat="1" ht="56.25">
      <c r="A2959" s="506">
        <v>1</v>
      </c>
      <c r="B2959" s="723" t="s">
        <v>2346</v>
      </c>
      <c r="C2959" s="780" t="s">
        <v>315</v>
      </c>
      <c r="D2959" s="780"/>
      <c r="E2959" s="539">
        <v>850</v>
      </c>
      <c r="F2959" s="539" t="s">
        <v>340</v>
      </c>
      <c r="G2959" s="790" t="s">
        <v>4278</v>
      </c>
      <c r="H2959" s="789">
        <v>3</v>
      </c>
      <c r="I2959" s="789">
        <v>3</v>
      </c>
      <c r="J2959" s="599">
        <v>27</v>
      </c>
      <c r="K2959" s="791" t="s">
        <v>253</v>
      </c>
      <c r="L2959" s="519">
        <f>SUM(M2959:Q2959)</f>
        <v>3793796</v>
      </c>
      <c r="M2959" s="792">
        <v>3741738</v>
      </c>
      <c r="N2959" s="790">
        <v>30476</v>
      </c>
      <c r="O2959" s="643"/>
      <c r="P2959" s="790"/>
      <c r="Q2959" s="388">
        <v>21582</v>
      </c>
      <c r="R2959" s="446">
        <f>M2959/G2959</f>
        <v>5502.5558823529409</v>
      </c>
      <c r="U2959" s="404"/>
      <c r="V2959" s="390"/>
    </row>
    <row r="2960" spans="1:27" s="403" customFormat="1" ht="37.5">
      <c r="A2960" s="506">
        <f>A2959+1</f>
        <v>2</v>
      </c>
      <c r="B2960" s="723" t="s">
        <v>2347</v>
      </c>
      <c r="C2960" s="780" t="s">
        <v>240</v>
      </c>
      <c r="D2960" s="780"/>
      <c r="E2960" s="539">
        <v>299</v>
      </c>
      <c r="F2960" s="539" t="s">
        <v>292</v>
      </c>
      <c r="G2960" s="790">
        <v>650</v>
      </c>
      <c r="H2960" s="789">
        <v>2</v>
      </c>
      <c r="I2960" s="789">
        <v>1</v>
      </c>
      <c r="J2960" s="599">
        <v>14</v>
      </c>
      <c r="K2960" s="791" t="s">
        <v>225</v>
      </c>
      <c r="L2960" s="519">
        <f>SUM(M2960:Q2960)</f>
        <v>232835</v>
      </c>
      <c r="M2960" s="792">
        <v>210000</v>
      </c>
      <c r="N2960" s="790">
        <v>20073</v>
      </c>
      <c r="O2960" s="643"/>
      <c r="P2960" s="790"/>
      <c r="Q2960" s="388">
        <v>2762</v>
      </c>
      <c r="R2960" s="446">
        <f>M2960/J2960</f>
        <v>15000</v>
      </c>
      <c r="U2960" s="404"/>
      <c r="V2960" s="390"/>
    </row>
    <row r="2961" spans="1:28" s="403" customFormat="1" ht="37.5">
      <c r="A2961" s="506">
        <f>A2960+1</f>
        <v>3</v>
      </c>
      <c r="B2961" s="723" t="s">
        <v>2348</v>
      </c>
      <c r="C2961" s="780" t="s">
        <v>315</v>
      </c>
      <c r="D2961" s="780"/>
      <c r="E2961" s="539">
        <v>588.36</v>
      </c>
      <c r="F2961" s="539" t="s">
        <v>292</v>
      </c>
      <c r="G2961" s="790">
        <v>610</v>
      </c>
      <c r="H2961" s="789">
        <v>2</v>
      </c>
      <c r="I2961" s="789">
        <v>2</v>
      </c>
      <c r="J2961" s="599">
        <v>12</v>
      </c>
      <c r="K2961" s="791" t="s">
        <v>225</v>
      </c>
      <c r="L2961" s="519">
        <f>SUM(M2961:Q2961)</f>
        <v>204664</v>
      </c>
      <c r="M2961" s="792">
        <v>180000</v>
      </c>
      <c r="N2961" s="790">
        <v>22785</v>
      </c>
      <c r="O2961" s="643"/>
      <c r="P2961" s="790"/>
      <c r="Q2961" s="388">
        <v>1879</v>
      </c>
      <c r="R2961" s="446">
        <f>M2961/J2961</f>
        <v>15000</v>
      </c>
      <c r="U2961" s="404"/>
      <c r="V2961" s="390"/>
    </row>
    <row r="2962" spans="1:28" s="403" customFormat="1" ht="37.5">
      <c r="A2962" s="506">
        <f>A2961+1</f>
        <v>4</v>
      </c>
      <c r="B2962" s="723" t="s">
        <v>2349</v>
      </c>
      <c r="C2962" s="780" t="s">
        <v>315</v>
      </c>
      <c r="D2962" s="780"/>
      <c r="E2962" s="539">
        <v>754</v>
      </c>
      <c r="F2962" s="539" t="s">
        <v>292</v>
      </c>
      <c r="G2962" s="790">
        <v>601.01</v>
      </c>
      <c r="H2962" s="789">
        <v>2</v>
      </c>
      <c r="I2962" s="789">
        <v>2</v>
      </c>
      <c r="J2962" s="599">
        <v>16</v>
      </c>
      <c r="K2962" s="791" t="s">
        <v>33</v>
      </c>
      <c r="L2962" s="519">
        <f>SUM(M2962:Q2962)</f>
        <v>2022142</v>
      </c>
      <c r="M2962" s="792">
        <v>1980000</v>
      </c>
      <c r="N2962" s="790">
        <v>29690</v>
      </c>
      <c r="O2962" s="643"/>
      <c r="P2962" s="790"/>
      <c r="Q2962" s="388">
        <v>12452</v>
      </c>
      <c r="R2962" s="446">
        <f>M2962/G2962</f>
        <v>3294.4543352024093</v>
      </c>
      <c r="U2962" s="404"/>
      <c r="V2962" s="390"/>
    </row>
    <row r="2963" spans="1:28" s="403" customFormat="1" ht="42.75" customHeight="1">
      <c r="A2963" s="1112" t="s">
        <v>206</v>
      </c>
      <c r="B2963" s="1112"/>
      <c r="C2963" s="455" t="s">
        <v>28</v>
      </c>
      <c r="D2963" s="388">
        <f>SUM(D2959:D2962)</f>
        <v>0</v>
      </c>
      <c r="E2963" s="388">
        <v>2810.33</v>
      </c>
      <c r="F2963" s="388" t="s">
        <v>28</v>
      </c>
      <c r="G2963" s="388">
        <f>SUM(G2959:G2962)</f>
        <v>1861.01</v>
      </c>
      <c r="H2963" s="446" t="s">
        <v>28</v>
      </c>
      <c r="I2963" s="446" t="s">
        <v>28</v>
      </c>
      <c r="J2963" s="446">
        <f>SUM(J2959:J2962)</f>
        <v>69</v>
      </c>
      <c r="K2963" s="458" t="s">
        <v>28</v>
      </c>
      <c r="L2963" s="519">
        <f>SUM(L2959:L2962)</f>
        <v>6253437</v>
      </c>
      <c r="M2963" s="519">
        <f>SUM(M2959:M2962)</f>
        <v>6111738</v>
      </c>
      <c r="N2963" s="388">
        <f>SUM(N2959:N2962)</f>
        <v>103024</v>
      </c>
      <c r="O2963" s="388">
        <f>SUM(O2959:O2962)</f>
        <v>0</v>
      </c>
      <c r="P2963" s="388"/>
      <c r="Q2963" s="388">
        <f>SUM(Q2959:Q2962)</f>
        <v>38675</v>
      </c>
      <c r="R2963" s="446" t="s">
        <v>28</v>
      </c>
      <c r="S2963" s="383">
        <f>L2963-M2963-N2963-O2963-P2963-Q2963</f>
        <v>0</v>
      </c>
      <c r="T2963" s="387" t="e">
        <f>'1.перечень МКД'!#REF!</f>
        <v>#REF!</v>
      </c>
      <c r="U2963" s="390"/>
      <c r="V2963" s="390"/>
      <c r="Z2963" s="900"/>
    </row>
    <row r="2964" spans="1:28" s="975" customFormat="1" ht="52.5" customHeight="1">
      <c r="A2964" s="1134" t="s">
        <v>214</v>
      </c>
      <c r="B2964" s="1134"/>
      <c r="C2964" s="524" t="s">
        <v>28</v>
      </c>
      <c r="D2964" s="524">
        <f>D2966+D3465+D3872</f>
        <v>16752173.607236436</v>
      </c>
      <c r="E2964" s="407">
        <f>E2966+E3465+E3872</f>
        <v>3013459.6180000002</v>
      </c>
      <c r="F2964" s="407" t="s">
        <v>28</v>
      </c>
      <c r="G2964" s="407">
        <f>G2966+G3465+G3872</f>
        <v>1124069.8219999997</v>
      </c>
      <c r="H2964" s="524" t="s">
        <v>28</v>
      </c>
      <c r="I2964" s="524" t="s">
        <v>28</v>
      </c>
      <c r="J2964" s="524">
        <f>J2966+J3465+J3872</f>
        <v>76621</v>
      </c>
      <c r="K2964" s="525" t="s">
        <v>28</v>
      </c>
      <c r="L2964" s="526">
        <f>M2964+N2964+O2964+P2964+Q2964</f>
        <v>3333972327.2800002</v>
      </c>
      <c r="M2964" s="526">
        <f>M2966+M3465+M3872</f>
        <v>3273182244.4400001</v>
      </c>
      <c r="N2964" s="407">
        <f>N2966+N3465+N3872</f>
        <v>36625378.570000008</v>
      </c>
      <c r="O2964" s="527">
        <f>O2966+O3465+O3872</f>
        <v>4306099.169999999</v>
      </c>
      <c r="P2964" s="407">
        <f>P2966+P3465+P3872</f>
        <v>0</v>
      </c>
      <c r="Q2964" s="407">
        <f>Q2966+Q3465+Q3872</f>
        <v>19858605.100000001</v>
      </c>
      <c r="R2964" s="616" t="s">
        <v>28</v>
      </c>
      <c r="S2964" s="394">
        <f>L2964-M2964-N2964-O2964-P2964-Q2964</f>
        <v>1.4528632164001465E-7</v>
      </c>
      <c r="T2964" s="459" t="e">
        <f>'1.перечень МКД'!#REF!</f>
        <v>#REF!</v>
      </c>
      <c r="U2964" s="460" t="e">
        <f>L2964-T2964</f>
        <v>#REF!</v>
      </c>
    </row>
    <row r="2965" spans="1:28" s="377" customFormat="1" ht="36" customHeight="1">
      <c r="A2965" s="1126" t="s">
        <v>140</v>
      </c>
      <c r="B2965" s="1126"/>
      <c r="C2965" s="1126"/>
      <c r="D2965" s="1126"/>
      <c r="E2965" s="1126"/>
      <c r="F2965" s="1126"/>
      <c r="G2965" s="1126"/>
      <c r="H2965" s="1126"/>
      <c r="I2965" s="1126"/>
      <c r="J2965" s="1126"/>
      <c r="K2965" s="1126"/>
      <c r="L2965" s="1126"/>
      <c r="M2965" s="1126"/>
      <c r="N2965" s="1126"/>
      <c r="O2965" s="1126"/>
      <c r="P2965" s="1126"/>
      <c r="Q2965" s="1126"/>
      <c r="R2965" s="818"/>
      <c r="S2965" s="376"/>
      <c r="U2965" s="379"/>
    </row>
    <row r="2966" spans="1:28" s="458" customFormat="1" ht="33.75" customHeight="1">
      <c r="A2966" s="1117" t="s">
        <v>163</v>
      </c>
      <c r="B2966" s="1117"/>
      <c r="C2966" s="382" t="s">
        <v>28</v>
      </c>
      <c r="D2966" s="446">
        <f>D3463</f>
        <v>7920703.2299999995</v>
      </c>
      <c r="E2966" s="388">
        <f>E3463</f>
        <v>1362282.2400000002</v>
      </c>
      <c r="F2966" s="383" t="s">
        <v>28</v>
      </c>
      <c r="G2966" s="388">
        <f>G3463</f>
        <v>455472.36999999965</v>
      </c>
      <c r="H2966" s="382" t="s">
        <v>28</v>
      </c>
      <c r="I2966" s="382" t="s">
        <v>28</v>
      </c>
      <c r="J2966" s="446">
        <f>J3463</f>
        <v>35952</v>
      </c>
      <c r="K2966" s="386" t="s">
        <v>28</v>
      </c>
      <c r="L2966" s="519">
        <f t="shared" ref="L2966:Q2966" si="438">L3463</f>
        <v>1540587854.5800011</v>
      </c>
      <c r="M2966" s="519">
        <f t="shared" si="438"/>
        <v>1513496770.6300001</v>
      </c>
      <c r="N2966" s="388">
        <f t="shared" si="438"/>
        <v>17654134.770000007</v>
      </c>
      <c r="O2966" s="473">
        <f t="shared" si="438"/>
        <v>2139646.2199999993</v>
      </c>
      <c r="P2966" s="388">
        <f t="shared" si="438"/>
        <v>0</v>
      </c>
      <c r="Q2966" s="388">
        <f t="shared" si="438"/>
        <v>7297302.9600000009</v>
      </c>
      <c r="R2966" s="446" t="s">
        <v>28</v>
      </c>
      <c r="S2966" s="388">
        <f>L2966-M2966-N2966-O2966-P2966-Q2966</f>
        <v>9.9465250968933105E-7</v>
      </c>
      <c r="T2966" s="389" t="e">
        <f>'1.перечень МКД'!#REF!</f>
        <v>#REF!</v>
      </c>
      <c r="U2966" s="390" t="e">
        <f>T2966-L2966</f>
        <v>#REF!</v>
      </c>
    </row>
    <row r="2967" spans="1:28" s="377" customFormat="1" ht="35.25" customHeight="1">
      <c r="A2967" s="1126" t="s">
        <v>139</v>
      </c>
      <c r="B2967" s="1126"/>
      <c r="C2967" s="1126"/>
      <c r="D2967" s="1126"/>
      <c r="E2967" s="1126"/>
      <c r="F2967" s="1126"/>
      <c r="G2967" s="1126"/>
      <c r="H2967" s="1126"/>
      <c r="I2967" s="1126"/>
      <c r="J2967" s="1126"/>
      <c r="K2967" s="1126"/>
      <c r="L2967" s="1126"/>
      <c r="M2967" s="1126"/>
      <c r="N2967" s="1126"/>
      <c r="O2967" s="1126"/>
      <c r="P2967" s="1126"/>
      <c r="Q2967" s="1126"/>
      <c r="R2967" s="818"/>
      <c r="S2967" s="376"/>
      <c r="U2967" s="379"/>
    </row>
    <row r="2968" spans="1:28" s="478" customFormat="1" ht="61.5" customHeight="1">
      <c r="A2968" s="827">
        <v>1</v>
      </c>
      <c r="B2968" s="379" t="s">
        <v>4095</v>
      </c>
      <c r="C2968" s="376" t="s">
        <v>222</v>
      </c>
      <c r="D2968" s="532">
        <v>33528</v>
      </c>
      <c r="E2968" s="886">
        <v>7130</v>
      </c>
      <c r="F2968" s="886" t="s">
        <v>234</v>
      </c>
      <c r="G2968" s="535">
        <v>1522</v>
      </c>
      <c r="H2968" s="382">
        <v>9</v>
      </c>
      <c r="I2968" s="382">
        <v>3</v>
      </c>
      <c r="J2968" s="382">
        <v>160</v>
      </c>
      <c r="K2968" s="386" t="s">
        <v>220</v>
      </c>
      <c r="L2968" s="529">
        <f>M2968+N2968+S2968+P2968+Q2968</f>
        <v>6127500</v>
      </c>
      <c r="M2968" s="384">
        <v>6000000</v>
      </c>
      <c r="N2968" s="391">
        <v>127500</v>
      </c>
      <c r="O2968" s="455"/>
      <c r="P2968" s="391"/>
      <c r="Q2968" s="391"/>
      <c r="R2968" s="446">
        <f>M2968/I2968</f>
        <v>2000000</v>
      </c>
      <c r="S2968" s="530"/>
      <c r="T2968" s="390"/>
      <c r="U2968" s="404"/>
      <c r="V2968" s="461"/>
      <c r="W2968" s="461"/>
      <c r="X2968" s="461"/>
      <c r="Y2968" s="485"/>
      <c r="Z2968" s="994"/>
      <c r="AB2968" s="461"/>
    </row>
    <row r="2969" spans="1:28" s="478" customFormat="1" ht="61.5" customHeight="1">
      <c r="A2969" s="827">
        <f>A2968+1</f>
        <v>2</v>
      </c>
      <c r="B2969" s="887" t="s">
        <v>4096</v>
      </c>
      <c r="C2969" s="382" t="s">
        <v>218</v>
      </c>
      <c r="D2969" s="382">
        <v>31207</v>
      </c>
      <c r="E2969" s="383">
        <v>5567.7</v>
      </c>
      <c r="F2969" s="383" t="s">
        <v>234</v>
      </c>
      <c r="G2969" s="383">
        <v>1597</v>
      </c>
      <c r="H2969" s="382">
        <v>9</v>
      </c>
      <c r="I2969" s="382">
        <v>4</v>
      </c>
      <c r="J2969" s="382">
        <v>143</v>
      </c>
      <c r="K2969" s="386" t="s">
        <v>220</v>
      </c>
      <c r="L2969" s="529">
        <f>M2969+N2969+O2969+P2969+Q2969</f>
        <v>8148750</v>
      </c>
      <c r="M2969" s="384">
        <v>8000000</v>
      </c>
      <c r="N2969" s="391">
        <v>148750</v>
      </c>
      <c r="O2969" s="530"/>
      <c r="P2969" s="391"/>
      <c r="Q2969" s="391"/>
      <c r="R2969" s="446">
        <f>M2969/I2969</f>
        <v>2000000</v>
      </c>
      <c r="S2969" s="390"/>
      <c r="T2969" s="390"/>
      <c r="U2969" s="404"/>
      <c r="V2969" s="461"/>
      <c r="W2969" s="461"/>
      <c r="X2969" s="461"/>
      <c r="Y2969" s="485"/>
      <c r="Z2969" s="994"/>
      <c r="AB2969" s="461"/>
    </row>
    <row r="2970" spans="1:28" ht="60.75" customHeight="1">
      <c r="A2970" s="827">
        <f t="shared" ref="A2970:A2990" si="439">A2969+1</f>
        <v>3</v>
      </c>
      <c r="B2970" s="379" t="s">
        <v>4025</v>
      </c>
      <c r="C2970" s="382" t="s">
        <v>297</v>
      </c>
      <c r="D2970" s="800">
        <v>47499</v>
      </c>
      <c r="E2970" s="383">
        <v>8789</v>
      </c>
      <c r="F2970" s="383" t="s">
        <v>228</v>
      </c>
      <c r="G2970" s="383">
        <v>2033</v>
      </c>
      <c r="H2970" s="382">
        <v>9</v>
      </c>
      <c r="I2970" s="382">
        <v>6</v>
      </c>
      <c r="J2970" s="382">
        <v>217</v>
      </c>
      <c r="K2970" s="397" t="s">
        <v>220</v>
      </c>
      <c r="L2970" s="384">
        <f>SUM(M2970:P2970)</f>
        <v>12191250</v>
      </c>
      <c r="M2970" s="519">
        <v>12000000</v>
      </c>
      <c r="N2970" s="388">
        <v>191250</v>
      </c>
      <c r="R2970" s="446">
        <f>M2970/I2970</f>
        <v>2000000</v>
      </c>
      <c r="S2970" s="486">
        <v>6</v>
      </c>
      <c r="T2970" s="390"/>
      <c r="U2970" s="381"/>
      <c r="V2970" s="390"/>
      <c r="W2970" s="398"/>
    </row>
    <row r="2971" spans="1:28" s="478" customFormat="1" ht="61.5" customHeight="1">
      <c r="A2971" s="827">
        <f t="shared" si="439"/>
        <v>4</v>
      </c>
      <c r="B2971" s="379" t="s">
        <v>4091</v>
      </c>
      <c r="C2971" s="382" t="s">
        <v>222</v>
      </c>
      <c r="D2971" s="800">
        <v>37156</v>
      </c>
      <c r="E2971" s="383">
        <v>6089</v>
      </c>
      <c r="F2971" s="383" t="s">
        <v>234</v>
      </c>
      <c r="G2971" s="383">
        <v>1769.4</v>
      </c>
      <c r="H2971" s="382">
        <v>9</v>
      </c>
      <c r="I2971" s="382">
        <v>4</v>
      </c>
      <c r="J2971" s="382">
        <v>135</v>
      </c>
      <c r="K2971" s="386" t="s">
        <v>220</v>
      </c>
      <c r="L2971" s="529">
        <f t="shared" ref="L2971:L2976" si="440">M2971+N2971+O2971+P2971+Q2971</f>
        <v>8148750</v>
      </c>
      <c r="M2971" s="384">
        <v>8000000</v>
      </c>
      <c r="N2971" s="391">
        <v>148750</v>
      </c>
      <c r="O2971" s="530"/>
      <c r="P2971" s="391"/>
      <c r="Q2971" s="391"/>
      <c r="R2971" s="446">
        <f>M2971/I2971</f>
        <v>2000000</v>
      </c>
      <c r="S2971" s="390"/>
      <c r="T2971" s="390"/>
      <c r="U2971" s="404"/>
      <c r="V2971" s="461"/>
      <c r="W2971" s="461"/>
      <c r="X2971" s="461"/>
      <c r="Y2971" s="485"/>
      <c r="Z2971" s="994"/>
      <c r="AB2971" s="461"/>
    </row>
    <row r="2972" spans="1:28" s="416" customFormat="1" ht="37.5" customHeight="1">
      <c r="A2972" s="827">
        <f t="shared" si="439"/>
        <v>5</v>
      </c>
      <c r="B2972" s="546" t="s">
        <v>2352</v>
      </c>
      <c r="C2972" s="455" t="s">
        <v>218</v>
      </c>
      <c r="D2972" s="487">
        <v>21833</v>
      </c>
      <c r="E2972" s="388">
        <v>2016</v>
      </c>
      <c r="F2972" s="388" t="s">
        <v>234</v>
      </c>
      <c r="G2972" s="391">
        <v>495</v>
      </c>
      <c r="H2972" s="528">
        <v>12</v>
      </c>
      <c r="I2972" s="528">
        <v>1</v>
      </c>
      <c r="J2972" s="528">
        <v>82</v>
      </c>
      <c r="K2972" s="458" t="s">
        <v>364</v>
      </c>
      <c r="L2972" s="529">
        <f t="shared" si="440"/>
        <v>4106250</v>
      </c>
      <c r="M2972" s="519">
        <v>4000000</v>
      </c>
      <c r="N2972" s="550">
        <v>106250</v>
      </c>
      <c r="O2972" s="530"/>
      <c r="P2972" s="388"/>
      <c r="Q2972" s="388"/>
      <c r="R2972" s="446">
        <v>2200000</v>
      </c>
      <c r="S2972" s="487"/>
      <c r="T2972" s="398"/>
      <c r="U2972" s="414"/>
    </row>
    <row r="2973" spans="1:28" s="478" customFormat="1" ht="61.5" customHeight="1">
      <c r="A2973" s="827">
        <f>A2972+1</f>
        <v>6</v>
      </c>
      <c r="B2973" s="380" t="s">
        <v>4097</v>
      </c>
      <c r="C2973" s="382" t="s">
        <v>218</v>
      </c>
      <c r="D2973" s="382">
        <v>12276</v>
      </c>
      <c r="E2973" s="383">
        <v>1980</v>
      </c>
      <c r="F2973" s="383" t="s">
        <v>234</v>
      </c>
      <c r="G2973" s="383">
        <v>570</v>
      </c>
      <c r="H2973" s="382">
        <v>9</v>
      </c>
      <c r="I2973" s="382">
        <v>1</v>
      </c>
      <c r="J2973" s="382">
        <v>72</v>
      </c>
      <c r="K2973" s="386" t="s">
        <v>220</v>
      </c>
      <c r="L2973" s="529">
        <f t="shared" si="440"/>
        <v>2085000</v>
      </c>
      <c r="M2973" s="384">
        <v>2000000</v>
      </c>
      <c r="N2973" s="391">
        <v>85000</v>
      </c>
      <c r="O2973" s="530"/>
      <c r="P2973" s="391"/>
      <c r="Q2973" s="391"/>
      <c r="R2973" s="446">
        <f>M2973/I2973</f>
        <v>2000000</v>
      </c>
      <c r="S2973" s="390"/>
      <c r="T2973" s="390"/>
      <c r="U2973" s="404"/>
      <c r="V2973" s="461"/>
      <c r="W2973" s="461"/>
      <c r="X2973" s="461"/>
      <c r="Y2973" s="485"/>
      <c r="Z2973" s="994"/>
      <c r="AB2973" s="461"/>
    </row>
    <row r="2974" spans="1:28" s="416" customFormat="1" ht="37.5" customHeight="1">
      <c r="A2974" s="827">
        <f t="shared" si="439"/>
        <v>7</v>
      </c>
      <c r="B2974" s="403" t="s">
        <v>2353</v>
      </c>
      <c r="C2974" s="455" t="s">
        <v>272</v>
      </c>
      <c r="D2974" s="487">
        <v>8367</v>
      </c>
      <c r="E2974" s="391">
        <v>3360</v>
      </c>
      <c r="F2974" s="391" t="s">
        <v>234</v>
      </c>
      <c r="G2974" s="391">
        <v>343.2</v>
      </c>
      <c r="H2974" s="528">
        <v>10</v>
      </c>
      <c r="I2974" s="528">
        <v>2</v>
      </c>
      <c r="J2974" s="528">
        <v>40</v>
      </c>
      <c r="K2974" s="458" t="s">
        <v>364</v>
      </c>
      <c r="L2974" s="529">
        <f t="shared" si="440"/>
        <v>4142250</v>
      </c>
      <c r="M2974" s="529">
        <v>4036000</v>
      </c>
      <c r="N2974" s="391">
        <v>106250</v>
      </c>
      <c r="O2974" s="530"/>
      <c r="P2974" s="391"/>
      <c r="Q2974" s="391"/>
      <c r="R2974" s="528">
        <v>2200000</v>
      </c>
      <c r="S2974" s="487"/>
      <c r="T2974" s="398"/>
      <c r="U2974" s="414"/>
    </row>
    <row r="2975" spans="1:28" s="416" customFormat="1" ht="37.5" customHeight="1">
      <c r="A2975" s="827">
        <f t="shared" si="439"/>
        <v>8</v>
      </c>
      <c r="B2975" s="888" t="s">
        <v>2354</v>
      </c>
      <c r="C2975" s="455" t="s">
        <v>218</v>
      </c>
      <c r="D2975" s="545">
        <v>16709</v>
      </c>
      <c r="E2975" s="391">
        <v>3960</v>
      </c>
      <c r="F2975" s="388" t="s">
        <v>234</v>
      </c>
      <c r="G2975" s="391">
        <v>686.6</v>
      </c>
      <c r="H2975" s="528">
        <v>10</v>
      </c>
      <c r="I2975" s="528">
        <v>2</v>
      </c>
      <c r="J2975" s="528">
        <v>76</v>
      </c>
      <c r="K2975" s="458" t="s">
        <v>364</v>
      </c>
      <c r="L2975" s="529">
        <f t="shared" si="440"/>
        <v>4106250</v>
      </c>
      <c r="M2975" s="519">
        <v>4000000</v>
      </c>
      <c r="N2975" s="550">
        <v>106250</v>
      </c>
      <c r="O2975" s="530"/>
      <c r="P2975" s="388"/>
      <c r="Q2975" s="388"/>
      <c r="R2975" s="528">
        <v>2200000</v>
      </c>
      <c r="S2975" s="487"/>
      <c r="T2975" s="398"/>
      <c r="U2975" s="414"/>
    </row>
    <row r="2976" spans="1:28" s="478" customFormat="1" ht="61.5" customHeight="1">
      <c r="A2976" s="827">
        <f t="shared" si="439"/>
        <v>9</v>
      </c>
      <c r="B2976" s="379" t="s">
        <v>1439</v>
      </c>
      <c r="C2976" s="376" t="s">
        <v>222</v>
      </c>
      <c r="D2976" s="532">
        <v>28278</v>
      </c>
      <c r="E2976" s="886">
        <v>3864</v>
      </c>
      <c r="F2976" s="886" t="s">
        <v>234</v>
      </c>
      <c r="G2976" s="535">
        <v>592</v>
      </c>
      <c r="H2976" s="382">
        <v>12</v>
      </c>
      <c r="I2976" s="382">
        <v>1</v>
      </c>
      <c r="J2976" s="382">
        <v>81</v>
      </c>
      <c r="K2976" s="386" t="s">
        <v>220</v>
      </c>
      <c r="L2976" s="529">
        <f t="shared" si="440"/>
        <v>4506250</v>
      </c>
      <c r="M2976" s="384">
        <v>4400000</v>
      </c>
      <c r="N2976" s="391">
        <v>106250</v>
      </c>
      <c r="O2976" s="530"/>
      <c r="P2976" s="391"/>
      <c r="Q2976" s="391"/>
      <c r="R2976" s="446">
        <v>2200000</v>
      </c>
      <c r="S2976" s="390"/>
      <c r="T2976" s="390"/>
      <c r="U2976" s="404"/>
      <c r="V2976" s="461"/>
      <c r="W2976" s="461"/>
      <c r="X2976" s="461"/>
      <c r="Y2976" s="485"/>
      <c r="Z2976" s="994"/>
      <c r="AB2976" s="461"/>
    </row>
    <row r="2977" spans="1:28" ht="60.75" customHeight="1">
      <c r="A2977" s="827">
        <f t="shared" si="439"/>
        <v>10</v>
      </c>
      <c r="B2977" s="404" t="s">
        <v>2356</v>
      </c>
      <c r="C2977" s="455" t="s">
        <v>222</v>
      </c>
      <c r="D2977" s="455">
        <v>21929</v>
      </c>
      <c r="E2977" s="388">
        <v>2583</v>
      </c>
      <c r="F2977" s="388" t="s">
        <v>234</v>
      </c>
      <c r="G2977" s="388">
        <v>661</v>
      </c>
      <c r="H2977" s="446">
        <v>12</v>
      </c>
      <c r="I2977" s="446">
        <v>1</v>
      </c>
      <c r="J2977" s="446">
        <v>80</v>
      </c>
      <c r="K2977" s="458" t="s">
        <v>220</v>
      </c>
      <c r="L2977" s="384">
        <f>SUM(M2977:P2977)</f>
        <v>4506250</v>
      </c>
      <c r="M2977" s="519">
        <v>4400000</v>
      </c>
      <c r="N2977" s="565">
        <v>106250</v>
      </c>
      <c r="O2977" s="473"/>
      <c r="P2977" s="446"/>
      <c r="Q2977" s="446"/>
      <c r="R2977" s="388">
        <v>2200000</v>
      </c>
      <c r="S2977" s="486">
        <v>2</v>
      </c>
      <c r="T2977" s="390"/>
      <c r="U2977" s="381"/>
      <c r="V2977" s="390"/>
      <c r="W2977" s="398"/>
    </row>
    <row r="2978" spans="1:28" s="478" customFormat="1" ht="61.5" customHeight="1">
      <c r="A2978" s="827">
        <f t="shared" si="439"/>
        <v>11</v>
      </c>
      <c r="B2978" s="380" t="s">
        <v>4098</v>
      </c>
      <c r="C2978" s="382" t="s">
        <v>218</v>
      </c>
      <c r="D2978" s="532">
        <v>12798</v>
      </c>
      <c r="E2978" s="886">
        <v>823.2</v>
      </c>
      <c r="F2978" s="886" t="s">
        <v>234</v>
      </c>
      <c r="G2978" s="535">
        <v>412</v>
      </c>
      <c r="H2978" s="382">
        <v>12</v>
      </c>
      <c r="I2978" s="382">
        <v>1</v>
      </c>
      <c r="J2978" s="820">
        <v>48</v>
      </c>
      <c r="K2978" s="386" t="s">
        <v>220</v>
      </c>
      <c r="L2978" s="529">
        <f>M2978+N2978+O2978+P2978+Q2978</f>
        <v>4506250</v>
      </c>
      <c r="M2978" s="384">
        <v>4400000</v>
      </c>
      <c r="N2978" s="391">
        <v>106250</v>
      </c>
      <c r="O2978" s="530"/>
      <c r="P2978" s="391"/>
      <c r="Q2978" s="391"/>
      <c r="R2978" s="491">
        <v>2200000</v>
      </c>
      <c r="S2978" s="390"/>
      <c r="T2978" s="390"/>
      <c r="U2978" s="404"/>
      <c r="V2978" s="461"/>
      <c r="W2978" s="461"/>
      <c r="X2978" s="461"/>
      <c r="Y2978" s="485"/>
      <c r="Z2978" s="994"/>
      <c r="AB2978" s="461"/>
    </row>
    <row r="2979" spans="1:28" s="478" customFormat="1" ht="61.5" customHeight="1">
      <c r="A2979" s="827">
        <f t="shared" si="439"/>
        <v>12</v>
      </c>
      <c r="B2979" s="379" t="s">
        <v>2364</v>
      </c>
      <c r="C2979" s="376" t="s">
        <v>272</v>
      </c>
      <c r="D2979" s="889">
        <v>132707</v>
      </c>
      <c r="E2979" s="886">
        <v>20562.5</v>
      </c>
      <c r="F2979" s="886" t="s">
        <v>234</v>
      </c>
      <c r="G2979" s="886">
        <v>5862</v>
      </c>
      <c r="H2979" s="820">
        <v>13</v>
      </c>
      <c r="I2979" s="820">
        <v>8</v>
      </c>
      <c r="J2979" s="820">
        <v>378</v>
      </c>
      <c r="K2979" s="386" t="s">
        <v>364</v>
      </c>
      <c r="L2979" s="529">
        <v>32403750</v>
      </c>
      <c r="M2979" s="384">
        <v>32000000</v>
      </c>
      <c r="N2979" s="391">
        <v>403750</v>
      </c>
      <c r="O2979" s="530"/>
      <c r="P2979" s="391"/>
      <c r="Q2979" s="391"/>
      <c r="R2979" s="446">
        <v>2200000</v>
      </c>
      <c r="S2979" s="390"/>
      <c r="T2979" s="390"/>
      <c r="U2979" s="404"/>
      <c r="V2979" s="461"/>
      <c r="W2979" s="461"/>
      <c r="X2979" s="461"/>
      <c r="Y2979" s="485"/>
      <c r="Z2979" s="994"/>
      <c r="AB2979" s="461"/>
    </row>
    <row r="2980" spans="1:28" s="478" customFormat="1" ht="61.5" customHeight="1">
      <c r="A2980" s="827">
        <f t="shared" si="439"/>
        <v>13</v>
      </c>
      <c r="B2980" s="379" t="s">
        <v>4099</v>
      </c>
      <c r="C2980" s="376" t="s">
        <v>272</v>
      </c>
      <c r="D2980" s="889">
        <v>14475</v>
      </c>
      <c r="E2980" s="886">
        <v>2540</v>
      </c>
      <c r="F2980" s="886" t="s">
        <v>234</v>
      </c>
      <c r="G2980" s="886">
        <v>466</v>
      </c>
      <c r="H2980" s="820">
        <v>9</v>
      </c>
      <c r="I2980" s="820">
        <v>1</v>
      </c>
      <c r="J2980" s="820">
        <v>52</v>
      </c>
      <c r="K2980" s="386" t="s">
        <v>220</v>
      </c>
      <c r="L2980" s="529">
        <f>M2980+N2980+O2980+P2980+Q2980</f>
        <v>2085000</v>
      </c>
      <c r="M2980" s="384">
        <v>2000000</v>
      </c>
      <c r="N2980" s="391">
        <v>85000</v>
      </c>
      <c r="O2980" s="530"/>
      <c r="P2980" s="391"/>
      <c r="Q2980" s="391"/>
      <c r="R2980" s="446">
        <f>M2980/I2980</f>
        <v>2000000</v>
      </c>
      <c r="S2980" s="390"/>
      <c r="T2980" s="390"/>
      <c r="U2980" s="404"/>
      <c r="V2980" s="461"/>
      <c r="W2980" s="461"/>
      <c r="X2980" s="461"/>
      <c r="Y2980" s="485"/>
      <c r="Z2980" s="994"/>
      <c r="AB2980" s="461"/>
    </row>
    <row r="2981" spans="1:28" s="478" customFormat="1" ht="61.5" customHeight="1">
      <c r="A2981" s="827">
        <f t="shared" si="439"/>
        <v>14</v>
      </c>
      <c r="B2981" s="379" t="s">
        <v>4100</v>
      </c>
      <c r="C2981" s="376" t="s">
        <v>272</v>
      </c>
      <c r="D2981" s="889">
        <v>12786</v>
      </c>
      <c r="E2981" s="886">
        <v>2540</v>
      </c>
      <c r="F2981" s="886" t="s">
        <v>234</v>
      </c>
      <c r="G2981" s="886">
        <v>463.7</v>
      </c>
      <c r="H2981" s="820">
        <v>9</v>
      </c>
      <c r="I2981" s="820">
        <v>1</v>
      </c>
      <c r="J2981" s="820">
        <v>51</v>
      </c>
      <c r="K2981" s="386" t="s">
        <v>220</v>
      </c>
      <c r="L2981" s="529">
        <f>M2981+N2981+O2981+P2981+Q2981</f>
        <v>2085000</v>
      </c>
      <c r="M2981" s="384">
        <v>2000000</v>
      </c>
      <c r="N2981" s="391">
        <v>85000</v>
      </c>
      <c r="O2981" s="530"/>
      <c r="P2981" s="391"/>
      <c r="Q2981" s="391"/>
      <c r="R2981" s="446">
        <f>M2981/I2981</f>
        <v>2000000</v>
      </c>
      <c r="S2981" s="390"/>
      <c r="T2981" s="390"/>
      <c r="U2981" s="404"/>
      <c r="V2981" s="461"/>
      <c r="W2981" s="461"/>
      <c r="X2981" s="461"/>
      <c r="Y2981" s="485"/>
      <c r="Z2981" s="994"/>
      <c r="AB2981" s="461"/>
    </row>
    <row r="2982" spans="1:28" s="478" customFormat="1" ht="61.5" customHeight="1">
      <c r="A2982" s="827">
        <f t="shared" si="439"/>
        <v>15</v>
      </c>
      <c r="B2982" s="379" t="s">
        <v>3647</v>
      </c>
      <c r="C2982" s="382" t="s">
        <v>222</v>
      </c>
      <c r="D2982" s="382">
        <v>29534</v>
      </c>
      <c r="E2982" s="383">
        <v>4780</v>
      </c>
      <c r="F2982" s="383" t="s">
        <v>234</v>
      </c>
      <c r="G2982" s="383">
        <v>678</v>
      </c>
      <c r="H2982" s="382">
        <v>14</v>
      </c>
      <c r="I2982" s="382">
        <v>1</v>
      </c>
      <c r="J2982" s="382">
        <v>75</v>
      </c>
      <c r="K2982" s="386" t="s">
        <v>220</v>
      </c>
      <c r="L2982" s="529">
        <f>M2982+N2982+O2982+P2982+Q2982</f>
        <v>4506250</v>
      </c>
      <c r="M2982" s="384">
        <v>4400000</v>
      </c>
      <c r="N2982" s="391">
        <v>106250</v>
      </c>
      <c r="O2982" s="530"/>
      <c r="P2982" s="391"/>
      <c r="Q2982" s="391"/>
      <c r="R2982" s="491">
        <v>2200000</v>
      </c>
      <c r="S2982" s="390"/>
      <c r="T2982" s="390"/>
      <c r="U2982" s="404"/>
      <c r="V2982" s="461"/>
      <c r="W2982" s="461"/>
      <c r="X2982" s="461"/>
      <c r="Y2982" s="485"/>
      <c r="Z2982" s="994"/>
      <c r="AB2982" s="461"/>
    </row>
    <row r="2983" spans="1:28" s="478" customFormat="1" ht="61.5" customHeight="1">
      <c r="A2983" s="827">
        <f t="shared" si="439"/>
        <v>16</v>
      </c>
      <c r="B2983" s="379" t="s">
        <v>2378</v>
      </c>
      <c r="C2983" s="376" t="s">
        <v>218</v>
      </c>
      <c r="D2983" s="889">
        <v>62234</v>
      </c>
      <c r="E2983" s="886">
        <v>10268</v>
      </c>
      <c r="F2983" s="886" t="s">
        <v>234</v>
      </c>
      <c r="G2983" s="886">
        <v>2694</v>
      </c>
      <c r="H2983" s="820">
        <v>9</v>
      </c>
      <c r="I2983" s="820">
        <v>6</v>
      </c>
      <c r="J2983" s="820">
        <v>323</v>
      </c>
      <c r="K2983" s="386" t="s">
        <v>220</v>
      </c>
      <c r="L2983" s="529">
        <f>M2983+N2983+O2983+P2983+Q2983</f>
        <v>2085000</v>
      </c>
      <c r="M2983" s="384">
        <v>2000000</v>
      </c>
      <c r="N2983" s="391">
        <v>85000</v>
      </c>
      <c r="O2983" s="530"/>
      <c r="P2983" s="391"/>
      <c r="Q2983" s="391"/>
      <c r="R2983" s="446">
        <f>M2983</f>
        <v>2000000</v>
      </c>
      <c r="S2983" s="390"/>
      <c r="T2983" s="390"/>
      <c r="U2983" s="404"/>
      <c r="V2983" s="461"/>
      <c r="W2983" s="461"/>
      <c r="X2983" s="461"/>
      <c r="Y2983" s="485"/>
      <c r="Z2983" s="994"/>
      <c r="AB2983" s="461"/>
    </row>
    <row r="2984" spans="1:28" s="416" customFormat="1" ht="37.5" customHeight="1">
      <c r="A2984" s="827">
        <f t="shared" si="439"/>
        <v>17</v>
      </c>
      <c r="B2984" s="403" t="s">
        <v>2380</v>
      </c>
      <c r="C2984" s="455" t="s">
        <v>272</v>
      </c>
      <c r="D2984" s="487">
        <v>5235</v>
      </c>
      <c r="E2984" s="391">
        <v>452.1</v>
      </c>
      <c r="F2984" s="391" t="s">
        <v>223</v>
      </c>
      <c r="G2984" s="391">
        <v>565</v>
      </c>
      <c r="H2984" s="528">
        <v>9</v>
      </c>
      <c r="I2984" s="528">
        <v>2</v>
      </c>
      <c r="J2984" s="528">
        <v>30</v>
      </c>
      <c r="K2984" s="458" t="s">
        <v>364</v>
      </c>
      <c r="L2984" s="529">
        <f t="shared" ref="L2984:L2989" si="441">M2984+N2984+O2984+P2984+Q2984</f>
        <v>4106250</v>
      </c>
      <c r="M2984" s="529">
        <v>4000000</v>
      </c>
      <c r="N2984" s="391">
        <v>106250</v>
      </c>
      <c r="O2984" s="530"/>
      <c r="P2984" s="391"/>
      <c r="Q2984" s="391"/>
      <c r="R2984" s="446">
        <f t="shared" ref="R2984:R2990" si="442">M2984/I2984</f>
        <v>2000000</v>
      </c>
      <c r="S2984" s="487"/>
      <c r="T2984" s="398"/>
      <c r="U2984" s="414"/>
    </row>
    <row r="2985" spans="1:28" s="416" customFormat="1" ht="37.5" customHeight="1">
      <c r="A2985" s="827">
        <f t="shared" si="439"/>
        <v>18</v>
      </c>
      <c r="B2985" s="403" t="s">
        <v>2381</v>
      </c>
      <c r="C2985" s="455" t="s">
        <v>218</v>
      </c>
      <c r="D2985" s="487">
        <v>16761</v>
      </c>
      <c r="E2985" s="391">
        <v>3240</v>
      </c>
      <c r="F2985" s="391" t="s">
        <v>234</v>
      </c>
      <c r="G2985" s="391">
        <v>828</v>
      </c>
      <c r="H2985" s="528">
        <v>9</v>
      </c>
      <c r="I2985" s="528">
        <v>2</v>
      </c>
      <c r="J2985" s="528">
        <v>72</v>
      </c>
      <c r="K2985" s="458" t="s">
        <v>364</v>
      </c>
      <c r="L2985" s="529">
        <f t="shared" si="441"/>
        <v>4106250</v>
      </c>
      <c r="M2985" s="529">
        <v>4000000</v>
      </c>
      <c r="N2985" s="391">
        <v>106250</v>
      </c>
      <c r="O2985" s="530"/>
      <c r="P2985" s="391"/>
      <c r="Q2985" s="391"/>
      <c r="R2985" s="446">
        <f t="shared" si="442"/>
        <v>2000000</v>
      </c>
      <c r="S2985" s="487"/>
      <c r="T2985" s="398"/>
      <c r="U2985" s="414"/>
    </row>
    <row r="2986" spans="1:28" s="416" customFormat="1" ht="37.5" customHeight="1">
      <c r="A2986" s="827">
        <f t="shared" si="439"/>
        <v>19</v>
      </c>
      <c r="B2986" s="403" t="s">
        <v>4321</v>
      </c>
      <c r="C2986" s="455" t="s">
        <v>218</v>
      </c>
      <c r="D2986" s="487">
        <v>15982</v>
      </c>
      <c r="E2986" s="391">
        <v>3240</v>
      </c>
      <c r="F2986" s="391" t="s">
        <v>234</v>
      </c>
      <c r="G2986" s="391">
        <v>687</v>
      </c>
      <c r="H2986" s="528">
        <v>9</v>
      </c>
      <c r="I2986" s="528">
        <v>2</v>
      </c>
      <c r="J2986" s="528">
        <v>72</v>
      </c>
      <c r="K2986" s="458" t="s">
        <v>364</v>
      </c>
      <c r="L2986" s="529">
        <f t="shared" si="441"/>
        <v>4142250</v>
      </c>
      <c r="M2986" s="529">
        <v>4036000</v>
      </c>
      <c r="N2986" s="391">
        <v>106250</v>
      </c>
      <c r="O2986" s="530"/>
      <c r="P2986" s="391"/>
      <c r="Q2986" s="391"/>
      <c r="R2986" s="446">
        <f t="shared" si="442"/>
        <v>2018000</v>
      </c>
      <c r="S2986" s="487"/>
      <c r="T2986" s="398"/>
      <c r="U2986" s="414"/>
    </row>
    <row r="2987" spans="1:28" s="416" customFormat="1" ht="37.5" customHeight="1">
      <c r="A2987" s="827">
        <f t="shared" si="439"/>
        <v>20</v>
      </c>
      <c r="B2987" s="403" t="s">
        <v>2382</v>
      </c>
      <c r="C2987" s="455" t="s">
        <v>218</v>
      </c>
      <c r="D2987" s="487">
        <v>16359</v>
      </c>
      <c r="E2987" s="391">
        <v>3240</v>
      </c>
      <c r="F2987" s="391" t="s">
        <v>234</v>
      </c>
      <c r="G2987" s="391">
        <v>714</v>
      </c>
      <c r="H2987" s="528">
        <v>9</v>
      </c>
      <c r="I2987" s="528">
        <v>2</v>
      </c>
      <c r="J2987" s="528">
        <v>72</v>
      </c>
      <c r="K2987" s="458" t="s">
        <v>364</v>
      </c>
      <c r="L2987" s="529">
        <f t="shared" si="441"/>
        <v>4142250</v>
      </c>
      <c r="M2987" s="529">
        <v>4036000</v>
      </c>
      <c r="N2987" s="391">
        <v>106250</v>
      </c>
      <c r="O2987" s="530"/>
      <c r="P2987" s="391"/>
      <c r="Q2987" s="391"/>
      <c r="R2987" s="446">
        <f t="shared" si="442"/>
        <v>2018000</v>
      </c>
      <c r="S2987" s="487"/>
      <c r="T2987" s="398"/>
      <c r="U2987" s="414"/>
    </row>
    <row r="2988" spans="1:28" s="416" customFormat="1" ht="37.5" customHeight="1">
      <c r="A2988" s="827">
        <f t="shared" si="439"/>
        <v>21</v>
      </c>
      <c r="B2988" s="403" t="s">
        <v>2384</v>
      </c>
      <c r="C2988" s="455" t="s">
        <v>218</v>
      </c>
      <c r="D2988" s="487">
        <v>16480</v>
      </c>
      <c r="E2988" s="391">
        <v>3240</v>
      </c>
      <c r="F2988" s="391" t="s">
        <v>234</v>
      </c>
      <c r="G2988" s="391">
        <v>675</v>
      </c>
      <c r="H2988" s="528">
        <v>9</v>
      </c>
      <c r="I2988" s="528">
        <v>2</v>
      </c>
      <c r="J2988" s="528">
        <v>72</v>
      </c>
      <c r="K2988" s="458" t="s">
        <v>364</v>
      </c>
      <c r="L2988" s="529">
        <f t="shared" si="441"/>
        <v>4142250</v>
      </c>
      <c r="M2988" s="529">
        <v>4036000</v>
      </c>
      <c r="N2988" s="391">
        <v>106250</v>
      </c>
      <c r="O2988" s="530"/>
      <c r="P2988" s="391"/>
      <c r="Q2988" s="391"/>
      <c r="R2988" s="446">
        <f t="shared" si="442"/>
        <v>2018000</v>
      </c>
      <c r="S2988" s="487"/>
      <c r="T2988" s="398"/>
      <c r="U2988" s="414"/>
    </row>
    <row r="2989" spans="1:28" s="416" customFormat="1" ht="37.5" customHeight="1">
      <c r="A2989" s="827">
        <f t="shared" si="439"/>
        <v>22</v>
      </c>
      <c r="B2989" s="403" t="s">
        <v>2385</v>
      </c>
      <c r="C2989" s="455" t="s">
        <v>218</v>
      </c>
      <c r="D2989" s="487">
        <v>24292</v>
      </c>
      <c r="E2989" s="391">
        <v>4536</v>
      </c>
      <c r="F2989" s="391" t="s">
        <v>234</v>
      </c>
      <c r="G2989" s="391">
        <v>1028</v>
      </c>
      <c r="H2989" s="528">
        <v>9</v>
      </c>
      <c r="I2989" s="528">
        <v>3</v>
      </c>
      <c r="J2989" s="528">
        <v>106</v>
      </c>
      <c r="K2989" s="458" t="s">
        <v>364</v>
      </c>
      <c r="L2989" s="529">
        <f t="shared" si="441"/>
        <v>6127500</v>
      </c>
      <c r="M2989" s="529">
        <v>6000000</v>
      </c>
      <c r="N2989" s="391">
        <v>127500</v>
      </c>
      <c r="O2989" s="530"/>
      <c r="P2989" s="391"/>
      <c r="Q2989" s="391"/>
      <c r="R2989" s="446">
        <f t="shared" si="442"/>
        <v>2000000</v>
      </c>
      <c r="S2989" s="487"/>
      <c r="T2989" s="398"/>
      <c r="U2989" s="414"/>
    </row>
    <row r="2990" spans="1:28" s="478" customFormat="1" ht="61.5" customHeight="1">
      <c r="A2990" s="827">
        <f t="shared" si="439"/>
        <v>23</v>
      </c>
      <c r="B2990" s="379" t="s">
        <v>2388</v>
      </c>
      <c r="C2990" s="802" t="s">
        <v>218</v>
      </c>
      <c r="D2990" s="799">
        <v>11968</v>
      </c>
      <c r="E2990" s="803">
        <v>2459</v>
      </c>
      <c r="F2990" s="804" t="s">
        <v>234</v>
      </c>
      <c r="G2990" s="805">
        <v>522</v>
      </c>
      <c r="H2990" s="806">
        <v>9</v>
      </c>
      <c r="I2990" s="806">
        <v>1</v>
      </c>
      <c r="J2990" s="807">
        <v>72</v>
      </c>
      <c r="K2990" s="386" t="s">
        <v>220</v>
      </c>
      <c r="L2990" s="529">
        <f>M2990+N2990+O2990+P2990+Q2990+M2991+N2991+O2991+P2991+Q2991</f>
        <v>3571862</v>
      </c>
      <c r="M2990" s="384">
        <v>2000000</v>
      </c>
      <c r="N2990" s="391">
        <v>85000</v>
      </c>
      <c r="O2990" s="530"/>
      <c r="P2990" s="391"/>
      <c r="Q2990" s="391"/>
      <c r="R2990" s="446">
        <f t="shared" si="442"/>
        <v>2000000</v>
      </c>
      <c r="S2990" s="390"/>
      <c r="T2990" s="390"/>
      <c r="U2990" s="404"/>
      <c r="V2990" s="461"/>
      <c r="W2990" s="461"/>
      <c r="X2990" s="461"/>
      <c r="Y2990" s="485"/>
      <c r="Z2990" s="994"/>
      <c r="AB2990" s="461"/>
    </row>
    <row r="2991" spans="1:28" s="416" customFormat="1" ht="37.5" customHeight="1">
      <c r="A2991" s="414"/>
      <c r="B2991" s="403"/>
      <c r="C2991" s="455"/>
      <c r="D2991" s="487"/>
      <c r="E2991" s="391"/>
      <c r="F2991" s="391"/>
      <c r="G2991" s="391"/>
      <c r="H2991" s="528"/>
      <c r="I2991" s="528"/>
      <c r="J2991" s="528"/>
      <c r="K2991" s="458" t="s">
        <v>225</v>
      </c>
      <c r="L2991" s="529"/>
      <c r="M2991" s="529">
        <v>1440000</v>
      </c>
      <c r="N2991" s="391">
        <v>32000</v>
      </c>
      <c r="O2991" s="530"/>
      <c r="P2991" s="391"/>
      <c r="Q2991" s="391">
        <v>14862</v>
      </c>
      <c r="R2991" s="528">
        <f>M2991/J2990</f>
        <v>20000</v>
      </c>
      <c r="S2991" s="487"/>
      <c r="T2991" s="398"/>
      <c r="U2991" s="414"/>
    </row>
    <row r="2992" spans="1:28" s="416" customFormat="1" ht="37.5" customHeight="1">
      <c r="A2992" s="414">
        <v>24</v>
      </c>
      <c r="B2992" s="403" t="s">
        <v>2389</v>
      </c>
      <c r="C2992" s="455" t="s">
        <v>218</v>
      </c>
      <c r="D2992" s="487">
        <v>31153</v>
      </c>
      <c r="E2992" s="391">
        <v>5832</v>
      </c>
      <c r="F2992" s="391" t="s">
        <v>234</v>
      </c>
      <c r="G2992" s="391">
        <v>1254</v>
      </c>
      <c r="H2992" s="528">
        <v>9</v>
      </c>
      <c r="I2992" s="528">
        <v>4</v>
      </c>
      <c r="J2992" s="528">
        <v>145</v>
      </c>
      <c r="K2992" s="458" t="s">
        <v>364</v>
      </c>
      <c r="L2992" s="529">
        <f>M2992+N2992+O2992+P2992+Q2992</f>
        <v>8148750</v>
      </c>
      <c r="M2992" s="529">
        <v>8000000</v>
      </c>
      <c r="N2992" s="391">
        <v>148750</v>
      </c>
      <c r="O2992" s="530"/>
      <c r="P2992" s="391"/>
      <c r="Q2992" s="391"/>
      <c r="R2992" s="446">
        <f>M2992/I2992</f>
        <v>2000000</v>
      </c>
      <c r="S2992" s="487"/>
      <c r="T2992" s="398"/>
      <c r="U2992" s="414"/>
    </row>
    <row r="2993" spans="1:36" s="416" customFormat="1" ht="53.25" customHeight="1">
      <c r="A2993" s="1127">
        <f>A2992+1</f>
        <v>25</v>
      </c>
      <c r="B2993" s="403" t="s">
        <v>2390</v>
      </c>
      <c r="C2993" s="455" t="s">
        <v>218</v>
      </c>
      <c r="D2993" s="487">
        <v>23979</v>
      </c>
      <c r="E2993" s="391">
        <v>4013</v>
      </c>
      <c r="F2993" s="391" t="s">
        <v>234</v>
      </c>
      <c r="G2993" s="391">
        <v>1065</v>
      </c>
      <c r="H2993" s="528">
        <v>9</v>
      </c>
      <c r="I2993" s="528">
        <v>2</v>
      </c>
      <c r="J2993" s="528">
        <v>144</v>
      </c>
      <c r="K2993" s="458" t="s">
        <v>33</v>
      </c>
      <c r="L2993" s="1128">
        <f>M2993+N2993+O2993+P2993+Q2993+M2994+N2994+O2994+P2994+Q2994</f>
        <v>6049001</v>
      </c>
      <c r="M2993" s="529">
        <v>1917000</v>
      </c>
      <c r="N2993" s="391"/>
      <c r="O2993" s="530">
        <f>M2993*0.3%</f>
        <v>5751</v>
      </c>
      <c r="P2993" s="391"/>
      <c r="Q2993" s="391">
        <v>20000</v>
      </c>
      <c r="R2993" s="528">
        <f>M2993/G2993</f>
        <v>1800</v>
      </c>
      <c r="S2993" s="487"/>
      <c r="T2993" s="398">
        <f>M2993+N2993+O2993+Q2993</f>
        <v>1942751</v>
      </c>
      <c r="U2993" s="414"/>
    </row>
    <row r="2994" spans="1:36" s="416" customFormat="1" ht="66" customHeight="1">
      <c r="A2994" s="1127"/>
      <c r="B2994" s="403"/>
      <c r="C2994" s="455"/>
      <c r="D2994" s="487"/>
      <c r="E2994" s="391"/>
      <c r="F2994" s="391"/>
      <c r="G2994" s="391"/>
      <c r="H2994" s="528"/>
      <c r="I2994" s="528"/>
      <c r="J2994" s="528"/>
      <c r="K2994" s="458" t="s">
        <v>220</v>
      </c>
      <c r="L2994" s="1128"/>
      <c r="M2994" s="529">
        <v>4000000</v>
      </c>
      <c r="N2994" s="391">
        <v>106250</v>
      </c>
      <c r="O2994" s="530"/>
      <c r="P2994" s="391"/>
      <c r="Q2994" s="391"/>
      <c r="R2994" s="528"/>
      <c r="S2994" s="487"/>
      <c r="T2994" s="398"/>
      <c r="U2994" s="414"/>
      <c r="V2994" s="390"/>
    </row>
    <row r="2995" spans="1:36" s="478" customFormat="1" ht="61.5" customHeight="1">
      <c r="A2995" s="827">
        <v>26</v>
      </c>
      <c r="B2995" s="379" t="s">
        <v>4101</v>
      </c>
      <c r="C2995" s="802" t="s">
        <v>218</v>
      </c>
      <c r="D2995" s="799">
        <v>15757</v>
      </c>
      <c r="E2995" s="803">
        <v>3073</v>
      </c>
      <c r="F2995" s="804" t="s">
        <v>234</v>
      </c>
      <c r="G2995" s="805">
        <v>842</v>
      </c>
      <c r="H2995" s="806">
        <v>9</v>
      </c>
      <c r="I2995" s="806">
        <v>2</v>
      </c>
      <c r="J2995" s="807">
        <v>72</v>
      </c>
      <c r="K2995" s="386" t="s">
        <v>220</v>
      </c>
      <c r="L2995" s="529">
        <f>M2995+N2995+O2995+P2995+Q2995</f>
        <v>2085000</v>
      </c>
      <c r="M2995" s="384">
        <v>2000000</v>
      </c>
      <c r="N2995" s="391">
        <v>85000</v>
      </c>
      <c r="O2995" s="530"/>
      <c r="P2995" s="391"/>
      <c r="Q2995" s="391"/>
      <c r="R2995" s="446">
        <f>M2995</f>
        <v>2000000</v>
      </c>
      <c r="S2995" s="390"/>
      <c r="T2995" s="390"/>
      <c r="U2995" s="404"/>
      <c r="V2995" s="461"/>
      <c r="W2995" s="461"/>
      <c r="X2995" s="461"/>
      <c r="Y2995" s="485"/>
      <c r="Z2995" s="994"/>
      <c r="AB2995" s="461"/>
    </row>
    <row r="2996" spans="1:36" s="478" customFormat="1" ht="61.5" customHeight="1">
      <c r="A2996" s="827">
        <f>A2995+1</f>
        <v>27</v>
      </c>
      <c r="B2996" s="379" t="s">
        <v>2391</v>
      </c>
      <c r="C2996" s="802" t="s">
        <v>218</v>
      </c>
      <c r="D2996" s="494">
        <v>11459</v>
      </c>
      <c r="E2996" s="803">
        <v>2417</v>
      </c>
      <c r="F2996" s="804" t="s">
        <v>234</v>
      </c>
      <c r="G2996" s="805">
        <v>516</v>
      </c>
      <c r="H2996" s="806">
        <v>9</v>
      </c>
      <c r="I2996" s="806">
        <v>1</v>
      </c>
      <c r="J2996" s="807">
        <v>72</v>
      </c>
      <c r="K2996" s="386" t="s">
        <v>220</v>
      </c>
      <c r="L2996" s="529">
        <f>M2996+N2996+O2996+P2996+Q2996+M2997+N2997+O2997+P2997+Q2997</f>
        <v>3571899</v>
      </c>
      <c r="M2996" s="384">
        <v>2000000</v>
      </c>
      <c r="N2996" s="391">
        <v>85000</v>
      </c>
      <c r="O2996" s="530"/>
      <c r="P2996" s="391"/>
      <c r="Q2996" s="391"/>
      <c r="R2996" s="446">
        <f>M2996/I2996</f>
        <v>2000000</v>
      </c>
      <c r="S2996" s="390"/>
      <c r="T2996" s="390"/>
      <c r="U2996" s="404"/>
      <c r="V2996" s="461"/>
      <c r="W2996" s="461"/>
      <c r="X2996" s="461"/>
      <c r="Y2996" s="485"/>
      <c r="Z2996" s="994"/>
      <c r="AB2996" s="461"/>
    </row>
    <row r="2997" spans="1:36" s="416" customFormat="1" ht="37.5" customHeight="1">
      <c r="A2997" s="414"/>
      <c r="B2997" s="403"/>
      <c r="C2997" s="455"/>
      <c r="D2997" s="487"/>
      <c r="E2997" s="391"/>
      <c r="F2997" s="391"/>
      <c r="G2997" s="391"/>
      <c r="H2997" s="528"/>
      <c r="I2997" s="528"/>
      <c r="J2997" s="528"/>
      <c r="K2997" s="458" t="s">
        <v>225</v>
      </c>
      <c r="L2997" s="529"/>
      <c r="M2997" s="529">
        <v>1440000</v>
      </c>
      <c r="N2997" s="391">
        <v>32000</v>
      </c>
      <c r="O2997" s="530"/>
      <c r="P2997" s="391"/>
      <c r="Q2997" s="391">
        <v>14899</v>
      </c>
      <c r="R2997" s="528">
        <f>M2997/J2996</f>
        <v>20000</v>
      </c>
      <c r="S2997" s="487"/>
      <c r="T2997" s="398"/>
      <c r="U2997" s="414"/>
    </row>
    <row r="2998" spans="1:36" s="416" customFormat="1" ht="37.5" customHeight="1">
      <c r="A2998" s="414">
        <v>28</v>
      </c>
      <c r="B2998" s="403" t="s">
        <v>2392</v>
      </c>
      <c r="C2998" s="455" t="s">
        <v>218</v>
      </c>
      <c r="D2998" s="487">
        <v>16022</v>
      </c>
      <c r="E2998" s="391">
        <v>3240</v>
      </c>
      <c r="F2998" s="391" t="s">
        <v>234</v>
      </c>
      <c r="G2998" s="391">
        <v>699</v>
      </c>
      <c r="H2998" s="528">
        <v>9</v>
      </c>
      <c r="I2998" s="528">
        <v>2</v>
      </c>
      <c r="J2998" s="528">
        <v>72</v>
      </c>
      <c r="K2998" s="458" t="s">
        <v>364</v>
      </c>
      <c r="L2998" s="529">
        <f t="shared" ref="L2998:L3004" si="443">M2998+N2998+O2998+P2998+Q2998</f>
        <v>4142250</v>
      </c>
      <c r="M2998" s="529">
        <v>4036000</v>
      </c>
      <c r="N2998" s="391">
        <v>106250</v>
      </c>
      <c r="O2998" s="530"/>
      <c r="P2998" s="391"/>
      <c r="Q2998" s="391"/>
      <c r="R2998" s="528">
        <f>M2998/I2998</f>
        <v>2018000</v>
      </c>
      <c r="S2998" s="487"/>
      <c r="T2998" s="398"/>
      <c r="U2998" s="414"/>
    </row>
    <row r="2999" spans="1:36" s="478" customFormat="1" ht="61.5" customHeight="1">
      <c r="A2999" s="827">
        <f>A2998+1</f>
        <v>29</v>
      </c>
      <c r="B2999" s="379" t="s">
        <v>4102</v>
      </c>
      <c r="C2999" s="802" t="s">
        <v>218</v>
      </c>
      <c r="D2999" s="494">
        <v>25890</v>
      </c>
      <c r="E2999" s="803">
        <v>4812.8</v>
      </c>
      <c r="F2999" s="804" t="s">
        <v>234</v>
      </c>
      <c r="G2999" s="805">
        <v>1039</v>
      </c>
      <c r="H2999" s="806">
        <v>9</v>
      </c>
      <c r="I2999" s="806">
        <v>2</v>
      </c>
      <c r="J2999" s="807">
        <v>144</v>
      </c>
      <c r="K2999" s="386" t="s">
        <v>220</v>
      </c>
      <c r="L2999" s="529">
        <f t="shared" si="443"/>
        <v>4106250</v>
      </c>
      <c r="M2999" s="384">
        <v>4000000</v>
      </c>
      <c r="N2999" s="391">
        <v>106250</v>
      </c>
      <c r="O2999" s="530"/>
      <c r="P2999" s="391"/>
      <c r="Q2999" s="391"/>
      <c r="R2999" s="446">
        <f>M2999/I2999</f>
        <v>2000000</v>
      </c>
      <c r="S2999" s="390"/>
      <c r="T2999" s="390"/>
      <c r="U2999" s="404"/>
      <c r="V2999" s="461"/>
      <c r="W2999" s="461"/>
      <c r="X2999" s="461"/>
      <c r="Y2999" s="485"/>
      <c r="Z2999" s="994"/>
      <c r="AB2999" s="461"/>
    </row>
    <row r="3000" spans="1:36" s="404" customFormat="1" ht="37.5" customHeight="1">
      <c r="A3000" s="827">
        <f t="shared" ref="A3000:A3005" si="444">A2999+1</f>
        <v>30</v>
      </c>
      <c r="B3000" s="403" t="s">
        <v>485</v>
      </c>
      <c r="C3000" s="455" t="s">
        <v>218</v>
      </c>
      <c r="D3000" s="566">
        <v>31375</v>
      </c>
      <c r="E3000" s="388">
        <v>5444</v>
      </c>
      <c r="F3000" s="391" t="s">
        <v>234</v>
      </c>
      <c r="G3000" s="388">
        <v>1353</v>
      </c>
      <c r="H3000" s="446">
        <v>9</v>
      </c>
      <c r="I3000" s="446">
        <v>4</v>
      </c>
      <c r="J3000" s="446">
        <v>144</v>
      </c>
      <c r="K3000" s="389" t="s">
        <v>364</v>
      </c>
      <c r="L3000" s="529">
        <f t="shared" si="443"/>
        <v>8148750</v>
      </c>
      <c r="M3000" s="519">
        <v>8000000</v>
      </c>
      <c r="N3000" s="388">
        <v>148750</v>
      </c>
      <c r="O3000" s="530"/>
      <c r="P3000" s="383"/>
      <c r="Q3000" s="391"/>
      <c r="R3000" s="446">
        <f>M3000/I3000</f>
        <v>2000000</v>
      </c>
      <c r="S3000" s="488"/>
      <c r="T3000" s="489"/>
      <c r="U3000" s="390"/>
      <c r="V3000" s="390"/>
      <c r="W3000" s="390"/>
      <c r="Y3000" s="390"/>
      <c r="AA3000" s="390"/>
      <c r="AC3000" s="390"/>
      <c r="AD3000" s="390"/>
      <c r="AE3000" s="390"/>
      <c r="AG3000" s="455"/>
      <c r="AH3000" s="388"/>
      <c r="AJ3000" s="390"/>
    </row>
    <row r="3001" spans="1:36" s="478" customFormat="1" ht="61.5" customHeight="1">
      <c r="A3001" s="827">
        <f t="shared" si="444"/>
        <v>31</v>
      </c>
      <c r="B3001" s="379" t="s">
        <v>4092</v>
      </c>
      <c r="C3001" s="382" t="s">
        <v>222</v>
      </c>
      <c r="D3001" s="890">
        <v>13237</v>
      </c>
      <c r="E3001" s="886">
        <v>2817.6</v>
      </c>
      <c r="F3001" s="886" t="s">
        <v>234</v>
      </c>
      <c r="G3001" s="886">
        <v>431</v>
      </c>
      <c r="H3001" s="820">
        <v>12</v>
      </c>
      <c r="I3001" s="820">
        <v>1</v>
      </c>
      <c r="J3001" s="820">
        <v>48</v>
      </c>
      <c r="K3001" s="386" t="s">
        <v>220</v>
      </c>
      <c r="L3001" s="529">
        <f t="shared" si="443"/>
        <v>4506250</v>
      </c>
      <c r="M3001" s="384">
        <v>4400000</v>
      </c>
      <c r="N3001" s="391">
        <v>106250</v>
      </c>
      <c r="O3001" s="530"/>
      <c r="P3001" s="391"/>
      <c r="Q3001" s="391"/>
      <c r="R3001" s="491">
        <v>2200000</v>
      </c>
      <c r="S3001" s="390"/>
      <c r="T3001" s="390"/>
      <c r="U3001" s="404"/>
      <c r="V3001" s="461"/>
      <c r="W3001" s="461"/>
      <c r="X3001" s="461"/>
      <c r="Y3001" s="485"/>
      <c r="Z3001" s="994"/>
      <c r="AB3001" s="461"/>
    </row>
    <row r="3002" spans="1:36" s="416" customFormat="1" ht="37.5" customHeight="1">
      <c r="A3002" s="827">
        <f t="shared" si="444"/>
        <v>32</v>
      </c>
      <c r="B3002" s="403" t="s">
        <v>2414</v>
      </c>
      <c r="C3002" s="455" t="s">
        <v>272</v>
      </c>
      <c r="D3002" s="487">
        <v>11930</v>
      </c>
      <c r="E3002" s="391">
        <v>5114.5</v>
      </c>
      <c r="F3002" s="391" t="s">
        <v>234</v>
      </c>
      <c r="G3002" s="391">
        <v>410.5</v>
      </c>
      <c r="H3002" s="528">
        <v>12</v>
      </c>
      <c r="I3002" s="528">
        <v>2</v>
      </c>
      <c r="J3002" s="528">
        <v>48</v>
      </c>
      <c r="K3002" s="458" t="s">
        <v>364</v>
      </c>
      <c r="L3002" s="529">
        <f t="shared" si="443"/>
        <v>4106250</v>
      </c>
      <c r="M3002" s="529">
        <v>4000000</v>
      </c>
      <c r="N3002" s="391">
        <v>106250</v>
      </c>
      <c r="O3002" s="530"/>
      <c r="P3002" s="391"/>
      <c r="Q3002" s="391"/>
      <c r="R3002" s="528">
        <v>2200000</v>
      </c>
      <c r="S3002" s="487"/>
      <c r="T3002" s="398"/>
      <c r="U3002" s="414"/>
    </row>
    <row r="3003" spans="1:36" s="416" customFormat="1" ht="37.5" customHeight="1">
      <c r="A3003" s="827">
        <f t="shared" si="444"/>
        <v>33</v>
      </c>
      <c r="B3003" s="403" t="s">
        <v>2415</v>
      </c>
      <c r="C3003" s="455" t="s">
        <v>218</v>
      </c>
      <c r="D3003" s="487">
        <v>11964</v>
      </c>
      <c r="E3003" s="391">
        <v>2680</v>
      </c>
      <c r="F3003" s="391" t="s">
        <v>234</v>
      </c>
      <c r="G3003" s="391">
        <v>433</v>
      </c>
      <c r="H3003" s="528">
        <v>12</v>
      </c>
      <c r="I3003" s="528">
        <v>1</v>
      </c>
      <c r="J3003" s="528">
        <v>48</v>
      </c>
      <c r="K3003" s="458" t="s">
        <v>220</v>
      </c>
      <c r="L3003" s="529">
        <f t="shared" si="443"/>
        <v>4142250</v>
      </c>
      <c r="M3003" s="529">
        <v>4036000</v>
      </c>
      <c r="N3003" s="391">
        <v>106250</v>
      </c>
      <c r="O3003" s="530"/>
      <c r="P3003" s="391"/>
      <c r="Q3003" s="391"/>
      <c r="R3003" s="528">
        <v>2200000</v>
      </c>
      <c r="S3003" s="487"/>
      <c r="T3003" s="398"/>
      <c r="U3003" s="414"/>
    </row>
    <row r="3004" spans="1:36" s="416" customFormat="1" ht="37.5" customHeight="1">
      <c r="A3004" s="827">
        <f t="shared" si="444"/>
        <v>34</v>
      </c>
      <c r="B3004" s="888" t="s">
        <v>2437</v>
      </c>
      <c r="C3004" s="455" t="s">
        <v>218</v>
      </c>
      <c r="D3004" s="545">
        <v>16320</v>
      </c>
      <c r="E3004" s="391">
        <v>2100</v>
      </c>
      <c r="F3004" s="388" t="s">
        <v>234</v>
      </c>
      <c r="G3004" s="391">
        <v>642.4</v>
      </c>
      <c r="H3004" s="528">
        <v>12</v>
      </c>
      <c r="I3004" s="528">
        <v>1</v>
      </c>
      <c r="J3004" s="528">
        <v>77</v>
      </c>
      <c r="K3004" s="458" t="s">
        <v>364</v>
      </c>
      <c r="L3004" s="529">
        <f t="shared" si="443"/>
        <v>4106250</v>
      </c>
      <c r="M3004" s="519">
        <v>4000000</v>
      </c>
      <c r="N3004" s="550">
        <v>106250</v>
      </c>
      <c r="O3004" s="530"/>
      <c r="P3004" s="388"/>
      <c r="Q3004" s="388"/>
      <c r="R3004" s="528">
        <v>2200000</v>
      </c>
      <c r="S3004" s="487"/>
      <c r="T3004" s="398"/>
      <c r="U3004" s="414"/>
    </row>
    <row r="3005" spans="1:36" s="416" customFormat="1" ht="37.5" customHeight="1">
      <c r="A3005" s="827">
        <f t="shared" si="444"/>
        <v>35</v>
      </c>
      <c r="B3005" s="403" t="s">
        <v>2439</v>
      </c>
      <c r="C3005" s="455" t="s">
        <v>403</v>
      </c>
      <c r="D3005" s="487">
        <v>9173</v>
      </c>
      <c r="E3005" s="391">
        <v>977</v>
      </c>
      <c r="F3005" s="391" t="s">
        <v>234</v>
      </c>
      <c r="G3005" s="391">
        <v>397.1</v>
      </c>
      <c r="H3005" s="528">
        <v>9</v>
      </c>
      <c r="I3005" s="528">
        <v>1</v>
      </c>
      <c r="J3005" s="528">
        <v>36</v>
      </c>
      <c r="K3005" s="458" t="s">
        <v>225</v>
      </c>
      <c r="L3005" s="529">
        <f>M3005+N3005+O3005+P3005+Q3005+Q3006+P3006+O3006+N3006+M3006</f>
        <v>2840219</v>
      </c>
      <c r="M3005" s="529">
        <f>J3005*20000</f>
        <v>720000</v>
      </c>
      <c r="N3005" s="391">
        <v>25000</v>
      </c>
      <c r="O3005" s="530"/>
      <c r="P3005" s="391"/>
      <c r="Q3005" s="391">
        <v>10219</v>
      </c>
      <c r="R3005" s="528">
        <f>M3005/J3005</f>
        <v>20000</v>
      </c>
      <c r="S3005" s="487"/>
      <c r="T3005" s="398"/>
      <c r="U3005" s="414"/>
    </row>
    <row r="3006" spans="1:36" s="401" customFormat="1" ht="67.5" customHeight="1">
      <c r="A3006" s="414"/>
      <c r="B3006" s="404"/>
      <c r="C3006" s="455"/>
      <c r="D3006" s="487"/>
      <c r="E3006" s="391"/>
      <c r="F3006" s="391"/>
      <c r="G3006" s="391"/>
      <c r="H3006" s="528"/>
      <c r="I3006" s="528"/>
      <c r="J3006" s="528"/>
      <c r="K3006" s="386" t="s">
        <v>220</v>
      </c>
      <c r="L3006" s="384"/>
      <c r="M3006" s="384">
        <v>2000000</v>
      </c>
      <c r="N3006" s="391">
        <v>85000</v>
      </c>
      <c r="O3006" s="530"/>
      <c r="P3006" s="391"/>
      <c r="Q3006" s="391"/>
      <c r="R3006" s="391">
        <f>M3006</f>
        <v>2000000</v>
      </c>
      <c r="S3006" s="490"/>
      <c r="T3006" s="416"/>
      <c r="U3006" s="416"/>
    </row>
    <row r="3007" spans="1:36" s="416" customFormat="1" ht="37.5" customHeight="1">
      <c r="A3007" s="414">
        <v>36</v>
      </c>
      <c r="B3007" s="403" t="s">
        <v>2451</v>
      </c>
      <c r="C3007" s="455" t="s">
        <v>218</v>
      </c>
      <c r="D3007" s="487">
        <v>12376</v>
      </c>
      <c r="E3007" s="391">
        <v>2957</v>
      </c>
      <c r="F3007" s="391" t="s">
        <v>234</v>
      </c>
      <c r="G3007" s="391">
        <v>396</v>
      </c>
      <c r="H3007" s="528">
        <v>12</v>
      </c>
      <c r="I3007" s="528">
        <v>1</v>
      </c>
      <c r="J3007" s="528">
        <v>48</v>
      </c>
      <c r="K3007" s="458" t="s">
        <v>220</v>
      </c>
      <c r="L3007" s="529">
        <f t="shared" ref="L3007:L3013" si="445">M3007+N3007+O3007+P3007+Q3007</f>
        <v>4106250</v>
      </c>
      <c r="M3007" s="529">
        <v>4000000</v>
      </c>
      <c r="N3007" s="391">
        <v>106250</v>
      </c>
      <c r="O3007" s="530"/>
      <c r="P3007" s="391"/>
      <c r="Q3007" s="391"/>
      <c r="R3007" s="528">
        <v>2200000</v>
      </c>
      <c r="S3007" s="487"/>
      <c r="T3007" s="398"/>
      <c r="U3007" s="414"/>
    </row>
    <row r="3008" spans="1:36" s="416" customFormat="1" ht="37.5" customHeight="1">
      <c r="A3008" s="414">
        <f>A3007+1</f>
        <v>37</v>
      </c>
      <c r="B3008" s="403" t="s">
        <v>2452</v>
      </c>
      <c r="C3008" s="455" t="s">
        <v>218</v>
      </c>
      <c r="D3008" s="487">
        <v>16012</v>
      </c>
      <c r="E3008" s="391">
        <v>2950</v>
      </c>
      <c r="F3008" s="391" t="s">
        <v>234</v>
      </c>
      <c r="G3008" s="391">
        <v>708</v>
      </c>
      <c r="H3008" s="528">
        <v>9</v>
      </c>
      <c r="I3008" s="528">
        <v>2</v>
      </c>
      <c r="J3008" s="528">
        <v>68</v>
      </c>
      <c r="K3008" s="458" t="s">
        <v>364</v>
      </c>
      <c r="L3008" s="529">
        <f t="shared" si="445"/>
        <v>4106250</v>
      </c>
      <c r="M3008" s="529">
        <v>4000000</v>
      </c>
      <c r="N3008" s="391">
        <v>106250</v>
      </c>
      <c r="O3008" s="530"/>
      <c r="P3008" s="391"/>
      <c r="Q3008" s="391"/>
      <c r="R3008" s="446">
        <f>M3008/I3008</f>
        <v>2000000</v>
      </c>
      <c r="S3008" s="487"/>
      <c r="T3008" s="398"/>
      <c r="U3008" s="414"/>
    </row>
    <row r="3009" spans="1:28" s="416" customFormat="1" ht="37.5" customHeight="1">
      <c r="A3009" s="414">
        <f t="shared" ref="A3009:A3014" si="446">A3008+1</f>
        <v>38</v>
      </c>
      <c r="B3009" s="888" t="s">
        <v>2456</v>
      </c>
      <c r="C3009" s="455" t="s">
        <v>272</v>
      </c>
      <c r="D3009" s="446">
        <v>27869</v>
      </c>
      <c r="E3009" s="388">
        <v>6800</v>
      </c>
      <c r="F3009" s="388" t="s">
        <v>234</v>
      </c>
      <c r="G3009" s="388">
        <v>736</v>
      </c>
      <c r="H3009" s="446">
        <v>12</v>
      </c>
      <c r="I3009" s="446">
        <v>1</v>
      </c>
      <c r="J3009" s="446">
        <v>45</v>
      </c>
      <c r="K3009" s="458" t="s">
        <v>364</v>
      </c>
      <c r="L3009" s="529">
        <f t="shared" si="445"/>
        <v>2085000</v>
      </c>
      <c r="M3009" s="519">
        <v>2000000</v>
      </c>
      <c r="N3009" s="550">
        <v>85000</v>
      </c>
      <c r="O3009" s="530"/>
      <c r="P3009" s="388"/>
      <c r="Q3009" s="388"/>
      <c r="R3009" s="528">
        <v>2200000</v>
      </c>
      <c r="S3009" s="487"/>
      <c r="T3009" s="398"/>
      <c r="U3009" s="414"/>
    </row>
    <row r="3010" spans="1:28" s="416" customFormat="1" ht="37.5" customHeight="1">
      <c r="A3010" s="414">
        <f t="shared" si="446"/>
        <v>39</v>
      </c>
      <c r="B3010" s="403" t="s">
        <v>2696</v>
      </c>
      <c r="C3010" s="455" t="s">
        <v>218</v>
      </c>
      <c r="D3010" s="487">
        <v>15856</v>
      </c>
      <c r="E3010" s="391">
        <v>3339</v>
      </c>
      <c r="F3010" s="391" t="s">
        <v>234</v>
      </c>
      <c r="G3010" s="391">
        <v>684</v>
      </c>
      <c r="H3010" s="528">
        <v>9</v>
      </c>
      <c r="I3010" s="528">
        <v>2</v>
      </c>
      <c r="J3010" s="528">
        <v>72</v>
      </c>
      <c r="K3010" s="458" t="s">
        <v>364</v>
      </c>
      <c r="L3010" s="529">
        <f t="shared" si="445"/>
        <v>4142250</v>
      </c>
      <c r="M3010" s="529">
        <v>4036000</v>
      </c>
      <c r="N3010" s="391">
        <v>106250</v>
      </c>
      <c r="O3010" s="530"/>
      <c r="P3010" s="391"/>
      <c r="Q3010" s="391"/>
      <c r="R3010" s="446">
        <f>M3010/I3010</f>
        <v>2018000</v>
      </c>
      <c r="S3010" s="487"/>
      <c r="T3010" s="398"/>
      <c r="U3010" s="414"/>
      <c r="V3010" s="390"/>
    </row>
    <row r="3011" spans="1:28" s="478" customFormat="1" ht="61.5" customHeight="1">
      <c r="A3011" s="414">
        <f t="shared" si="446"/>
        <v>40</v>
      </c>
      <c r="B3011" s="379" t="s">
        <v>4094</v>
      </c>
      <c r="C3011" s="802" t="s">
        <v>218</v>
      </c>
      <c r="D3011" s="800">
        <v>23919</v>
      </c>
      <c r="E3011" s="383">
        <v>3339</v>
      </c>
      <c r="F3011" s="383" t="s">
        <v>234</v>
      </c>
      <c r="G3011" s="383">
        <v>1031</v>
      </c>
      <c r="H3011" s="382">
        <v>9</v>
      </c>
      <c r="I3011" s="382">
        <v>2</v>
      </c>
      <c r="J3011" s="382">
        <v>144</v>
      </c>
      <c r="K3011" s="386" t="s">
        <v>220</v>
      </c>
      <c r="L3011" s="529">
        <f t="shared" si="445"/>
        <v>4106250</v>
      </c>
      <c r="M3011" s="384">
        <v>4000000</v>
      </c>
      <c r="N3011" s="391">
        <v>106250</v>
      </c>
      <c r="O3011" s="530"/>
      <c r="P3011" s="391"/>
      <c r="Q3011" s="391"/>
      <c r="R3011" s="446">
        <f>M3011/I3011</f>
        <v>2000000</v>
      </c>
      <c r="S3011" s="390"/>
      <c r="T3011" s="390"/>
      <c r="U3011" s="404"/>
      <c r="V3011" s="461"/>
      <c r="W3011" s="461"/>
      <c r="X3011" s="461"/>
      <c r="Y3011" s="485"/>
      <c r="Z3011" s="994"/>
      <c r="AB3011" s="461"/>
    </row>
    <row r="3012" spans="1:28" s="416" customFormat="1" ht="37.5" customHeight="1">
      <c r="A3012" s="414">
        <f t="shared" si="446"/>
        <v>41</v>
      </c>
      <c r="B3012" s="403" t="s">
        <v>2697</v>
      </c>
      <c r="C3012" s="455" t="s">
        <v>218</v>
      </c>
      <c r="D3012" s="487">
        <v>20782</v>
      </c>
      <c r="E3012" s="391">
        <v>6089</v>
      </c>
      <c r="F3012" s="391" t="s">
        <v>234</v>
      </c>
      <c r="G3012" s="391">
        <v>770</v>
      </c>
      <c r="H3012" s="528">
        <v>9</v>
      </c>
      <c r="I3012" s="528">
        <v>1</v>
      </c>
      <c r="J3012" s="528">
        <v>171</v>
      </c>
      <c r="K3012" s="458" t="s">
        <v>364</v>
      </c>
      <c r="L3012" s="529">
        <f t="shared" si="445"/>
        <v>2085000</v>
      </c>
      <c r="M3012" s="529">
        <v>2000000</v>
      </c>
      <c r="N3012" s="391">
        <v>85000</v>
      </c>
      <c r="O3012" s="530"/>
      <c r="P3012" s="391"/>
      <c r="Q3012" s="391"/>
      <c r="R3012" s="446">
        <f>M3012/I3012</f>
        <v>2000000</v>
      </c>
      <c r="S3012" s="487"/>
      <c r="T3012" s="398"/>
      <c r="U3012" s="414"/>
      <c r="V3012" s="390"/>
    </row>
    <row r="3013" spans="1:28" s="416" customFormat="1" ht="37.5" customHeight="1">
      <c r="A3013" s="414">
        <f t="shared" si="446"/>
        <v>42</v>
      </c>
      <c r="B3013" s="403" t="s">
        <v>2461</v>
      </c>
      <c r="C3013" s="455" t="s">
        <v>272</v>
      </c>
      <c r="D3013" s="487">
        <v>11507</v>
      </c>
      <c r="E3013" s="391">
        <v>1100</v>
      </c>
      <c r="F3013" s="391" t="s">
        <v>234</v>
      </c>
      <c r="G3013" s="391">
        <v>476</v>
      </c>
      <c r="H3013" s="528">
        <v>9</v>
      </c>
      <c r="I3013" s="528">
        <v>1</v>
      </c>
      <c r="J3013" s="528">
        <v>54</v>
      </c>
      <c r="K3013" s="458" t="s">
        <v>364</v>
      </c>
      <c r="L3013" s="529">
        <f t="shared" si="445"/>
        <v>2085000</v>
      </c>
      <c r="M3013" s="529">
        <v>2000000</v>
      </c>
      <c r="N3013" s="391">
        <v>85000</v>
      </c>
      <c r="O3013" s="530"/>
      <c r="P3013" s="391"/>
      <c r="Q3013" s="391"/>
      <c r="R3013" s="446">
        <f>M3013/I3013</f>
        <v>2000000</v>
      </c>
      <c r="S3013" s="487"/>
      <c r="T3013" s="398"/>
      <c r="U3013" s="414"/>
    </row>
    <row r="3014" spans="1:28" s="416" customFormat="1" ht="33.75" customHeight="1">
      <c r="A3014" s="414">
        <f t="shared" si="446"/>
        <v>43</v>
      </c>
      <c r="B3014" s="403" t="s">
        <v>2468</v>
      </c>
      <c r="C3014" s="455" t="s">
        <v>218</v>
      </c>
      <c r="D3014" s="487">
        <v>18060</v>
      </c>
      <c r="E3014" s="391">
        <v>3510</v>
      </c>
      <c r="F3014" s="391" t="s">
        <v>234</v>
      </c>
      <c r="G3014" s="391">
        <v>1124.0999999999999</v>
      </c>
      <c r="H3014" s="528">
        <v>9</v>
      </c>
      <c r="I3014" s="528">
        <v>4</v>
      </c>
      <c r="J3014" s="528">
        <v>143</v>
      </c>
      <c r="K3014" s="458" t="s">
        <v>33</v>
      </c>
      <c r="L3014" s="529">
        <f>M3014+N3014+O3014+P3014+Q3014+Q3015+P3015+O3015+N3015+M3015</f>
        <v>10210098.140000001</v>
      </c>
      <c r="M3014" s="529">
        <v>2023379.9999999998</v>
      </c>
      <c r="N3014" s="391"/>
      <c r="O3014" s="530">
        <f>M3014*0.3%</f>
        <v>6070.1399999999994</v>
      </c>
      <c r="P3014" s="391"/>
      <c r="Q3014" s="391">
        <v>31898</v>
      </c>
      <c r="R3014" s="528">
        <f>M3014/G3014</f>
        <v>1800</v>
      </c>
      <c r="S3014" s="487"/>
      <c r="T3014" s="398">
        <f>M3014+N3014+O3014+Q3014</f>
        <v>2061348.1399999997</v>
      </c>
      <c r="U3014" s="414"/>
    </row>
    <row r="3015" spans="1:28" s="401" customFormat="1" ht="65.25" customHeight="1">
      <c r="A3015" s="414"/>
      <c r="B3015" s="404"/>
      <c r="C3015" s="455"/>
      <c r="D3015" s="487"/>
      <c r="E3015" s="391"/>
      <c r="F3015" s="391"/>
      <c r="G3015" s="391"/>
      <c r="H3015" s="528"/>
      <c r="I3015" s="528"/>
      <c r="J3015" s="528"/>
      <c r="K3015" s="458" t="s">
        <v>220</v>
      </c>
      <c r="L3015" s="529"/>
      <c r="M3015" s="384">
        <v>8000000</v>
      </c>
      <c r="N3015" s="391">
        <v>148750</v>
      </c>
      <c r="O3015" s="530"/>
      <c r="P3015" s="391"/>
      <c r="Q3015" s="391"/>
      <c r="R3015" s="391">
        <f>M3015/I3014</f>
        <v>2000000</v>
      </c>
      <c r="S3015" s="490"/>
      <c r="T3015" s="416"/>
      <c r="U3015" s="416"/>
    </row>
    <row r="3016" spans="1:28" s="416" customFormat="1" ht="37.5" customHeight="1">
      <c r="A3016" s="414">
        <f>A3014+1</f>
        <v>44</v>
      </c>
      <c r="B3016" s="403" t="s">
        <v>2469</v>
      </c>
      <c r="C3016" s="455" t="s">
        <v>218</v>
      </c>
      <c r="D3016" s="487">
        <v>38359</v>
      </c>
      <c r="E3016" s="391">
        <v>2580</v>
      </c>
      <c r="F3016" s="391" t="s">
        <v>234</v>
      </c>
      <c r="G3016" s="391">
        <v>454.5</v>
      </c>
      <c r="H3016" s="528">
        <v>9</v>
      </c>
      <c r="I3016" s="528">
        <v>2</v>
      </c>
      <c r="J3016" s="528">
        <v>72</v>
      </c>
      <c r="K3016" s="458" t="s">
        <v>220</v>
      </c>
      <c r="L3016" s="529">
        <f t="shared" ref="L3016:L3024" si="447">M3016+N3016+O3016+P3016+Q3016</f>
        <v>4142250</v>
      </c>
      <c r="M3016" s="529">
        <v>4036000</v>
      </c>
      <c r="N3016" s="391">
        <v>106250</v>
      </c>
      <c r="O3016" s="530"/>
      <c r="P3016" s="391"/>
      <c r="Q3016" s="391"/>
      <c r="R3016" s="446">
        <f>M3016/I3016</f>
        <v>2018000</v>
      </c>
      <c r="S3016" s="487"/>
      <c r="T3016" s="398"/>
      <c r="U3016" s="414"/>
    </row>
    <row r="3017" spans="1:28" s="478" customFormat="1" ht="61.5" customHeight="1">
      <c r="A3017" s="414">
        <f>A3016+1</f>
        <v>45</v>
      </c>
      <c r="B3017" s="379" t="s">
        <v>4103</v>
      </c>
      <c r="C3017" s="376" t="s">
        <v>222</v>
      </c>
      <c r="D3017" s="532">
        <v>16458</v>
      </c>
      <c r="E3017" s="886">
        <v>4769.8999999999996</v>
      </c>
      <c r="F3017" s="886" t="s">
        <v>234</v>
      </c>
      <c r="G3017" s="535">
        <v>704</v>
      </c>
      <c r="H3017" s="382">
        <v>9</v>
      </c>
      <c r="I3017" s="382">
        <v>2</v>
      </c>
      <c r="J3017" s="382">
        <v>72</v>
      </c>
      <c r="K3017" s="386" t="s">
        <v>220</v>
      </c>
      <c r="L3017" s="529">
        <f t="shared" si="447"/>
        <v>4106250</v>
      </c>
      <c r="M3017" s="384">
        <v>4000000</v>
      </c>
      <c r="N3017" s="391">
        <v>106250</v>
      </c>
      <c r="O3017" s="530"/>
      <c r="P3017" s="391"/>
      <c r="Q3017" s="391"/>
      <c r="R3017" s="446">
        <f>M3017/I3017</f>
        <v>2000000</v>
      </c>
      <c r="S3017" s="390"/>
      <c r="T3017" s="390"/>
      <c r="U3017" s="404"/>
      <c r="V3017" s="461"/>
      <c r="W3017" s="461"/>
      <c r="X3017" s="461"/>
      <c r="Y3017" s="485"/>
      <c r="Z3017" s="994"/>
      <c r="AB3017" s="461"/>
    </row>
    <row r="3018" spans="1:28" s="478" customFormat="1" ht="61.5" customHeight="1">
      <c r="A3018" s="414">
        <f t="shared" ref="A3018:A3029" si="448">A3017+1</f>
        <v>46</v>
      </c>
      <c r="B3018" s="380" t="s">
        <v>4104</v>
      </c>
      <c r="C3018" s="382" t="s">
        <v>218</v>
      </c>
      <c r="D3018" s="532">
        <v>16985</v>
      </c>
      <c r="E3018" s="886">
        <v>4850.8</v>
      </c>
      <c r="F3018" s="886" t="s">
        <v>234</v>
      </c>
      <c r="G3018" s="535">
        <v>727</v>
      </c>
      <c r="H3018" s="382">
        <v>9</v>
      </c>
      <c r="I3018" s="382">
        <v>2</v>
      </c>
      <c r="J3018" s="891">
        <v>72</v>
      </c>
      <c r="K3018" s="386" t="s">
        <v>220</v>
      </c>
      <c r="L3018" s="529">
        <f t="shared" si="447"/>
        <v>4106250</v>
      </c>
      <c r="M3018" s="384">
        <v>4000000</v>
      </c>
      <c r="N3018" s="391">
        <v>106250</v>
      </c>
      <c r="O3018" s="530"/>
      <c r="P3018" s="391"/>
      <c r="Q3018" s="391"/>
      <c r="R3018" s="446">
        <f>M3018/I3018</f>
        <v>2000000</v>
      </c>
      <c r="S3018" s="390"/>
      <c r="T3018" s="390"/>
      <c r="U3018" s="404"/>
      <c r="V3018" s="461"/>
      <c r="W3018" s="461"/>
      <c r="X3018" s="461"/>
      <c r="Y3018" s="485"/>
      <c r="Z3018" s="994"/>
      <c r="AB3018" s="461"/>
    </row>
    <row r="3019" spans="1:28" s="478" customFormat="1" ht="61.5" customHeight="1">
      <c r="A3019" s="414">
        <f t="shared" si="448"/>
        <v>47</v>
      </c>
      <c r="B3019" s="380" t="s">
        <v>4105</v>
      </c>
      <c r="C3019" s="382" t="s">
        <v>218</v>
      </c>
      <c r="D3019" s="532">
        <v>32361</v>
      </c>
      <c r="E3019" s="886">
        <v>10019.299999999999</v>
      </c>
      <c r="F3019" s="886" t="s">
        <v>234</v>
      </c>
      <c r="G3019" s="535">
        <v>1385.1</v>
      </c>
      <c r="H3019" s="382">
        <v>9</v>
      </c>
      <c r="I3019" s="382">
        <v>4</v>
      </c>
      <c r="J3019" s="891">
        <v>144</v>
      </c>
      <c r="K3019" s="386" t="s">
        <v>220</v>
      </c>
      <c r="L3019" s="529">
        <f t="shared" si="447"/>
        <v>8148750</v>
      </c>
      <c r="M3019" s="384">
        <v>8000000</v>
      </c>
      <c r="N3019" s="391">
        <v>148750</v>
      </c>
      <c r="O3019" s="530"/>
      <c r="P3019" s="391"/>
      <c r="Q3019" s="391"/>
      <c r="R3019" s="446">
        <f>M3019/I3019</f>
        <v>2000000</v>
      </c>
      <c r="S3019" s="390"/>
      <c r="T3019" s="390"/>
      <c r="U3019" s="404"/>
      <c r="V3019" s="461"/>
      <c r="W3019" s="461"/>
      <c r="X3019" s="461"/>
      <c r="Y3019" s="485"/>
      <c r="Z3019" s="994"/>
      <c r="AB3019" s="461"/>
    </row>
    <row r="3020" spans="1:28" s="478" customFormat="1" ht="61.5" customHeight="1">
      <c r="A3020" s="414">
        <f t="shared" si="448"/>
        <v>48</v>
      </c>
      <c r="B3020" s="380" t="s">
        <v>4106</v>
      </c>
      <c r="C3020" s="382" t="s">
        <v>218</v>
      </c>
      <c r="D3020" s="532">
        <v>16962</v>
      </c>
      <c r="E3020" s="886">
        <v>4846.3999999999996</v>
      </c>
      <c r="F3020" s="886" t="s">
        <v>234</v>
      </c>
      <c r="G3020" s="535">
        <v>726</v>
      </c>
      <c r="H3020" s="382">
        <v>9</v>
      </c>
      <c r="I3020" s="382">
        <v>2</v>
      </c>
      <c r="J3020" s="891">
        <v>72</v>
      </c>
      <c r="K3020" s="386" t="s">
        <v>220</v>
      </c>
      <c r="L3020" s="529">
        <f t="shared" si="447"/>
        <v>4106250</v>
      </c>
      <c r="M3020" s="384">
        <v>4000000</v>
      </c>
      <c r="N3020" s="391">
        <v>106250</v>
      </c>
      <c r="O3020" s="530"/>
      <c r="P3020" s="391"/>
      <c r="Q3020" s="391"/>
      <c r="R3020" s="446">
        <f>M3020/I3020</f>
        <v>2000000</v>
      </c>
      <c r="S3020" s="390"/>
      <c r="T3020" s="390"/>
      <c r="U3020" s="404"/>
      <c r="V3020" s="461"/>
      <c r="W3020" s="461"/>
      <c r="X3020" s="461"/>
      <c r="Y3020" s="485"/>
      <c r="Z3020" s="994"/>
      <c r="AB3020" s="461"/>
    </row>
    <row r="3021" spans="1:28" s="416" customFormat="1" ht="37.5" customHeight="1">
      <c r="A3021" s="414">
        <f t="shared" si="448"/>
        <v>49</v>
      </c>
      <c r="B3021" s="403" t="s">
        <v>2492</v>
      </c>
      <c r="C3021" s="455" t="s">
        <v>272</v>
      </c>
      <c r="D3021" s="487">
        <v>19731</v>
      </c>
      <c r="E3021" s="391">
        <v>3502</v>
      </c>
      <c r="F3021" s="391" t="s">
        <v>234</v>
      </c>
      <c r="G3021" s="391">
        <v>510</v>
      </c>
      <c r="H3021" s="528">
        <v>12</v>
      </c>
      <c r="I3021" s="528">
        <v>1</v>
      </c>
      <c r="J3021" s="528">
        <v>68</v>
      </c>
      <c r="K3021" s="458" t="s">
        <v>364</v>
      </c>
      <c r="L3021" s="529">
        <f t="shared" si="447"/>
        <v>4106250</v>
      </c>
      <c r="M3021" s="529">
        <v>4000000</v>
      </c>
      <c r="N3021" s="391">
        <v>106250</v>
      </c>
      <c r="O3021" s="530"/>
      <c r="P3021" s="391"/>
      <c r="Q3021" s="391"/>
      <c r="R3021" s="528">
        <v>2200000</v>
      </c>
      <c r="S3021" s="487"/>
      <c r="T3021" s="398"/>
      <c r="U3021" s="414"/>
    </row>
    <row r="3022" spans="1:28" s="478" customFormat="1" ht="61.5" customHeight="1">
      <c r="A3022" s="414">
        <f t="shared" si="448"/>
        <v>50</v>
      </c>
      <c r="B3022" s="380" t="s">
        <v>4066</v>
      </c>
      <c r="C3022" s="382" t="s">
        <v>218</v>
      </c>
      <c r="D3022" s="382">
        <v>15462</v>
      </c>
      <c r="E3022" s="383">
        <v>3363</v>
      </c>
      <c r="F3022" s="383" t="s">
        <v>234</v>
      </c>
      <c r="G3022" s="383">
        <v>693</v>
      </c>
      <c r="H3022" s="382">
        <v>9</v>
      </c>
      <c r="I3022" s="382">
        <v>2</v>
      </c>
      <c r="J3022" s="382">
        <v>72</v>
      </c>
      <c r="K3022" s="386" t="s">
        <v>220</v>
      </c>
      <c r="L3022" s="529">
        <f t="shared" si="447"/>
        <v>4106250</v>
      </c>
      <c r="M3022" s="384">
        <v>4000000</v>
      </c>
      <c r="N3022" s="391">
        <v>106250</v>
      </c>
      <c r="O3022" s="530"/>
      <c r="P3022" s="391"/>
      <c r="Q3022" s="391"/>
      <c r="R3022" s="446">
        <f>M3022/I3022</f>
        <v>2000000</v>
      </c>
      <c r="S3022" s="390"/>
      <c r="T3022" s="390"/>
      <c r="U3022" s="404"/>
      <c r="V3022" s="461"/>
      <c r="W3022" s="461"/>
      <c r="X3022" s="461"/>
      <c r="Y3022" s="485"/>
      <c r="Z3022" s="994"/>
      <c r="AB3022" s="461"/>
    </row>
    <row r="3023" spans="1:28" s="478" customFormat="1" ht="61.5" customHeight="1">
      <c r="A3023" s="414">
        <f t="shared" si="448"/>
        <v>51</v>
      </c>
      <c r="B3023" s="380" t="s">
        <v>4107</v>
      </c>
      <c r="C3023" s="376" t="s">
        <v>222</v>
      </c>
      <c r="D3023" s="532">
        <v>24042</v>
      </c>
      <c r="E3023" s="886">
        <v>1944</v>
      </c>
      <c r="F3023" s="886" t="s">
        <v>234</v>
      </c>
      <c r="G3023" s="535">
        <v>972</v>
      </c>
      <c r="H3023" s="382">
        <v>9</v>
      </c>
      <c r="I3023" s="382">
        <v>2</v>
      </c>
      <c r="J3023" s="820">
        <v>96</v>
      </c>
      <c r="K3023" s="386" t="s">
        <v>220</v>
      </c>
      <c r="L3023" s="529">
        <f t="shared" si="447"/>
        <v>4106250</v>
      </c>
      <c r="M3023" s="384">
        <v>4000000</v>
      </c>
      <c r="N3023" s="391">
        <v>106250</v>
      </c>
      <c r="O3023" s="530"/>
      <c r="P3023" s="391"/>
      <c r="Q3023" s="391"/>
      <c r="R3023" s="446">
        <f>M3023/I3023</f>
        <v>2000000</v>
      </c>
      <c r="S3023" s="390"/>
      <c r="T3023" s="390"/>
      <c r="U3023" s="404"/>
      <c r="V3023" s="461"/>
      <c r="W3023" s="461"/>
      <c r="X3023" s="461"/>
      <c r="Y3023" s="485"/>
      <c r="Z3023" s="994"/>
      <c r="AB3023" s="461"/>
    </row>
    <row r="3024" spans="1:28" s="416" customFormat="1" ht="37.5" customHeight="1">
      <c r="A3024" s="414">
        <f t="shared" si="448"/>
        <v>52</v>
      </c>
      <c r="B3024" s="403" t="s">
        <v>2499</v>
      </c>
      <c r="C3024" s="455" t="s">
        <v>272</v>
      </c>
      <c r="D3024" s="487">
        <v>23910</v>
      </c>
      <c r="E3024" s="391">
        <v>1956</v>
      </c>
      <c r="F3024" s="391" t="s">
        <v>234</v>
      </c>
      <c r="G3024" s="391">
        <v>978.1</v>
      </c>
      <c r="H3024" s="528">
        <v>9</v>
      </c>
      <c r="I3024" s="528">
        <v>2</v>
      </c>
      <c r="J3024" s="528">
        <v>203</v>
      </c>
      <c r="K3024" s="458" t="s">
        <v>364</v>
      </c>
      <c r="L3024" s="529">
        <f t="shared" si="447"/>
        <v>4106250</v>
      </c>
      <c r="M3024" s="529">
        <v>4000000</v>
      </c>
      <c r="N3024" s="391">
        <v>106250</v>
      </c>
      <c r="O3024" s="530"/>
      <c r="P3024" s="391"/>
      <c r="Q3024" s="391"/>
      <c r="R3024" s="446">
        <f>M3024/I3024</f>
        <v>2000000</v>
      </c>
      <c r="S3024" s="487"/>
      <c r="T3024" s="398"/>
      <c r="U3024" s="414"/>
    </row>
    <row r="3025" spans="1:28" s="478" customFormat="1" ht="61.5" customHeight="1">
      <c r="A3025" s="414">
        <f>A3024+1</f>
        <v>53</v>
      </c>
      <c r="B3025" s="380" t="s">
        <v>4108</v>
      </c>
      <c r="C3025" s="382" t="s">
        <v>218</v>
      </c>
      <c r="D3025" s="382">
        <v>17890</v>
      </c>
      <c r="E3025" s="383">
        <v>2681.3</v>
      </c>
      <c r="F3025" s="383" t="s">
        <v>234</v>
      </c>
      <c r="G3025" s="383">
        <v>425</v>
      </c>
      <c r="H3025" s="382">
        <v>12</v>
      </c>
      <c r="I3025" s="382">
        <v>1</v>
      </c>
      <c r="J3025" s="382">
        <v>48</v>
      </c>
      <c r="K3025" s="386" t="s">
        <v>220</v>
      </c>
      <c r="L3025" s="529">
        <f>M3025+N3025+O3025+P3025+Q3025</f>
        <v>4506250</v>
      </c>
      <c r="M3025" s="384">
        <v>4400000</v>
      </c>
      <c r="N3025" s="391">
        <v>106250</v>
      </c>
      <c r="O3025" s="530"/>
      <c r="P3025" s="391"/>
      <c r="Q3025" s="391"/>
      <c r="R3025" s="491">
        <v>2200000</v>
      </c>
      <c r="S3025" s="390"/>
      <c r="T3025" s="390"/>
      <c r="U3025" s="404"/>
      <c r="V3025" s="461"/>
      <c r="W3025" s="461"/>
      <c r="X3025" s="461"/>
      <c r="Y3025" s="485"/>
      <c r="Z3025" s="994"/>
      <c r="AB3025" s="461"/>
    </row>
    <row r="3026" spans="1:28" s="478" customFormat="1" ht="61.5" customHeight="1">
      <c r="A3026" s="414">
        <f t="shared" si="448"/>
        <v>54</v>
      </c>
      <c r="B3026" s="380" t="s">
        <v>4109</v>
      </c>
      <c r="C3026" s="382" t="s">
        <v>218</v>
      </c>
      <c r="D3026" s="382">
        <v>13018</v>
      </c>
      <c r="E3026" s="383">
        <v>2681.3</v>
      </c>
      <c r="F3026" s="383" t="s">
        <v>234</v>
      </c>
      <c r="G3026" s="383">
        <v>424</v>
      </c>
      <c r="H3026" s="382">
        <v>12</v>
      </c>
      <c r="I3026" s="382">
        <v>1</v>
      </c>
      <c r="J3026" s="382">
        <v>48</v>
      </c>
      <c r="K3026" s="386" t="s">
        <v>220</v>
      </c>
      <c r="L3026" s="529">
        <f>M3026+N3026+O3026+P3026+Q3026</f>
        <v>4506250</v>
      </c>
      <c r="M3026" s="384">
        <v>4400000</v>
      </c>
      <c r="N3026" s="391">
        <v>106250</v>
      </c>
      <c r="O3026" s="530"/>
      <c r="P3026" s="391"/>
      <c r="Q3026" s="391"/>
      <c r="R3026" s="491">
        <v>2200000</v>
      </c>
      <c r="S3026" s="390"/>
      <c r="T3026" s="390"/>
      <c r="U3026" s="404"/>
      <c r="V3026" s="461"/>
      <c r="W3026" s="461"/>
      <c r="X3026" s="461"/>
      <c r="Y3026" s="485"/>
      <c r="Z3026" s="994"/>
      <c r="AB3026" s="461"/>
    </row>
    <row r="3027" spans="1:28" s="478" customFormat="1" ht="61.5" customHeight="1">
      <c r="A3027" s="414">
        <f t="shared" si="448"/>
        <v>55</v>
      </c>
      <c r="B3027" s="380" t="s">
        <v>4110</v>
      </c>
      <c r="C3027" s="382" t="s">
        <v>218</v>
      </c>
      <c r="D3027" s="382">
        <v>16651</v>
      </c>
      <c r="E3027" s="383">
        <v>2681.3</v>
      </c>
      <c r="F3027" s="383" t="s">
        <v>234</v>
      </c>
      <c r="G3027" s="383">
        <v>713</v>
      </c>
      <c r="H3027" s="382">
        <v>10</v>
      </c>
      <c r="I3027" s="382">
        <v>2</v>
      </c>
      <c r="J3027" s="382">
        <v>78</v>
      </c>
      <c r="K3027" s="386" t="s">
        <v>220</v>
      </c>
      <c r="L3027" s="529">
        <f>M3027+N3027+O3027+P3027+Q3027</f>
        <v>4506250</v>
      </c>
      <c r="M3027" s="384">
        <v>4400000</v>
      </c>
      <c r="N3027" s="391">
        <v>106250</v>
      </c>
      <c r="O3027" s="530"/>
      <c r="P3027" s="391"/>
      <c r="Q3027" s="391"/>
      <c r="R3027" s="491">
        <v>2200000</v>
      </c>
      <c r="S3027" s="390"/>
      <c r="T3027" s="390"/>
      <c r="U3027" s="404"/>
      <c r="V3027" s="461"/>
      <c r="W3027" s="461"/>
      <c r="X3027" s="461"/>
      <c r="Y3027" s="485"/>
      <c r="Z3027" s="994"/>
      <c r="AB3027" s="461"/>
    </row>
    <row r="3028" spans="1:28" s="478" customFormat="1" ht="61.5" customHeight="1">
      <c r="A3028" s="414">
        <f t="shared" si="448"/>
        <v>56</v>
      </c>
      <c r="B3028" s="380" t="s">
        <v>4111</v>
      </c>
      <c r="C3028" s="382" t="s">
        <v>218</v>
      </c>
      <c r="D3028" s="382">
        <v>13311</v>
      </c>
      <c r="E3028" s="383">
        <v>2681.3</v>
      </c>
      <c r="F3028" s="383" t="s">
        <v>234</v>
      </c>
      <c r="G3028" s="383">
        <v>429</v>
      </c>
      <c r="H3028" s="382">
        <v>12</v>
      </c>
      <c r="I3028" s="382">
        <v>1</v>
      </c>
      <c r="J3028" s="382">
        <v>48</v>
      </c>
      <c r="K3028" s="386" t="s">
        <v>220</v>
      </c>
      <c r="L3028" s="529">
        <f>M3028+N3028+O3028+P3028+Q3028</f>
        <v>4506250</v>
      </c>
      <c r="M3028" s="384">
        <v>4400000</v>
      </c>
      <c r="N3028" s="391">
        <v>106250</v>
      </c>
      <c r="O3028" s="530"/>
      <c r="P3028" s="391"/>
      <c r="Q3028" s="391"/>
      <c r="R3028" s="491">
        <v>2200000</v>
      </c>
      <c r="S3028" s="390"/>
      <c r="T3028" s="390"/>
      <c r="U3028" s="404"/>
      <c r="V3028" s="461"/>
      <c r="W3028" s="461"/>
      <c r="X3028" s="461"/>
      <c r="Y3028" s="485"/>
      <c r="Z3028" s="994"/>
      <c r="AB3028" s="461"/>
    </row>
    <row r="3029" spans="1:28" s="416" customFormat="1" ht="37.5" customHeight="1">
      <c r="A3029" s="414">
        <f t="shared" si="448"/>
        <v>57</v>
      </c>
      <c r="B3029" s="888" t="s">
        <v>2542</v>
      </c>
      <c r="C3029" s="455" t="s">
        <v>272</v>
      </c>
      <c r="D3029" s="487">
        <v>26544</v>
      </c>
      <c r="E3029" s="391">
        <v>3320</v>
      </c>
      <c r="F3029" s="391" t="s">
        <v>234</v>
      </c>
      <c r="G3029" s="575">
        <v>414.4</v>
      </c>
      <c r="H3029" s="528">
        <v>12</v>
      </c>
      <c r="I3029" s="528">
        <v>1</v>
      </c>
      <c r="J3029" s="576">
        <v>78</v>
      </c>
      <c r="K3029" s="458" t="s">
        <v>364</v>
      </c>
      <c r="L3029" s="529">
        <f>M3029+N3029+O3029+P3029+Q3029</f>
        <v>4142250</v>
      </c>
      <c r="M3029" s="529">
        <v>4036000</v>
      </c>
      <c r="N3029" s="601">
        <v>106250</v>
      </c>
      <c r="O3029" s="530"/>
      <c r="P3029" s="391"/>
      <c r="Q3029" s="391"/>
      <c r="R3029" s="528">
        <v>2200000</v>
      </c>
      <c r="S3029" s="487"/>
      <c r="T3029" s="398"/>
      <c r="U3029" s="414"/>
    </row>
    <row r="3030" spans="1:28" s="478" customFormat="1" ht="61.5" customHeight="1">
      <c r="A3030" s="414">
        <f>A3029+1</f>
        <v>58</v>
      </c>
      <c r="B3030" s="379" t="s">
        <v>2543</v>
      </c>
      <c r="C3030" s="802" t="s">
        <v>218</v>
      </c>
      <c r="D3030" s="799">
        <v>41268</v>
      </c>
      <c r="E3030" s="539">
        <v>2799</v>
      </c>
      <c r="F3030" s="804" t="s">
        <v>234</v>
      </c>
      <c r="G3030" s="805">
        <v>1634</v>
      </c>
      <c r="H3030" s="806">
        <v>9</v>
      </c>
      <c r="I3030" s="806">
        <v>2</v>
      </c>
      <c r="J3030" s="807">
        <v>100</v>
      </c>
      <c r="K3030" s="386" t="s">
        <v>220</v>
      </c>
      <c r="L3030" s="529">
        <f>M3030+N3030+O3030+P3030+Q3030+M3031+N3031+O3031+P3031+Q3031</f>
        <v>7355850</v>
      </c>
      <c r="M3030" s="384">
        <v>4000000</v>
      </c>
      <c r="N3030" s="391">
        <v>106250</v>
      </c>
      <c r="O3030" s="530"/>
      <c r="P3030" s="391"/>
      <c r="Q3030" s="391"/>
      <c r="R3030" s="446">
        <f>M3030/I3030</f>
        <v>2000000</v>
      </c>
      <c r="S3030" s="390"/>
      <c r="T3030" s="390"/>
      <c r="U3030" s="404"/>
      <c r="V3030" s="461"/>
      <c r="W3030" s="461"/>
      <c r="X3030" s="461"/>
      <c r="Y3030" s="485"/>
      <c r="Z3030" s="994"/>
      <c r="AB3030" s="461"/>
    </row>
    <row r="3031" spans="1:28" s="416" customFormat="1" ht="56.25" customHeight="1">
      <c r="A3031" s="414"/>
      <c r="B3031" s="403"/>
      <c r="C3031" s="455"/>
      <c r="D3031" s="487"/>
      <c r="E3031" s="391"/>
      <c r="F3031" s="391"/>
      <c r="G3031" s="391"/>
      <c r="H3031" s="528"/>
      <c r="I3031" s="528"/>
      <c r="J3031" s="528"/>
      <c r="K3031" s="458" t="s">
        <v>30</v>
      </c>
      <c r="L3031" s="529"/>
      <c r="M3031" s="529">
        <v>3200000</v>
      </c>
      <c r="N3031" s="391"/>
      <c r="O3031" s="530">
        <f>M3031*0.3%</f>
        <v>9600</v>
      </c>
      <c r="P3031" s="391"/>
      <c r="Q3031" s="391">
        <v>40000</v>
      </c>
      <c r="R3031" s="528">
        <f>M3031/J3030</f>
        <v>32000</v>
      </c>
      <c r="S3031" s="487"/>
      <c r="T3031" s="398"/>
      <c r="U3031" s="414"/>
    </row>
    <row r="3032" spans="1:28" s="478" customFormat="1" ht="61.5" customHeight="1">
      <c r="A3032" s="827">
        <v>59</v>
      </c>
      <c r="B3032" s="379" t="s">
        <v>4093</v>
      </c>
      <c r="C3032" s="376" t="s">
        <v>222</v>
      </c>
      <c r="D3032" s="382">
        <v>10309</v>
      </c>
      <c r="E3032" s="383">
        <v>2003</v>
      </c>
      <c r="F3032" s="886" t="s">
        <v>234</v>
      </c>
      <c r="G3032" s="383">
        <v>383</v>
      </c>
      <c r="H3032" s="382">
        <v>9</v>
      </c>
      <c r="I3032" s="382">
        <v>1</v>
      </c>
      <c r="J3032" s="892">
        <v>33</v>
      </c>
      <c r="K3032" s="386" t="s">
        <v>220</v>
      </c>
      <c r="L3032" s="529">
        <f>M3032+N3032+O3032+P3032+Q3032</f>
        <v>2085000</v>
      </c>
      <c r="M3032" s="384">
        <v>2000000</v>
      </c>
      <c r="N3032" s="391">
        <v>85000</v>
      </c>
      <c r="O3032" s="530"/>
      <c r="P3032" s="391"/>
      <c r="Q3032" s="391"/>
      <c r="R3032" s="446">
        <f>M3032/I3032</f>
        <v>2000000</v>
      </c>
      <c r="S3032" s="390"/>
      <c r="T3032" s="390"/>
      <c r="U3032" s="404"/>
      <c r="V3032" s="461"/>
      <c r="W3032" s="461"/>
      <c r="X3032" s="461"/>
      <c r="Y3032" s="485"/>
      <c r="Z3032" s="994"/>
      <c r="AB3032" s="461"/>
    </row>
    <row r="3033" spans="1:28" s="478" customFormat="1" ht="61.5" customHeight="1">
      <c r="A3033" s="827">
        <f>A3032+1</f>
        <v>60</v>
      </c>
      <c r="B3033" s="379" t="s">
        <v>4113</v>
      </c>
      <c r="C3033" s="802" t="s">
        <v>218</v>
      </c>
      <c r="D3033" s="494">
        <v>23327</v>
      </c>
      <c r="E3033" s="803">
        <v>5250</v>
      </c>
      <c r="F3033" s="804" t="s">
        <v>234</v>
      </c>
      <c r="G3033" s="805">
        <v>1002</v>
      </c>
      <c r="H3033" s="806">
        <v>9</v>
      </c>
      <c r="I3033" s="806">
        <v>3</v>
      </c>
      <c r="J3033" s="807">
        <v>108</v>
      </c>
      <c r="K3033" s="386" t="s">
        <v>220</v>
      </c>
      <c r="L3033" s="529">
        <f t="shared" ref="L3033:L3043" si="449">M3033+N3033+O3033+P3033+Q3033</f>
        <v>6127500</v>
      </c>
      <c r="M3033" s="384">
        <v>6000000</v>
      </c>
      <c r="N3033" s="391">
        <v>127500</v>
      </c>
      <c r="O3033" s="530"/>
      <c r="P3033" s="391"/>
      <c r="Q3033" s="391"/>
      <c r="R3033" s="446">
        <f>M3033/I3033</f>
        <v>2000000</v>
      </c>
      <c r="S3033" s="390"/>
      <c r="T3033" s="390"/>
      <c r="U3033" s="404"/>
      <c r="V3033" s="461"/>
      <c r="W3033" s="461"/>
      <c r="X3033" s="461"/>
      <c r="Y3033" s="485"/>
      <c r="Z3033" s="994"/>
      <c r="AB3033" s="461"/>
    </row>
    <row r="3034" spans="1:28" s="416" customFormat="1" ht="37.5" customHeight="1">
      <c r="A3034" s="827">
        <f t="shared" ref="A3034:A3045" si="450">A3033+1</f>
        <v>61</v>
      </c>
      <c r="B3034" s="888" t="s">
        <v>2563</v>
      </c>
      <c r="C3034" s="455" t="s">
        <v>218</v>
      </c>
      <c r="D3034" s="487">
        <v>13270</v>
      </c>
      <c r="E3034" s="388">
        <v>2250</v>
      </c>
      <c r="F3034" s="391" t="s">
        <v>234</v>
      </c>
      <c r="G3034" s="575">
        <v>510</v>
      </c>
      <c r="H3034" s="528">
        <v>9</v>
      </c>
      <c r="I3034" s="528">
        <v>1</v>
      </c>
      <c r="J3034" s="576">
        <v>72</v>
      </c>
      <c r="K3034" s="458" t="s">
        <v>364</v>
      </c>
      <c r="L3034" s="529">
        <f>M3034+N3034+O3034+P3034+Q3034</f>
        <v>2103000</v>
      </c>
      <c r="M3034" s="529">
        <v>2018000</v>
      </c>
      <c r="N3034" s="601">
        <v>85000</v>
      </c>
      <c r="O3034" s="530"/>
      <c r="P3034" s="391"/>
      <c r="Q3034" s="388"/>
      <c r="R3034" s="528">
        <f>M3034/I3034</f>
        <v>2018000</v>
      </c>
      <c r="S3034" s="487"/>
      <c r="T3034" s="398"/>
      <c r="U3034" s="414"/>
    </row>
    <row r="3035" spans="1:28" s="478" customFormat="1" ht="61.5" customHeight="1">
      <c r="A3035" s="827">
        <f t="shared" si="450"/>
        <v>62</v>
      </c>
      <c r="B3035" s="379" t="s">
        <v>4114</v>
      </c>
      <c r="C3035" s="802" t="s">
        <v>218</v>
      </c>
      <c r="D3035" s="494">
        <v>47198</v>
      </c>
      <c r="E3035" s="803">
        <v>9750</v>
      </c>
      <c r="F3035" s="804" t="s">
        <v>234</v>
      </c>
      <c r="G3035" s="805">
        <v>1836</v>
      </c>
      <c r="H3035" s="806">
        <v>9</v>
      </c>
      <c r="I3035" s="806">
        <v>6</v>
      </c>
      <c r="J3035" s="807">
        <v>215</v>
      </c>
      <c r="K3035" s="386" t="s">
        <v>220</v>
      </c>
      <c r="L3035" s="529">
        <f t="shared" si="449"/>
        <v>12191250</v>
      </c>
      <c r="M3035" s="384">
        <v>12000000</v>
      </c>
      <c r="N3035" s="391">
        <v>191250</v>
      </c>
      <c r="O3035" s="530"/>
      <c r="P3035" s="391"/>
      <c r="Q3035" s="391"/>
      <c r="R3035" s="446">
        <f>M3035/I3035</f>
        <v>2000000</v>
      </c>
      <c r="S3035" s="390"/>
      <c r="T3035" s="390"/>
      <c r="U3035" s="404"/>
      <c r="V3035" s="461"/>
      <c r="W3035" s="461"/>
      <c r="X3035" s="461"/>
      <c r="Y3035" s="485"/>
      <c r="Z3035" s="994"/>
      <c r="AB3035" s="461"/>
    </row>
    <row r="3036" spans="1:28" s="478" customFormat="1" ht="61.5" customHeight="1">
      <c r="A3036" s="827">
        <f t="shared" si="450"/>
        <v>63</v>
      </c>
      <c r="B3036" s="379" t="s">
        <v>4115</v>
      </c>
      <c r="C3036" s="802" t="s">
        <v>218</v>
      </c>
      <c r="D3036" s="494">
        <v>16621</v>
      </c>
      <c r="E3036" s="803">
        <v>3750</v>
      </c>
      <c r="F3036" s="804" t="s">
        <v>234</v>
      </c>
      <c r="G3036" s="805">
        <v>674</v>
      </c>
      <c r="H3036" s="806">
        <v>9</v>
      </c>
      <c r="I3036" s="806">
        <v>2</v>
      </c>
      <c r="J3036" s="807">
        <v>72</v>
      </c>
      <c r="K3036" s="386" t="s">
        <v>220</v>
      </c>
      <c r="L3036" s="529">
        <f t="shared" si="449"/>
        <v>2085000</v>
      </c>
      <c r="M3036" s="384">
        <v>2000000</v>
      </c>
      <c r="N3036" s="391">
        <v>85000</v>
      </c>
      <c r="O3036" s="530"/>
      <c r="P3036" s="391"/>
      <c r="Q3036" s="391"/>
      <c r="R3036" s="446">
        <f>M3036</f>
        <v>2000000</v>
      </c>
      <c r="S3036" s="390"/>
      <c r="T3036" s="390"/>
      <c r="U3036" s="404"/>
      <c r="V3036" s="461"/>
      <c r="W3036" s="461"/>
      <c r="X3036" s="461"/>
      <c r="Y3036" s="485"/>
      <c r="Z3036" s="994"/>
      <c r="AB3036" s="461"/>
    </row>
    <row r="3037" spans="1:28" s="416" customFormat="1" ht="37.5" customHeight="1">
      <c r="A3037" s="827">
        <f t="shared" si="450"/>
        <v>64</v>
      </c>
      <c r="B3037" s="888" t="s">
        <v>2567</v>
      </c>
      <c r="C3037" s="455" t="s">
        <v>218</v>
      </c>
      <c r="D3037" s="487">
        <v>16012</v>
      </c>
      <c r="E3037" s="388">
        <v>3750</v>
      </c>
      <c r="F3037" s="391" t="s">
        <v>234</v>
      </c>
      <c r="G3037" s="575" t="s">
        <v>408</v>
      </c>
      <c r="H3037" s="528">
        <v>9</v>
      </c>
      <c r="I3037" s="528">
        <v>2</v>
      </c>
      <c r="J3037" s="576">
        <v>72</v>
      </c>
      <c r="K3037" s="458" t="s">
        <v>364</v>
      </c>
      <c r="L3037" s="529">
        <f>M3037+N3037+O3037+P3037+Q3037</f>
        <v>4142250</v>
      </c>
      <c r="M3037" s="529">
        <v>4036000</v>
      </c>
      <c r="N3037" s="601">
        <v>106250</v>
      </c>
      <c r="O3037" s="530"/>
      <c r="P3037" s="391"/>
      <c r="Q3037" s="391"/>
      <c r="R3037" s="528">
        <f>M3037/I3037</f>
        <v>2018000</v>
      </c>
      <c r="S3037" s="487"/>
      <c r="T3037" s="398"/>
      <c r="U3037" s="414"/>
    </row>
    <row r="3038" spans="1:28" s="416" customFormat="1" ht="37.5" customHeight="1">
      <c r="A3038" s="827">
        <f t="shared" si="450"/>
        <v>65</v>
      </c>
      <c r="B3038" s="403" t="s">
        <v>2568</v>
      </c>
      <c r="C3038" s="455" t="s">
        <v>218</v>
      </c>
      <c r="D3038" s="487">
        <v>23392</v>
      </c>
      <c r="E3038" s="391">
        <v>4536</v>
      </c>
      <c r="F3038" s="391" t="s">
        <v>234</v>
      </c>
      <c r="G3038" s="391">
        <v>1009</v>
      </c>
      <c r="H3038" s="528">
        <v>9</v>
      </c>
      <c r="I3038" s="528">
        <v>3</v>
      </c>
      <c r="J3038" s="528">
        <v>108</v>
      </c>
      <c r="K3038" s="458" t="s">
        <v>220</v>
      </c>
      <c r="L3038" s="529">
        <f>M3038+N3038+O3038+P3038+Q3038</f>
        <v>6127500</v>
      </c>
      <c r="M3038" s="529">
        <v>6000000</v>
      </c>
      <c r="N3038" s="391">
        <v>127500</v>
      </c>
      <c r="O3038" s="530"/>
      <c r="P3038" s="391"/>
      <c r="Q3038" s="391"/>
      <c r="R3038" s="528">
        <f>M3038/I3038</f>
        <v>2000000</v>
      </c>
      <c r="S3038" s="487"/>
      <c r="T3038" s="398"/>
      <c r="U3038" s="414"/>
    </row>
    <row r="3039" spans="1:28" s="478" customFormat="1" ht="61.5" customHeight="1">
      <c r="A3039" s="827">
        <f t="shared" si="450"/>
        <v>66</v>
      </c>
      <c r="B3039" s="379" t="s">
        <v>1643</v>
      </c>
      <c r="C3039" s="802" t="s">
        <v>218</v>
      </c>
      <c r="D3039" s="494">
        <v>13256</v>
      </c>
      <c r="E3039" s="803">
        <v>2250</v>
      </c>
      <c r="F3039" s="804" t="s">
        <v>234</v>
      </c>
      <c r="G3039" s="805">
        <v>523</v>
      </c>
      <c r="H3039" s="806">
        <v>9</v>
      </c>
      <c r="I3039" s="806">
        <v>1</v>
      </c>
      <c r="J3039" s="807">
        <v>147</v>
      </c>
      <c r="K3039" s="386" t="s">
        <v>220</v>
      </c>
      <c r="L3039" s="529">
        <f t="shared" si="449"/>
        <v>2085000</v>
      </c>
      <c r="M3039" s="384">
        <v>2000000</v>
      </c>
      <c r="N3039" s="391">
        <v>85000</v>
      </c>
      <c r="O3039" s="530"/>
      <c r="P3039" s="391"/>
      <c r="Q3039" s="391"/>
      <c r="R3039" s="446">
        <f>M3039/I3039</f>
        <v>2000000</v>
      </c>
      <c r="S3039" s="390"/>
      <c r="T3039" s="390"/>
      <c r="U3039" s="404"/>
      <c r="V3039" s="461"/>
      <c r="W3039" s="461"/>
      <c r="X3039" s="461"/>
      <c r="Y3039" s="485"/>
      <c r="Z3039" s="994"/>
      <c r="AB3039" s="461"/>
    </row>
    <row r="3040" spans="1:28" s="478" customFormat="1" ht="61.5" customHeight="1">
      <c r="A3040" s="827">
        <f t="shared" si="450"/>
        <v>67</v>
      </c>
      <c r="B3040" s="379" t="s">
        <v>4116</v>
      </c>
      <c r="C3040" s="802" t="s">
        <v>218</v>
      </c>
      <c r="D3040" s="494">
        <v>17677</v>
      </c>
      <c r="E3040" s="803">
        <v>3250</v>
      </c>
      <c r="F3040" s="804" t="s">
        <v>234</v>
      </c>
      <c r="G3040" s="805">
        <v>694</v>
      </c>
      <c r="H3040" s="806">
        <v>9</v>
      </c>
      <c r="I3040" s="806">
        <v>2</v>
      </c>
      <c r="J3040" s="807">
        <v>72</v>
      </c>
      <c r="K3040" s="386" t="s">
        <v>220</v>
      </c>
      <c r="L3040" s="529">
        <f t="shared" si="449"/>
        <v>2085000</v>
      </c>
      <c r="M3040" s="384">
        <v>2000000</v>
      </c>
      <c r="N3040" s="391">
        <v>85000</v>
      </c>
      <c r="O3040" s="530"/>
      <c r="P3040" s="391"/>
      <c r="Q3040" s="391"/>
      <c r="R3040" s="446">
        <f>M3040</f>
        <v>2000000</v>
      </c>
      <c r="S3040" s="390"/>
      <c r="T3040" s="390"/>
      <c r="U3040" s="404"/>
      <c r="V3040" s="461"/>
      <c r="W3040" s="461"/>
      <c r="X3040" s="461"/>
      <c r="Y3040" s="485"/>
      <c r="Z3040" s="994"/>
      <c r="AB3040" s="461"/>
    </row>
    <row r="3041" spans="1:28" s="416" customFormat="1" ht="37.5" customHeight="1">
      <c r="A3041" s="827">
        <f t="shared" si="450"/>
        <v>68</v>
      </c>
      <c r="B3041" s="403" t="s">
        <v>2586</v>
      </c>
      <c r="C3041" s="455" t="s">
        <v>218</v>
      </c>
      <c r="D3041" s="487">
        <v>16511</v>
      </c>
      <c r="E3041" s="391">
        <v>2600</v>
      </c>
      <c r="F3041" s="391" t="s">
        <v>234</v>
      </c>
      <c r="G3041" s="391">
        <v>708</v>
      </c>
      <c r="H3041" s="528">
        <v>9</v>
      </c>
      <c r="I3041" s="528">
        <v>2</v>
      </c>
      <c r="J3041" s="528">
        <v>72</v>
      </c>
      <c r="K3041" s="458" t="s">
        <v>364</v>
      </c>
      <c r="L3041" s="529">
        <f>M3041+N3041+O3041+P3041+Q3041</f>
        <v>4106250</v>
      </c>
      <c r="M3041" s="529">
        <v>4000000</v>
      </c>
      <c r="N3041" s="391">
        <v>106250</v>
      </c>
      <c r="O3041" s="530"/>
      <c r="P3041" s="391"/>
      <c r="Q3041" s="391"/>
      <c r="R3041" s="446">
        <f>M3041/I3041</f>
        <v>2000000</v>
      </c>
      <c r="S3041" s="487"/>
      <c r="T3041" s="398"/>
      <c r="U3041" s="414"/>
    </row>
    <row r="3042" spans="1:28" s="416" customFormat="1" ht="37.5" customHeight="1">
      <c r="A3042" s="827">
        <f t="shared" si="450"/>
        <v>69</v>
      </c>
      <c r="B3042" s="403" t="s">
        <v>2587</v>
      </c>
      <c r="C3042" s="455" t="s">
        <v>218</v>
      </c>
      <c r="D3042" s="487">
        <v>17080</v>
      </c>
      <c r="E3042" s="391">
        <v>5411.2</v>
      </c>
      <c r="F3042" s="391" t="s">
        <v>234</v>
      </c>
      <c r="G3042" s="391">
        <v>687.4</v>
      </c>
      <c r="H3042" s="528">
        <v>9</v>
      </c>
      <c r="I3042" s="528">
        <v>2</v>
      </c>
      <c r="J3042" s="528">
        <v>75</v>
      </c>
      <c r="K3042" s="458" t="s">
        <v>364</v>
      </c>
      <c r="L3042" s="529">
        <f>M3042+N3042+O3042+P3042+Q3042</f>
        <v>4106250</v>
      </c>
      <c r="M3042" s="529">
        <v>4000000</v>
      </c>
      <c r="N3042" s="391">
        <v>106250</v>
      </c>
      <c r="O3042" s="530"/>
      <c r="P3042" s="391"/>
      <c r="Q3042" s="391"/>
      <c r="R3042" s="446">
        <f>M3042/I3042</f>
        <v>2000000</v>
      </c>
      <c r="S3042" s="487"/>
      <c r="T3042" s="398"/>
      <c r="U3042" s="414"/>
    </row>
    <row r="3043" spans="1:28" s="478" customFormat="1" ht="61.5" customHeight="1">
      <c r="A3043" s="827">
        <f t="shared" si="450"/>
        <v>70</v>
      </c>
      <c r="B3043" s="379" t="s">
        <v>4117</v>
      </c>
      <c r="C3043" s="382" t="s">
        <v>218</v>
      </c>
      <c r="D3043" s="382">
        <v>13248</v>
      </c>
      <c r="E3043" s="383">
        <v>2230</v>
      </c>
      <c r="F3043" s="383" t="s">
        <v>234</v>
      </c>
      <c r="G3043" s="383">
        <v>408</v>
      </c>
      <c r="H3043" s="382">
        <v>12</v>
      </c>
      <c r="I3043" s="382">
        <v>1</v>
      </c>
      <c r="J3043" s="382">
        <v>48</v>
      </c>
      <c r="K3043" s="386" t="s">
        <v>220</v>
      </c>
      <c r="L3043" s="529">
        <f t="shared" si="449"/>
        <v>4506250</v>
      </c>
      <c r="M3043" s="384">
        <v>4400000</v>
      </c>
      <c r="N3043" s="391">
        <v>106250</v>
      </c>
      <c r="O3043" s="530"/>
      <c r="P3043" s="391"/>
      <c r="Q3043" s="391"/>
      <c r="R3043" s="491">
        <v>2200000</v>
      </c>
      <c r="S3043" s="390"/>
      <c r="T3043" s="390"/>
      <c r="U3043" s="404"/>
      <c r="V3043" s="461"/>
      <c r="W3043" s="461"/>
      <c r="X3043" s="461"/>
      <c r="Y3043" s="485"/>
      <c r="Z3043" s="994"/>
      <c r="AB3043" s="461"/>
    </row>
    <row r="3044" spans="1:28" s="416" customFormat="1" ht="37.5" customHeight="1">
      <c r="A3044" s="827">
        <f t="shared" si="450"/>
        <v>71</v>
      </c>
      <c r="B3044" s="403" t="s">
        <v>2610</v>
      </c>
      <c r="C3044" s="455" t="s">
        <v>272</v>
      </c>
      <c r="D3044" s="487">
        <v>12623</v>
      </c>
      <c r="E3044" s="391">
        <v>2606</v>
      </c>
      <c r="F3044" s="391" t="s">
        <v>234</v>
      </c>
      <c r="G3044" s="391">
        <v>1152</v>
      </c>
      <c r="H3044" s="528">
        <v>10</v>
      </c>
      <c r="I3044" s="528">
        <v>1</v>
      </c>
      <c r="J3044" s="528">
        <v>52</v>
      </c>
      <c r="K3044" s="458" t="s">
        <v>364</v>
      </c>
      <c r="L3044" s="529">
        <f>M3044+N3044+O3044+P3044+Q3044</f>
        <v>2085000</v>
      </c>
      <c r="M3044" s="529">
        <v>2000000</v>
      </c>
      <c r="N3044" s="391">
        <v>85000</v>
      </c>
      <c r="O3044" s="530"/>
      <c r="P3044" s="391"/>
      <c r="Q3044" s="391"/>
      <c r="R3044" s="528">
        <v>2200000</v>
      </c>
      <c r="S3044" s="487"/>
      <c r="T3044" s="398"/>
      <c r="U3044" s="414"/>
    </row>
    <row r="3045" spans="1:28" s="478" customFormat="1" ht="61.5" customHeight="1">
      <c r="A3045" s="827">
        <f t="shared" si="450"/>
        <v>72</v>
      </c>
      <c r="B3045" s="379" t="s">
        <v>2629</v>
      </c>
      <c r="C3045" s="802" t="s">
        <v>218</v>
      </c>
      <c r="D3045" s="799">
        <v>16045</v>
      </c>
      <c r="E3045" s="803">
        <v>2727</v>
      </c>
      <c r="F3045" s="804" t="s">
        <v>234</v>
      </c>
      <c r="G3045" s="805">
        <v>700</v>
      </c>
      <c r="H3045" s="806">
        <v>9</v>
      </c>
      <c r="I3045" s="806">
        <v>2</v>
      </c>
      <c r="J3045" s="807">
        <v>72</v>
      </c>
      <c r="K3045" s="386" t="s">
        <v>220</v>
      </c>
      <c r="L3045" s="529">
        <f>M3045+N3045+O3045+P3045+Q3045+M3046+N3046+O3046+P3046+Q3046</f>
        <v>5390660</v>
      </c>
      <c r="M3045" s="384">
        <v>4000000</v>
      </c>
      <c r="N3045" s="391">
        <v>106250</v>
      </c>
      <c r="O3045" s="530"/>
      <c r="P3045" s="391"/>
      <c r="Q3045" s="391"/>
      <c r="R3045" s="446">
        <f>M3045/I3045</f>
        <v>2000000</v>
      </c>
      <c r="S3045" s="390"/>
      <c r="T3045" s="390"/>
      <c r="U3045" s="404"/>
      <c r="V3045" s="461"/>
      <c r="W3045" s="461"/>
      <c r="X3045" s="461"/>
      <c r="Y3045" s="485"/>
      <c r="Z3045" s="994"/>
      <c r="AB3045" s="461"/>
    </row>
    <row r="3046" spans="1:28" s="416" customFormat="1" ht="44.25" customHeight="1">
      <c r="A3046" s="414"/>
      <c r="B3046" s="403"/>
      <c r="C3046" s="455"/>
      <c r="D3046" s="487"/>
      <c r="E3046" s="391"/>
      <c r="F3046" s="391"/>
      <c r="G3046" s="391"/>
      <c r="H3046" s="528"/>
      <c r="I3046" s="528"/>
      <c r="J3046" s="528"/>
      <c r="K3046" s="458" t="s">
        <v>33</v>
      </c>
      <c r="L3046" s="529"/>
      <c r="M3046" s="529">
        <v>1260000</v>
      </c>
      <c r="N3046" s="391"/>
      <c r="O3046" s="530">
        <v>4410</v>
      </c>
      <c r="P3046" s="391"/>
      <c r="Q3046" s="391">
        <v>20000</v>
      </c>
      <c r="R3046" s="528">
        <f>M3046/J3045</f>
        <v>17500</v>
      </c>
      <c r="S3046" s="487"/>
      <c r="T3046" s="398">
        <f>M3046+N3046+O3046+Q3046</f>
        <v>1284410</v>
      </c>
      <c r="U3046" s="414"/>
    </row>
    <row r="3047" spans="1:28" s="416" customFormat="1" ht="37.5" customHeight="1">
      <c r="A3047" s="1125">
        <v>73</v>
      </c>
      <c r="B3047" s="403" t="s">
        <v>2630</v>
      </c>
      <c r="C3047" s="455" t="s">
        <v>218</v>
      </c>
      <c r="D3047" s="487">
        <v>11920</v>
      </c>
      <c r="E3047" s="391">
        <v>2250</v>
      </c>
      <c r="F3047" s="391" t="s">
        <v>234</v>
      </c>
      <c r="G3047" s="391">
        <v>353</v>
      </c>
      <c r="H3047" s="528">
        <v>12</v>
      </c>
      <c r="I3047" s="528">
        <v>1</v>
      </c>
      <c r="J3047" s="528">
        <v>48</v>
      </c>
      <c r="K3047" s="458" t="s">
        <v>225</v>
      </c>
      <c r="L3047" s="1128">
        <f>M3047+N3047+O3047+P3047+Q3047+M3048+N3048+O3048+P3048+Q3048</f>
        <v>5106283</v>
      </c>
      <c r="M3047" s="529">
        <f>J3047*20000</f>
        <v>960000</v>
      </c>
      <c r="N3047" s="391">
        <v>25000</v>
      </c>
      <c r="O3047" s="530"/>
      <c r="P3047" s="391"/>
      <c r="Q3047" s="391">
        <v>15033</v>
      </c>
      <c r="R3047" s="528">
        <f>M3047/J3047</f>
        <v>20000</v>
      </c>
      <c r="S3047" s="487"/>
      <c r="T3047" s="398"/>
      <c r="U3047" s="414"/>
    </row>
    <row r="3048" spans="1:28" s="416" customFormat="1" ht="37.5" customHeight="1">
      <c r="A3048" s="1125"/>
      <c r="B3048" s="403"/>
      <c r="C3048" s="455"/>
      <c r="D3048" s="487"/>
      <c r="E3048" s="391"/>
      <c r="F3048" s="391"/>
      <c r="G3048" s="391"/>
      <c r="H3048" s="528"/>
      <c r="I3048" s="528"/>
      <c r="J3048" s="528"/>
      <c r="K3048" s="458" t="s">
        <v>364</v>
      </c>
      <c r="L3048" s="1128"/>
      <c r="M3048" s="529">
        <v>4000000</v>
      </c>
      <c r="N3048" s="391">
        <v>106250</v>
      </c>
      <c r="O3048" s="530"/>
      <c r="P3048" s="391"/>
      <c r="Q3048" s="391"/>
      <c r="R3048" s="528">
        <f>M3048/2</f>
        <v>2000000</v>
      </c>
      <c r="S3048" s="487"/>
      <c r="T3048" s="398"/>
      <c r="U3048" s="414"/>
      <c r="V3048" s="390"/>
    </row>
    <row r="3049" spans="1:28" s="416" customFormat="1" ht="37.5" customHeight="1">
      <c r="A3049" s="414">
        <f>A3047+1</f>
        <v>74</v>
      </c>
      <c r="B3049" s="403" t="s">
        <v>2631</v>
      </c>
      <c r="C3049" s="455" t="s">
        <v>218</v>
      </c>
      <c r="D3049" s="487">
        <v>11925</v>
      </c>
      <c r="E3049" s="391">
        <v>2250</v>
      </c>
      <c r="F3049" s="391" t="s">
        <v>234</v>
      </c>
      <c r="G3049" s="391">
        <v>377</v>
      </c>
      <c r="H3049" s="528">
        <v>12</v>
      </c>
      <c r="I3049" s="528">
        <v>1</v>
      </c>
      <c r="J3049" s="528">
        <v>48</v>
      </c>
      <c r="K3049" s="458" t="s">
        <v>364</v>
      </c>
      <c r="L3049" s="529">
        <f t="shared" ref="L3049:L3056" si="451">M3049+N3049+O3049+P3049+Q3049</f>
        <v>4106250</v>
      </c>
      <c r="M3049" s="529">
        <v>4000000</v>
      </c>
      <c r="N3049" s="391">
        <v>106250</v>
      </c>
      <c r="O3049" s="530"/>
      <c r="P3049" s="391"/>
      <c r="Q3049" s="391"/>
      <c r="R3049" s="528">
        <v>2200000</v>
      </c>
      <c r="S3049" s="487"/>
      <c r="T3049" s="398"/>
      <c r="U3049" s="414"/>
    </row>
    <row r="3050" spans="1:28" s="416" customFormat="1" ht="37.5" customHeight="1">
      <c r="A3050" s="414">
        <f>A3049+1</f>
        <v>75</v>
      </c>
      <c r="B3050" s="888" t="s">
        <v>2632</v>
      </c>
      <c r="C3050" s="455" t="s">
        <v>218</v>
      </c>
      <c r="D3050" s="545">
        <v>12910</v>
      </c>
      <c r="E3050" s="391">
        <v>2592</v>
      </c>
      <c r="F3050" s="388" t="s">
        <v>234</v>
      </c>
      <c r="G3050" s="391">
        <v>415</v>
      </c>
      <c r="H3050" s="528">
        <v>12</v>
      </c>
      <c r="I3050" s="528">
        <v>1</v>
      </c>
      <c r="J3050" s="528">
        <v>48</v>
      </c>
      <c r="K3050" s="458" t="s">
        <v>364</v>
      </c>
      <c r="L3050" s="529">
        <f t="shared" si="451"/>
        <v>4106250</v>
      </c>
      <c r="M3050" s="519">
        <v>4000000</v>
      </c>
      <c r="N3050" s="550">
        <v>106250</v>
      </c>
      <c r="O3050" s="530"/>
      <c r="P3050" s="388"/>
      <c r="Q3050" s="388"/>
      <c r="R3050" s="528">
        <v>2200000</v>
      </c>
      <c r="S3050" s="487"/>
      <c r="T3050" s="398"/>
      <c r="U3050" s="414"/>
    </row>
    <row r="3051" spans="1:28" s="478" customFormat="1" ht="61.5" customHeight="1">
      <c r="A3051" s="414">
        <f t="shared" ref="A3051:A3057" si="452">A3050+1</f>
        <v>76</v>
      </c>
      <c r="B3051" s="379" t="s">
        <v>3302</v>
      </c>
      <c r="C3051" s="802" t="s">
        <v>218</v>
      </c>
      <c r="D3051" s="494">
        <v>10824</v>
      </c>
      <c r="E3051" s="803">
        <v>2250</v>
      </c>
      <c r="F3051" s="804" t="s">
        <v>234</v>
      </c>
      <c r="G3051" s="805">
        <v>400</v>
      </c>
      <c r="H3051" s="806">
        <v>9</v>
      </c>
      <c r="I3051" s="806">
        <v>1</v>
      </c>
      <c r="J3051" s="807">
        <v>103</v>
      </c>
      <c r="K3051" s="386" t="s">
        <v>220</v>
      </c>
      <c r="L3051" s="529">
        <f t="shared" si="451"/>
        <v>2085000</v>
      </c>
      <c r="M3051" s="384">
        <v>2000000</v>
      </c>
      <c r="N3051" s="391">
        <v>85000</v>
      </c>
      <c r="O3051" s="530"/>
      <c r="P3051" s="391"/>
      <c r="Q3051" s="391"/>
      <c r="R3051" s="446">
        <f>M3051/I3051</f>
        <v>2000000</v>
      </c>
      <c r="S3051" s="390"/>
      <c r="T3051" s="390"/>
      <c r="U3051" s="404"/>
      <c r="V3051" s="461"/>
      <c r="W3051" s="461"/>
      <c r="X3051" s="461"/>
      <c r="Y3051" s="485"/>
      <c r="Z3051" s="994"/>
      <c r="AB3051" s="461"/>
    </row>
    <row r="3052" spans="1:28" s="478" customFormat="1" ht="61.5" customHeight="1">
      <c r="A3052" s="414">
        <f t="shared" si="452"/>
        <v>77</v>
      </c>
      <c r="B3052" s="379" t="s">
        <v>3745</v>
      </c>
      <c r="C3052" s="802" t="s">
        <v>218</v>
      </c>
      <c r="D3052" s="494">
        <v>30739</v>
      </c>
      <c r="E3052" s="803">
        <v>6804</v>
      </c>
      <c r="F3052" s="804" t="s">
        <v>234</v>
      </c>
      <c r="G3052" s="805">
        <v>1364</v>
      </c>
      <c r="H3052" s="806">
        <v>9</v>
      </c>
      <c r="I3052" s="806">
        <v>4</v>
      </c>
      <c r="J3052" s="807">
        <v>420</v>
      </c>
      <c r="K3052" s="386" t="s">
        <v>220</v>
      </c>
      <c r="L3052" s="529">
        <f t="shared" si="451"/>
        <v>8148750</v>
      </c>
      <c r="M3052" s="384">
        <v>8000000</v>
      </c>
      <c r="N3052" s="391">
        <v>148750</v>
      </c>
      <c r="O3052" s="530"/>
      <c r="P3052" s="391"/>
      <c r="Q3052" s="391"/>
      <c r="R3052" s="446">
        <f>M3052/I3052</f>
        <v>2000000</v>
      </c>
      <c r="S3052" s="390"/>
      <c r="T3052" s="390"/>
      <c r="U3052" s="404"/>
      <c r="V3052" s="461"/>
      <c r="W3052" s="461"/>
      <c r="X3052" s="461"/>
      <c r="Y3052" s="485"/>
      <c r="Z3052" s="994"/>
      <c r="AB3052" s="461"/>
    </row>
    <row r="3053" spans="1:28" s="416" customFormat="1" ht="37.5" customHeight="1">
      <c r="A3053" s="414">
        <f t="shared" si="452"/>
        <v>78</v>
      </c>
      <c r="B3053" s="888" t="s">
        <v>2634</v>
      </c>
      <c r="C3053" s="455" t="s">
        <v>218</v>
      </c>
      <c r="D3053" s="545">
        <v>11964</v>
      </c>
      <c r="E3053" s="391">
        <v>2592</v>
      </c>
      <c r="F3053" s="388" t="s">
        <v>234</v>
      </c>
      <c r="G3053" s="391">
        <v>355</v>
      </c>
      <c r="H3053" s="528">
        <v>12</v>
      </c>
      <c r="I3053" s="528">
        <v>1</v>
      </c>
      <c r="J3053" s="528">
        <v>48</v>
      </c>
      <c r="K3053" s="458" t="s">
        <v>364</v>
      </c>
      <c r="L3053" s="529">
        <f t="shared" si="451"/>
        <v>4106250</v>
      </c>
      <c r="M3053" s="519">
        <v>4000000</v>
      </c>
      <c r="N3053" s="550">
        <v>106250</v>
      </c>
      <c r="O3053" s="530"/>
      <c r="P3053" s="388"/>
      <c r="Q3053" s="388"/>
      <c r="R3053" s="528">
        <v>2200000</v>
      </c>
      <c r="S3053" s="487"/>
      <c r="T3053" s="398"/>
      <c r="U3053" s="414"/>
    </row>
    <row r="3054" spans="1:28" s="478" customFormat="1" ht="61.5" customHeight="1">
      <c r="A3054" s="414">
        <f t="shared" si="452"/>
        <v>79</v>
      </c>
      <c r="B3054" s="379" t="s">
        <v>4118</v>
      </c>
      <c r="C3054" s="802" t="s">
        <v>218</v>
      </c>
      <c r="D3054" s="494">
        <v>15815</v>
      </c>
      <c r="E3054" s="803">
        <v>1146.9000000000001</v>
      </c>
      <c r="F3054" s="804" t="s">
        <v>234</v>
      </c>
      <c r="G3054" s="805">
        <v>686</v>
      </c>
      <c r="H3054" s="806">
        <v>9</v>
      </c>
      <c r="I3054" s="806">
        <v>2</v>
      </c>
      <c r="J3054" s="807">
        <v>72</v>
      </c>
      <c r="K3054" s="386" t="s">
        <v>220</v>
      </c>
      <c r="L3054" s="529">
        <f t="shared" si="451"/>
        <v>4106250</v>
      </c>
      <c r="M3054" s="384">
        <v>4000000</v>
      </c>
      <c r="N3054" s="391">
        <v>106250</v>
      </c>
      <c r="O3054" s="530"/>
      <c r="P3054" s="391"/>
      <c r="Q3054" s="391"/>
      <c r="R3054" s="446">
        <f>M3054/I3054</f>
        <v>2000000</v>
      </c>
      <c r="S3054" s="390"/>
      <c r="T3054" s="390"/>
      <c r="U3054" s="404"/>
      <c r="V3054" s="461"/>
      <c r="W3054" s="461"/>
      <c r="X3054" s="461"/>
      <c r="Y3054" s="485"/>
      <c r="Z3054" s="994"/>
      <c r="AB3054" s="461"/>
    </row>
    <row r="3055" spans="1:28" s="478" customFormat="1" ht="61.5" customHeight="1">
      <c r="A3055" s="414">
        <f t="shared" si="452"/>
        <v>80</v>
      </c>
      <c r="B3055" s="379" t="s">
        <v>681</v>
      </c>
      <c r="C3055" s="802" t="s">
        <v>218</v>
      </c>
      <c r="D3055" s="494">
        <v>25735</v>
      </c>
      <c r="E3055" s="803">
        <v>4266</v>
      </c>
      <c r="F3055" s="804" t="s">
        <v>234</v>
      </c>
      <c r="G3055" s="805">
        <v>1011</v>
      </c>
      <c r="H3055" s="806">
        <v>9</v>
      </c>
      <c r="I3055" s="806">
        <v>3</v>
      </c>
      <c r="J3055" s="807">
        <v>107</v>
      </c>
      <c r="K3055" s="386" t="s">
        <v>220</v>
      </c>
      <c r="L3055" s="529">
        <f t="shared" si="451"/>
        <v>6127500</v>
      </c>
      <c r="M3055" s="384">
        <v>6000000</v>
      </c>
      <c r="N3055" s="391">
        <v>127500</v>
      </c>
      <c r="O3055" s="530"/>
      <c r="P3055" s="391"/>
      <c r="Q3055" s="391"/>
      <c r="R3055" s="446">
        <f>M3055/I3055</f>
        <v>2000000</v>
      </c>
      <c r="S3055" s="390"/>
      <c r="T3055" s="390"/>
      <c r="U3055" s="404"/>
      <c r="V3055" s="461"/>
      <c r="W3055" s="461"/>
      <c r="X3055" s="461"/>
      <c r="Y3055" s="485"/>
      <c r="Z3055" s="994"/>
      <c r="AB3055" s="461"/>
    </row>
    <row r="3056" spans="1:28" s="976" customFormat="1" ht="37.5" customHeight="1">
      <c r="A3056" s="414">
        <f t="shared" si="452"/>
        <v>81</v>
      </c>
      <c r="B3056" s="403" t="s">
        <v>686</v>
      </c>
      <c r="C3056" s="455" t="s">
        <v>272</v>
      </c>
      <c r="D3056" s="446">
        <v>27781</v>
      </c>
      <c r="E3056" s="388">
        <v>7104</v>
      </c>
      <c r="F3056" s="391" t="s">
        <v>234</v>
      </c>
      <c r="G3056" s="388">
        <v>699.1</v>
      </c>
      <c r="H3056" s="446">
        <v>9</v>
      </c>
      <c r="I3056" s="446">
        <v>2</v>
      </c>
      <c r="J3056" s="446">
        <v>226</v>
      </c>
      <c r="K3056" s="389" t="s">
        <v>364</v>
      </c>
      <c r="L3056" s="529">
        <f t="shared" si="451"/>
        <v>4106250</v>
      </c>
      <c r="M3056" s="519">
        <v>4000000</v>
      </c>
      <c r="N3056" s="388">
        <v>106250</v>
      </c>
      <c r="O3056" s="385"/>
      <c r="P3056" s="383"/>
      <c r="Q3056" s="391"/>
      <c r="R3056" s="446">
        <f>M3056/I3056</f>
        <v>2000000</v>
      </c>
      <c r="S3056" s="388"/>
      <c r="T3056" s="389"/>
      <c r="U3056" s="492"/>
      <c r="V3056" s="390"/>
    </row>
    <row r="3057" spans="1:31" s="478" customFormat="1" ht="61.5" customHeight="1">
      <c r="A3057" s="414">
        <f t="shared" si="452"/>
        <v>82</v>
      </c>
      <c r="B3057" s="379" t="s">
        <v>3725</v>
      </c>
      <c r="C3057" s="376" t="s">
        <v>272</v>
      </c>
      <c r="D3057" s="382">
        <v>51687</v>
      </c>
      <c r="E3057" s="550">
        <v>6500</v>
      </c>
      <c r="F3057" s="886" t="s">
        <v>234</v>
      </c>
      <c r="G3057" s="550">
        <v>2215</v>
      </c>
      <c r="H3057" s="549">
        <v>9</v>
      </c>
      <c r="I3057" s="382">
        <v>5</v>
      </c>
      <c r="J3057" s="382">
        <v>270</v>
      </c>
      <c r="K3057" s="386" t="s">
        <v>220</v>
      </c>
      <c r="L3057" s="529">
        <f>M3057+N3057+O3057+P3057+Q3057+M3058+N3058+O3058+Q3058</f>
        <v>11732100</v>
      </c>
      <c r="M3057" s="384">
        <v>10000000</v>
      </c>
      <c r="N3057" s="391">
        <v>170000</v>
      </c>
      <c r="O3057" s="530"/>
      <c r="P3057" s="391"/>
      <c r="Q3057" s="391"/>
      <c r="R3057" s="446">
        <f>M3057/I3057</f>
        <v>2000000</v>
      </c>
      <c r="S3057" s="390"/>
      <c r="T3057" s="390"/>
      <c r="U3057" s="404"/>
      <c r="V3057" s="461"/>
      <c r="W3057" s="461"/>
      <c r="X3057" s="461"/>
      <c r="Y3057" s="485"/>
      <c r="Z3057" s="994"/>
      <c r="AB3057" s="461"/>
    </row>
    <row r="3058" spans="1:31" s="478" customFormat="1" ht="61.5" customHeight="1">
      <c r="A3058" s="827"/>
      <c r="B3058" s="379"/>
      <c r="C3058" s="376"/>
      <c r="D3058" s="382"/>
      <c r="E3058" s="550"/>
      <c r="F3058" s="886"/>
      <c r="G3058" s="550"/>
      <c r="H3058" s="549"/>
      <c r="I3058" s="382"/>
      <c r="J3058" s="382"/>
      <c r="K3058" s="386" t="s">
        <v>100</v>
      </c>
      <c r="L3058" s="529"/>
      <c r="M3058" s="529">
        <v>1500000</v>
      </c>
      <c r="N3058" s="391">
        <v>30000</v>
      </c>
      <c r="O3058" s="473"/>
      <c r="P3058" s="391"/>
      <c r="Q3058" s="391">
        <v>32100</v>
      </c>
      <c r="R3058" s="446"/>
      <c r="S3058" s="390"/>
      <c r="T3058" s="390"/>
      <c r="U3058" s="404"/>
      <c r="V3058" s="461"/>
      <c r="W3058" s="461"/>
      <c r="X3058" s="461"/>
      <c r="Y3058" s="485"/>
      <c r="Z3058" s="994"/>
      <c r="AB3058" s="461"/>
    </row>
    <row r="3059" spans="1:31" s="478" customFormat="1" ht="61.5" customHeight="1">
      <c r="A3059" s="827">
        <f>A3057+1</f>
        <v>83</v>
      </c>
      <c r="B3059" s="380" t="s">
        <v>4119</v>
      </c>
      <c r="C3059" s="382" t="s">
        <v>218</v>
      </c>
      <c r="D3059" s="382">
        <v>17772</v>
      </c>
      <c r="E3059" s="383">
        <v>2300</v>
      </c>
      <c r="F3059" s="383" t="s">
        <v>234</v>
      </c>
      <c r="G3059" s="383">
        <v>3905</v>
      </c>
      <c r="H3059" s="382">
        <v>12</v>
      </c>
      <c r="I3059" s="382">
        <v>1</v>
      </c>
      <c r="J3059" s="382">
        <v>48</v>
      </c>
      <c r="K3059" s="386" t="s">
        <v>220</v>
      </c>
      <c r="L3059" s="529">
        <f t="shared" ref="L3059:L3070" si="453">M3059+N3059+O3059+P3059+Q3059</f>
        <v>2285000</v>
      </c>
      <c r="M3059" s="384">
        <v>2200000</v>
      </c>
      <c r="N3059" s="391">
        <v>85000</v>
      </c>
      <c r="O3059" s="530"/>
      <c r="P3059" s="391"/>
      <c r="Q3059" s="391"/>
      <c r="R3059" s="491">
        <v>2200000</v>
      </c>
      <c r="S3059" s="390"/>
      <c r="T3059" s="390"/>
      <c r="U3059" s="404"/>
      <c r="V3059" s="461"/>
      <c r="W3059" s="461"/>
      <c r="X3059" s="461"/>
      <c r="Y3059" s="485"/>
      <c r="Z3059" s="994"/>
      <c r="AB3059" s="461"/>
    </row>
    <row r="3060" spans="1:31" s="478" customFormat="1" ht="61.5" customHeight="1">
      <c r="A3060" s="827">
        <f t="shared" ref="A3060:A3098" si="454">A3059+1</f>
        <v>84</v>
      </c>
      <c r="B3060" s="380" t="s">
        <v>4120</v>
      </c>
      <c r="C3060" s="382" t="s">
        <v>222</v>
      </c>
      <c r="D3060" s="382">
        <v>48587</v>
      </c>
      <c r="E3060" s="383">
        <v>5432.2</v>
      </c>
      <c r="F3060" s="383" t="s">
        <v>234</v>
      </c>
      <c r="G3060" s="383">
        <v>2128</v>
      </c>
      <c r="H3060" s="382">
        <v>9</v>
      </c>
      <c r="I3060" s="382">
        <v>4</v>
      </c>
      <c r="J3060" s="382">
        <v>136</v>
      </c>
      <c r="K3060" s="386" t="s">
        <v>220</v>
      </c>
      <c r="L3060" s="529">
        <f t="shared" si="453"/>
        <v>8148750</v>
      </c>
      <c r="M3060" s="384">
        <v>8000000</v>
      </c>
      <c r="N3060" s="391">
        <v>148750</v>
      </c>
      <c r="O3060" s="530"/>
      <c r="P3060" s="391"/>
      <c r="Q3060" s="391"/>
      <c r="R3060" s="446">
        <f>M3060/I3060</f>
        <v>2000000</v>
      </c>
      <c r="S3060" s="390"/>
      <c r="T3060" s="390"/>
      <c r="U3060" s="404"/>
      <c r="V3060" s="461"/>
      <c r="W3060" s="461"/>
      <c r="X3060" s="461"/>
      <c r="Y3060" s="485"/>
      <c r="Z3060" s="994"/>
      <c r="AB3060" s="461"/>
    </row>
    <row r="3061" spans="1:31" s="478" customFormat="1" ht="61.5" customHeight="1">
      <c r="A3061" s="827">
        <f t="shared" si="454"/>
        <v>85</v>
      </c>
      <c r="B3061" s="380" t="s">
        <v>4121</v>
      </c>
      <c r="C3061" s="382" t="s">
        <v>222</v>
      </c>
      <c r="D3061" s="382">
        <v>51012</v>
      </c>
      <c r="E3061" s="383">
        <v>5421.3</v>
      </c>
      <c r="F3061" s="383" t="s">
        <v>234</v>
      </c>
      <c r="G3061" s="383">
        <v>1555</v>
      </c>
      <c r="H3061" s="382">
        <v>10</v>
      </c>
      <c r="I3061" s="382">
        <v>4</v>
      </c>
      <c r="J3061" s="382">
        <v>136</v>
      </c>
      <c r="K3061" s="386" t="s">
        <v>220</v>
      </c>
      <c r="L3061" s="529">
        <f t="shared" si="453"/>
        <v>8948750</v>
      </c>
      <c r="M3061" s="384">
        <v>8800000</v>
      </c>
      <c r="N3061" s="391">
        <v>148750</v>
      </c>
      <c r="O3061" s="530"/>
      <c r="P3061" s="391"/>
      <c r="Q3061" s="391"/>
      <c r="R3061" s="491">
        <v>2200000</v>
      </c>
      <c r="S3061" s="390"/>
      <c r="T3061" s="390"/>
      <c r="U3061" s="404"/>
      <c r="V3061" s="461"/>
      <c r="W3061" s="461"/>
      <c r="X3061" s="461"/>
      <c r="Y3061" s="485"/>
      <c r="Z3061" s="994"/>
      <c r="AB3061" s="461"/>
    </row>
    <row r="3062" spans="1:31" s="478" customFormat="1" ht="61.5" customHeight="1">
      <c r="A3062" s="827">
        <f t="shared" si="454"/>
        <v>86</v>
      </c>
      <c r="B3062" s="380" t="s">
        <v>4122</v>
      </c>
      <c r="C3062" s="382" t="s">
        <v>222</v>
      </c>
      <c r="D3062" s="382">
        <v>12752</v>
      </c>
      <c r="E3062" s="383">
        <v>2668</v>
      </c>
      <c r="F3062" s="383" t="s">
        <v>234</v>
      </c>
      <c r="G3062" s="383">
        <v>439</v>
      </c>
      <c r="H3062" s="382">
        <v>9</v>
      </c>
      <c r="I3062" s="382">
        <v>1</v>
      </c>
      <c r="J3062" s="382">
        <v>32</v>
      </c>
      <c r="K3062" s="386" t="s">
        <v>220</v>
      </c>
      <c r="L3062" s="529">
        <f t="shared" si="453"/>
        <v>2085000</v>
      </c>
      <c r="M3062" s="384">
        <v>2000000</v>
      </c>
      <c r="N3062" s="391">
        <v>85000</v>
      </c>
      <c r="O3062" s="530"/>
      <c r="P3062" s="391"/>
      <c r="Q3062" s="391"/>
      <c r="R3062" s="446">
        <f t="shared" ref="R3062:R3070" si="455">M3062/I3062</f>
        <v>2000000</v>
      </c>
      <c r="S3062" s="390"/>
      <c r="T3062" s="390"/>
      <c r="U3062" s="404"/>
      <c r="V3062" s="461"/>
      <c r="W3062" s="461"/>
      <c r="X3062" s="461"/>
      <c r="Y3062" s="485"/>
      <c r="Z3062" s="994"/>
      <c r="AB3062" s="461"/>
    </row>
    <row r="3063" spans="1:31" s="478" customFormat="1" ht="61.5" customHeight="1">
      <c r="A3063" s="827">
        <f t="shared" si="454"/>
        <v>87</v>
      </c>
      <c r="B3063" s="380" t="s">
        <v>4123</v>
      </c>
      <c r="C3063" s="382" t="s">
        <v>222</v>
      </c>
      <c r="D3063" s="382">
        <v>12561</v>
      </c>
      <c r="E3063" s="383">
        <v>2688</v>
      </c>
      <c r="F3063" s="383" t="s">
        <v>234</v>
      </c>
      <c r="G3063" s="383">
        <v>441</v>
      </c>
      <c r="H3063" s="382">
        <v>9</v>
      </c>
      <c r="I3063" s="382">
        <v>1</v>
      </c>
      <c r="J3063" s="382">
        <v>32</v>
      </c>
      <c r="K3063" s="386" t="s">
        <v>220</v>
      </c>
      <c r="L3063" s="529">
        <f t="shared" si="453"/>
        <v>2085000</v>
      </c>
      <c r="M3063" s="384">
        <v>2000000</v>
      </c>
      <c r="N3063" s="391">
        <v>85000</v>
      </c>
      <c r="O3063" s="530"/>
      <c r="P3063" s="391"/>
      <c r="Q3063" s="391"/>
      <c r="R3063" s="446">
        <f t="shared" si="455"/>
        <v>2000000</v>
      </c>
      <c r="S3063" s="390"/>
      <c r="T3063" s="390"/>
      <c r="U3063" s="404"/>
      <c r="V3063" s="461"/>
      <c r="W3063" s="461"/>
      <c r="X3063" s="461"/>
      <c r="Y3063" s="485"/>
      <c r="Z3063" s="994"/>
      <c r="AB3063" s="461"/>
    </row>
    <row r="3064" spans="1:31" s="416" customFormat="1" ht="37.5" customHeight="1">
      <c r="A3064" s="827">
        <f t="shared" si="454"/>
        <v>88</v>
      </c>
      <c r="B3064" s="403" t="s">
        <v>2659</v>
      </c>
      <c r="C3064" s="455" t="s">
        <v>218</v>
      </c>
      <c r="D3064" s="487">
        <v>12066</v>
      </c>
      <c r="E3064" s="391">
        <v>1512</v>
      </c>
      <c r="F3064" s="391" t="s">
        <v>234</v>
      </c>
      <c r="G3064" s="391">
        <v>524.20000000000005</v>
      </c>
      <c r="H3064" s="528">
        <v>9</v>
      </c>
      <c r="I3064" s="528">
        <v>1</v>
      </c>
      <c r="J3064" s="528">
        <v>48</v>
      </c>
      <c r="K3064" s="458" t="s">
        <v>364</v>
      </c>
      <c r="L3064" s="529">
        <f t="shared" si="453"/>
        <v>2085000</v>
      </c>
      <c r="M3064" s="529">
        <v>2000000</v>
      </c>
      <c r="N3064" s="391">
        <v>85000</v>
      </c>
      <c r="O3064" s="530"/>
      <c r="P3064" s="391"/>
      <c r="Q3064" s="391"/>
      <c r="R3064" s="446">
        <f>M3064/I3064</f>
        <v>2000000</v>
      </c>
      <c r="S3064" s="487"/>
      <c r="T3064" s="398"/>
      <c r="U3064" s="414"/>
      <c r="V3064" s="390"/>
    </row>
    <row r="3065" spans="1:31" s="416" customFormat="1" ht="37.5" customHeight="1">
      <c r="A3065" s="827">
        <f t="shared" si="454"/>
        <v>89</v>
      </c>
      <c r="B3065" s="888" t="s">
        <v>2660</v>
      </c>
      <c r="C3065" s="455" t="s">
        <v>272</v>
      </c>
      <c r="D3065" s="545">
        <v>17190</v>
      </c>
      <c r="E3065" s="391">
        <v>3240</v>
      </c>
      <c r="F3065" s="391" t="s">
        <v>234</v>
      </c>
      <c r="G3065" s="391">
        <v>624</v>
      </c>
      <c r="H3065" s="528">
        <v>9</v>
      </c>
      <c r="I3065" s="528">
        <v>1</v>
      </c>
      <c r="J3065" s="528">
        <v>147</v>
      </c>
      <c r="K3065" s="458" t="s">
        <v>364</v>
      </c>
      <c r="L3065" s="529">
        <f t="shared" si="453"/>
        <v>2085000</v>
      </c>
      <c r="M3065" s="519">
        <v>2000000</v>
      </c>
      <c r="N3065" s="550">
        <v>85000</v>
      </c>
      <c r="O3065" s="530"/>
      <c r="P3065" s="388"/>
      <c r="Q3065" s="388"/>
      <c r="R3065" s="446">
        <f>M3065/I3065</f>
        <v>2000000</v>
      </c>
      <c r="S3065" s="487"/>
      <c r="T3065" s="398"/>
      <c r="U3065" s="414"/>
    </row>
    <row r="3066" spans="1:31" s="478" customFormat="1" ht="61.5" customHeight="1">
      <c r="A3066" s="827">
        <f t="shared" si="454"/>
        <v>90</v>
      </c>
      <c r="B3066" s="379" t="s">
        <v>4124</v>
      </c>
      <c r="C3066" s="802" t="s">
        <v>218</v>
      </c>
      <c r="D3066" s="494">
        <v>16550</v>
      </c>
      <c r="E3066" s="803">
        <v>1146.9000000000001</v>
      </c>
      <c r="F3066" s="804" t="s">
        <v>234</v>
      </c>
      <c r="G3066" s="805">
        <v>698</v>
      </c>
      <c r="H3066" s="806">
        <v>9</v>
      </c>
      <c r="I3066" s="806">
        <v>2</v>
      </c>
      <c r="J3066" s="807">
        <v>72</v>
      </c>
      <c r="K3066" s="386" t="s">
        <v>220</v>
      </c>
      <c r="L3066" s="529">
        <f t="shared" si="453"/>
        <v>4106250</v>
      </c>
      <c r="M3066" s="384">
        <v>4000000</v>
      </c>
      <c r="N3066" s="391">
        <v>106250</v>
      </c>
      <c r="O3066" s="530"/>
      <c r="P3066" s="391"/>
      <c r="Q3066" s="391"/>
      <c r="R3066" s="446">
        <f t="shared" si="455"/>
        <v>2000000</v>
      </c>
      <c r="S3066" s="390"/>
      <c r="T3066" s="390"/>
      <c r="U3066" s="404"/>
      <c r="V3066" s="461"/>
      <c r="W3066" s="461"/>
      <c r="X3066" s="461"/>
      <c r="Y3066" s="485"/>
      <c r="Z3066" s="994"/>
      <c r="AB3066" s="461"/>
    </row>
    <row r="3067" spans="1:31" s="478" customFormat="1" ht="61.5" customHeight="1">
      <c r="A3067" s="827">
        <f t="shared" si="454"/>
        <v>91</v>
      </c>
      <c r="B3067" s="379" t="s">
        <v>1727</v>
      </c>
      <c r="C3067" s="802" t="s">
        <v>218</v>
      </c>
      <c r="D3067" s="799">
        <v>46332</v>
      </c>
      <c r="E3067" s="803">
        <v>7495</v>
      </c>
      <c r="F3067" s="804" t="s">
        <v>234</v>
      </c>
      <c r="G3067" s="805">
        <v>1778</v>
      </c>
      <c r="H3067" s="806">
        <v>9</v>
      </c>
      <c r="I3067" s="806">
        <v>6</v>
      </c>
      <c r="J3067" s="807">
        <v>665</v>
      </c>
      <c r="K3067" s="386" t="s">
        <v>220</v>
      </c>
      <c r="L3067" s="529">
        <f t="shared" si="453"/>
        <v>12191250</v>
      </c>
      <c r="M3067" s="384">
        <v>12000000</v>
      </c>
      <c r="N3067" s="391">
        <v>191250</v>
      </c>
      <c r="O3067" s="530"/>
      <c r="P3067" s="391"/>
      <c r="Q3067" s="391"/>
      <c r="R3067" s="446">
        <f t="shared" si="455"/>
        <v>2000000</v>
      </c>
      <c r="S3067" s="390"/>
      <c r="T3067" s="390"/>
      <c r="U3067" s="404"/>
      <c r="V3067" s="461"/>
      <c r="W3067" s="461"/>
      <c r="X3067" s="461"/>
      <c r="Y3067" s="485"/>
      <c r="Z3067" s="994"/>
      <c r="AB3067" s="461"/>
    </row>
    <row r="3068" spans="1:31" s="478" customFormat="1" ht="61.5" customHeight="1">
      <c r="A3068" s="827">
        <f t="shared" si="454"/>
        <v>92</v>
      </c>
      <c r="B3068" s="379" t="s">
        <v>4125</v>
      </c>
      <c r="C3068" s="802" t="s">
        <v>218</v>
      </c>
      <c r="D3068" s="799">
        <v>30352</v>
      </c>
      <c r="E3068" s="803">
        <v>1944</v>
      </c>
      <c r="F3068" s="804" t="s">
        <v>234</v>
      </c>
      <c r="G3068" s="805">
        <v>1003</v>
      </c>
      <c r="H3068" s="806">
        <v>9</v>
      </c>
      <c r="I3068" s="806">
        <v>2</v>
      </c>
      <c r="J3068" s="807">
        <v>217</v>
      </c>
      <c r="K3068" s="386" t="s">
        <v>220</v>
      </c>
      <c r="L3068" s="529">
        <f t="shared" si="453"/>
        <v>4106250</v>
      </c>
      <c r="M3068" s="384">
        <v>4000000</v>
      </c>
      <c r="N3068" s="391">
        <v>106250</v>
      </c>
      <c r="O3068" s="530"/>
      <c r="P3068" s="391"/>
      <c r="Q3068" s="391"/>
      <c r="R3068" s="446">
        <f t="shared" si="455"/>
        <v>2000000</v>
      </c>
      <c r="S3068" s="390"/>
      <c r="T3068" s="390"/>
      <c r="U3068" s="404"/>
      <c r="V3068" s="461"/>
      <c r="W3068" s="461"/>
      <c r="X3068" s="461"/>
      <c r="Y3068" s="485"/>
      <c r="Z3068" s="994"/>
      <c r="AB3068" s="461"/>
    </row>
    <row r="3069" spans="1:31" s="478" customFormat="1" ht="61.5" customHeight="1">
      <c r="A3069" s="827">
        <f t="shared" si="454"/>
        <v>93</v>
      </c>
      <c r="B3069" s="380" t="s">
        <v>4135</v>
      </c>
      <c r="C3069" s="382" t="s">
        <v>218</v>
      </c>
      <c r="D3069" s="532">
        <v>44109</v>
      </c>
      <c r="E3069" s="886">
        <v>7580</v>
      </c>
      <c r="F3069" s="886" t="s">
        <v>234</v>
      </c>
      <c r="G3069" s="535">
        <v>1822</v>
      </c>
      <c r="H3069" s="382">
        <v>9</v>
      </c>
      <c r="I3069" s="382">
        <v>6</v>
      </c>
      <c r="J3069" s="820">
        <v>216</v>
      </c>
      <c r="K3069" s="386" t="s">
        <v>220</v>
      </c>
      <c r="L3069" s="529">
        <f t="shared" si="453"/>
        <v>12191250</v>
      </c>
      <c r="M3069" s="384">
        <v>12000000</v>
      </c>
      <c r="N3069" s="391">
        <v>191250</v>
      </c>
      <c r="O3069" s="530"/>
      <c r="P3069" s="391"/>
      <c r="Q3069" s="391"/>
      <c r="R3069" s="446">
        <f>M3069/I3069</f>
        <v>2000000</v>
      </c>
      <c r="S3069" s="390"/>
      <c r="T3069" s="390"/>
      <c r="U3069" s="404"/>
      <c r="V3069" s="461"/>
      <c r="W3069" s="461"/>
      <c r="X3069" s="461"/>
      <c r="Y3069" s="485"/>
      <c r="Z3069" s="994"/>
      <c r="AB3069" s="461"/>
    </row>
    <row r="3070" spans="1:31" s="478" customFormat="1" ht="61.5" customHeight="1">
      <c r="A3070" s="827">
        <f t="shared" si="454"/>
        <v>94</v>
      </c>
      <c r="B3070" s="379" t="s">
        <v>1737</v>
      </c>
      <c r="C3070" s="802" t="s">
        <v>218</v>
      </c>
      <c r="D3070" s="494">
        <v>16080</v>
      </c>
      <c r="E3070" s="803">
        <v>1608</v>
      </c>
      <c r="F3070" s="804" t="s">
        <v>234</v>
      </c>
      <c r="G3070" s="805">
        <v>683</v>
      </c>
      <c r="H3070" s="806">
        <v>9</v>
      </c>
      <c r="I3070" s="806">
        <v>2</v>
      </c>
      <c r="J3070" s="807">
        <v>193</v>
      </c>
      <c r="K3070" s="386" t="s">
        <v>220</v>
      </c>
      <c r="L3070" s="529">
        <f t="shared" si="453"/>
        <v>4106250</v>
      </c>
      <c r="M3070" s="384">
        <v>4000000</v>
      </c>
      <c r="N3070" s="391">
        <v>106250</v>
      </c>
      <c r="O3070" s="530"/>
      <c r="P3070" s="391"/>
      <c r="Q3070" s="391"/>
      <c r="R3070" s="446">
        <f t="shared" si="455"/>
        <v>2000000</v>
      </c>
      <c r="S3070" s="390"/>
      <c r="T3070" s="390"/>
      <c r="U3070" s="404"/>
      <c r="V3070" s="461"/>
      <c r="W3070" s="461"/>
      <c r="X3070" s="461"/>
      <c r="Y3070" s="485"/>
      <c r="Z3070" s="994"/>
      <c r="AB3070" s="461"/>
    </row>
    <row r="3071" spans="1:31" s="478" customFormat="1" ht="61.5" customHeight="1">
      <c r="A3071" s="827">
        <f t="shared" si="454"/>
        <v>95</v>
      </c>
      <c r="B3071" s="379" t="s">
        <v>1739</v>
      </c>
      <c r="C3071" s="802" t="s">
        <v>218</v>
      </c>
      <c r="D3071" s="494">
        <v>12495</v>
      </c>
      <c r="E3071" s="803">
        <v>2250</v>
      </c>
      <c r="F3071" s="804" t="s">
        <v>234</v>
      </c>
      <c r="G3071" s="805">
        <v>532</v>
      </c>
      <c r="H3071" s="806">
        <v>9</v>
      </c>
      <c r="I3071" s="806">
        <v>1</v>
      </c>
      <c r="J3071" s="807">
        <v>128</v>
      </c>
      <c r="K3071" s="386" t="s">
        <v>220</v>
      </c>
      <c r="L3071" s="529">
        <f t="shared" ref="L3071:L3088" si="456">M3071+N3071+O3071+P3071+Q3071</f>
        <v>2085000</v>
      </c>
      <c r="M3071" s="384">
        <v>2000000</v>
      </c>
      <c r="N3071" s="391">
        <v>85000</v>
      </c>
      <c r="O3071" s="530"/>
      <c r="P3071" s="391"/>
      <c r="Q3071" s="391"/>
      <c r="R3071" s="446">
        <f>M3071/I3071</f>
        <v>2000000</v>
      </c>
      <c r="S3071" s="390"/>
      <c r="T3071" s="390"/>
      <c r="U3071" s="404"/>
      <c r="V3071" s="461"/>
      <c r="W3071" s="461"/>
      <c r="X3071" s="461"/>
      <c r="Y3071" s="485"/>
      <c r="Z3071" s="994"/>
      <c r="AB3071" s="461"/>
    </row>
    <row r="3072" spans="1:31" s="977" customFormat="1" ht="37.5" customHeight="1">
      <c r="A3072" s="827">
        <f t="shared" si="454"/>
        <v>96</v>
      </c>
      <c r="B3072" s="888" t="s">
        <v>2668</v>
      </c>
      <c r="C3072" s="455" t="s">
        <v>218</v>
      </c>
      <c r="D3072" s="487">
        <v>24054</v>
      </c>
      <c r="E3072" s="388">
        <v>2250</v>
      </c>
      <c r="F3072" s="391" t="s">
        <v>234</v>
      </c>
      <c r="G3072" s="575" t="s">
        <v>409</v>
      </c>
      <c r="H3072" s="528">
        <v>9</v>
      </c>
      <c r="I3072" s="528">
        <v>2</v>
      </c>
      <c r="J3072" s="576">
        <v>144</v>
      </c>
      <c r="K3072" s="458" t="s">
        <v>364</v>
      </c>
      <c r="L3072" s="529">
        <f t="shared" si="456"/>
        <v>4142250</v>
      </c>
      <c r="M3072" s="529">
        <v>4036000</v>
      </c>
      <c r="N3072" s="601">
        <v>106250</v>
      </c>
      <c r="O3072" s="530"/>
      <c r="P3072" s="391"/>
      <c r="Q3072" s="391"/>
      <c r="R3072" s="528">
        <f>M3072/I3072</f>
        <v>2018000</v>
      </c>
      <c r="S3072" s="388"/>
      <c r="T3072" s="398"/>
      <c r="U3072" s="493"/>
      <c r="V3072" s="390"/>
      <c r="W3072" s="981"/>
      <c r="X3072" s="414"/>
      <c r="Y3072" s="825"/>
      <c r="Z3072" s="981"/>
      <c r="AB3072" s="414"/>
      <c r="AC3072" s="825"/>
      <c r="AD3072" s="414"/>
      <c r="AE3072" s="825"/>
    </row>
    <row r="3073" spans="1:31" s="478" customFormat="1" ht="61.5" customHeight="1">
      <c r="A3073" s="827">
        <f t="shared" si="454"/>
        <v>97</v>
      </c>
      <c r="B3073" s="379" t="s">
        <v>4127</v>
      </c>
      <c r="C3073" s="802" t="s">
        <v>218</v>
      </c>
      <c r="D3073" s="494">
        <v>16840</v>
      </c>
      <c r="E3073" s="803">
        <v>1146.9000000000001</v>
      </c>
      <c r="F3073" s="804" t="s">
        <v>234</v>
      </c>
      <c r="G3073" s="805">
        <v>694</v>
      </c>
      <c r="H3073" s="806">
        <v>9</v>
      </c>
      <c r="I3073" s="806">
        <v>2</v>
      </c>
      <c r="J3073" s="807">
        <v>69</v>
      </c>
      <c r="K3073" s="386" t="s">
        <v>220</v>
      </c>
      <c r="L3073" s="529">
        <f t="shared" si="456"/>
        <v>4106250</v>
      </c>
      <c r="M3073" s="384">
        <v>4000000</v>
      </c>
      <c r="N3073" s="391">
        <v>106250</v>
      </c>
      <c r="O3073" s="530"/>
      <c r="P3073" s="391"/>
      <c r="Q3073" s="391"/>
      <c r="R3073" s="446">
        <f>M3073/I3073</f>
        <v>2000000</v>
      </c>
      <c r="S3073" s="390"/>
      <c r="T3073" s="390"/>
      <c r="U3073" s="404"/>
      <c r="V3073" s="461"/>
      <c r="W3073" s="461"/>
      <c r="X3073" s="461"/>
      <c r="Y3073" s="485"/>
      <c r="Z3073" s="994"/>
      <c r="AB3073" s="461"/>
    </row>
    <row r="3074" spans="1:31" s="478" customFormat="1" ht="61.5" customHeight="1">
      <c r="A3074" s="827">
        <f t="shared" si="454"/>
        <v>98</v>
      </c>
      <c r="B3074" s="379" t="s">
        <v>4128</v>
      </c>
      <c r="C3074" s="802" t="s">
        <v>218</v>
      </c>
      <c r="D3074" s="494">
        <v>13174</v>
      </c>
      <c r="E3074" s="803">
        <v>1146.9000000000001</v>
      </c>
      <c r="F3074" s="804" t="s">
        <v>234</v>
      </c>
      <c r="G3074" s="805">
        <v>697</v>
      </c>
      <c r="H3074" s="806">
        <v>9</v>
      </c>
      <c r="I3074" s="806">
        <v>2</v>
      </c>
      <c r="J3074" s="807">
        <v>70</v>
      </c>
      <c r="K3074" s="386" t="s">
        <v>220</v>
      </c>
      <c r="L3074" s="529">
        <f t="shared" si="456"/>
        <v>4106250</v>
      </c>
      <c r="M3074" s="384">
        <v>4000000</v>
      </c>
      <c r="N3074" s="391">
        <v>106250</v>
      </c>
      <c r="O3074" s="530"/>
      <c r="P3074" s="391"/>
      <c r="Q3074" s="391"/>
      <c r="R3074" s="446">
        <f>M3074/I3074</f>
        <v>2000000</v>
      </c>
      <c r="S3074" s="390"/>
      <c r="T3074" s="390"/>
      <c r="U3074" s="404"/>
      <c r="V3074" s="461"/>
      <c r="W3074" s="461"/>
      <c r="X3074" s="461"/>
      <c r="Y3074" s="485"/>
      <c r="Z3074" s="994"/>
      <c r="AB3074" s="461"/>
    </row>
    <row r="3075" spans="1:31" s="977" customFormat="1" ht="37.5" customHeight="1">
      <c r="A3075" s="827">
        <f t="shared" si="454"/>
        <v>99</v>
      </c>
      <c r="B3075" s="403" t="s">
        <v>2670</v>
      </c>
      <c r="C3075" s="455" t="s">
        <v>218</v>
      </c>
      <c r="D3075" s="487">
        <v>16316</v>
      </c>
      <c r="E3075" s="391">
        <v>2592</v>
      </c>
      <c r="F3075" s="391" t="s">
        <v>234</v>
      </c>
      <c r="G3075" s="391">
        <v>490</v>
      </c>
      <c r="H3075" s="528">
        <v>12</v>
      </c>
      <c r="I3075" s="528">
        <v>1</v>
      </c>
      <c r="J3075" s="528">
        <v>47</v>
      </c>
      <c r="K3075" s="458" t="s">
        <v>364</v>
      </c>
      <c r="L3075" s="529">
        <f t="shared" si="456"/>
        <v>4142250</v>
      </c>
      <c r="M3075" s="529">
        <v>4036000</v>
      </c>
      <c r="N3075" s="391">
        <v>106250</v>
      </c>
      <c r="O3075" s="530"/>
      <c r="P3075" s="391"/>
      <c r="Q3075" s="391"/>
      <c r="R3075" s="528">
        <v>2200000</v>
      </c>
      <c r="S3075" s="388"/>
      <c r="T3075" s="398"/>
      <c r="U3075" s="493"/>
      <c r="V3075" s="390"/>
      <c r="W3075" s="981"/>
      <c r="X3075" s="414"/>
      <c r="Y3075" s="825"/>
      <c r="Z3075" s="981"/>
      <c r="AB3075" s="414"/>
      <c r="AC3075" s="825"/>
      <c r="AD3075" s="414"/>
      <c r="AE3075" s="825"/>
    </row>
    <row r="3076" spans="1:31" s="478" customFormat="1" ht="61.5" customHeight="1">
      <c r="A3076" s="827">
        <f t="shared" si="454"/>
        <v>100</v>
      </c>
      <c r="B3076" s="379" t="s">
        <v>4129</v>
      </c>
      <c r="C3076" s="802" t="s">
        <v>218</v>
      </c>
      <c r="D3076" s="802">
        <v>16560</v>
      </c>
      <c r="E3076" s="803">
        <v>1146.9000000000001</v>
      </c>
      <c r="F3076" s="804" t="s">
        <v>234</v>
      </c>
      <c r="G3076" s="805">
        <v>686</v>
      </c>
      <c r="H3076" s="806">
        <v>9</v>
      </c>
      <c r="I3076" s="806">
        <v>2</v>
      </c>
      <c r="J3076" s="807">
        <v>71</v>
      </c>
      <c r="K3076" s="386" t="s">
        <v>220</v>
      </c>
      <c r="L3076" s="529">
        <f t="shared" si="456"/>
        <v>4106250</v>
      </c>
      <c r="M3076" s="384">
        <v>4000000</v>
      </c>
      <c r="N3076" s="391">
        <v>106250</v>
      </c>
      <c r="O3076" s="530"/>
      <c r="P3076" s="391"/>
      <c r="Q3076" s="391"/>
      <c r="R3076" s="446">
        <f>M3076/I3076</f>
        <v>2000000</v>
      </c>
      <c r="S3076" s="390"/>
      <c r="T3076" s="390"/>
      <c r="U3076" s="404"/>
      <c r="V3076" s="461"/>
      <c r="W3076" s="461"/>
      <c r="X3076" s="461"/>
      <c r="Y3076" s="485"/>
      <c r="Z3076" s="994"/>
      <c r="AB3076" s="461"/>
    </row>
    <row r="3077" spans="1:31" s="478" customFormat="1" ht="61.5" customHeight="1">
      <c r="A3077" s="827">
        <f t="shared" si="454"/>
        <v>101</v>
      </c>
      <c r="B3077" s="379" t="s">
        <v>4130</v>
      </c>
      <c r="C3077" s="802" t="s">
        <v>218</v>
      </c>
      <c r="D3077" s="494">
        <v>15797</v>
      </c>
      <c r="E3077" s="803">
        <v>1146.9000000000001</v>
      </c>
      <c r="F3077" s="804" t="s">
        <v>234</v>
      </c>
      <c r="G3077" s="805">
        <v>687</v>
      </c>
      <c r="H3077" s="806">
        <v>9</v>
      </c>
      <c r="I3077" s="806">
        <v>2</v>
      </c>
      <c r="J3077" s="807">
        <v>72</v>
      </c>
      <c r="K3077" s="386" t="s">
        <v>220</v>
      </c>
      <c r="L3077" s="529">
        <f t="shared" si="456"/>
        <v>4106250</v>
      </c>
      <c r="M3077" s="384">
        <v>4000000</v>
      </c>
      <c r="N3077" s="391">
        <v>106250</v>
      </c>
      <c r="O3077" s="530"/>
      <c r="P3077" s="391"/>
      <c r="Q3077" s="391"/>
      <c r="R3077" s="446">
        <f>M3077/I3077</f>
        <v>2000000</v>
      </c>
      <c r="S3077" s="390"/>
      <c r="T3077" s="390"/>
      <c r="U3077" s="404"/>
      <c r="V3077" s="461"/>
      <c r="W3077" s="461"/>
      <c r="X3077" s="461"/>
      <c r="Y3077" s="485"/>
      <c r="Z3077" s="994"/>
      <c r="AB3077" s="461"/>
    </row>
    <row r="3078" spans="1:31" s="478" customFormat="1" ht="61.5" customHeight="1">
      <c r="A3078" s="827">
        <f t="shared" si="454"/>
        <v>102</v>
      </c>
      <c r="B3078" s="379" t="s">
        <v>4131</v>
      </c>
      <c r="C3078" s="802" t="s">
        <v>218</v>
      </c>
      <c r="D3078" s="893">
        <v>12561</v>
      </c>
      <c r="E3078" s="550">
        <v>600.1</v>
      </c>
      <c r="F3078" s="804" t="s">
        <v>234</v>
      </c>
      <c r="G3078" s="805">
        <v>398</v>
      </c>
      <c r="H3078" s="806">
        <v>12</v>
      </c>
      <c r="I3078" s="806">
        <v>2</v>
      </c>
      <c r="J3078" s="807">
        <v>48</v>
      </c>
      <c r="K3078" s="386" t="s">
        <v>220</v>
      </c>
      <c r="L3078" s="529">
        <f t="shared" si="456"/>
        <v>4506250</v>
      </c>
      <c r="M3078" s="384">
        <v>4400000</v>
      </c>
      <c r="N3078" s="391">
        <v>106250</v>
      </c>
      <c r="O3078" s="530"/>
      <c r="P3078" s="391"/>
      <c r="Q3078" s="391"/>
      <c r="R3078" s="491">
        <v>2200000</v>
      </c>
      <c r="S3078" s="390"/>
      <c r="T3078" s="390"/>
      <c r="U3078" s="404"/>
      <c r="V3078" s="461"/>
      <c r="W3078" s="461"/>
      <c r="X3078" s="461"/>
      <c r="Y3078" s="485"/>
      <c r="Z3078" s="994"/>
      <c r="AB3078" s="461"/>
    </row>
    <row r="3079" spans="1:31" s="977" customFormat="1" ht="37.5" customHeight="1">
      <c r="A3079" s="827">
        <f t="shared" si="454"/>
        <v>103</v>
      </c>
      <c r="B3079" s="888" t="s">
        <v>2671</v>
      </c>
      <c r="C3079" s="455" t="s">
        <v>218</v>
      </c>
      <c r="D3079" s="545">
        <v>12756</v>
      </c>
      <c r="E3079" s="391">
        <v>2592</v>
      </c>
      <c r="F3079" s="388" t="s">
        <v>234</v>
      </c>
      <c r="G3079" s="391">
        <v>410</v>
      </c>
      <c r="H3079" s="528">
        <v>12</v>
      </c>
      <c r="I3079" s="528">
        <v>1</v>
      </c>
      <c r="J3079" s="528">
        <v>48</v>
      </c>
      <c r="K3079" s="458" t="s">
        <v>364</v>
      </c>
      <c r="L3079" s="529">
        <f t="shared" si="456"/>
        <v>4106250</v>
      </c>
      <c r="M3079" s="519">
        <v>4000000</v>
      </c>
      <c r="N3079" s="550">
        <v>106250</v>
      </c>
      <c r="O3079" s="530"/>
      <c r="P3079" s="388"/>
      <c r="Q3079" s="388"/>
      <c r="R3079" s="528">
        <v>2200000</v>
      </c>
      <c r="S3079" s="388"/>
      <c r="T3079" s="398"/>
      <c r="U3079" s="493"/>
      <c r="V3079" s="390"/>
      <c r="W3079" s="981"/>
      <c r="X3079" s="414"/>
      <c r="Y3079" s="825"/>
      <c r="Z3079" s="981"/>
      <c r="AB3079" s="414"/>
      <c r="AC3079" s="825"/>
      <c r="AD3079" s="414"/>
      <c r="AE3079" s="825"/>
    </row>
    <row r="3080" spans="1:31" s="977" customFormat="1" ht="37.5" customHeight="1">
      <c r="A3080" s="827">
        <f t="shared" si="454"/>
        <v>104</v>
      </c>
      <c r="B3080" s="888" t="s">
        <v>2672</v>
      </c>
      <c r="C3080" s="455" t="s">
        <v>218</v>
      </c>
      <c r="D3080" s="545">
        <v>12368</v>
      </c>
      <c r="E3080" s="391">
        <v>2592</v>
      </c>
      <c r="F3080" s="388" t="s">
        <v>234</v>
      </c>
      <c r="G3080" s="391">
        <v>391</v>
      </c>
      <c r="H3080" s="528">
        <v>12</v>
      </c>
      <c r="I3080" s="528">
        <v>1</v>
      </c>
      <c r="J3080" s="528">
        <v>47</v>
      </c>
      <c r="K3080" s="458" t="s">
        <v>364</v>
      </c>
      <c r="L3080" s="529">
        <f t="shared" si="456"/>
        <v>4106250</v>
      </c>
      <c r="M3080" s="519">
        <v>4000000</v>
      </c>
      <c r="N3080" s="550">
        <v>106250</v>
      </c>
      <c r="O3080" s="530"/>
      <c r="P3080" s="388"/>
      <c r="Q3080" s="388"/>
      <c r="R3080" s="528">
        <v>2200000</v>
      </c>
      <c r="S3080" s="388"/>
      <c r="T3080" s="398"/>
      <c r="U3080" s="493"/>
      <c r="V3080" s="390"/>
      <c r="W3080" s="981"/>
      <c r="X3080" s="414"/>
      <c r="Y3080" s="825"/>
      <c r="Z3080" s="981"/>
      <c r="AB3080" s="414"/>
      <c r="AC3080" s="825"/>
      <c r="AD3080" s="414"/>
      <c r="AE3080" s="825"/>
    </row>
    <row r="3081" spans="1:31" s="478" customFormat="1" ht="61.5" customHeight="1">
      <c r="A3081" s="827">
        <f t="shared" si="454"/>
        <v>105</v>
      </c>
      <c r="B3081" s="379" t="s">
        <v>4132</v>
      </c>
      <c r="C3081" s="802" t="s">
        <v>218</v>
      </c>
      <c r="D3081" s="494">
        <v>16212</v>
      </c>
      <c r="E3081" s="803">
        <v>1146.9000000000001</v>
      </c>
      <c r="F3081" s="804" t="s">
        <v>234</v>
      </c>
      <c r="G3081" s="805">
        <v>694</v>
      </c>
      <c r="H3081" s="806">
        <v>9</v>
      </c>
      <c r="I3081" s="806">
        <v>2</v>
      </c>
      <c r="J3081" s="807">
        <v>69</v>
      </c>
      <c r="K3081" s="386" t="s">
        <v>220</v>
      </c>
      <c r="L3081" s="529">
        <f t="shared" si="456"/>
        <v>4106250</v>
      </c>
      <c r="M3081" s="384">
        <v>4000000</v>
      </c>
      <c r="N3081" s="391">
        <v>106250</v>
      </c>
      <c r="O3081" s="530"/>
      <c r="P3081" s="391"/>
      <c r="Q3081" s="391"/>
      <c r="R3081" s="446">
        <f t="shared" ref="R3081:R3088" si="457">M3081/I3081</f>
        <v>2000000</v>
      </c>
      <c r="S3081" s="390"/>
      <c r="T3081" s="390"/>
      <c r="U3081" s="404"/>
      <c r="V3081" s="461"/>
      <c r="W3081" s="461"/>
      <c r="X3081" s="461"/>
      <c r="Y3081" s="485"/>
      <c r="Z3081" s="994"/>
      <c r="AB3081" s="461"/>
    </row>
    <row r="3082" spans="1:31" s="478" customFormat="1" ht="61.5" customHeight="1">
      <c r="A3082" s="827">
        <f t="shared" si="454"/>
        <v>106</v>
      </c>
      <c r="B3082" s="379" t="s">
        <v>4133</v>
      </c>
      <c r="C3082" s="802" t="s">
        <v>218</v>
      </c>
      <c r="D3082" s="494">
        <v>15600</v>
      </c>
      <c r="E3082" s="803">
        <v>1146.9000000000001</v>
      </c>
      <c r="F3082" s="804" t="s">
        <v>234</v>
      </c>
      <c r="G3082" s="805">
        <v>679</v>
      </c>
      <c r="H3082" s="806">
        <v>9</v>
      </c>
      <c r="I3082" s="806">
        <v>2</v>
      </c>
      <c r="J3082" s="807">
        <v>68</v>
      </c>
      <c r="K3082" s="386" t="s">
        <v>220</v>
      </c>
      <c r="L3082" s="529">
        <f t="shared" si="456"/>
        <v>4106250</v>
      </c>
      <c r="M3082" s="384">
        <v>4000000</v>
      </c>
      <c r="N3082" s="391">
        <v>106250</v>
      </c>
      <c r="O3082" s="530"/>
      <c r="P3082" s="391"/>
      <c r="Q3082" s="391"/>
      <c r="R3082" s="446">
        <f t="shared" si="457"/>
        <v>2000000</v>
      </c>
      <c r="S3082" s="390"/>
      <c r="T3082" s="390"/>
      <c r="U3082" s="404"/>
      <c r="V3082" s="461"/>
      <c r="W3082" s="461"/>
      <c r="X3082" s="461"/>
      <c r="Y3082" s="485"/>
      <c r="Z3082" s="994"/>
      <c r="AB3082" s="461"/>
    </row>
    <row r="3083" spans="1:31" s="478" customFormat="1" ht="61.5" customHeight="1">
      <c r="A3083" s="827">
        <f t="shared" si="454"/>
        <v>107</v>
      </c>
      <c r="B3083" s="379" t="s">
        <v>1740</v>
      </c>
      <c r="C3083" s="802" t="s">
        <v>218</v>
      </c>
      <c r="D3083" s="494">
        <v>7393</v>
      </c>
      <c r="E3083" s="803">
        <v>982</v>
      </c>
      <c r="F3083" s="804" t="s">
        <v>234</v>
      </c>
      <c r="G3083" s="805">
        <v>340</v>
      </c>
      <c r="H3083" s="806">
        <v>9</v>
      </c>
      <c r="I3083" s="806">
        <v>1</v>
      </c>
      <c r="J3083" s="807">
        <v>91</v>
      </c>
      <c r="K3083" s="386" t="s">
        <v>220</v>
      </c>
      <c r="L3083" s="529">
        <f t="shared" si="456"/>
        <v>2085000</v>
      </c>
      <c r="M3083" s="384">
        <v>2000000</v>
      </c>
      <c r="N3083" s="391">
        <v>85000</v>
      </c>
      <c r="O3083" s="530"/>
      <c r="P3083" s="391"/>
      <c r="Q3083" s="391"/>
      <c r="R3083" s="446">
        <f t="shared" si="457"/>
        <v>2000000</v>
      </c>
      <c r="S3083" s="390"/>
      <c r="T3083" s="390"/>
      <c r="U3083" s="404"/>
      <c r="V3083" s="461"/>
      <c r="W3083" s="461"/>
      <c r="X3083" s="461"/>
      <c r="Y3083" s="485"/>
      <c r="Z3083" s="994"/>
      <c r="AB3083" s="461"/>
    </row>
    <row r="3084" spans="1:31" s="478" customFormat="1" ht="61.5" customHeight="1">
      <c r="A3084" s="827">
        <f t="shared" si="454"/>
        <v>108</v>
      </c>
      <c r="B3084" s="379" t="s">
        <v>1741</v>
      </c>
      <c r="C3084" s="802" t="s">
        <v>218</v>
      </c>
      <c r="D3084" s="494">
        <v>16339</v>
      </c>
      <c r="E3084" s="803">
        <v>1633</v>
      </c>
      <c r="F3084" s="804" t="s">
        <v>234</v>
      </c>
      <c r="G3084" s="805">
        <v>689</v>
      </c>
      <c r="H3084" s="806">
        <v>9</v>
      </c>
      <c r="I3084" s="806">
        <v>2</v>
      </c>
      <c r="J3084" s="807">
        <v>221</v>
      </c>
      <c r="K3084" s="386" t="s">
        <v>220</v>
      </c>
      <c r="L3084" s="529">
        <f t="shared" si="456"/>
        <v>4106250</v>
      </c>
      <c r="M3084" s="384">
        <v>4000000</v>
      </c>
      <c r="N3084" s="391">
        <v>106250</v>
      </c>
      <c r="O3084" s="530"/>
      <c r="P3084" s="391"/>
      <c r="Q3084" s="391"/>
      <c r="R3084" s="446">
        <f t="shared" si="457"/>
        <v>2000000</v>
      </c>
      <c r="S3084" s="390"/>
      <c r="T3084" s="390"/>
      <c r="U3084" s="404"/>
      <c r="V3084" s="461"/>
      <c r="W3084" s="461"/>
      <c r="X3084" s="461"/>
      <c r="Y3084" s="485"/>
      <c r="Z3084" s="994"/>
      <c r="AB3084" s="461"/>
    </row>
    <row r="3085" spans="1:31" s="416" customFormat="1" ht="37.5" customHeight="1">
      <c r="A3085" s="827">
        <f t="shared" si="454"/>
        <v>109</v>
      </c>
      <c r="B3085" s="888" t="s">
        <v>1738</v>
      </c>
      <c r="C3085" s="455" t="s">
        <v>218</v>
      </c>
      <c r="D3085" s="487">
        <v>7743</v>
      </c>
      <c r="E3085" s="388">
        <v>1210</v>
      </c>
      <c r="F3085" s="388" t="s">
        <v>234</v>
      </c>
      <c r="G3085" s="575" t="s">
        <v>407</v>
      </c>
      <c r="H3085" s="528">
        <v>9</v>
      </c>
      <c r="I3085" s="528">
        <v>1</v>
      </c>
      <c r="J3085" s="576">
        <v>36</v>
      </c>
      <c r="K3085" s="458" t="s">
        <v>364</v>
      </c>
      <c r="L3085" s="529">
        <f t="shared" si="456"/>
        <v>2103000</v>
      </c>
      <c r="M3085" s="529">
        <v>2018000</v>
      </c>
      <c r="N3085" s="601">
        <v>85000</v>
      </c>
      <c r="O3085" s="530"/>
      <c r="P3085" s="391"/>
      <c r="Q3085" s="388"/>
      <c r="R3085" s="528">
        <f t="shared" si="457"/>
        <v>2018000</v>
      </c>
      <c r="S3085" s="487"/>
      <c r="T3085" s="398"/>
      <c r="U3085" s="414"/>
      <c r="V3085" s="390"/>
    </row>
    <row r="3086" spans="1:31" s="478" customFormat="1" ht="61.5" customHeight="1">
      <c r="A3086" s="827">
        <f t="shared" si="454"/>
        <v>110</v>
      </c>
      <c r="B3086" s="379" t="s">
        <v>4126</v>
      </c>
      <c r="C3086" s="802" t="s">
        <v>218</v>
      </c>
      <c r="D3086" s="494">
        <v>15710</v>
      </c>
      <c r="E3086" s="803">
        <v>1146.9000000000001</v>
      </c>
      <c r="F3086" s="804" t="s">
        <v>234</v>
      </c>
      <c r="G3086" s="805">
        <v>678</v>
      </c>
      <c r="H3086" s="806">
        <v>9</v>
      </c>
      <c r="I3086" s="806">
        <v>2</v>
      </c>
      <c r="J3086" s="807">
        <v>69</v>
      </c>
      <c r="K3086" s="386" t="s">
        <v>220</v>
      </c>
      <c r="L3086" s="529">
        <f t="shared" si="456"/>
        <v>4106250</v>
      </c>
      <c r="M3086" s="384">
        <v>4000000</v>
      </c>
      <c r="N3086" s="391">
        <v>106250</v>
      </c>
      <c r="O3086" s="530"/>
      <c r="P3086" s="391"/>
      <c r="Q3086" s="391"/>
      <c r="R3086" s="446">
        <f t="shared" si="457"/>
        <v>2000000</v>
      </c>
      <c r="S3086" s="390"/>
      <c r="T3086" s="390"/>
      <c r="U3086" s="404"/>
      <c r="V3086" s="461"/>
      <c r="W3086" s="461"/>
      <c r="X3086" s="461"/>
      <c r="Y3086" s="485"/>
      <c r="Z3086" s="994"/>
      <c r="AB3086" s="461"/>
    </row>
    <row r="3087" spans="1:31" s="416" customFormat="1" ht="37.5" customHeight="1">
      <c r="A3087" s="827">
        <f t="shared" si="454"/>
        <v>111</v>
      </c>
      <c r="B3087" s="888" t="s">
        <v>2675</v>
      </c>
      <c r="C3087" s="455" t="s">
        <v>218</v>
      </c>
      <c r="D3087" s="487">
        <v>4251</v>
      </c>
      <c r="E3087" s="388">
        <v>2250</v>
      </c>
      <c r="F3087" s="391" t="s">
        <v>234</v>
      </c>
      <c r="G3087" s="575" t="s">
        <v>410</v>
      </c>
      <c r="H3087" s="528">
        <v>9</v>
      </c>
      <c r="I3087" s="528">
        <v>1</v>
      </c>
      <c r="J3087" s="576">
        <v>72</v>
      </c>
      <c r="K3087" s="458" t="s">
        <v>364</v>
      </c>
      <c r="L3087" s="529">
        <f t="shared" si="456"/>
        <v>2103000</v>
      </c>
      <c r="M3087" s="529">
        <v>2018000</v>
      </c>
      <c r="N3087" s="601">
        <v>85000</v>
      </c>
      <c r="O3087" s="530"/>
      <c r="P3087" s="391"/>
      <c r="Q3087" s="388"/>
      <c r="R3087" s="528">
        <f t="shared" si="457"/>
        <v>2018000</v>
      </c>
      <c r="S3087" s="487"/>
      <c r="T3087" s="398"/>
      <c r="U3087" s="414"/>
      <c r="V3087" s="390"/>
    </row>
    <row r="3088" spans="1:31" s="416" customFormat="1" ht="37.5" customHeight="1">
      <c r="A3088" s="827">
        <f t="shared" si="454"/>
        <v>112</v>
      </c>
      <c r="B3088" s="888" t="s">
        <v>2676</v>
      </c>
      <c r="C3088" s="455" t="s">
        <v>218</v>
      </c>
      <c r="D3088" s="487">
        <v>11928</v>
      </c>
      <c r="E3088" s="388">
        <v>2250</v>
      </c>
      <c r="F3088" s="391" t="s">
        <v>234</v>
      </c>
      <c r="G3088" s="575" t="s">
        <v>411</v>
      </c>
      <c r="H3088" s="528">
        <v>9</v>
      </c>
      <c r="I3088" s="528">
        <v>1</v>
      </c>
      <c r="J3088" s="576">
        <v>72</v>
      </c>
      <c r="K3088" s="458" t="s">
        <v>364</v>
      </c>
      <c r="L3088" s="529">
        <f t="shared" si="456"/>
        <v>2103000</v>
      </c>
      <c r="M3088" s="529">
        <v>2018000</v>
      </c>
      <c r="N3088" s="601">
        <v>85000</v>
      </c>
      <c r="O3088" s="530"/>
      <c r="P3088" s="391"/>
      <c r="Q3088" s="388"/>
      <c r="R3088" s="528">
        <f t="shared" si="457"/>
        <v>2018000</v>
      </c>
      <c r="S3088" s="487"/>
      <c r="T3088" s="398"/>
      <c r="U3088" s="414"/>
      <c r="V3088" s="390"/>
    </row>
    <row r="3089" spans="1:31" s="478" customFormat="1" ht="61.5" customHeight="1">
      <c r="A3089" s="827">
        <f t="shared" si="454"/>
        <v>113</v>
      </c>
      <c r="B3089" s="379" t="s">
        <v>1743</v>
      </c>
      <c r="C3089" s="802" t="s">
        <v>218</v>
      </c>
      <c r="D3089" s="494">
        <v>15600</v>
      </c>
      <c r="E3089" s="803">
        <v>3240</v>
      </c>
      <c r="F3089" s="804" t="s">
        <v>234</v>
      </c>
      <c r="G3089" s="805">
        <v>679</v>
      </c>
      <c r="H3089" s="806">
        <v>9</v>
      </c>
      <c r="I3089" s="806">
        <v>2</v>
      </c>
      <c r="J3089" s="807">
        <v>168</v>
      </c>
      <c r="K3089" s="386" t="s">
        <v>220</v>
      </c>
      <c r="L3089" s="529">
        <f t="shared" ref="L3089:L3098" si="458">M3089+N3089+O3089+P3089+Q3089</f>
        <v>4106250</v>
      </c>
      <c r="M3089" s="384">
        <v>4000000</v>
      </c>
      <c r="N3089" s="391">
        <v>106250</v>
      </c>
      <c r="O3089" s="530"/>
      <c r="P3089" s="391"/>
      <c r="Q3089" s="391"/>
      <c r="R3089" s="446">
        <f t="shared" ref="R3089:R3098" si="459">M3089/I3089</f>
        <v>2000000</v>
      </c>
      <c r="S3089" s="390"/>
      <c r="T3089" s="390"/>
      <c r="U3089" s="404"/>
      <c r="V3089" s="461"/>
      <c r="W3089" s="461"/>
      <c r="X3089" s="461"/>
      <c r="Y3089" s="485"/>
      <c r="Z3089" s="994"/>
      <c r="AB3089" s="461"/>
    </row>
    <row r="3090" spans="1:31" s="478" customFormat="1" ht="61.5" customHeight="1">
      <c r="A3090" s="827">
        <f t="shared" si="454"/>
        <v>114</v>
      </c>
      <c r="B3090" s="379" t="s">
        <v>4134</v>
      </c>
      <c r="C3090" s="802" t="s">
        <v>297</v>
      </c>
      <c r="D3090" s="802">
        <v>15565</v>
      </c>
      <c r="E3090" s="803">
        <v>3240</v>
      </c>
      <c r="F3090" s="804" t="s">
        <v>234</v>
      </c>
      <c r="G3090" s="805">
        <v>677</v>
      </c>
      <c r="H3090" s="806">
        <v>9</v>
      </c>
      <c r="I3090" s="806">
        <v>2</v>
      </c>
      <c r="J3090" s="807">
        <v>70</v>
      </c>
      <c r="K3090" s="386" t="s">
        <v>220</v>
      </c>
      <c r="L3090" s="529">
        <f t="shared" si="458"/>
        <v>4106250</v>
      </c>
      <c r="M3090" s="384">
        <v>4000000</v>
      </c>
      <c r="N3090" s="391">
        <v>106250</v>
      </c>
      <c r="O3090" s="530"/>
      <c r="P3090" s="391"/>
      <c r="Q3090" s="391"/>
      <c r="R3090" s="446">
        <f t="shared" si="459"/>
        <v>2000000</v>
      </c>
      <c r="S3090" s="390"/>
      <c r="T3090" s="390"/>
      <c r="U3090" s="404"/>
      <c r="V3090" s="461"/>
      <c r="W3090" s="461"/>
      <c r="X3090" s="461"/>
      <c r="Y3090" s="485"/>
      <c r="Z3090" s="994"/>
      <c r="AB3090" s="461"/>
    </row>
    <row r="3091" spans="1:31" s="478" customFormat="1" ht="61.5" customHeight="1">
      <c r="A3091" s="827">
        <f t="shared" si="454"/>
        <v>115</v>
      </c>
      <c r="B3091" s="379" t="s">
        <v>4136</v>
      </c>
      <c r="C3091" s="376" t="s">
        <v>218</v>
      </c>
      <c r="D3091" s="772">
        <v>60318</v>
      </c>
      <c r="E3091" s="383">
        <v>10049</v>
      </c>
      <c r="F3091" s="533" t="s">
        <v>4037</v>
      </c>
      <c r="G3091" s="383">
        <v>2663</v>
      </c>
      <c r="H3091" s="382">
        <v>9</v>
      </c>
      <c r="I3091" s="382">
        <v>7</v>
      </c>
      <c r="J3091" s="382">
        <v>252</v>
      </c>
      <c r="K3091" s="386" t="s">
        <v>220</v>
      </c>
      <c r="L3091" s="529">
        <f t="shared" si="458"/>
        <v>14212500</v>
      </c>
      <c r="M3091" s="384">
        <v>14000000</v>
      </c>
      <c r="N3091" s="391">
        <v>212500</v>
      </c>
      <c r="O3091" s="530"/>
      <c r="P3091" s="391"/>
      <c r="Q3091" s="391"/>
      <c r="R3091" s="446">
        <f t="shared" si="459"/>
        <v>2000000</v>
      </c>
      <c r="S3091" s="390"/>
      <c r="T3091" s="390"/>
      <c r="U3091" s="404"/>
      <c r="V3091" s="461"/>
      <c r="W3091" s="461"/>
      <c r="X3091" s="461"/>
      <c r="Y3091" s="485"/>
      <c r="Z3091" s="994"/>
      <c r="AB3091" s="461"/>
    </row>
    <row r="3092" spans="1:31" s="416" customFormat="1" ht="37.5" customHeight="1">
      <c r="A3092" s="827">
        <f t="shared" si="454"/>
        <v>116</v>
      </c>
      <c r="B3092" s="403" t="s">
        <v>2690</v>
      </c>
      <c r="C3092" s="455" t="s">
        <v>218</v>
      </c>
      <c r="D3092" s="487">
        <v>25151</v>
      </c>
      <c r="E3092" s="391">
        <v>2016</v>
      </c>
      <c r="F3092" s="391" t="s">
        <v>234</v>
      </c>
      <c r="G3092" s="391">
        <v>824.5</v>
      </c>
      <c r="H3092" s="528">
        <v>12</v>
      </c>
      <c r="I3092" s="528">
        <v>1</v>
      </c>
      <c r="J3092" s="528">
        <v>59</v>
      </c>
      <c r="K3092" s="458" t="s">
        <v>364</v>
      </c>
      <c r="L3092" s="529">
        <f t="shared" si="458"/>
        <v>4106250</v>
      </c>
      <c r="M3092" s="529">
        <v>4000000</v>
      </c>
      <c r="N3092" s="391">
        <v>106250</v>
      </c>
      <c r="O3092" s="530"/>
      <c r="P3092" s="391"/>
      <c r="Q3092" s="391"/>
      <c r="R3092" s="528">
        <v>2200000</v>
      </c>
      <c r="S3092" s="487"/>
      <c r="T3092" s="398"/>
      <c r="U3092" s="414"/>
    </row>
    <row r="3093" spans="1:31" s="416" customFormat="1" ht="37.5" customHeight="1">
      <c r="A3093" s="827">
        <f t="shared" si="454"/>
        <v>117</v>
      </c>
      <c r="B3093" s="403" t="s">
        <v>2693</v>
      </c>
      <c r="C3093" s="455" t="s">
        <v>272</v>
      </c>
      <c r="D3093" s="487">
        <v>25633</v>
      </c>
      <c r="E3093" s="391">
        <v>3125</v>
      </c>
      <c r="F3093" s="391" t="s">
        <v>234</v>
      </c>
      <c r="G3093" s="391">
        <v>824.5</v>
      </c>
      <c r="H3093" s="528">
        <v>12</v>
      </c>
      <c r="I3093" s="528">
        <v>1</v>
      </c>
      <c r="J3093" s="528">
        <v>58</v>
      </c>
      <c r="K3093" s="458" t="s">
        <v>364</v>
      </c>
      <c r="L3093" s="529">
        <f t="shared" si="458"/>
        <v>4106250</v>
      </c>
      <c r="M3093" s="529">
        <v>4000000</v>
      </c>
      <c r="N3093" s="391">
        <v>106250</v>
      </c>
      <c r="O3093" s="530"/>
      <c r="P3093" s="391"/>
      <c r="Q3093" s="391"/>
      <c r="R3093" s="528">
        <v>2200000</v>
      </c>
      <c r="S3093" s="487"/>
      <c r="T3093" s="398"/>
      <c r="U3093" s="414"/>
      <c r="V3093" s="390"/>
    </row>
    <row r="3094" spans="1:31" s="416" customFormat="1" ht="37.5" customHeight="1">
      <c r="A3094" s="827">
        <f t="shared" si="454"/>
        <v>118</v>
      </c>
      <c r="B3094" s="403" t="s">
        <v>2694</v>
      </c>
      <c r="C3094" s="455" t="s">
        <v>218</v>
      </c>
      <c r="D3094" s="487">
        <v>24921</v>
      </c>
      <c r="E3094" s="391">
        <v>2016</v>
      </c>
      <c r="F3094" s="391" t="s">
        <v>234</v>
      </c>
      <c r="G3094" s="391">
        <v>824.5</v>
      </c>
      <c r="H3094" s="528">
        <v>12</v>
      </c>
      <c r="I3094" s="528">
        <v>1</v>
      </c>
      <c r="J3094" s="528">
        <v>55</v>
      </c>
      <c r="K3094" s="458" t="s">
        <v>364</v>
      </c>
      <c r="L3094" s="529">
        <f t="shared" si="458"/>
        <v>4106250</v>
      </c>
      <c r="M3094" s="529">
        <v>4000000</v>
      </c>
      <c r="N3094" s="391">
        <v>106250</v>
      </c>
      <c r="O3094" s="530"/>
      <c r="P3094" s="391"/>
      <c r="Q3094" s="391"/>
      <c r="R3094" s="528">
        <v>2200000</v>
      </c>
      <c r="S3094" s="487"/>
      <c r="T3094" s="398"/>
      <c r="U3094" s="414"/>
      <c r="V3094" s="390"/>
    </row>
    <row r="3095" spans="1:31" s="416" customFormat="1" ht="37.5" customHeight="1">
      <c r="A3095" s="827">
        <f t="shared" si="454"/>
        <v>119</v>
      </c>
      <c r="B3095" s="403" t="s">
        <v>2695</v>
      </c>
      <c r="C3095" s="455" t="s">
        <v>218</v>
      </c>
      <c r="D3095" s="487">
        <v>24958</v>
      </c>
      <c r="E3095" s="391">
        <v>2016</v>
      </c>
      <c r="F3095" s="391" t="s">
        <v>234</v>
      </c>
      <c r="G3095" s="391">
        <v>963</v>
      </c>
      <c r="H3095" s="528">
        <v>12</v>
      </c>
      <c r="I3095" s="528">
        <v>2</v>
      </c>
      <c r="J3095" s="528">
        <v>59</v>
      </c>
      <c r="K3095" s="458" t="s">
        <v>364</v>
      </c>
      <c r="L3095" s="529">
        <f t="shared" si="458"/>
        <v>4142250</v>
      </c>
      <c r="M3095" s="529">
        <v>4036000</v>
      </c>
      <c r="N3095" s="391">
        <v>106250</v>
      </c>
      <c r="O3095" s="530"/>
      <c r="P3095" s="391"/>
      <c r="Q3095" s="391"/>
      <c r="R3095" s="528">
        <v>2200000</v>
      </c>
      <c r="S3095" s="487"/>
      <c r="T3095" s="398"/>
      <c r="U3095" s="414"/>
      <c r="V3095" s="390"/>
    </row>
    <row r="3096" spans="1:31" s="977" customFormat="1" ht="37.5" customHeight="1">
      <c r="A3096" s="827">
        <f t="shared" si="454"/>
        <v>120</v>
      </c>
      <c r="B3096" s="403" t="s">
        <v>2707</v>
      </c>
      <c r="C3096" s="455" t="s">
        <v>272</v>
      </c>
      <c r="D3096" s="487">
        <v>23853</v>
      </c>
      <c r="E3096" s="391">
        <v>5787.6</v>
      </c>
      <c r="F3096" s="391" t="s">
        <v>234</v>
      </c>
      <c r="G3096" s="391">
        <v>838</v>
      </c>
      <c r="H3096" s="528">
        <v>9</v>
      </c>
      <c r="I3096" s="528">
        <v>2</v>
      </c>
      <c r="J3096" s="528">
        <v>96</v>
      </c>
      <c r="K3096" s="458" t="s">
        <v>220</v>
      </c>
      <c r="L3096" s="529">
        <f t="shared" si="458"/>
        <v>4142250</v>
      </c>
      <c r="M3096" s="529">
        <v>4036000</v>
      </c>
      <c r="N3096" s="391">
        <v>106250</v>
      </c>
      <c r="O3096" s="530"/>
      <c r="P3096" s="391"/>
      <c r="Q3096" s="391"/>
      <c r="R3096" s="446">
        <f>M3096/I3096</f>
        <v>2018000</v>
      </c>
      <c r="S3096" s="495"/>
      <c r="T3096" s="398"/>
      <c r="U3096" s="390"/>
      <c r="V3096" s="390"/>
      <c r="W3096" s="981"/>
      <c r="X3096" s="414"/>
      <c r="Y3096" s="825"/>
      <c r="Z3096" s="981"/>
      <c r="AB3096" s="414"/>
      <c r="AC3096" s="825"/>
      <c r="AD3096" s="414"/>
      <c r="AE3096" s="825"/>
    </row>
    <row r="3097" spans="1:31" s="478" customFormat="1" ht="61.5" customHeight="1">
      <c r="A3097" s="827">
        <f t="shared" si="454"/>
        <v>121</v>
      </c>
      <c r="B3097" s="380" t="s">
        <v>4137</v>
      </c>
      <c r="C3097" s="382" t="s">
        <v>222</v>
      </c>
      <c r="D3097" s="382">
        <v>62142</v>
      </c>
      <c r="E3097" s="383">
        <v>7950</v>
      </c>
      <c r="F3097" s="383" t="s">
        <v>234</v>
      </c>
      <c r="G3097" s="383">
        <v>2732</v>
      </c>
      <c r="H3097" s="382">
        <v>9</v>
      </c>
      <c r="I3097" s="382">
        <v>5</v>
      </c>
      <c r="J3097" s="382">
        <v>250</v>
      </c>
      <c r="K3097" s="386" t="s">
        <v>220</v>
      </c>
      <c r="L3097" s="529">
        <f t="shared" si="458"/>
        <v>10170000</v>
      </c>
      <c r="M3097" s="384">
        <v>10000000</v>
      </c>
      <c r="N3097" s="391">
        <v>170000</v>
      </c>
      <c r="O3097" s="530"/>
      <c r="P3097" s="391"/>
      <c r="Q3097" s="391"/>
      <c r="R3097" s="446">
        <f t="shared" si="459"/>
        <v>2000000</v>
      </c>
      <c r="S3097" s="390"/>
      <c r="T3097" s="390"/>
      <c r="U3097" s="404"/>
      <c r="V3097" s="461"/>
      <c r="W3097" s="461"/>
      <c r="X3097" s="461"/>
      <c r="Y3097" s="485"/>
      <c r="Z3097" s="994"/>
      <c r="AB3097" s="461"/>
    </row>
    <row r="3098" spans="1:31" s="478" customFormat="1" ht="61.5" customHeight="1">
      <c r="A3098" s="827">
        <f t="shared" si="454"/>
        <v>122</v>
      </c>
      <c r="B3098" s="380" t="s">
        <v>4138</v>
      </c>
      <c r="C3098" s="382" t="s">
        <v>218</v>
      </c>
      <c r="D3098" s="382">
        <v>16395</v>
      </c>
      <c r="E3098" s="383">
        <v>2800</v>
      </c>
      <c r="F3098" s="383" t="s">
        <v>234</v>
      </c>
      <c r="G3098" s="383">
        <v>700</v>
      </c>
      <c r="H3098" s="382">
        <v>9</v>
      </c>
      <c r="I3098" s="382">
        <v>2</v>
      </c>
      <c r="J3098" s="382">
        <v>72</v>
      </c>
      <c r="K3098" s="386" t="s">
        <v>220</v>
      </c>
      <c r="L3098" s="529">
        <f t="shared" si="458"/>
        <v>4106250</v>
      </c>
      <c r="M3098" s="384">
        <v>4000000</v>
      </c>
      <c r="N3098" s="391">
        <v>106250</v>
      </c>
      <c r="O3098" s="530"/>
      <c r="P3098" s="391"/>
      <c r="Q3098" s="391"/>
      <c r="R3098" s="446">
        <f t="shared" si="459"/>
        <v>2000000</v>
      </c>
      <c r="S3098" s="390"/>
      <c r="T3098" s="390"/>
      <c r="U3098" s="404"/>
      <c r="V3098" s="461"/>
      <c r="W3098" s="461"/>
      <c r="X3098" s="461"/>
      <c r="Y3098" s="485"/>
      <c r="Z3098" s="994"/>
      <c r="AB3098" s="461"/>
    </row>
    <row r="3099" spans="1:31" s="478" customFormat="1" ht="61.5" customHeight="1">
      <c r="A3099" s="827">
        <f>A3098+1</f>
        <v>123</v>
      </c>
      <c r="B3099" s="379" t="s">
        <v>2725</v>
      </c>
      <c r="C3099" s="376" t="s">
        <v>218</v>
      </c>
      <c r="D3099" s="889">
        <v>13692</v>
      </c>
      <c r="E3099" s="886">
        <v>2300</v>
      </c>
      <c r="F3099" s="383" t="s">
        <v>234</v>
      </c>
      <c r="G3099" s="886">
        <v>423</v>
      </c>
      <c r="H3099" s="820">
        <v>12</v>
      </c>
      <c r="I3099" s="820">
        <v>1</v>
      </c>
      <c r="J3099" s="820">
        <v>48</v>
      </c>
      <c r="K3099" s="386" t="s">
        <v>220</v>
      </c>
      <c r="L3099" s="529">
        <f>M3099+N3099+O3099+P3099+Q3099+M3100+N3100+O3100+P3100+Q3100</f>
        <v>5417214.9000000004</v>
      </c>
      <c r="M3099" s="384">
        <v>4400000</v>
      </c>
      <c r="N3099" s="391">
        <v>106250</v>
      </c>
      <c r="O3099" s="530"/>
      <c r="P3099" s="391"/>
      <c r="Q3099" s="391"/>
      <c r="R3099" s="491">
        <v>2200000</v>
      </c>
      <c r="S3099" s="390"/>
      <c r="T3099" s="390"/>
      <c r="U3099" s="404"/>
      <c r="V3099" s="461"/>
      <c r="W3099" s="461"/>
      <c r="X3099" s="461"/>
      <c r="Y3099" s="485"/>
      <c r="Z3099" s="994"/>
      <c r="AB3099" s="461"/>
    </row>
    <row r="3100" spans="1:31" s="416" customFormat="1" ht="41.25" customHeight="1">
      <c r="A3100" s="414"/>
      <c r="B3100" s="403"/>
      <c r="C3100" s="455"/>
      <c r="D3100" s="487"/>
      <c r="E3100" s="391"/>
      <c r="F3100" s="391"/>
      <c r="G3100" s="391"/>
      <c r="H3100" s="528"/>
      <c r="I3100" s="528"/>
      <c r="J3100" s="528"/>
      <c r="K3100" s="458" t="s">
        <v>33</v>
      </c>
      <c r="L3100" s="529"/>
      <c r="M3100" s="529">
        <v>888300</v>
      </c>
      <c r="N3100" s="391"/>
      <c r="O3100" s="530">
        <f>M3100*0.003</f>
        <v>2664.9</v>
      </c>
      <c r="P3100" s="391"/>
      <c r="Q3100" s="391">
        <v>20000</v>
      </c>
      <c r="R3100" s="528">
        <f>M3100/G3099</f>
        <v>2100</v>
      </c>
      <c r="S3100" s="487"/>
      <c r="T3100" s="398">
        <f>M3100+N3100+O3100+Q3100</f>
        <v>910964.9</v>
      </c>
      <c r="U3100" s="414"/>
      <c r="V3100" s="390"/>
    </row>
    <row r="3101" spans="1:31" s="416" customFormat="1" ht="41.25" customHeight="1">
      <c r="A3101" s="414">
        <v>124</v>
      </c>
      <c r="B3101" s="403" t="s">
        <v>4385</v>
      </c>
      <c r="C3101" s="455" t="s">
        <v>222</v>
      </c>
      <c r="D3101" s="487">
        <v>2418</v>
      </c>
      <c r="E3101" s="391" t="s">
        <v>4239</v>
      </c>
      <c r="F3101" s="391">
        <v>435</v>
      </c>
      <c r="G3101" s="391">
        <v>9</v>
      </c>
      <c r="H3101" s="528">
        <v>1</v>
      </c>
      <c r="I3101" s="528">
        <v>49</v>
      </c>
      <c r="J3101" s="528"/>
      <c r="K3101" s="458" t="s">
        <v>220</v>
      </c>
      <c r="L3101" s="529">
        <f t="shared" ref="L3101" si="460">M3101+N3101+O3101+P3101+Q3101</f>
        <v>2285000</v>
      </c>
      <c r="M3101" s="388">
        <v>2200000</v>
      </c>
      <c r="N3101" s="388">
        <v>85000</v>
      </c>
      <c r="O3101" s="530"/>
      <c r="P3101" s="391"/>
      <c r="Q3101" s="391"/>
      <c r="R3101" s="528"/>
      <c r="S3101" s="487"/>
      <c r="T3101" s="398"/>
      <c r="U3101" s="414"/>
      <c r="V3101" s="390"/>
    </row>
    <row r="3102" spans="1:31" s="416" customFormat="1" ht="37.5" customHeight="1">
      <c r="A3102" s="414">
        <f>A3101+1</f>
        <v>125</v>
      </c>
      <c r="B3102" s="403" t="s">
        <v>2351</v>
      </c>
      <c r="C3102" s="455" t="s">
        <v>272</v>
      </c>
      <c r="D3102" s="811">
        <v>13727</v>
      </c>
      <c r="E3102" s="391">
        <v>3030</v>
      </c>
      <c r="F3102" s="391" t="s">
        <v>223</v>
      </c>
      <c r="G3102" s="391">
        <v>1150</v>
      </c>
      <c r="H3102" s="528">
        <v>5</v>
      </c>
      <c r="I3102" s="528">
        <v>4</v>
      </c>
      <c r="J3102" s="528">
        <v>78</v>
      </c>
      <c r="K3102" s="458" t="s">
        <v>225</v>
      </c>
      <c r="L3102" s="529">
        <f t="shared" ref="L3102:L3122" si="461">M3102+N3102+O3102+P3102+Q3102</f>
        <v>1292139</v>
      </c>
      <c r="M3102" s="529">
        <f>J3102*16000</f>
        <v>1248000</v>
      </c>
      <c r="N3102" s="391">
        <v>30000</v>
      </c>
      <c r="O3102" s="530"/>
      <c r="P3102" s="391"/>
      <c r="Q3102" s="391">
        <v>14139</v>
      </c>
      <c r="R3102" s="528">
        <f>M3102/J3102</f>
        <v>16000</v>
      </c>
      <c r="S3102" s="487"/>
      <c r="T3102" s="398"/>
      <c r="U3102" s="414"/>
    </row>
    <row r="3103" spans="1:31" s="416" customFormat="1" ht="37.5" customHeight="1">
      <c r="A3103" s="414">
        <f>A3102+1</f>
        <v>126</v>
      </c>
      <c r="B3103" s="403" t="s">
        <v>2355</v>
      </c>
      <c r="C3103" s="455" t="s">
        <v>218</v>
      </c>
      <c r="D3103" s="487">
        <v>15170</v>
      </c>
      <c r="E3103" s="391">
        <v>3100</v>
      </c>
      <c r="F3103" s="391" t="s">
        <v>234</v>
      </c>
      <c r="G3103" s="391">
        <v>651.9</v>
      </c>
      <c r="H3103" s="528">
        <v>9</v>
      </c>
      <c r="I3103" s="528">
        <v>2</v>
      </c>
      <c r="J3103" s="528">
        <v>72</v>
      </c>
      <c r="K3103" s="458" t="s">
        <v>33</v>
      </c>
      <c r="L3103" s="529">
        <f t="shared" si="461"/>
        <v>1196940.26</v>
      </c>
      <c r="M3103" s="529">
        <v>1173420</v>
      </c>
      <c r="N3103" s="391"/>
      <c r="O3103" s="530">
        <f t="shared" ref="O3103:O3110" si="462">M3103*0.3%</f>
        <v>3520.26</v>
      </c>
      <c r="P3103" s="391"/>
      <c r="Q3103" s="391">
        <v>20000</v>
      </c>
      <c r="R3103" s="528">
        <f>M3103/G3103</f>
        <v>1800</v>
      </c>
      <c r="S3103" s="487"/>
      <c r="T3103" s="398">
        <f>M3103+N3103+O3103+Q3103</f>
        <v>1196940.26</v>
      </c>
      <c r="U3103" s="414"/>
    </row>
    <row r="3104" spans="1:31" s="416" customFormat="1" ht="56.25" customHeight="1">
      <c r="A3104" s="414">
        <f>A3103+1</f>
        <v>127</v>
      </c>
      <c r="B3104" s="403" t="s">
        <v>2357</v>
      </c>
      <c r="C3104" s="455" t="s">
        <v>230</v>
      </c>
      <c r="D3104" s="487">
        <v>1292</v>
      </c>
      <c r="E3104" s="391">
        <v>580</v>
      </c>
      <c r="F3104" s="391" t="s">
        <v>314</v>
      </c>
      <c r="G3104" s="391">
        <v>297</v>
      </c>
      <c r="H3104" s="528">
        <v>2</v>
      </c>
      <c r="I3104" s="528">
        <v>1</v>
      </c>
      <c r="J3104" s="528">
        <v>8</v>
      </c>
      <c r="K3104" s="458" t="s">
        <v>30</v>
      </c>
      <c r="L3104" s="529">
        <f t="shared" si="461"/>
        <v>209546</v>
      </c>
      <c r="M3104" s="529">
        <f>SUM(J3104*25000)</f>
        <v>200000</v>
      </c>
      <c r="N3104" s="391"/>
      <c r="O3104" s="530">
        <f t="shared" si="462"/>
        <v>600</v>
      </c>
      <c r="P3104" s="391"/>
      <c r="Q3104" s="391">
        <v>8946</v>
      </c>
      <c r="R3104" s="528">
        <f>M3104/J3104</f>
        <v>25000</v>
      </c>
      <c r="S3104" s="487"/>
      <c r="T3104" s="398"/>
      <c r="U3104" s="414"/>
    </row>
    <row r="3105" spans="1:21" s="416" customFormat="1" ht="56.25" customHeight="1">
      <c r="A3105" s="414">
        <f t="shared" ref="A3105:A3168" si="463">A3104+1</f>
        <v>128</v>
      </c>
      <c r="B3105" s="403" t="s">
        <v>2358</v>
      </c>
      <c r="C3105" s="455" t="s">
        <v>272</v>
      </c>
      <c r="D3105" s="811">
        <v>12440</v>
      </c>
      <c r="E3105" s="391">
        <v>3030</v>
      </c>
      <c r="F3105" s="391" t="s">
        <v>223</v>
      </c>
      <c r="G3105" s="391">
        <v>1119</v>
      </c>
      <c r="H3105" s="528">
        <v>5</v>
      </c>
      <c r="I3105" s="528">
        <v>4</v>
      </c>
      <c r="J3105" s="528">
        <v>48</v>
      </c>
      <c r="K3105" s="458" t="s">
        <v>30</v>
      </c>
      <c r="L3105" s="529">
        <f t="shared" si="461"/>
        <v>1334729</v>
      </c>
      <c r="M3105" s="529">
        <f>J3105*27000</f>
        <v>1296000</v>
      </c>
      <c r="N3105" s="391"/>
      <c r="O3105" s="530">
        <f t="shared" si="462"/>
        <v>3888</v>
      </c>
      <c r="P3105" s="391"/>
      <c r="Q3105" s="391">
        <v>34841</v>
      </c>
      <c r="R3105" s="528">
        <f>M3105/J3105</f>
        <v>27000</v>
      </c>
      <c r="S3105" s="487"/>
      <c r="T3105" s="398"/>
      <c r="U3105" s="414"/>
    </row>
    <row r="3106" spans="1:21" s="416" customFormat="1" ht="37.5" customHeight="1">
      <c r="A3106" s="414">
        <f t="shared" si="463"/>
        <v>129</v>
      </c>
      <c r="B3106" s="403" t="s">
        <v>2359</v>
      </c>
      <c r="C3106" s="455" t="s">
        <v>218</v>
      </c>
      <c r="D3106" s="487">
        <v>18609</v>
      </c>
      <c r="E3106" s="391">
        <v>2400</v>
      </c>
      <c r="F3106" s="391" t="s">
        <v>223</v>
      </c>
      <c r="G3106" s="391">
        <v>1680</v>
      </c>
      <c r="H3106" s="528">
        <v>5</v>
      </c>
      <c r="I3106" s="528">
        <v>6</v>
      </c>
      <c r="J3106" s="528">
        <v>120</v>
      </c>
      <c r="K3106" s="458" t="s">
        <v>33</v>
      </c>
      <c r="L3106" s="529">
        <f t="shared" si="461"/>
        <v>4750979</v>
      </c>
      <c r="M3106" s="529">
        <v>4704000</v>
      </c>
      <c r="N3106" s="391"/>
      <c r="O3106" s="530">
        <f t="shared" si="462"/>
        <v>14112</v>
      </c>
      <c r="P3106" s="391"/>
      <c r="Q3106" s="391">
        <v>32867</v>
      </c>
      <c r="R3106" s="528">
        <f>M3106/G3106</f>
        <v>2800</v>
      </c>
      <c r="S3106" s="487"/>
      <c r="T3106" s="398">
        <f>M3106+N3106+O3106+Q3106</f>
        <v>4750979</v>
      </c>
      <c r="U3106" s="414"/>
    </row>
    <row r="3107" spans="1:21" s="416" customFormat="1" ht="56.25" customHeight="1">
      <c r="A3107" s="414">
        <f t="shared" si="463"/>
        <v>130</v>
      </c>
      <c r="B3107" s="403" t="s">
        <v>2360</v>
      </c>
      <c r="C3107" s="455" t="s">
        <v>272</v>
      </c>
      <c r="D3107" s="811">
        <v>13500</v>
      </c>
      <c r="E3107" s="391">
        <v>3030</v>
      </c>
      <c r="F3107" s="391" t="s">
        <v>223</v>
      </c>
      <c r="G3107" s="391">
        <v>1145</v>
      </c>
      <c r="H3107" s="528">
        <v>5</v>
      </c>
      <c r="I3107" s="528">
        <v>4</v>
      </c>
      <c r="J3107" s="528">
        <v>76</v>
      </c>
      <c r="K3107" s="458" t="s">
        <v>30</v>
      </c>
      <c r="L3107" s="529">
        <f t="shared" si="461"/>
        <v>2092997</v>
      </c>
      <c r="M3107" s="529">
        <f>J3107*27000</f>
        <v>2052000</v>
      </c>
      <c r="N3107" s="391"/>
      <c r="O3107" s="530">
        <f t="shared" si="462"/>
        <v>6156</v>
      </c>
      <c r="P3107" s="391"/>
      <c r="Q3107" s="391">
        <v>34841</v>
      </c>
      <c r="R3107" s="528">
        <f>M3107/J3107</f>
        <v>27000</v>
      </c>
      <c r="S3107" s="487"/>
      <c r="T3107" s="398"/>
      <c r="U3107" s="414"/>
    </row>
    <row r="3108" spans="1:21" s="416" customFormat="1" ht="37.5" customHeight="1">
      <c r="A3108" s="414">
        <f t="shared" si="463"/>
        <v>131</v>
      </c>
      <c r="B3108" s="403" t="s">
        <v>2361</v>
      </c>
      <c r="C3108" s="455" t="s">
        <v>272</v>
      </c>
      <c r="D3108" s="487">
        <v>9989</v>
      </c>
      <c r="E3108" s="391">
        <v>2020.12</v>
      </c>
      <c r="F3108" s="391" t="s">
        <v>223</v>
      </c>
      <c r="G3108" s="391">
        <v>908</v>
      </c>
      <c r="H3108" s="528">
        <v>5</v>
      </c>
      <c r="I3108" s="528">
        <v>3</v>
      </c>
      <c r="J3108" s="528">
        <v>57</v>
      </c>
      <c r="K3108" s="458" t="s">
        <v>33</v>
      </c>
      <c r="L3108" s="529">
        <f t="shared" si="461"/>
        <v>2581293.2000000002</v>
      </c>
      <c r="M3108" s="529">
        <v>2542400</v>
      </c>
      <c r="N3108" s="391"/>
      <c r="O3108" s="530">
        <f t="shared" si="462"/>
        <v>7627.2</v>
      </c>
      <c r="P3108" s="391"/>
      <c r="Q3108" s="391">
        <v>31266</v>
      </c>
      <c r="R3108" s="528">
        <f>M3108/G3108</f>
        <v>2800</v>
      </c>
      <c r="S3108" s="487"/>
      <c r="T3108" s="398">
        <f>M3108+N3108+O3108+Q3108</f>
        <v>2581293.2000000002</v>
      </c>
      <c r="U3108" s="414"/>
    </row>
    <row r="3109" spans="1:21" s="416" customFormat="1" ht="37.5" customHeight="1">
      <c r="A3109" s="414">
        <f t="shared" si="463"/>
        <v>132</v>
      </c>
      <c r="B3109" s="403" t="s">
        <v>2362</v>
      </c>
      <c r="C3109" s="455" t="s">
        <v>272</v>
      </c>
      <c r="D3109" s="487">
        <v>11657</v>
      </c>
      <c r="E3109" s="391">
        <v>2276.8000000000002</v>
      </c>
      <c r="F3109" s="391" t="s">
        <v>223</v>
      </c>
      <c r="G3109" s="391">
        <v>1052</v>
      </c>
      <c r="H3109" s="528">
        <v>5</v>
      </c>
      <c r="I3109" s="528">
        <v>3</v>
      </c>
      <c r="J3109" s="528">
        <v>24</v>
      </c>
      <c r="K3109" s="458" t="s">
        <v>33</v>
      </c>
      <c r="L3109" s="529">
        <f t="shared" si="461"/>
        <v>2990922.8</v>
      </c>
      <c r="M3109" s="529">
        <v>2945600</v>
      </c>
      <c r="N3109" s="391"/>
      <c r="O3109" s="530">
        <f t="shared" si="462"/>
        <v>8836.8000000000011</v>
      </c>
      <c r="P3109" s="391"/>
      <c r="Q3109" s="391">
        <v>36486</v>
      </c>
      <c r="R3109" s="528">
        <f>M3109/G3109</f>
        <v>2800</v>
      </c>
      <c r="S3109" s="487"/>
      <c r="T3109" s="398">
        <f>M3109+N3109+O3109+Q3109</f>
        <v>2990922.8</v>
      </c>
      <c r="U3109" s="414"/>
    </row>
    <row r="3110" spans="1:21" s="416" customFormat="1" ht="37.5" customHeight="1">
      <c r="A3110" s="414">
        <f t="shared" si="463"/>
        <v>133</v>
      </c>
      <c r="B3110" s="403" t="s">
        <v>2363</v>
      </c>
      <c r="C3110" s="455" t="s">
        <v>272</v>
      </c>
      <c r="D3110" s="487">
        <v>7593</v>
      </c>
      <c r="E3110" s="391">
        <v>1643.21</v>
      </c>
      <c r="F3110" s="391" t="s">
        <v>223</v>
      </c>
      <c r="G3110" s="391">
        <v>696</v>
      </c>
      <c r="H3110" s="528">
        <v>5</v>
      </c>
      <c r="I3110" s="528">
        <v>3</v>
      </c>
      <c r="J3110" s="528">
        <v>60</v>
      </c>
      <c r="K3110" s="458" t="s">
        <v>33</v>
      </c>
      <c r="L3110" s="529">
        <f t="shared" si="461"/>
        <v>1978412.4</v>
      </c>
      <c r="M3110" s="529">
        <v>1948800</v>
      </c>
      <c r="N3110" s="391"/>
      <c r="O3110" s="530">
        <f t="shared" si="462"/>
        <v>5846.4000000000005</v>
      </c>
      <c r="P3110" s="391"/>
      <c r="Q3110" s="391">
        <v>23766</v>
      </c>
      <c r="R3110" s="528">
        <f>M3110/G3110</f>
        <v>2800</v>
      </c>
      <c r="S3110" s="487"/>
      <c r="T3110" s="398">
        <f>M3110+N3110+O3110+Q3110</f>
        <v>1978412.4</v>
      </c>
      <c r="U3110" s="414"/>
    </row>
    <row r="3111" spans="1:21" s="416" customFormat="1" ht="56.25" customHeight="1">
      <c r="A3111" s="414">
        <f t="shared" si="463"/>
        <v>134</v>
      </c>
      <c r="B3111" s="403" t="s">
        <v>2365</v>
      </c>
      <c r="C3111" s="455" t="s">
        <v>272</v>
      </c>
      <c r="D3111" s="487">
        <v>18793</v>
      </c>
      <c r="E3111" s="391">
        <v>2550</v>
      </c>
      <c r="F3111" s="391" t="s">
        <v>223</v>
      </c>
      <c r="G3111" s="391">
        <v>1711</v>
      </c>
      <c r="H3111" s="528">
        <v>5</v>
      </c>
      <c r="I3111" s="528">
        <v>6</v>
      </c>
      <c r="J3111" s="528">
        <v>120</v>
      </c>
      <c r="K3111" s="458" t="s">
        <v>30</v>
      </c>
      <c r="L3111" s="1128">
        <f>M3111+N3111+O3111+P3111+Q3111+M3112+N3112+O3112+Q3112</f>
        <v>8135520</v>
      </c>
      <c r="M3111" s="529">
        <f>J3111*27000</f>
        <v>3240000</v>
      </c>
      <c r="N3111" s="391"/>
      <c r="O3111" s="530">
        <f>M3111*0.3%</f>
        <v>9720</v>
      </c>
      <c r="P3111" s="391"/>
      <c r="Q3111" s="391">
        <v>40000</v>
      </c>
      <c r="R3111" s="528">
        <f>M3111/J3111</f>
        <v>27000</v>
      </c>
      <c r="S3111" s="487"/>
      <c r="T3111" s="398"/>
      <c r="U3111" s="414"/>
    </row>
    <row r="3112" spans="1:21" s="416" customFormat="1" ht="56.25" customHeight="1">
      <c r="A3112" s="414"/>
      <c r="B3112" s="403"/>
      <c r="C3112" s="455"/>
      <c r="D3112" s="487"/>
      <c r="E3112" s="391"/>
      <c r="F3112" s="391"/>
      <c r="G3112" s="391"/>
      <c r="H3112" s="528"/>
      <c r="I3112" s="528"/>
      <c r="J3112" s="528"/>
      <c r="K3112" s="458" t="s">
        <v>33</v>
      </c>
      <c r="L3112" s="1128"/>
      <c r="M3112" s="529">
        <v>4790800</v>
      </c>
      <c r="N3112" s="391"/>
      <c r="O3112" s="530">
        <v>15000</v>
      </c>
      <c r="P3112" s="391"/>
      <c r="Q3112" s="391">
        <v>40000</v>
      </c>
      <c r="R3112" s="528"/>
      <c r="S3112" s="487"/>
      <c r="T3112" s="398">
        <f>M3112+N3112+O3112+Q3112</f>
        <v>4845800</v>
      </c>
      <c r="U3112" s="414"/>
    </row>
    <row r="3113" spans="1:21" s="416" customFormat="1" ht="37.5" customHeight="1">
      <c r="A3113" s="414">
        <f>A3111+1</f>
        <v>135</v>
      </c>
      <c r="B3113" s="403" t="s">
        <v>2367</v>
      </c>
      <c r="C3113" s="455" t="s">
        <v>272</v>
      </c>
      <c r="D3113" s="487">
        <v>14576</v>
      </c>
      <c r="E3113" s="391">
        <v>2500</v>
      </c>
      <c r="F3113" s="391" t="s">
        <v>234</v>
      </c>
      <c r="G3113" s="391">
        <v>428</v>
      </c>
      <c r="H3113" s="528">
        <v>9</v>
      </c>
      <c r="I3113" s="528">
        <v>1</v>
      </c>
      <c r="J3113" s="528">
        <v>54</v>
      </c>
      <c r="K3113" s="458" t="s">
        <v>225</v>
      </c>
      <c r="L3113" s="529">
        <f t="shared" si="461"/>
        <v>1125054</v>
      </c>
      <c r="M3113" s="529">
        <f>J3113*20000</f>
        <v>1080000</v>
      </c>
      <c r="N3113" s="391">
        <v>32000</v>
      </c>
      <c r="O3113" s="530"/>
      <c r="P3113" s="391"/>
      <c r="Q3113" s="391">
        <v>13054</v>
      </c>
      <c r="R3113" s="528">
        <f>M3113/J3113</f>
        <v>20000</v>
      </c>
      <c r="S3113" s="487"/>
      <c r="T3113" s="398"/>
      <c r="U3113" s="414"/>
    </row>
    <row r="3114" spans="1:21" s="416" customFormat="1" ht="37.5" customHeight="1">
      <c r="A3114" s="414">
        <f t="shared" si="463"/>
        <v>136</v>
      </c>
      <c r="B3114" s="403" t="s">
        <v>2369</v>
      </c>
      <c r="C3114" s="455" t="s">
        <v>272</v>
      </c>
      <c r="D3114" s="487">
        <v>8727</v>
      </c>
      <c r="E3114" s="391">
        <v>1565</v>
      </c>
      <c r="F3114" s="391" t="s">
        <v>252</v>
      </c>
      <c r="G3114" s="391">
        <v>659</v>
      </c>
      <c r="H3114" s="528">
        <v>5</v>
      </c>
      <c r="I3114" s="528">
        <v>2</v>
      </c>
      <c r="J3114" s="528">
        <v>40</v>
      </c>
      <c r="K3114" s="458" t="s">
        <v>33</v>
      </c>
      <c r="L3114" s="529">
        <f t="shared" si="461"/>
        <v>1878051.6</v>
      </c>
      <c r="M3114" s="529">
        <f>G3114*2800</f>
        <v>1845200</v>
      </c>
      <c r="N3114" s="391"/>
      <c r="O3114" s="530">
        <f>M3114*0.3%</f>
        <v>5535.6</v>
      </c>
      <c r="P3114" s="391"/>
      <c r="Q3114" s="391">
        <v>27316</v>
      </c>
      <c r="R3114" s="528">
        <f>M3114/G3114</f>
        <v>2800</v>
      </c>
      <c r="S3114" s="487"/>
      <c r="T3114" s="398">
        <f>M3114+N3114+O3114+Q3114</f>
        <v>1878051.6</v>
      </c>
      <c r="U3114" s="414"/>
    </row>
    <row r="3115" spans="1:21" s="416" customFormat="1" ht="37.5" customHeight="1">
      <c r="A3115" s="414">
        <f t="shared" si="463"/>
        <v>137</v>
      </c>
      <c r="B3115" s="403" t="s">
        <v>2371</v>
      </c>
      <c r="C3115" s="455" t="s">
        <v>272</v>
      </c>
      <c r="D3115" s="487">
        <v>17426</v>
      </c>
      <c r="E3115" s="391">
        <v>4553</v>
      </c>
      <c r="F3115" s="391" t="s">
        <v>252</v>
      </c>
      <c r="G3115" s="391">
        <v>2298</v>
      </c>
      <c r="H3115" s="528">
        <v>5</v>
      </c>
      <c r="I3115" s="528">
        <v>8</v>
      </c>
      <c r="J3115" s="528">
        <v>161</v>
      </c>
      <c r="K3115" s="458" t="s">
        <v>225</v>
      </c>
      <c r="L3115" s="529">
        <f t="shared" si="461"/>
        <v>2628000</v>
      </c>
      <c r="M3115" s="529">
        <f>J3115*16000</f>
        <v>2576000</v>
      </c>
      <c r="N3115" s="391">
        <v>32000</v>
      </c>
      <c r="O3115" s="530"/>
      <c r="P3115" s="391"/>
      <c r="Q3115" s="391">
        <v>20000</v>
      </c>
      <c r="R3115" s="528">
        <f>M3115/J3115</f>
        <v>16000</v>
      </c>
      <c r="S3115" s="487"/>
      <c r="T3115" s="398"/>
      <c r="U3115" s="414"/>
    </row>
    <row r="3116" spans="1:21" s="416" customFormat="1" ht="37.5" customHeight="1">
      <c r="A3116" s="414">
        <f t="shared" si="463"/>
        <v>138</v>
      </c>
      <c r="B3116" s="403" t="s">
        <v>2372</v>
      </c>
      <c r="C3116" s="455" t="s">
        <v>272</v>
      </c>
      <c r="D3116" s="487">
        <v>8727</v>
      </c>
      <c r="E3116" s="391">
        <v>1376</v>
      </c>
      <c r="F3116" s="391" t="s">
        <v>252</v>
      </c>
      <c r="G3116" s="391">
        <v>587</v>
      </c>
      <c r="H3116" s="528">
        <v>5</v>
      </c>
      <c r="I3116" s="528">
        <v>2</v>
      </c>
      <c r="J3116" s="528">
        <v>40</v>
      </c>
      <c r="K3116" s="458" t="s">
        <v>225</v>
      </c>
      <c r="L3116" s="529">
        <f t="shared" si="461"/>
        <v>675153</v>
      </c>
      <c r="M3116" s="529">
        <f>J3116*16000</f>
        <v>640000</v>
      </c>
      <c r="N3116" s="391">
        <v>25000</v>
      </c>
      <c r="O3116" s="530"/>
      <c r="P3116" s="391"/>
      <c r="Q3116" s="391">
        <v>10153</v>
      </c>
      <c r="R3116" s="528">
        <f>M3116/J3116</f>
        <v>16000</v>
      </c>
      <c r="S3116" s="487"/>
      <c r="T3116" s="398"/>
      <c r="U3116" s="414"/>
    </row>
    <row r="3117" spans="1:21" s="416" customFormat="1" ht="37.5" customHeight="1">
      <c r="A3117" s="414">
        <f t="shared" si="463"/>
        <v>139</v>
      </c>
      <c r="B3117" s="403" t="s">
        <v>2373</v>
      </c>
      <c r="C3117" s="455" t="s">
        <v>272</v>
      </c>
      <c r="D3117" s="487">
        <v>8727</v>
      </c>
      <c r="E3117" s="391">
        <v>1389</v>
      </c>
      <c r="F3117" s="391" t="s">
        <v>252</v>
      </c>
      <c r="G3117" s="391">
        <v>587</v>
      </c>
      <c r="H3117" s="528">
        <v>5</v>
      </c>
      <c r="I3117" s="528">
        <v>2</v>
      </c>
      <c r="J3117" s="528">
        <v>40</v>
      </c>
      <c r="K3117" s="458" t="s">
        <v>33</v>
      </c>
      <c r="L3117" s="529">
        <f t="shared" si="461"/>
        <v>1675846.8</v>
      </c>
      <c r="M3117" s="529">
        <f>G3117*2800</f>
        <v>1643600</v>
      </c>
      <c r="N3117" s="391"/>
      <c r="O3117" s="530">
        <f>M3117*0.3%</f>
        <v>4930.8</v>
      </c>
      <c r="P3117" s="391"/>
      <c r="Q3117" s="391">
        <v>27316</v>
      </c>
      <c r="R3117" s="528">
        <f>M3117/G3117</f>
        <v>2800</v>
      </c>
      <c r="S3117" s="487"/>
      <c r="T3117" s="398">
        <f>M3117+N3117+O3117+Q3117</f>
        <v>1675846.8</v>
      </c>
      <c r="U3117" s="414"/>
    </row>
    <row r="3118" spans="1:21" s="416" customFormat="1" ht="37.5" customHeight="1">
      <c r="A3118" s="414">
        <f t="shared" si="463"/>
        <v>140</v>
      </c>
      <c r="B3118" s="403" t="s">
        <v>2374</v>
      </c>
      <c r="C3118" s="455" t="s">
        <v>272</v>
      </c>
      <c r="D3118" s="487">
        <v>8727</v>
      </c>
      <c r="E3118" s="391">
        <v>1461</v>
      </c>
      <c r="F3118" s="391" t="s">
        <v>252</v>
      </c>
      <c r="G3118" s="391">
        <v>565</v>
      </c>
      <c r="H3118" s="528">
        <v>5</v>
      </c>
      <c r="I3118" s="528">
        <v>2</v>
      </c>
      <c r="J3118" s="528">
        <v>40</v>
      </c>
      <c r="K3118" s="458" t="s">
        <v>33</v>
      </c>
      <c r="L3118" s="529">
        <f t="shared" si="461"/>
        <v>1614062</v>
      </c>
      <c r="M3118" s="529">
        <f>G3118*2800</f>
        <v>1582000</v>
      </c>
      <c r="N3118" s="391"/>
      <c r="O3118" s="530">
        <f>M3118*0.3%</f>
        <v>4746</v>
      </c>
      <c r="P3118" s="391"/>
      <c r="Q3118" s="391">
        <v>27316</v>
      </c>
      <c r="R3118" s="528">
        <f>M3118/G3118</f>
        <v>2800</v>
      </c>
      <c r="S3118" s="487"/>
      <c r="T3118" s="398">
        <f>M3118+N3118+O3118+Q3118</f>
        <v>1614062</v>
      </c>
      <c r="U3118" s="414"/>
    </row>
    <row r="3119" spans="1:21" s="416" customFormat="1" ht="37.5" customHeight="1">
      <c r="A3119" s="414">
        <f t="shared" si="463"/>
        <v>141</v>
      </c>
      <c r="B3119" s="403" t="s">
        <v>2375</v>
      </c>
      <c r="C3119" s="455" t="s">
        <v>272</v>
      </c>
      <c r="D3119" s="487">
        <v>12718</v>
      </c>
      <c r="E3119" s="391">
        <v>2400</v>
      </c>
      <c r="F3119" s="391" t="s">
        <v>252</v>
      </c>
      <c r="G3119" s="391">
        <v>1142</v>
      </c>
      <c r="H3119" s="528">
        <v>5</v>
      </c>
      <c r="I3119" s="528">
        <v>4</v>
      </c>
      <c r="J3119" s="528">
        <v>80</v>
      </c>
      <c r="K3119" s="458" t="s">
        <v>225</v>
      </c>
      <c r="L3119" s="529">
        <f t="shared" si="461"/>
        <v>1331989</v>
      </c>
      <c r="M3119" s="529">
        <f>J3119*16000</f>
        <v>1280000</v>
      </c>
      <c r="N3119" s="391">
        <v>32000</v>
      </c>
      <c r="O3119" s="530"/>
      <c r="P3119" s="391"/>
      <c r="Q3119" s="391">
        <v>19989</v>
      </c>
      <c r="R3119" s="528">
        <f>M3119/J3119</f>
        <v>16000</v>
      </c>
      <c r="S3119" s="487"/>
      <c r="T3119" s="398"/>
      <c r="U3119" s="414"/>
    </row>
    <row r="3120" spans="1:21" s="416" customFormat="1" ht="37.5" customHeight="1">
      <c r="A3120" s="414">
        <f t="shared" si="463"/>
        <v>142</v>
      </c>
      <c r="B3120" s="403" t="s">
        <v>2376</v>
      </c>
      <c r="C3120" s="455" t="s">
        <v>272</v>
      </c>
      <c r="D3120" s="487">
        <v>12398</v>
      </c>
      <c r="E3120" s="391">
        <v>2465</v>
      </c>
      <c r="F3120" s="391" t="s">
        <v>231</v>
      </c>
      <c r="G3120" s="391">
        <v>1143</v>
      </c>
      <c r="H3120" s="528">
        <v>5</v>
      </c>
      <c r="I3120" s="528">
        <v>4</v>
      </c>
      <c r="J3120" s="528">
        <v>78</v>
      </c>
      <c r="K3120" s="458" t="s">
        <v>33</v>
      </c>
      <c r="L3120" s="529">
        <f t="shared" si="461"/>
        <v>3248807.2</v>
      </c>
      <c r="M3120" s="529">
        <v>3200400</v>
      </c>
      <c r="N3120" s="391"/>
      <c r="O3120" s="530">
        <f>M3120*0.3%</f>
        <v>9601.2000000000007</v>
      </c>
      <c r="P3120" s="391"/>
      <c r="Q3120" s="391">
        <v>38806</v>
      </c>
      <c r="R3120" s="528">
        <f>M3120/G3120</f>
        <v>2800</v>
      </c>
      <c r="S3120" s="487"/>
      <c r="T3120" s="398">
        <f>M3120+N3120+O3120+Q3120</f>
        <v>3248807.2</v>
      </c>
      <c r="U3120" s="414"/>
    </row>
    <row r="3121" spans="1:21" s="416" customFormat="1" ht="73.5" customHeight="1">
      <c r="A3121" s="414">
        <f t="shared" si="463"/>
        <v>143</v>
      </c>
      <c r="B3121" s="403" t="s">
        <v>2379</v>
      </c>
      <c r="C3121" s="455" t="s">
        <v>272</v>
      </c>
      <c r="D3121" s="487">
        <v>14517</v>
      </c>
      <c r="E3121" s="391">
        <v>2198</v>
      </c>
      <c r="F3121" s="391" t="s">
        <v>234</v>
      </c>
      <c r="G3121" s="391">
        <v>980.3</v>
      </c>
      <c r="H3121" s="528">
        <v>5</v>
      </c>
      <c r="I3121" s="528">
        <v>4</v>
      </c>
      <c r="J3121" s="528">
        <v>60</v>
      </c>
      <c r="K3121" s="458" t="s">
        <v>3880</v>
      </c>
      <c r="L3121" s="529">
        <f t="shared" si="461"/>
        <v>3000900</v>
      </c>
      <c r="M3121" s="529">
        <f>G3121*3000</f>
        <v>2940900</v>
      </c>
      <c r="N3121" s="391">
        <v>40000</v>
      </c>
      <c r="O3121" s="530"/>
      <c r="P3121" s="391"/>
      <c r="Q3121" s="391">
        <v>20000</v>
      </c>
      <c r="R3121" s="446">
        <f>M3121/G3121</f>
        <v>3000</v>
      </c>
      <c r="S3121" s="487"/>
      <c r="T3121" s="398">
        <f>M3121+N3121+O3121+Q3121</f>
        <v>3000900</v>
      </c>
      <c r="U3121" s="414"/>
    </row>
    <row r="3122" spans="1:21" s="416" customFormat="1" ht="37.5" customHeight="1">
      <c r="A3122" s="414">
        <f>A3121+1</f>
        <v>144</v>
      </c>
      <c r="B3122" s="403" t="s">
        <v>2383</v>
      </c>
      <c r="C3122" s="455" t="s">
        <v>218</v>
      </c>
      <c r="D3122" s="487">
        <v>23683</v>
      </c>
      <c r="E3122" s="391">
        <v>3972</v>
      </c>
      <c r="F3122" s="391" t="s">
        <v>234</v>
      </c>
      <c r="G3122" s="391">
        <v>1034</v>
      </c>
      <c r="H3122" s="528">
        <v>9</v>
      </c>
      <c r="I3122" s="528">
        <v>2</v>
      </c>
      <c r="J3122" s="528">
        <v>144</v>
      </c>
      <c r="K3122" s="458" t="s">
        <v>225</v>
      </c>
      <c r="L3122" s="529">
        <f t="shared" si="461"/>
        <v>2932000</v>
      </c>
      <c r="M3122" s="529">
        <f>J3122*20000</f>
        <v>2880000</v>
      </c>
      <c r="N3122" s="391">
        <v>32000</v>
      </c>
      <c r="O3122" s="530"/>
      <c r="P3122" s="391"/>
      <c r="Q3122" s="391">
        <v>20000</v>
      </c>
      <c r="R3122" s="528">
        <f>M3122/J3122</f>
        <v>20000</v>
      </c>
      <c r="S3122" s="487"/>
      <c r="T3122" s="398"/>
      <c r="U3122" s="414"/>
    </row>
    <row r="3123" spans="1:21" s="416" customFormat="1" ht="37.5" customHeight="1">
      <c r="A3123" s="414">
        <f t="shared" si="463"/>
        <v>145</v>
      </c>
      <c r="B3123" s="403" t="s">
        <v>4320</v>
      </c>
      <c r="C3123" s="455" t="s">
        <v>218</v>
      </c>
      <c r="D3123" s="487">
        <v>16101</v>
      </c>
      <c r="E3123" s="391">
        <v>2615</v>
      </c>
      <c r="F3123" s="391" t="s">
        <v>234</v>
      </c>
      <c r="G3123" s="391">
        <v>679</v>
      </c>
      <c r="H3123" s="528">
        <v>9</v>
      </c>
      <c r="I3123" s="528">
        <v>2</v>
      </c>
      <c r="J3123" s="528">
        <v>72</v>
      </c>
      <c r="K3123" s="458" t="s">
        <v>225</v>
      </c>
      <c r="L3123" s="529">
        <f t="shared" ref="L3123:L3157" si="464">M3123+N3123+O3123+P3123+Q3123</f>
        <v>1492000</v>
      </c>
      <c r="M3123" s="529">
        <f>J3123*20000</f>
        <v>1440000</v>
      </c>
      <c r="N3123" s="391">
        <v>32000</v>
      </c>
      <c r="O3123" s="530"/>
      <c r="P3123" s="391"/>
      <c r="Q3123" s="391">
        <v>20000</v>
      </c>
      <c r="R3123" s="528">
        <f>M3123/J3123</f>
        <v>20000</v>
      </c>
      <c r="S3123" s="487"/>
      <c r="T3123" s="398"/>
      <c r="U3123" s="414"/>
    </row>
    <row r="3124" spans="1:21" s="416" customFormat="1" ht="56.25" customHeight="1">
      <c r="A3124" s="414">
        <f t="shared" si="463"/>
        <v>146</v>
      </c>
      <c r="B3124" s="403" t="s">
        <v>2396</v>
      </c>
      <c r="C3124" s="455" t="s">
        <v>218</v>
      </c>
      <c r="D3124" s="487">
        <v>16972</v>
      </c>
      <c r="E3124" s="391">
        <v>2745</v>
      </c>
      <c r="F3124" s="391" t="s">
        <v>406</v>
      </c>
      <c r="G3124" s="391">
        <v>707.8</v>
      </c>
      <c r="H3124" s="528">
        <v>9</v>
      </c>
      <c r="I3124" s="528">
        <v>2</v>
      </c>
      <c r="J3124" s="528">
        <v>72</v>
      </c>
      <c r="K3124" s="458" t="s">
        <v>238</v>
      </c>
      <c r="L3124" s="529">
        <f t="shared" si="464"/>
        <v>2350912</v>
      </c>
      <c r="M3124" s="529">
        <f>J3124*32000</f>
        <v>2304000</v>
      </c>
      <c r="N3124" s="391"/>
      <c r="O3124" s="530">
        <f t="shared" ref="O3124:O3139" si="465">M3124*0.3%</f>
        <v>6912</v>
      </c>
      <c r="P3124" s="391"/>
      <c r="Q3124" s="391">
        <v>40000</v>
      </c>
      <c r="R3124" s="528">
        <f>M3124/J3124</f>
        <v>32000</v>
      </c>
      <c r="S3124" s="487"/>
      <c r="T3124" s="398"/>
      <c r="U3124" s="414"/>
    </row>
    <row r="3125" spans="1:21" s="416" customFormat="1" ht="56.25" customHeight="1">
      <c r="A3125" s="414">
        <f t="shared" si="463"/>
        <v>147</v>
      </c>
      <c r="B3125" s="403" t="s">
        <v>2397</v>
      </c>
      <c r="C3125" s="455" t="s">
        <v>218</v>
      </c>
      <c r="D3125" s="487">
        <v>25110</v>
      </c>
      <c r="E3125" s="391">
        <v>4118</v>
      </c>
      <c r="F3125" s="391" t="s">
        <v>406</v>
      </c>
      <c r="G3125" s="391">
        <v>1057</v>
      </c>
      <c r="H3125" s="528">
        <v>9</v>
      </c>
      <c r="I3125" s="528">
        <v>3</v>
      </c>
      <c r="J3125" s="528">
        <v>108</v>
      </c>
      <c r="K3125" s="458" t="s">
        <v>238</v>
      </c>
      <c r="L3125" s="529">
        <f t="shared" si="464"/>
        <v>3506368</v>
      </c>
      <c r="M3125" s="529">
        <f>J3125*32000</f>
        <v>3456000</v>
      </c>
      <c r="N3125" s="391"/>
      <c r="O3125" s="530">
        <f t="shared" si="465"/>
        <v>10368</v>
      </c>
      <c r="P3125" s="391"/>
      <c r="Q3125" s="391">
        <v>40000</v>
      </c>
      <c r="R3125" s="528">
        <f>M3125/J3125</f>
        <v>32000</v>
      </c>
      <c r="S3125" s="487"/>
      <c r="T3125" s="398"/>
      <c r="U3125" s="414"/>
    </row>
    <row r="3126" spans="1:21" s="416" customFormat="1" ht="37.5" customHeight="1">
      <c r="A3126" s="414">
        <f t="shared" si="463"/>
        <v>148</v>
      </c>
      <c r="B3126" s="403" t="s">
        <v>2398</v>
      </c>
      <c r="C3126" s="455" t="s">
        <v>272</v>
      </c>
      <c r="D3126" s="487">
        <v>52497</v>
      </c>
      <c r="E3126" s="391">
        <v>5535</v>
      </c>
      <c r="F3126" s="391" t="s">
        <v>234</v>
      </c>
      <c r="G3126" s="391">
        <v>1955</v>
      </c>
      <c r="H3126" s="528">
        <v>12</v>
      </c>
      <c r="I3126" s="528">
        <v>5</v>
      </c>
      <c r="J3126" s="528">
        <v>125</v>
      </c>
      <c r="K3126" s="458" t="s">
        <v>33</v>
      </c>
      <c r="L3126" s="529">
        <f t="shared" si="464"/>
        <v>3549557</v>
      </c>
      <c r="M3126" s="529">
        <v>3519000</v>
      </c>
      <c r="N3126" s="391"/>
      <c r="O3126" s="530">
        <f t="shared" si="465"/>
        <v>10557</v>
      </c>
      <c r="P3126" s="391"/>
      <c r="Q3126" s="391">
        <v>20000</v>
      </c>
      <c r="R3126" s="528">
        <f>M3126/G3126</f>
        <v>1800</v>
      </c>
      <c r="S3126" s="487"/>
      <c r="T3126" s="398">
        <f>M3126+N3126+O3126+Q3126</f>
        <v>3549557</v>
      </c>
      <c r="U3126" s="414"/>
    </row>
    <row r="3127" spans="1:21" s="416" customFormat="1" ht="56.25" customHeight="1">
      <c r="A3127" s="414">
        <f t="shared" si="463"/>
        <v>149</v>
      </c>
      <c r="B3127" s="403" t="s">
        <v>2399</v>
      </c>
      <c r="C3127" s="455" t="s">
        <v>315</v>
      </c>
      <c r="D3127" s="487">
        <v>42688</v>
      </c>
      <c r="E3127" s="391">
        <v>6968</v>
      </c>
      <c r="F3127" s="391" t="s">
        <v>283</v>
      </c>
      <c r="G3127" s="391">
        <v>1582</v>
      </c>
      <c r="H3127" s="528">
        <v>9</v>
      </c>
      <c r="I3127" s="528">
        <v>3</v>
      </c>
      <c r="J3127" s="528">
        <v>108</v>
      </c>
      <c r="K3127" s="458" t="s">
        <v>238</v>
      </c>
      <c r="L3127" s="529">
        <f t="shared" si="464"/>
        <v>3506368</v>
      </c>
      <c r="M3127" s="529">
        <f>J3127*32000</f>
        <v>3456000</v>
      </c>
      <c r="N3127" s="391"/>
      <c r="O3127" s="530">
        <f t="shared" si="465"/>
        <v>10368</v>
      </c>
      <c r="P3127" s="391"/>
      <c r="Q3127" s="391">
        <v>40000</v>
      </c>
      <c r="R3127" s="528">
        <f t="shared" ref="R3127:R3134" si="466">M3127/J3127</f>
        <v>32000</v>
      </c>
      <c r="S3127" s="487"/>
      <c r="T3127" s="398"/>
      <c r="U3127" s="414"/>
    </row>
    <row r="3128" spans="1:21" s="416" customFormat="1" ht="56.25" customHeight="1">
      <c r="A3128" s="414">
        <f t="shared" si="463"/>
        <v>150</v>
      </c>
      <c r="B3128" s="403" t="s">
        <v>2400</v>
      </c>
      <c r="C3128" s="455" t="s">
        <v>230</v>
      </c>
      <c r="D3128" s="487">
        <v>3942</v>
      </c>
      <c r="E3128" s="391">
        <v>774</v>
      </c>
      <c r="F3128" s="391" t="s">
        <v>223</v>
      </c>
      <c r="G3128" s="391">
        <v>756</v>
      </c>
      <c r="H3128" s="528">
        <v>2</v>
      </c>
      <c r="I3128" s="528">
        <v>2</v>
      </c>
      <c r="J3128" s="528">
        <v>24</v>
      </c>
      <c r="K3128" s="458" t="s">
        <v>30</v>
      </c>
      <c r="L3128" s="529">
        <f t="shared" si="464"/>
        <v>613100</v>
      </c>
      <c r="M3128" s="529">
        <f>SUM(J3128*25000)</f>
        <v>600000</v>
      </c>
      <c r="N3128" s="391"/>
      <c r="O3128" s="530">
        <f t="shared" si="465"/>
        <v>1800</v>
      </c>
      <c r="P3128" s="391"/>
      <c r="Q3128" s="391">
        <v>11300</v>
      </c>
      <c r="R3128" s="528">
        <f t="shared" si="466"/>
        <v>25000</v>
      </c>
      <c r="S3128" s="487"/>
      <c r="T3128" s="398"/>
      <c r="U3128" s="414"/>
    </row>
    <row r="3129" spans="1:21" s="416" customFormat="1" ht="56.25" customHeight="1">
      <c r="A3129" s="414">
        <f t="shared" si="463"/>
        <v>151</v>
      </c>
      <c r="B3129" s="403" t="s">
        <v>2401</v>
      </c>
      <c r="C3129" s="455" t="s">
        <v>272</v>
      </c>
      <c r="D3129" s="811">
        <v>6152</v>
      </c>
      <c r="E3129" s="391">
        <v>1376</v>
      </c>
      <c r="F3129" s="391" t="s">
        <v>223</v>
      </c>
      <c r="G3129" s="391">
        <v>573</v>
      </c>
      <c r="H3129" s="528">
        <v>5</v>
      </c>
      <c r="I3129" s="528">
        <v>2</v>
      </c>
      <c r="J3129" s="528">
        <v>40</v>
      </c>
      <c r="K3129" s="458" t="s">
        <v>30</v>
      </c>
      <c r="L3129" s="529">
        <f t="shared" si="464"/>
        <v>1024658</v>
      </c>
      <c r="M3129" s="529">
        <f>J3129*25000</f>
        <v>1000000</v>
      </c>
      <c r="N3129" s="391"/>
      <c r="O3129" s="530">
        <f t="shared" si="465"/>
        <v>3000</v>
      </c>
      <c r="P3129" s="391"/>
      <c r="Q3129" s="391">
        <v>21658</v>
      </c>
      <c r="R3129" s="528">
        <f t="shared" si="466"/>
        <v>25000</v>
      </c>
      <c r="S3129" s="487"/>
      <c r="T3129" s="398"/>
      <c r="U3129" s="414"/>
    </row>
    <row r="3130" spans="1:21" s="416" customFormat="1" ht="56.25" customHeight="1">
      <c r="A3130" s="414">
        <f>A3129+1</f>
        <v>152</v>
      </c>
      <c r="B3130" s="403" t="s">
        <v>2402</v>
      </c>
      <c r="C3130" s="455" t="s">
        <v>272</v>
      </c>
      <c r="D3130" s="811">
        <v>6210</v>
      </c>
      <c r="E3130" s="391">
        <v>1376</v>
      </c>
      <c r="F3130" s="391" t="s">
        <v>223</v>
      </c>
      <c r="G3130" s="391">
        <v>576</v>
      </c>
      <c r="H3130" s="528">
        <v>5</v>
      </c>
      <c r="I3130" s="528">
        <v>2</v>
      </c>
      <c r="J3130" s="528">
        <v>40</v>
      </c>
      <c r="K3130" s="458" t="s">
        <v>30</v>
      </c>
      <c r="L3130" s="529">
        <f t="shared" si="464"/>
        <v>1024658</v>
      </c>
      <c r="M3130" s="529">
        <f>J3130*25000</f>
        <v>1000000</v>
      </c>
      <c r="N3130" s="391"/>
      <c r="O3130" s="530">
        <f t="shared" si="465"/>
        <v>3000</v>
      </c>
      <c r="P3130" s="391"/>
      <c r="Q3130" s="391">
        <v>21658</v>
      </c>
      <c r="R3130" s="528">
        <f t="shared" si="466"/>
        <v>25000</v>
      </c>
      <c r="S3130" s="487"/>
      <c r="T3130" s="398"/>
      <c r="U3130" s="414"/>
    </row>
    <row r="3131" spans="1:21" s="416" customFormat="1" ht="56.25" customHeight="1">
      <c r="A3131" s="414">
        <f t="shared" si="463"/>
        <v>153</v>
      </c>
      <c r="B3131" s="403" t="s">
        <v>2403</v>
      </c>
      <c r="C3131" s="455" t="s">
        <v>272</v>
      </c>
      <c r="D3131" s="811">
        <v>6206</v>
      </c>
      <c r="E3131" s="391">
        <v>1376</v>
      </c>
      <c r="F3131" s="391" t="s">
        <v>223</v>
      </c>
      <c r="G3131" s="391">
        <v>576</v>
      </c>
      <c r="H3131" s="528">
        <v>5</v>
      </c>
      <c r="I3131" s="528">
        <v>2</v>
      </c>
      <c r="J3131" s="528">
        <v>40</v>
      </c>
      <c r="K3131" s="458" t="s">
        <v>30</v>
      </c>
      <c r="L3131" s="529">
        <f t="shared" si="464"/>
        <v>1024658</v>
      </c>
      <c r="M3131" s="529">
        <f>J3131*25000</f>
        <v>1000000</v>
      </c>
      <c r="N3131" s="391"/>
      <c r="O3131" s="530">
        <f t="shared" si="465"/>
        <v>3000</v>
      </c>
      <c r="P3131" s="391"/>
      <c r="Q3131" s="391">
        <v>21658</v>
      </c>
      <c r="R3131" s="528">
        <f t="shared" si="466"/>
        <v>25000</v>
      </c>
      <c r="S3131" s="487"/>
      <c r="T3131" s="398"/>
      <c r="U3131" s="414"/>
    </row>
    <row r="3132" spans="1:21" s="416" customFormat="1" ht="56.25" customHeight="1">
      <c r="A3132" s="414">
        <f t="shared" si="463"/>
        <v>154</v>
      </c>
      <c r="B3132" s="403" t="s">
        <v>2404</v>
      </c>
      <c r="C3132" s="455" t="s">
        <v>272</v>
      </c>
      <c r="D3132" s="811">
        <v>12152</v>
      </c>
      <c r="E3132" s="391">
        <v>3030</v>
      </c>
      <c r="F3132" s="391" t="s">
        <v>223</v>
      </c>
      <c r="G3132" s="391">
        <v>1128</v>
      </c>
      <c r="H3132" s="528">
        <v>5</v>
      </c>
      <c r="I3132" s="528">
        <v>4</v>
      </c>
      <c r="J3132" s="528">
        <v>75</v>
      </c>
      <c r="K3132" s="458" t="s">
        <v>30</v>
      </c>
      <c r="L3132" s="529">
        <f t="shared" si="464"/>
        <v>2065916</v>
      </c>
      <c r="M3132" s="529">
        <f>J3132*27000</f>
        <v>2025000</v>
      </c>
      <c r="N3132" s="391"/>
      <c r="O3132" s="530">
        <f t="shared" si="465"/>
        <v>6075</v>
      </c>
      <c r="P3132" s="391"/>
      <c r="Q3132" s="391">
        <v>34841</v>
      </c>
      <c r="R3132" s="528">
        <f t="shared" si="466"/>
        <v>27000</v>
      </c>
      <c r="S3132" s="487"/>
      <c r="T3132" s="398"/>
      <c r="U3132" s="414"/>
    </row>
    <row r="3133" spans="1:21" s="416" customFormat="1" ht="56.25" customHeight="1">
      <c r="A3133" s="414">
        <f t="shared" si="463"/>
        <v>155</v>
      </c>
      <c r="B3133" s="403" t="s">
        <v>2405</v>
      </c>
      <c r="C3133" s="455" t="s">
        <v>272</v>
      </c>
      <c r="D3133" s="811">
        <v>6650</v>
      </c>
      <c r="E3133" s="391">
        <v>1376</v>
      </c>
      <c r="F3133" s="391" t="s">
        <v>223</v>
      </c>
      <c r="G3133" s="391">
        <v>654</v>
      </c>
      <c r="H3133" s="528">
        <v>5</v>
      </c>
      <c r="I3133" s="528">
        <v>2</v>
      </c>
      <c r="J3133" s="528">
        <v>39</v>
      </c>
      <c r="K3133" s="458" t="s">
        <v>30</v>
      </c>
      <c r="L3133" s="529">
        <f t="shared" si="464"/>
        <v>999583</v>
      </c>
      <c r="M3133" s="529">
        <f>J3133*25000</f>
        <v>975000</v>
      </c>
      <c r="N3133" s="391"/>
      <c r="O3133" s="530">
        <f t="shared" si="465"/>
        <v>2925</v>
      </c>
      <c r="P3133" s="391"/>
      <c r="Q3133" s="391">
        <v>21658</v>
      </c>
      <c r="R3133" s="528">
        <f t="shared" si="466"/>
        <v>25000</v>
      </c>
      <c r="S3133" s="487"/>
      <c r="T3133" s="398"/>
      <c r="U3133" s="414"/>
    </row>
    <row r="3134" spans="1:21" s="416" customFormat="1" ht="56.25" customHeight="1">
      <c r="A3134" s="414">
        <f t="shared" si="463"/>
        <v>156</v>
      </c>
      <c r="B3134" s="403" t="s">
        <v>2406</v>
      </c>
      <c r="C3134" s="455" t="s">
        <v>272</v>
      </c>
      <c r="D3134" s="811">
        <v>10096</v>
      </c>
      <c r="E3134" s="391">
        <v>715</v>
      </c>
      <c r="F3134" s="391" t="s">
        <v>223</v>
      </c>
      <c r="G3134" s="391">
        <v>967</v>
      </c>
      <c r="H3134" s="528">
        <v>4</v>
      </c>
      <c r="I3134" s="528">
        <v>4</v>
      </c>
      <c r="J3134" s="528">
        <v>27</v>
      </c>
      <c r="K3134" s="458" t="s">
        <v>30</v>
      </c>
      <c r="L3134" s="529">
        <f t="shared" si="464"/>
        <v>758965</v>
      </c>
      <c r="M3134" s="529">
        <f>J3134*27000</f>
        <v>729000</v>
      </c>
      <c r="N3134" s="391"/>
      <c r="O3134" s="530">
        <f t="shared" si="465"/>
        <v>2187</v>
      </c>
      <c r="P3134" s="391"/>
      <c r="Q3134" s="391">
        <v>27778</v>
      </c>
      <c r="R3134" s="528">
        <f t="shared" si="466"/>
        <v>27000</v>
      </c>
      <c r="S3134" s="487"/>
      <c r="T3134" s="398"/>
      <c r="U3134" s="414"/>
    </row>
    <row r="3135" spans="1:21" s="416" customFormat="1" ht="56.25" customHeight="1">
      <c r="A3135" s="414">
        <f t="shared" si="463"/>
        <v>157</v>
      </c>
      <c r="B3135" s="403" t="s">
        <v>2407</v>
      </c>
      <c r="C3135" s="455" t="s">
        <v>272</v>
      </c>
      <c r="D3135" s="487">
        <v>13112</v>
      </c>
      <c r="E3135" s="391">
        <v>4000</v>
      </c>
      <c r="F3135" s="391" t="s">
        <v>223</v>
      </c>
      <c r="G3135" s="391">
        <v>1248</v>
      </c>
      <c r="H3135" s="528">
        <v>4</v>
      </c>
      <c r="I3135" s="528">
        <v>4</v>
      </c>
      <c r="J3135" s="528">
        <v>33</v>
      </c>
      <c r="K3135" s="458" t="s">
        <v>372</v>
      </c>
      <c r="L3135" s="529">
        <f t="shared" si="464"/>
        <v>6775175</v>
      </c>
      <c r="M3135" s="529">
        <v>6725000</v>
      </c>
      <c r="N3135" s="391"/>
      <c r="O3135" s="530">
        <v>20175</v>
      </c>
      <c r="P3135" s="391"/>
      <c r="Q3135" s="391">
        <v>30000</v>
      </c>
      <c r="R3135" s="528">
        <f>M3135/E3135</f>
        <v>1681.25</v>
      </c>
      <c r="S3135" s="487"/>
      <c r="T3135" s="398"/>
      <c r="U3135" s="414"/>
    </row>
    <row r="3136" spans="1:21" s="416" customFormat="1" ht="37.5" customHeight="1">
      <c r="A3136" s="414">
        <f t="shared" si="463"/>
        <v>158</v>
      </c>
      <c r="B3136" s="403" t="s">
        <v>2408</v>
      </c>
      <c r="C3136" s="455" t="s">
        <v>230</v>
      </c>
      <c r="D3136" s="487">
        <v>1347</v>
      </c>
      <c r="E3136" s="391">
        <v>480</v>
      </c>
      <c r="F3136" s="391" t="s">
        <v>314</v>
      </c>
      <c r="G3136" s="391">
        <v>237</v>
      </c>
      <c r="H3136" s="528">
        <v>2</v>
      </c>
      <c r="I3136" s="528">
        <v>1</v>
      </c>
      <c r="J3136" s="528">
        <v>8</v>
      </c>
      <c r="K3136" s="458" t="s">
        <v>395</v>
      </c>
      <c r="L3136" s="529">
        <f t="shared" si="464"/>
        <v>529627.19999999995</v>
      </c>
      <c r="M3136" s="529">
        <f>SUM(G3136*2200)</f>
        <v>521400</v>
      </c>
      <c r="N3136" s="391"/>
      <c r="O3136" s="530">
        <f t="shared" si="465"/>
        <v>1564.2</v>
      </c>
      <c r="P3136" s="391"/>
      <c r="Q3136" s="391">
        <v>6663</v>
      </c>
      <c r="R3136" s="528">
        <f>M3136/G3136</f>
        <v>2200</v>
      </c>
      <c r="S3136" s="487"/>
      <c r="T3136" s="398">
        <f>M3136+N3136+O3136+Q3136</f>
        <v>529627.19999999995</v>
      </c>
      <c r="U3136" s="414"/>
    </row>
    <row r="3137" spans="1:21" s="416" customFormat="1" ht="37.5" customHeight="1">
      <c r="A3137" s="414">
        <f t="shared" si="463"/>
        <v>159</v>
      </c>
      <c r="B3137" s="403" t="s">
        <v>2409</v>
      </c>
      <c r="C3137" s="455" t="s">
        <v>230</v>
      </c>
      <c r="D3137" s="487">
        <v>2831</v>
      </c>
      <c r="E3137" s="391">
        <v>602</v>
      </c>
      <c r="F3137" s="391" t="s">
        <v>223</v>
      </c>
      <c r="G3137" s="391">
        <v>623</v>
      </c>
      <c r="H3137" s="528">
        <v>2</v>
      </c>
      <c r="I3137" s="528">
        <v>2</v>
      </c>
      <c r="J3137" s="528">
        <v>12</v>
      </c>
      <c r="K3137" s="458" t="s">
        <v>395</v>
      </c>
      <c r="L3137" s="529">
        <f t="shared" si="464"/>
        <v>1388714.8</v>
      </c>
      <c r="M3137" s="529">
        <f>SUM(G3137*2200)</f>
        <v>1370600</v>
      </c>
      <c r="N3137" s="391"/>
      <c r="O3137" s="530">
        <f t="shared" si="465"/>
        <v>4111.8</v>
      </c>
      <c r="P3137" s="391"/>
      <c r="Q3137" s="391">
        <v>14003</v>
      </c>
      <c r="R3137" s="528">
        <f>M3137/G3137</f>
        <v>2200</v>
      </c>
      <c r="S3137" s="487"/>
      <c r="T3137" s="398">
        <f>M3137+N3137+O3137+Q3137</f>
        <v>1388714.8</v>
      </c>
      <c r="U3137" s="414"/>
    </row>
    <row r="3138" spans="1:21" s="416" customFormat="1" ht="35.25" customHeight="1">
      <c r="A3138" s="414">
        <f>A3137+1</f>
        <v>160</v>
      </c>
      <c r="B3138" s="403" t="s">
        <v>2412</v>
      </c>
      <c r="C3138" s="455" t="s">
        <v>218</v>
      </c>
      <c r="D3138" s="487">
        <v>31500</v>
      </c>
      <c r="E3138" s="391">
        <v>2800</v>
      </c>
      <c r="F3138" s="391" t="s">
        <v>234</v>
      </c>
      <c r="G3138" s="391">
        <v>1427</v>
      </c>
      <c r="H3138" s="528">
        <v>9</v>
      </c>
      <c r="I3138" s="528">
        <v>4</v>
      </c>
      <c r="J3138" s="528">
        <v>144</v>
      </c>
      <c r="K3138" s="458" t="s">
        <v>33</v>
      </c>
      <c r="L3138" s="529">
        <f t="shared" si="464"/>
        <v>2596305.7999999998</v>
      </c>
      <c r="M3138" s="529">
        <v>2568600</v>
      </c>
      <c r="N3138" s="391"/>
      <c r="O3138" s="530">
        <f t="shared" si="465"/>
        <v>7705.8</v>
      </c>
      <c r="P3138" s="391"/>
      <c r="Q3138" s="391">
        <v>20000</v>
      </c>
      <c r="R3138" s="528">
        <f>M3138/G3138</f>
        <v>1800</v>
      </c>
      <c r="S3138" s="487"/>
      <c r="T3138" s="398">
        <f>M3138+N3138+O3138+Q3138</f>
        <v>2596305.7999999998</v>
      </c>
      <c r="U3138" s="414"/>
    </row>
    <row r="3139" spans="1:21" s="416" customFormat="1" ht="35.25" customHeight="1">
      <c r="A3139" s="414">
        <f t="shared" si="463"/>
        <v>161</v>
      </c>
      <c r="B3139" s="403" t="s">
        <v>2413</v>
      </c>
      <c r="C3139" s="455" t="s">
        <v>218</v>
      </c>
      <c r="D3139" s="487">
        <v>43505.2</v>
      </c>
      <c r="E3139" s="391">
        <v>7868</v>
      </c>
      <c r="F3139" s="391" t="s">
        <v>234</v>
      </c>
      <c r="G3139" s="391">
        <v>2024</v>
      </c>
      <c r="H3139" s="528">
        <v>9</v>
      </c>
      <c r="I3139" s="528">
        <v>6</v>
      </c>
      <c r="J3139" s="528">
        <v>203</v>
      </c>
      <c r="K3139" s="458" t="s">
        <v>33</v>
      </c>
      <c r="L3139" s="529">
        <f t="shared" si="464"/>
        <v>3674129.6</v>
      </c>
      <c r="M3139" s="529">
        <v>3643200</v>
      </c>
      <c r="N3139" s="391"/>
      <c r="O3139" s="530">
        <f t="shared" si="465"/>
        <v>10929.6</v>
      </c>
      <c r="P3139" s="391"/>
      <c r="Q3139" s="391">
        <v>20000</v>
      </c>
      <c r="R3139" s="528">
        <f>M3139/G3139</f>
        <v>1800</v>
      </c>
      <c r="S3139" s="487"/>
      <c r="T3139" s="398">
        <f>M3139+N3139+O3139+Q3139</f>
        <v>3674129.6</v>
      </c>
      <c r="U3139" s="414"/>
    </row>
    <row r="3140" spans="1:21" s="416" customFormat="1" ht="56.25" customHeight="1">
      <c r="A3140" s="414">
        <f t="shared" si="463"/>
        <v>162</v>
      </c>
      <c r="B3140" s="403" t="s">
        <v>2417</v>
      </c>
      <c r="C3140" s="455" t="s">
        <v>272</v>
      </c>
      <c r="D3140" s="811">
        <v>12078</v>
      </c>
      <c r="E3140" s="391">
        <v>2480</v>
      </c>
      <c r="F3140" s="391" t="s">
        <v>234</v>
      </c>
      <c r="G3140" s="391">
        <v>427</v>
      </c>
      <c r="H3140" s="528">
        <v>10</v>
      </c>
      <c r="I3140" s="528">
        <v>1</v>
      </c>
      <c r="J3140" s="528">
        <v>48</v>
      </c>
      <c r="K3140" s="458" t="s">
        <v>30</v>
      </c>
      <c r="L3140" s="529">
        <f t="shared" si="464"/>
        <v>1238441</v>
      </c>
      <c r="M3140" s="529">
        <f>J3140*25000</f>
        <v>1200000</v>
      </c>
      <c r="N3140" s="391"/>
      <c r="O3140" s="530">
        <f>M3140*0.3%</f>
        <v>3600</v>
      </c>
      <c r="P3140" s="391"/>
      <c r="Q3140" s="391">
        <v>34841</v>
      </c>
      <c r="R3140" s="528">
        <f>M3140/J3140</f>
        <v>25000</v>
      </c>
      <c r="S3140" s="487"/>
      <c r="T3140" s="398"/>
      <c r="U3140" s="414"/>
    </row>
    <row r="3141" spans="1:21" s="416" customFormat="1" ht="37.5" customHeight="1">
      <c r="A3141" s="414">
        <f t="shared" si="463"/>
        <v>163</v>
      </c>
      <c r="B3141" s="403" t="s">
        <v>2418</v>
      </c>
      <c r="C3141" s="455" t="s">
        <v>272</v>
      </c>
      <c r="D3141" s="811">
        <v>11393</v>
      </c>
      <c r="E3141" s="391">
        <v>2200</v>
      </c>
      <c r="F3141" s="391" t="s">
        <v>223</v>
      </c>
      <c r="G3141" s="391">
        <v>1013</v>
      </c>
      <c r="H3141" s="528">
        <v>5</v>
      </c>
      <c r="I3141" s="528">
        <v>3</v>
      </c>
      <c r="J3141" s="528">
        <v>29</v>
      </c>
      <c r="K3141" s="458" t="s">
        <v>225</v>
      </c>
      <c r="L3141" s="529">
        <f t="shared" si="464"/>
        <v>509319</v>
      </c>
      <c r="M3141" s="529">
        <f>J3141*16000</f>
        <v>464000</v>
      </c>
      <c r="N3141" s="391">
        <v>32000</v>
      </c>
      <c r="O3141" s="530"/>
      <c r="P3141" s="391"/>
      <c r="Q3141" s="391">
        <v>13319</v>
      </c>
      <c r="R3141" s="528">
        <f>M3141/J3141</f>
        <v>16000</v>
      </c>
      <c r="S3141" s="487"/>
      <c r="T3141" s="398"/>
      <c r="U3141" s="414"/>
    </row>
    <row r="3142" spans="1:21" s="416" customFormat="1" ht="85.5" customHeight="1">
      <c r="A3142" s="414">
        <f t="shared" si="463"/>
        <v>164</v>
      </c>
      <c r="B3142" s="403" t="s">
        <v>2419</v>
      </c>
      <c r="C3142" s="455" t="s">
        <v>272</v>
      </c>
      <c r="D3142" s="811">
        <v>11050</v>
      </c>
      <c r="E3142" s="391">
        <v>2200</v>
      </c>
      <c r="F3142" s="391" t="s">
        <v>223</v>
      </c>
      <c r="G3142" s="391">
        <v>840</v>
      </c>
      <c r="H3142" s="528">
        <v>5</v>
      </c>
      <c r="I3142" s="528">
        <v>3</v>
      </c>
      <c r="J3142" s="528">
        <v>60</v>
      </c>
      <c r="K3142" s="458" t="s">
        <v>30</v>
      </c>
      <c r="L3142" s="529">
        <f t="shared" si="464"/>
        <v>1531767</v>
      </c>
      <c r="M3142" s="529">
        <v>1500000</v>
      </c>
      <c r="N3142" s="391"/>
      <c r="O3142" s="530">
        <v>20000</v>
      </c>
      <c r="P3142" s="391"/>
      <c r="Q3142" s="391">
        <v>11767</v>
      </c>
      <c r="R3142" s="528">
        <f>M3142/J3142</f>
        <v>25000</v>
      </c>
      <c r="S3142" s="487"/>
      <c r="T3142" s="398"/>
      <c r="U3142" s="414"/>
    </row>
    <row r="3143" spans="1:21" s="416" customFormat="1" ht="56.25" customHeight="1">
      <c r="A3143" s="414">
        <f t="shared" si="463"/>
        <v>165</v>
      </c>
      <c r="B3143" s="403" t="s">
        <v>2421</v>
      </c>
      <c r="C3143" s="455" t="s">
        <v>272</v>
      </c>
      <c r="D3143" s="811">
        <v>10117</v>
      </c>
      <c r="E3143" s="391">
        <v>1971</v>
      </c>
      <c r="F3143" s="391" t="s">
        <v>223</v>
      </c>
      <c r="G3143" s="391">
        <v>1155</v>
      </c>
      <c r="H3143" s="528">
        <v>4</v>
      </c>
      <c r="I3143" s="528">
        <v>4</v>
      </c>
      <c r="J3143" s="528">
        <v>64</v>
      </c>
      <c r="K3143" s="458" t="s">
        <v>30</v>
      </c>
      <c r="L3143" s="529">
        <f t="shared" si="464"/>
        <v>1760962</v>
      </c>
      <c r="M3143" s="529">
        <f>J3143*27000</f>
        <v>1728000</v>
      </c>
      <c r="N3143" s="391"/>
      <c r="O3143" s="530">
        <f>M3143*0.3%</f>
        <v>5184</v>
      </c>
      <c r="P3143" s="391"/>
      <c r="Q3143" s="391">
        <v>27778</v>
      </c>
      <c r="R3143" s="528">
        <f>M3143/J3143</f>
        <v>27000</v>
      </c>
      <c r="S3143" s="487"/>
      <c r="T3143" s="398"/>
      <c r="U3143" s="414"/>
    </row>
    <row r="3144" spans="1:21" s="416" customFormat="1" ht="37.5" customHeight="1">
      <c r="A3144" s="414">
        <f t="shared" si="463"/>
        <v>166</v>
      </c>
      <c r="B3144" s="403" t="s">
        <v>2422</v>
      </c>
      <c r="C3144" s="455" t="s">
        <v>218</v>
      </c>
      <c r="D3144" s="487">
        <v>8422</v>
      </c>
      <c r="E3144" s="391">
        <v>2317.09</v>
      </c>
      <c r="F3144" s="391" t="s">
        <v>234</v>
      </c>
      <c r="G3144" s="391">
        <v>403</v>
      </c>
      <c r="H3144" s="528">
        <v>10</v>
      </c>
      <c r="I3144" s="528">
        <v>1</v>
      </c>
      <c r="J3144" s="528">
        <v>44</v>
      </c>
      <c r="K3144" s="458" t="s">
        <v>285</v>
      </c>
      <c r="L3144" s="529">
        <f t="shared" si="464"/>
        <v>7010034</v>
      </c>
      <c r="M3144" s="529">
        <v>6951270</v>
      </c>
      <c r="N3144" s="391">
        <v>40000</v>
      </c>
      <c r="O3144" s="530"/>
      <c r="P3144" s="391"/>
      <c r="Q3144" s="391">
        <v>18764</v>
      </c>
      <c r="R3144" s="528">
        <f>M3144/E3144</f>
        <v>3000</v>
      </c>
      <c r="S3144" s="487"/>
      <c r="T3144" s="398"/>
      <c r="U3144" s="414"/>
    </row>
    <row r="3145" spans="1:21" s="416" customFormat="1" ht="37.5" customHeight="1">
      <c r="A3145" s="414">
        <f t="shared" si="463"/>
        <v>167</v>
      </c>
      <c r="B3145" s="403" t="s">
        <v>2423</v>
      </c>
      <c r="C3145" s="455" t="s">
        <v>400</v>
      </c>
      <c r="D3145" s="487">
        <v>2855</v>
      </c>
      <c r="E3145" s="391">
        <v>417</v>
      </c>
      <c r="F3145" s="391" t="s">
        <v>223</v>
      </c>
      <c r="G3145" s="391">
        <v>570</v>
      </c>
      <c r="H3145" s="528">
        <v>2</v>
      </c>
      <c r="I3145" s="528">
        <v>2</v>
      </c>
      <c r="J3145" s="528">
        <v>16</v>
      </c>
      <c r="K3145" s="458" t="s">
        <v>225</v>
      </c>
      <c r="L3145" s="529">
        <f t="shared" si="464"/>
        <v>312660</v>
      </c>
      <c r="M3145" s="529">
        <f>J3145*18000</f>
        <v>288000</v>
      </c>
      <c r="N3145" s="391">
        <v>20000</v>
      </c>
      <c r="O3145" s="530"/>
      <c r="P3145" s="391"/>
      <c r="Q3145" s="391">
        <v>4660</v>
      </c>
      <c r="R3145" s="528">
        <f>M3145/J3145</f>
        <v>18000</v>
      </c>
      <c r="S3145" s="487"/>
      <c r="T3145" s="398"/>
      <c r="U3145" s="414"/>
    </row>
    <row r="3146" spans="1:21" s="416" customFormat="1" ht="37.5" customHeight="1">
      <c r="A3146" s="414">
        <f t="shared" si="463"/>
        <v>168</v>
      </c>
      <c r="B3146" s="403" t="s">
        <v>2424</v>
      </c>
      <c r="C3146" s="455" t="s">
        <v>218</v>
      </c>
      <c r="D3146" s="811">
        <v>11612</v>
      </c>
      <c r="E3146" s="391">
        <v>3030</v>
      </c>
      <c r="F3146" s="391" t="s">
        <v>234</v>
      </c>
      <c r="G3146" s="391">
        <v>760.3</v>
      </c>
      <c r="H3146" s="528">
        <v>5</v>
      </c>
      <c r="I3146" s="528">
        <v>4</v>
      </c>
      <c r="J3146" s="528">
        <v>60</v>
      </c>
      <c r="K3146" s="458" t="s">
        <v>225</v>
      </c>
      <c r="L3146" s="529">
        <f t="shared" si="464"/>
        <v>1002298</v>
      </c>
      <c r="M3146" s="529">
        <f>J3146*16000</f>
        <v>960000</v>
      </c>
      <c r="N3146" s="391">
        <v>30000</v>
      </c>
      <c r="O3146" s="530"/>
      <c r="P3146" s="391"/>
      <c r="Q3146" s="391">
        <v>12298</v>
      </c>
      <c r="R3146" s="528">
        <f>M3146/J3146</f>
        <v>16000</v>
      </c>
      <c r="S3146" s="487"/>
      <c r="T3146" s="398"/>
      <c r="U3146" s="414"/>
    </row>
    <row r="3147" spans="1:21" s="416" customFormat="1" ht="37.5" customHeight="1">
      <c r="A3147" s="414">
        <f>A3146+1</f>
        <v>169</v>
      </c>
      <c r="B3147" s="403" t="s">
        <v>2425</v>
      </c>
      <c r="C3147" s="455" t="s">
        <v>392</v>
      </c>
      <c r="D3147" s="487">
        <v>1489</v>
      </c>
      <c r="E3147" s="391">
        <v>292</v>
      </c>
      <c r="F3147" s="391" t="s">
        <v>223</v>
      </c>
      <c r="G3147" s="391">
        <v>324</v>
      </c>
      <c r="H3147" s="528">
        <v>2</v>
      </c>
      <c r="I3147" s="528">
        <v>2</v>
      </c>
      <c r="J3147" s="528">
        <v>8</v>
      </c>
      <c r="K3147" s="458" t="s">
        <v>225</v>
      </c>
      <c r="L3147" s="529">
        <f t="shared" si="464"/>
        <v>166604</v>
      </c>
      <c r="M3147" s="529">
        <f>J3147*18000</f>
        <v>144000</v>
      </c>
      <c r="N3147" s="391">
        <v>20000</v>
      </c>
      <c r="O3147" s="530"/>
      <c r="P3147" s="391"/>
      <c r="Q3147" s="391">
        <v>2604</v>
      </c>
      <c r="R3147" s="528">
        <f>M3147/J3147</f>
        <v>18000</v>
      </c>
      <c r="S3147" s="487"/>
      <c r="T3147" s="398"/>
      <c r="U3147" s="414"/>
    </row>
    <row r="3148" spans="1:21" s="416" customFormat="1" ht="37.5" customHeight="1">
      <c r="A3148" s="414">
        <f t="shared" si="463"/>
        <v>170</v>
      </c>
      <c r="B3148" s="403" t="s">
        <v>2426</v>
      </c>
      <c r="C3148" s="455" t="s">
        <v>393</v>
      </c>
      <c r="D3148" s="487">
        <v>2844</v>
      </c>
      <c r="E3148" s="391">
        <v>295</v>
      </c>
      <c r="F3148" s="391" t="s">
        <v>223</v>
      </c>
      <c r="G3148" s="391">
        <v>569</v>
      </c>
      <c r="H3148" s="528">
        <v>2</v>
      </c>
      <c r="I3148" s="528">
        <v>2</v>
      </c>
      <c r="J3148" s="528">
        <v>16</v>
      </c>
      <c r="K3148" s="458" t="s">
        <v>225</v>
      </c>
      <c r="L3148" s="529">
        <f t="shared" si="464"/>
        <v>312338</v>
      </c>
      <c r="M3148" s="529">
        <f>J3148*18000</f>
        <v>288000</v>
      </c>
      <c r="N3148" s="391">
        <v>20000</v>
      </c>
      <c r="O3148" s="530"/>
      <c r="P3148" s="391"/>
      <c r="Q3148" s="391">
        <v>4338</v>
      </c>
      <c r="R3148" s="528">
        <f>M3148/J3148</f>
        <v>18000</v>
      </c>
      <c r="S3148" s="487"/>
      <c r="T3148" s="398"/>
      <c r="U3148" s="414"/>
    </row>
    <row r="3149" spans="1:21" s="416" customFormat="1" ht="37.5" customHeight="1">
      <c r="A3149" s="414">
        <f t="shared" si="463"/>
        <v>171</v>
      </c>
      <c r="B3149" s="403" t="s">
        <v>2427</v>
      </c>
      <c r="C3149" s="455" t="s">
        <v>393</v>
      </c>
      <c r="D3149" s="487">
        <v>2491</v>
      </c>
      <c r="E3149" s="391">
        <v>423</v>
      </c>
      <c r="F3149" s="391" t="s">
        <v>223</v>
      </c>
      <c r="G3149" s="391">
        <v>491</v>
      </c>
      <c r="H3149" s="528">
        <v>2</v>
      </c>
      <c r="I3149" s="528">
        <v>1</v>
      </c>
      <c r="J3149" s="528">
        <v>8</v>
      </c>
      <c r="K3149" s="458" t="s">
        <v>225</v>
      </c>
      <c r="L3149" s="529">
        <f t="shared" si="464"/>
        <v>167709</v>
      </c>
      <c r="M3149" s="529">
        <f>J3149*18000</f>
        <v>144000</v>
      </c>
      <c r="N3149" s="391">
        <v>20000</v>
      </c>
      <c r="O3149" s="530"/>
      <c r="P3149" s="391"/>
      <c r="Q3149" s="391">
        <v>3709</v>
      </c>
      <c r="R3149" s="528">
        <f>M3149/J3149</f>
        <v>18000</v>
      </c>
      <c r="S3149" s="487"/>
      <c r="T3149" s="398"/>
      <c r="U3149" s="414"/>
    </row>
    <row r="3150" spans="1:21" s="416" customFormat="1" ht="37.5" customHeight="1">
      <c r="A3150" s="414">
        <f t="shared" si="463"/>
        <v>172</v>
      </c>
      <c r="B3150" s="403" t="s">
        <v>2428</v>
      </c>
      <c r="C3150" s="455" t="s">
        <v>218</v>
      </c>
      <c r="D3150" s="811">
        <v>12381</v>
      </c>
      <c r="E3150" s="391">
        <v>3030</v>
      </c>
      <c r="F3150" s="391" t="s">
        <v>223</v>
      </c>
      <c r="G3150" s="391">
        <v>1140</v>
      </c>
      <c r="H3150" s="528">
        <v>5</v>
      </c>
      <c r="I3150" s="528">
        <v>4</v>
      </c>
      <c r="J3150" s="528">
        <v>80</v>
      </c>
      <c r="K3150" s="458" t="s">
        <v>33</v>
      </c>
      <c r="L3150" s="529">
        <f t="shared" si="464"/>
        <v>3240329</v>
      </c>
      <c r="M3150" s="529">
        <f>G3150*2800</f>
        <v>3192000</v>
      </c>
      <c r="N3150" s="391"/>
      <c r="O3150" s="530">
        <f>M3150*0.3%</f>
        <v>9576</v>
      </c>
      <c r="P3150" s="391"/>
      <c r="Q3150" s="391">
        <v>38753</v>
      </c>
      <c r="R3150" s="528">
        <f>M3150/G3150</f>
        <v>2800</v>
      </c>
      <c r="S3150" s="487"/>
      <c r="T3150" s="398">
        <f>M3150+N3150+O3150+Q3150</f>
        <v>3240329</v>
      </c>
      <c r="U3150" s="414"/>
    </row>
    <row r="3151" spans="1:21" s="416" customFormat="1" ht="37.5" customHeight="1">
      <c r="A3151" s="414">
        <f t="shared" si="463"/>
        <v>173</v>
      </c>
      <c r="B3151" s="403" t="s">
        <v>2429</v>
      </c>
      <c r="C3151" s="455" t="s">
        <v>218</v>
      </c>
      <c r="D3151" s="811">
        <v>12439</v>
      </c>
      <c r="E3151" s="391">
        <v>3030</v>
      </c>
      <c r="F3151" s="391" t="s">
        <v>223</v>
      </c>
      <c r="G3151" s="391">
        <v>1130</v>
      </c>
      <c r="H3151" s="528">
        <v>5</v>
      </c>
      <c r="I3151" s="528">
        <v>4</v>
      </c>
      <c r="J3151" s="528">
        <v>80</v>
      </c>
      <c r="K3151" s="458" t="s">
        <v>33</v>
      </c>
      <c r="L3151" s="529">
        <f t="shared" si="464"/>
        <v>3212426</v>
      </c>
      <c r="M3151" s="529">
        <f>G3151*2800</f>
        <v>3164000</v>
      </c>
      <c r="N3151" s="391"/>
      <c r="O3151" s="530">
        <f>M3151*0.3%</f>
        <v>9492</v>
      </c>
      <c r="P3151" s="391"/>
      <c r="Q3151" s="391">
        <v>38934</v>
      </c>
      <c r="R3151" s="528">
        <f>M3151/G3151</f>
        <v>2800</v>
      </c>
      <c r="S3151" s="487"/>
      <c r="T3151" s="398">
        <f>M3151+N3151+O3151+Q3151</f>
        <v>3212426</v>
      </c>
      <c r="U3151" s="414"/>
    </row>
    <row r="3152" spans="1:21" s="416" customFormat="1" ht="37.5" customHeight="1">
      <c r="A3152" s="414">
        <f t="shared" si="463"/>
        <v>174</v>
      </c>
      <c r="B3152" s="403" t="s">
        <v>2430</v>
      </c>
      <c r="C3152" s="455" t="s">
        <v>218</v>
      </c>
      <c r="D3152" s="811">
        <v>12435</v>
      </c>
      <c r="E3152" s="391">
        <v>3030</v>
      </c>
      <c r="F3152" s="391" t="s">
        <v>223</v>
      </c>
      <c r="G3152" s="391">
        <v>1135</v>
      </c>
      <c r="H3152" s="528">
        <v>5</v>
      </c>
      <c r="I3152" s="528">
        <v>4</v>
      </c>
      <c r="J3152" s="528">
        <v>80</v>
      </c>
      <c r="K3152" s="458" t="s">
        <v>33</v>
      </c>
      <c r="L3152" s="529">
        <f t="shared" si="464"/>
        <v>3226456</v>
      </c>
      <c r="M3152" s="529">
        <f>G3152*2800</f>
        <v>3178000</v>
      </c>
      <c r="N3152" s="391"/>
      <c r="O3152" s="530">
        <f>M3152*0.3%</f>
        <v>9534</v>
      </c>
      <c r="P3152" s="391"/>
      <c r="Q3152" s="391">
        <v>38922</v>
      </c>
      <c r="R3152" s="528">
        <f>M3152/G3152</f>
        <v>2800</v>
      </c>
      <c r="S3152" s="487"/>
      <c r="T3152" s="398">
        <f>M3152+N3152+O3152+Q3152</f>
        <v>3226456</v>
      </c>
      <c r="U3152" s="414"/>
    </row>
    <row r="3153" spans="1:22" s="416" customFormat="1" ht="37.5" customHeight="1">
      <c r="A3153" s="414">
        <f t="shared" si="463"/>
        <v>175</v>
      </c>
      <c r="B3153" s="403" t="s">
        <v>2431</v>
      </c>
      <c r="C3153" s="455" t="s">
        <v>272</v>
      </c>
      <c r="D3153" s="487">
        <v>60106</v>
      </c>
      <c r="E3153" s="391">
        <v>3533</v>
      </c>
      <c r="F3153" s="391" t="s">
        <v>234</v>
      </c>
      <c r="G3153" s="391">
        <v>3720.6</v>
      </c>
      <c r="H3153" s="528">
        <v>9</v>
      </c>
      <c r="I3153" s="528">
        <v>7</v>
      </c>
      <c r="J3153" s="528">
        <v>224</v>
      </c>
      <c r="K3153" s="458" t="s">
        <v>33</v>
      </c>
      <c r="L3153" s="529">
        <f t="shared" si="464"/>
        <v>6737171.2400000002</v>
      </c>
      <c r="M3153" s="529">
        <v>6697080</v>
      </c>
      <c r="N3153" s="391"/>
      <c r="O3153" s="530">
        <f>M3153*0.3%</f>
        <v>20091.240000000002</v>
      </c>
      <c r="P3153" s="391"/>
      <c r="Q3153" s="391">
        <v>20000</v>
      </c>
      <c r="R3153" s="528">
        <f>M3153/G3153</f>
        <v>1800</v>
      </c>
      <c r="S3153" s="487"/>
      <c r="T3153" s="398">
        <f>M3153+N3153+O3153+Q3153</f>
        <v>6737171.2400000002</v>
      </c>
      <c r="U3153" s="414"/>
      <c r="V3153" s="390"/>
    </row>
    <row r="3154" spans="1:22" s="416" customFormat="1" ht="56.25" customHeight="1">
      <c r="A3154" s="414">
        <f t="shared" si="463"/>
        <v>176</v>
      </c>
      <c r="B3154" s="403" t="s">
        <v>2432</v>
      </c>
      <c r="C3154" s="455" t="s">
        <v>343</v>
      </c>
      <c r="D3154" s="811">
        <v>4021</v>
      </c>
      <c r="E3154" s="391">
        <v>580</v>
      </c>
      <c r="F3154" s="391" t="s">
        <v>223</v>
      </c>
      <c r="G3154" s="391">
        <v>556</v>
      </c>
      <c r="H3154" s="528">
        <v>2</v>
      </c>
      <c r="I3154" s="528">
        <v>2</v>
      </c>
      <c r="J3154" s="528">
        <v>12</v>
      </c>
      <c r="K3154" s="458" t="s">
        <v>30</v>
      </c>
      <c r="L3154" s="529">
        <f t="shared" si="464"/>
        <v>322558</v>
      </c>
      <c r="M3154" s="529">
        <f>J3154*25000</f>
        <v>300000</v>
      </c>
      <c r="N3154" s="391"/>
      <c r="O3154" s="530">
        <f>M3154*0.3%</f>
        <v>900</v>
      </c>
      <c r="P3154" s="391"/>
      <c r="Q3154" s="391">
        <v>21658</v>
      </c>
      <c r="R3154" s="528">
        <f>M3154/J3154</f>
        <v>25000</v>
      </c>
      <c r="S3154" s="487"/>
      <c r="T3154" s="398"/>
      <c r="U3154" s="414"/>
    </row>
    <row r="3155" spans="1:22" s="416" customFormat="1" ht="37.5" customHeight="1">
      <c r="A3155" s="414">
        <f t="shared" si="463"/>
        <v>177</v>
      </c>
      <c r="B3155" s="403" t="s">
        <v>2433</v>
      </c>
      <c r="C3155" s="455" t="s">
        <v>272</v>
      </c>
      <c r="D3155" s="811">
        <v>6440</v>
      </c>
      <c r="E3155" s="391">
        <v>580</v>
      </c>
      <c r="F3155" s="391" t="s">
        <v>223</v>
      </c>
      <c r="G3155" s="391">
        <v>763</v>
      </c>
      <c r="H3155" s="528">
        <v>3</v>
      </c>
      <c r="I3155" s="528">
        <v>2</v>
      </c>
      <c r="J3155" s="528">
        <v>16</v>
      </c>
      <c r="K3155" s="458" t="s">
        <v>33</v>
      </c>
      <c r="L3155" s="529">
        <f t="shared" si="464"/>
        <v>2173289.7999999998</v>
      </c>
      <c r="M3155" s="529">
        <v>2136400</v>
      </c>
      <c r="N3155" s="391"/>
      <c r="O3155" s="530">
        <v>5035.8</v>
      </c>
      <c r="P3155" s="391"/>
      <c r="Q3155" s="391">
        <v>31854</v>
      </c>
      <c r="R3155" s="528">
        <f>M3155/G3155</f>
        <v>2800</v>
      </c>
      <c r="S3155" s="487"/>
      <c r="T3155" s="398">
        <f>M3155+N3155+O3155+Q3155</f>
        <v>2173289.7999999998</v>
      </c>
      <c r="U3155" s="414"/>
    </row>
    <row r="3156" spans="1:22" s="416" customFormat="1" ht="37.5" customHeight="1">
      <c r="A3156" s="414">
        <f t="shared" si="463"/>
        <v>178</v>
      </c>
      <c r="B3156" s="403" t="s">
        <v>2435</v>
      </c>
      <c r="C3156" s="455" t="s">
        <v>272</v>
      </c>
      <c r="D3156" s="811">
        <v>6224</v>
      </c>
      <c r="E3156" s="391">
        <v>580</v>
      </c>
      <c r="F3156" s="391" t="s">
        <v>223</v>
      </c>
      <c r="G3156" s="391">
        <v>801</v>
      </c>
      <c r="H3156" s="528">
        <v>3</v>
      </c>
      <c r="I3156" s="528">
        <v>2</v>
      </c>
      <c r="J3156" s="528">
        <v>18</v>
      </c>
      <c r="K3156" s="458" t="s">
        <v>33</v>
      </c>
      <c r="L3156" s="529">
        <f t="shared" si="464"/>
        <v>2280314.4</v>
      </c>
      <c r="M3156" s="529">
        <v>2242800</v>
      </c>
      <c r="N3156" s="391"/>
      <c r="O3156" s="530">
        <v>6728.4000000000005</v>
      </c>
      <c r="P3156" s="391"/>
      <c r="Q3156" s="391">
        <v>30786</v>
      </c>
      <c r="R3156" s="528">
        <f>M3156/G3156</f>
        <v>2800</v>
      </c>
      <c r="S3156" s="487"/>
      <c r="T3156" s="398">
        <f>M3156+N3156+O3156+Q3156</f>
        <v>2280314.4</v>
      </c>
      <c r="U3156" s="414"/>
    </row>
    <row r="3157" spans="1:22" s="416" customFormat="1" ht="37.5" customHeight="1">
      <c r="A3157" s="414">
        <f t="shared" si="463"/>
        <v>179</v>
      </c>
      <c r="B3157" s="403" t="s">
        <v>2436</v>
      </c>
      <c r="C3157" s="455" t="s">
        <v>272</v>
      </c>
      <c r="D3157" s="487">
        <v>1099</v>
      </c>
      <c r="E3157" s="391">
        <v>287</v>
      </c>
      <c r="F3157" s="391" t="s">
        <v>223</v>
      </c>
      <c r="G3157" s="391">
        <v>371</v>
      </c>
      <c r="H3157" s="528">
        <v>1</v>
      </c>
      <c r="I3157" s="528">
        <v>1</v>
      </c>
      <c r="J3157" s="528">
        <v>6</v>
      </c>
      <c r="K3157" s="458" t="s">
        <v>33</v>
      </c>
      <c r="L3157" s="529">
        <f t="shared" si="464"/>
        <v>1048325.4</v>
      </c>
      <c r="M3157" s="529">
        <v>1038800</v>
      </c>
      <c r="N3157" s="391"/>
      <c r="O3157" s="530">
        <f>M3157*0.3%</f>
        <v>3116.4</v>
      </c>
      <c r="P3157" s="391"/>
      <c r="Q3157" s="391">
        <v>6409</v>
      </c>
      <c r="R3157" s="528">
        <f>M3157/G3157</f>
        <v>2800</v>
      </c>
      <c r="S3157" s="487"/>
      <c r="T3157" s="398">
        <f>M3157+N3157+O3157+Q3157</f>
        <v>1048325.4</v>
      </c>
      <c r="U3157" s="414"/>
    </row>
    <row r="3158" spans="1:22" s="416" customFormat="1" ht="56.25" customHeight="1">
      <c r="A3158" s="414">
        <f t="shared" si="463"/>
        <v>180</v>
      </c>
      <c r="B3158" s="403" t="s">
        <v>2440</v>
      </c>
      <c r="C3158" s="455" t="s">
        <v>272</v>
      </c>
      <c r="D3158" s="487">
        <v>14000</v>
      </c>
      <c r="E3158" s="391">
        <v>2142</v>
      </c>
      <c r="F3158" s="391" t="s">
        <v>234</v>
      </c>
      <c r="G3158" s="391">
        <v>1300</v>
      </c>
      <c r="H3158" s="528">
        <v>5</v>
      </c>
      <c r="I3158" s="528">
        <v>4</v>
      </c>
      <c r="J3158" s="528">
        <v>68</v>
      </c>
      <c r="K3158" s="458" t="s">
        <v>30</v>
      </c>
      <c r="L3158" s="529">
        <f t="shared" ref="L3158:L3176" si="467">M3158+N3158+O3158+P3158+Q3158</f>
        <v>1876349</v>
      </c>
      <c r="M3158" s="529">
        <v>1836000</v>
      </c>
      <c r="N3158" s="391"/>
      <c r="O3158" s="530">
        <v>5508</v>
      </c>
      <c r="P3158" s="391"/>
      <c r="Q3158" s="391">
        <v>34841</v>
      </c>
      <c r="R3158" s="528">
        <f>M3158/J3158</f>
        <v>27000</v>
      </c>
      <c r="S3158" s="487"/>
      <c r="T3158" s="398"/>
      <c r="U3158" s="414"/>
    </row>
    <row r="3159" spans="1:22" s="416" customFormat="1" ht="37.5" customHeight="1">
      <c r="A3159" s="414">
        <f>A3158+1</f>
        <v>181</v>
      </c>
      <c r="B3159" s="403" t="s">
        <v>2441</v>
      </c>
      <c r="C3159" s="455" t="s">
        <v>218</v>
      </c>
      <c r="D3159" s="487">
        <v>15244</v>
      </c>
      <c r="E3159" s="391">
        <v>3052</v>
      </c>
      <c r="F3159" s="391" t="s">
        <v>234</v>
      </c>
      <c r="G3159" s="391">
        <v>705</v>
      </c>
      <c r="H3159" s="528">
        <v>9</v>
      </c>
      <c r="I3159" s="528">
        <v>2</v>
      </c>
      <c r="J3159" s="528">
        <v>70</v>
      </c>
      <c r="K3159" s="458" t="s">
        <v>225</v>
      </c>
      <c r="L3159" s="529">
        <f t="shared" si="467"/>
        <v>1452000</v>
      </c>
      <c r="M3159" s="529">
        <f>J3159*20000</f>
        <v>1400000</v>
      </c>
      <c r="N3159" s="391">
        <v>32000</v>
      </c>
      <c r="O3159" s="530"/>
      <c r="P3159" s="391"/>
      <c r="Q3159" s="391">
        <v>20000</v>
      </c>
      <c r="R3159" s="528">
        <f>M3159/J3159</f>
        <v>20000</v>
      </c>
      <c r="S3159" s="487"/>
      <c r="T3159" s="398"/>
      <c r="U3159" s="414"/>
    </row>
    <row r="3160" spans="1:22" s="416" customFormat="1" ht="37.5" customHeight="1">
      <c r="A3160" s="414">
        <f t="shared" si="463"/>
        <v>182</v>
      </c>
      <c r="B3160" s="403" t="s">
        <v>2444</v>
      </c>
      <c r="C3160" s="455" t="s">
        <v>272</v>
      </c>
      <c r="D3160" s="487">
        <v>45023</v>
      </c>
      <c r="E3160" s="391">
        <v>7515</v>
      </c>
      <c r="F3160" s="391" t="s">
        <v>234</v>
      </c>
      <c r="G3160" s="391">
        <v>1517.9</v>
      </c>
      <c r="H3160" s="528">
        <v>10</v>
      </c>
      <c r="I3160" s="528">
        <v>3</v>
      </c>
      <c r="J3160" s="528">
        <v>199</v>
      </c>
      <c r="K3160" s="458" t="s">
        <v>33</v>
      </c>
      <c r="L3160" s="529">
        <f t="shared" si="467"/>
        <v>2760416.66</v>
      </c>
      <c r="M3160" s="529">
        <v>2732220</v>
      </c>
      <c r="N3160" s="391"/>
      <c r="O3160" s="530">
        <f>M3160*0.3%</f>
        <v>8196.66</v>
      </c>
      <c r="P3160" s="391"/>
      <c r="Q3160" s="391">
        <v>20000</v>
      </c>
      <c r="R3160" s="528">
        <f>M3160/G3160</f>
        <v>1800</v>
      </c>
      <c r="S3160" s="487"/>
      <c r="T3160" s="398">
        <f>M3160+N3160+O3160+Q3160</f>
        <v>2760416.66</v>
      </c>
      <c r="U3160" s="414"/>
    </row>
    <row r="3161" spans="1:22" s="416" customFormat="1" ht="37.5" customHeight="1">
      <c r="A3161" s="414">
        <f t="shared" si="463"/>
        <v>183</v>
      </c>
      <c r="B3161" s="403" t="s">
        <v>2445</v>
      </c>
      <c r="C3161" s="455" t="s">
        <v>272</v>
      </c>
      <c r="D3161" s="487">
        <v>33143</v>
      </c>
      <c r="E3161" s="391">
        <v>8064</v>
      </c>
      <c r="F3161" s="391" t="s">
        <v>234</v>
      </c>
      <c r="G3161" s="391">
        <v>1154</v>
      </c>
      <c r="H3161" s="528">
        <v>14</v>
      </c>
      <c r="I3161" s="528">
        <v>2</v>
      </c>
      <c r="J3161" s="528">
        <v>117</v>
      </c>
      <c r="K3161" s="458" t="s">
        <v>33</v>
      </c>
      <c r="L3161" s="529">
        <f t="shared" si="467"/>
        <v>2103431.6</v>
      </c>
      <c r="M3161" s="529">
        <v>2077200</v>
      </c>
      <c r="N3161" s="391"/>
      <c r="O3161" s="530">
        <f>M3161*0.3%</f>
        <v>6231.6</v>
      </c>
      <c r="P3161" s="391"/>
      <c r="Q3161" s="391">
        <v>20000</v>
      </c>
      <c r="R3161" s="528">
        <f>M3161/G3161</f>
        <v>1800</v>
      </c>
      <c r="S3161" s="487"/>
      <c r="T3161" s="398">
        <f>M3161+N3161+O3161+Q3161</f>
        <v>2103431.6</v>
      </c>
      <c r="U3161" s="414"/>
    </row>
    <row r="3162" spans="1:22" s="416" customFormat="1" ht="32.25" customHeight="1">
      <c r="A3162" s="414">
        <f t="shared" si="463"/>
        <v>184</v>
      </c>
      <c r="B3162" s="403" t="s">
        <v>2447</v>
      </c>
      <c r="C3162" s="455" t="s">
        <v>218</v>
      </c>
      <c r="D3162" s="487">
        <v>5546</v>
      </c>
      <c r="E3162" s="391">
        <v>1128</v>
      </c>
      <c r="F3162" s="391" t="s">
        <v>223</v>
      </c>
      <c r="G3162" s="391">
        <v>826</v>
      </c>
      <c r="H3162" s="528">
        <v>3</v>
      </c>
      <c r="I3162" s="528">
        <v>3</v>
      </c>
      <c r="J3162" s="528">
        <v>36</v>
      </c>
      <c r="K3162" s="458" t="s">
        <v>33</v>
      </c>
      <c r="L3162" s="529">
        <f t="shared" si="467"/>
        <v>2337097.4</v>
      </c>
      <c r="M3162" s="529">
        <f>G3162*2800</f>
        <v>2312800</v>
      </c>
      <c r="N3162" s="391"/>
      <c r="O3162" s="530">
        <f>M3162*0.3%</f>
        <v>6938.4000000000005</v>
      </c>
      <c r="P3162" s="391"/>
      <c r="Q3162" s="391">
        <v>17359</v>
      </c>
      <c r="R3162" s="528">
        <f>M3162/G3162</f>
        <v>2800</v>
      </c>
      <c r="S3162" s="487"/>
      <c r="T3162" s="398">
        <f>M3162+N3162+O3162+Q3162</f>
        <v>2337097.4</v>
      </c>
      <c r="U3162" s="414"/>
    </row>
    <row r="3163" spans="1:22" s="416" customFormat="1" ht="32.25" customHeight="1">
      <c r="A3163" s="414">
        <f t="shared" si="463"/>
        <v>185</v>
      </c>
      <c r="B3163" s="403" t="s">
        <v>2448</v>
      </c>
      <c r="C3163" s="455" t="s">
        <v>218</v>
      </c>
      <c r="D3163" s="487">
        <v>5479</v>
      </c>
      <c r="E3163" s="391">
        <v>1118</v>
      </c>
      <c r="F3163" s="391" t="s">
        <v>223</v>
      </c>
      <c r="G3163" s="391">
        <v>833</v>
      </c>
      <c r="H3163" s="528">
        <v>3</v>
      </c>
      <c r="I3163" s="528">
        <v>3</v>
      </c>
      <c r="J3163" s="528">
        <v>36</v>
      </c>
      <c r="K3163" s="458" t="s">
        <v>33</v>
      </c>
      <c r="L3163" s="529">
        <f t="shared" si="467"/>
        <v>2356546.2000000002</v>
      </c>
      <c r="M3163" s="529">
        <f>G3163*2800</f>
        <v>2332400</v>
      </c>
      <c r="N3163" s="391"/>
      <c r="O3163" s="530">
        <f>M3163*0.3%</f>
        <v>6997.2</v>
      </c>
      <c r="P3163" s="391"/>
      <c r="Q3163" s="391">
        <v>17149</v>
      </c>
      <c r="R3163" s="528">
        <f>M3163/G3163</f>
        <v>2800</v>
      </c>
      <c r="S3163" s="487"/>
      <c r="T3163" s="398">
        <f>M3163+N3163+O3163+Q3163</f>
        <v>2356546.2000000002</v>
      </c>
      <c r="U3163" s="414"/>
    </row>
    <row r="3164" spans="1:22" s="416" customFormat="1" ht="37.5" customHeight="1">
      <c r="A3164" s="414">
        <f t="shared" si="463"/>
        <v>186</v>
      </c>
      <c r="B3164" s="403" t="s">
        <v>2450</v>
      </c>
      <c r="C3164" s="455" t="s">
        <v>272</v>
      </c>
      <c r="D3164" s="487">
        <v>7652</v>
      </c>
      <c r="E3164" s="391">
        <v>1216.5999999999999</v>
      </c>
      <c r="F3164" s="391" t="s">
        <v>234</v>
      </c>
      <c r="G3164" s="391">
        <v>635</v>
      </c>
      <c r="H3164" s="528">
        <v>7</v>
      </c>
      <c r="I3164" s="528">
        <v>1</v>
      </c>
      <c r="J3164" s="528">
        <v>110</v>
      </c>
      <c r="K3164" s="458" t="s">
        <v>33</v>
      </c>
      <c r="L3164" s="529">
        <f t="shared" si="467"/>
        <v>1159944</v>
      </c>
      <c r="M3164" s="529">
        <v>1143000</v>
      </c>
      <c r="N3164" s="391"/>
      <c r="O3164" s="530">
        <f>M3164*0.3%</f>
        <v>3429</v>
      </c>
      <c r="P3164" s="391"/>
      <c r="Q3164" s="391">
        <v>13515</v>
      </c>
      <c r="R3164" s="528">
        <f>M3164/G3164</f>
        <v>1800</v>
      </c>
      <c r="S3164" s="487"/>
      <c r="T3164" s="398">
        <f>M3164+N3164+O3164+Q3164</f>
        <v>1159944</v>
      </c>
      <c r="U3164" s="414"/>
    </row>
    <row r="3165" spans="1:22" s="416" customFormat="1" ht="37.5" customHeight="1">
      <c r="A3165" s="414">
        <f t="shared" si="463"/>
        <v>187</v>
      </c>
      <c r="B3165" s="403" t="s">
        <v>2453</v>
      </c>
      <c r="C3165" s="455" t="s">
        <v>272</v>
      </c>
      <c r="D3165" s="487">
        <v>2267</v>
      </c>
      <c r="E3165" s="391">
        <v>550.1</v>
      </c>
      <c r="F3165" s="391" t="s">
        <v>223</v>
      </c>
      <c r="G3165" s="391">
        <v>445</v>
      </c>
      <c r="H3165" s="528">
        <v>2</v>
      </c>
      <c r="I3165" s="528">
        <v>2</v>
      </c>
      <c r="J3165" s="528">
        <v>8</v>
      </c>
      <c r="K3165" s="458" t="s">
        <v>225</v>
      </c>
      <c r="L3165" s="529">
        <f t="shared" si="467"/>
        <v>173173</v>
      </c>
      <c r="M3165" s="529">
        <f>J3165*18000</f>
        <v>144000</v>
      </c>
      <c r="N3165" s="391">
        <v>27000</v>
      </c>
      <c r="O3165" s="530"/>
      <c r="P3165" s="391"/>
      <c r="Q3165" s="391">
        <v>2173</v>
      </c>
      <c r="R3165" s="528">
        <f>M3165/J3165</f>
        <v>18000</v>
      </c>
      <c r="S3165" s="487"/>
      <c r="T3165" s="398"/>
      <c r="U3165" s="414"/>
    </row>
    <row r="3166" spans="1:22" s="416" customFormat="1" ht="37.5" customHeight="1">
      <c r="A3166" s="414">
        <f t="shared" si="463"/>
        <v>188</v>
      </c>
      <c r="B3166" s="403" t="s">
        <v>2454</v>
      </c>
      <c r="C3166" s="455" t="s">
        <v>272</v>
      </c>
      <c r="D3166" s="487">
        <v>13224</v>
      </c>
      <c r="E3166" s="391">
        <v>2760</v>
      </c>
      <c r="F3166" s="391" t="s">
        <v>223</v>
      </c>
      <c r="G3166" s="391">
        <v>1217.5</v>
      </c>
      <c r="H3166" s="528">
        <v>5</v>
      </c>
      <c r="I3166" s="528">
        <v>4</v>
      </c>
      <c r="J3166" s="528">
        <v>70</v>
      </c>
      <c r="K3166" s="458" t="s">
        <v>33</v>
      </c>
      <c r="L3166" s="529">
        <f t="shared" si="467"/>
        <v>3459227</v>
      </c>
      <c r="M3166" s="529">
        <f>G3166*2800</f>
        <v>3409000</v>
      </c>
      <c r="N3166" s="391"/>
      <c r="O3166" s="530">
        <f>M3166*0.3%</f>
        <v>10227</v>
      </c>
      <c r="P3166" s="391"/>
      <c r="Q3166" s="391">
        <v>40000</v>
      </c>
      <c r="R3166" s="528">
        <f>M3166/G3166</f>
        <v>2800</v>
      </c>
      <c r="S3166" s="487"/>
      <c r="T3166" s="398">
        <f>M3166+N3166+O3166+Q3166</f>
        <v>3459227</v>
      </c>
      <c r="U3166" s="414"/>
    </row>
    <row r="3167" spans="1:22" s="416" customFormat="1" ht="56.25" customHeight="1">
      <c r="A3167" s="414">
        <f>A3166+1</f>
        <v>189</v>
      </c>
      <c r="B3167" s="403" t="s">
        <v>2455</v>
      </c>
      <c r="C3167" s="455" t="s">
        <v>218</v>
      </c>
      <c r="D3167" s="487">
        <v>16165</v>
      </c>
      <c r="E3167" s="391">
        <v>11020</v>
      </c>
      <c r="F3167" s="391" t="s">
        <v>234</v>
      </c>
      <c r="G3167" s="391">
        <v>964</v>
      </c>
      <c r="H3167" s="528">
        <v>5</v>
      </c>
      <c r="I3167" s="528">
        <v>4</v>
      </c>
      <c r="J3167" s="528">
        <v>64</v>
      </c>
      <c r="K3167" s="458" t="s">
        <v>30</v>
      </c>
      <c r="L3167" s="529">
        <f t="shared" si="467"/>
        <v>1773184</v>
      </c>
      <c r="M3167" s="529">
        <v>1728000</v>
      </c>
      <c r="N3167" s="391"/>
      <c r="O3167" s="530">
        <v>5184</v>
      </c>
      <c r="P3167" s="391"/>
      <c r="Q3167" s="391">
        <v>40000</v>
      </c>
      <c r="R3167" s="528">
        <f>M3167/J3167</f>
        <v>27000</v>
      </c>
      <c r="S3167" s="487"/>
      <c r="T3167" s="398"/>
      <c r="U3167" s="414"/>
    </row>
    <row r="3168" spans="1:22" s="416" customFormat="1" ht="37.5" customHeight="1">
      <c r="A3168" s="414">
        <f t="shared" si="463"/>
        <v>190</v>
      </c>
      <c r="B3168" s="403" t="s">
        <v>2457</v>
      </c>
      <c r="C3168" s="455" t="s">
        <v>272</v>
      </c>
      <c r="D3168" s="487">
        <v>30527</v>
      </c>
      <c r="E3168" s="391">
        <v>5256.3</v>
      </c>
      <c r="F3168" s="391" t="s">
        <v>234</v>
      </c>
      <c r="G3168" s="391">
        <v>2530</v>
      </c>
      <c r="H3168" s="528">
        <v>5</v>
      </c>
      <c r="I3168" s="528">
        <v>10</v>
      </c>
      <c r="J3168" s="528">
        <v>147</v>
      </c>
      <c r="K3168" s="458" t="s">
        <v>33</v>
      </c>
      <c r="L3168" s="529">
        <f t="shared" si="467"/>
        <v>4589939</v>
      </c>
      <c r="M3168" s="529">
        <v>4554000</v>
      </c>
      <c r="N3168" s="391"/>
      <c r="O3168" s="530">
        <v>15939</v>
      </c>
      <c r="P3168" s="391"/>
      <c r="Q3168" s="391">
        <v>20000</v>
      </c>
      <c r="R3168" s="528">
        <f>M3168/G3168</f>
        <v>1800</v>
      </c>
      <c r="S3168" s="487"/>
      <c r="T3168" s="398">
        <f>M3168+N3168+O3168+Q3168</f>
        <v>4589939</v>
      </c>
      <c r="U3168" s="414"/>
    </row>
    <row r="3169" spans="1:21" s="416" customFormat="1" ht="56.25" customHeight="1">
      <c r="A3169" s="414">
        <f t="shared" ref="A3169:A3175" si="468">A3168+1</f>
        <v>191</v>
      </c>
      <c r="B3169" s="403" t="s">
        <v>2459</v>
      </c>
      <c r="C3169" s="455" t="s">
        <v>393</v>
      </c>
      <c r="D3169" s="487">
        <v>2613</v>
      </c>
      <c r="E3169" s="391">
        <v>544</v>
      </c>
      <c r="F3169" s="391" t="s">
        <v>223</v>
      </c>
      <c r="G3169" s="391">
        <v>480</v>
      </c>
      <c r="H3169" s="528">
        <v>3</v>
      </c>
      <c r="I3169" s="528">
        <v>1</v>
      </c>
      <c r="J3169" s="528">
        <v>8</v>
      </c>
      <c r="K3169" s="458" t="s">
        <v>238</v>
      </c>
      <c r="L3169" s="529">
        <f t="shared" si="467"/>
        <v>216765</v>
      </c>
      <c r="M3169" s="529">
        <f>J3169*25000</f>
        <v>200000</v>
      </c>
      <c r="N3169" s="391"/>
      <c r="O3169" s="530">
        <f>M3169*0.3%</f>
        <v>600</v>
      </c>
      <c r="P3169" s="391"/>
      <c r="Q3169" s="391">
        <v>16165</v>
      </c>
      <c r="R3169" s="528">
        <f>M3169/J3169</f>
        <v>25000</v>
      </c>
      <c r="S3169" s="487"/>
      <c r="T3169" s="398"/>
      <c r="U3169" s="414"/>
    </row>
    <row r="3170" spans="1:21" s="416" customFormat="1" ht="56.25" customHeight="1">
      <c r="A3170" s="414">
        <f t="shared" si="468"/>
        <v>192</v>
      </c>
      <c r="B3170" s="403" t="s">
        <v>2460</v>
      </c>
      <c r="C3170" s="455" t="s">
        <v>393</v>
      </c>
      <c r="D3170" s="487">
        <v>3124</v>
      </c>
      <c r="E3170" s="391">
        <v>544</v>
      </c>
      <c r="F3170" s="391" t="s">
        <v>223</v>
      </c>
      <c r="G3170" s="391">
        <v>452</v>
      </c>
      <c r="H3170" s="528">
        <v>3</v>
      </c>
      <c r="I3170" s="528">
        <v>1</v>
      </c>
      <c r="J3170" s="528">
        <v>10</v>
      </c>
      <c r="K3170" s="458" t="s">
        <v>238</v>
      </c>
      <c r="L3170" s="529">
        <f t="shared" si="467"/>
        <v>266915</v>
      </c>
      <c r="M3170" s="529">
        <f>J3170*25000</f>
        <v>250000</v>
      </c>
      <c r="N3170" s="391"/>
      <c r="O3170" s="530">
        <f>M3170*0.3%</f>
        <v>750</v>
      </c>
      <c r="P3170" s="391"/>
      <c r="Q3170" s="391">
        <v>16165</v>
      </c>
      <c r="R3170" s="528">
        <f>M3170/J3170</f>
        <v>25000</v>
      </c>
      <c r="S3170" s="487"/>
      <c r="T3170" s="398"/>
      <c r="U3170" s="414"/>
    </row>
    <row r="3171" spans="1:21" s="416" customFormat="1" ht="37.5" customHeight="1">
      <c r="A3171" s="414">
        <f t="shared" si="468"/>
        <v>193</v>
      </c>
      <c r="B3171" s="403" t="s">
        <v>2462</v>
      </c>
      <c r="C3171" s="455" t="s">
        <v>218</v>
      </c>
      <c r="D3171" s="487">
        <v>12326</v>
      </c>
      <c r="E3171" s="391">
        <v>1600</v>
      </c>
      <c r="F3171" s="391" t="s">
        <v>223</v>
      </c>
      <c r="G3171" s="391">
        <v>1137</v>
      </c>
      <c r="H3171" s="528">
        <v>5</v>
      </c>
      <c r="I3171" s="528">
        <v>4</v>
      </c>
      <c r="J3171" s="528">
        <v>80</v>
      </c>
      <c r="K3171" s="458" t="s">
        <v>33</v>
      </c>
      <c r="L3171" s="529">
        <f t="shared" si="467"/>
        <v>3231730.8</v>
      </c>
      <c r="M3171" s="529">
        <v>3183600</v>
      </c>
      <c r="N3171" s="391"/>
      <c r="O3171" s="530">
        <f>M3171*0.3%</f>
        <v>9550.8000000000011</v>
      </c>
      <c r="P3171" s="391"/>
      <c r="Q3171" s="391">
        <v>38580</v>
      </c>
      <c r="R3171" s="528">
        <f>M3171/G3171</f>
        <v>2800</v>
      </c>
      <c r="S3171" s="487"/>
      <c r="T3171" s="398">
        <f>M3171+N3171+O3171+Q3171</f>
        <v>3231730.8</v>
      </c>
      <c r="U3171" s="414"/>
    </row>
    <row r="3172" spans="1:21" s="416" customFormat="1" ht="37.5" customHeight="1">
      <c r="A3172" s="414">
        <f t="shared" si="468"/>
        <v>194</v>
      </c>
      <c r="B3172" s="403" t="s">
        <v>2463</v>
      </c>
      <c r="C3172" s="455" t="s">
        <v>272</v>
      </c>
      <c r="D3172" s="811">
        <v>10820</v>
      </c>
      <c r="E3172" s="391">
        <v>2200</v>
      </c>
      <c r="F3172" s="391" t="s">
        <v>223</v>
      </c>
      <c r="G3172" s="391">
        <v>950</v>
      </c>
      <c r="H3172" s="528">
        <v>5</v>
      </c>
      <c r="I3172" s="528">
        <v>3</v>
      </c>
      <c r="J3172" s="528">
        <v>60</v>
      </c>
      <c r="K3172" s="458" t="s">
        <v>225</v>
      </c>
      <c r="L3172" s="529">
        <f t="shared" si="467"/>
        <v>1003471</v>
      </c>
      <c r="M3172" s="529">
        <f>J3172*16000</f>
        <v>960000</v>
      </c>
      <c r="N3172" s="391">
        <v>32000</v>
      </c>
      <c r="O3172" s="530"/>
      <c r="P3172" s="391"/>
      <c r="Q3172" s="391">
        <v>11471</v>
      </c>
      <c r="R3172" s="528">
        <f>M3172/J3172</f>
        <v>16000</v>
      </c>
      <c r="S3172" s="487"/>
      <c r="T3172" s="398"/>
      <c r="U3172" s="414"/>
    </row>
    <row r="3173" spans="1:21" s="416" customFormat="1" ht="37.5" customHeight="1">
      <c r="A3173" s="414">
        <f t="shared" si="468"/>
        <v>195</v>
      </c>
      <c r="B3173" s="403" t="s">
        <v>2464</v>
      </c>
      <c r="C3173" s="455" t="s">
        <v>272</v>
      </c>
      <c r="D3173" s="811">
        <v>7075</v>
      </c>
      <c r="E3173" s="391">
        <v>2094</v>
      </c>
      <c r="F3173" s="391" t="s">
        <v>234</v>
      </c>
      <c r="G3173" s="391">
        <v>312.10000000000002</v>
      </c>
      <c r="H3173" s="528">
        <v>9</v>
      </c>
      <c r="I3173" s="528">
        <v>1</v>
      </c>
      <c r="J3173" s="528">
        <v>20</v>
      </c>
      <c r="K3173" s="458" t="s">
        <v>225</v>
      </c>
      <c r="L3173" s="529">
        <f t="shared" si="467"/>
        <v>360832</v>
      </c>
      <c r="M3173" s="529">
        <v>320000</v>
      </c>
      <c r="N3173" s="391">
        <v>35000</v>
      </c>
      <c r="O3173" s="530"/>
      <c r="P3173" s="391"/>
      <c r="Q3173" s="391">
        <v>5832</v>
      </c>
      <c r="R3173" s="528">
        <f>M3173/J3173</f>
        <v>16000</v>
      </c>
      <c r="S3173" s="487"/>
      <c r="T3173" s="398"/>
      <c r="U3173" s="414"/>
    </row>
    <row r="3174" spans="1:21" s="416" customFormat="1" ht="37.5" customHeight="1">
      <c r="A3174" s="414">
        <f t="shared" si="468"/>
        <v>196</v>
      </c>
      <c r="B3174" s="403" t="s">
        <v>2465</v>
      </c>
      <c r="C3174" s="455" t="s">
        <v>218</v>
      </c>
      <c r="D3174" s="487">
        <v>14246</v>
      </c>
      <c r="E3174" s="391">
        <v>2348</v>
      </c>
      <c r="F3174" s="391" t="s">
        <v>223</v>
      </c>
      <c r="G3174" s="391">
        <v>1135</v>
      </c>
      <c r="H3174" s="528">
        <v>5</v>
      </c>
      <c r="I3174" s="528">
        <v>4</v>
      </c>
      <c r="J3174" s="528">
        <v>80</v>
      </c>
      <c r="K3174" s="458" t="s">
        <v>33</v>
      </c>
      <c r="L3174" s="529">
        <f t="shared" si="467"/>
        <v>3227534</v>
      </c>
      <c r="M3174" s="529">
        <v>3178000</v>
      </c>
      <c r="N3174" s="391"/>
      <c r="O3174" s="530">
        <f>M3174*0.3%</f>
        <v>9534</v>
      </c>
      <c r="P3174" s="391"/>
      <c r="Q3174" s="391">
        <v>40000</v>
      </c>
      <c r="R3174" s="528">
        <f>M3174/G3174</f>
        <v>2800</v>
      </c>
      <c r="S3174" s="487"/>
      <c r="T3174" s="398">
        <f>M3174+N3174+O3174+Q3174</f>
        <v>3227534</v>
      </c>
      <c r="U3174" s="414"/>
    </row>
    <row r="3175" spans="1:21" s="416" customFormat="1" ht="37.5" customHeight="1">
      <c r="A3175" s="414">
        <f t="shared" si="468"/>
        <v>197</v>
      </c>
      <c r="B3175" s="403" t="s">
        <v>2466</v>
      </c>
      <c r="C3175" s="455" t="s">
        <v>218</v>
      </c>
      <c r="D3175" s="487">
        <v>14450</v>
      </c>
      <c r="E3175" s="391">
        <v>2437</v>
      </c>
      <c r="F3175" s="391" t="s">
        <v>223</v>
      </c>
      <c r="G3175" s="391">
        <v>1140</v>
      </c>
      <c r="H3175" s="528">
        <v>5</v>
      </c>
      <c r="I3175" s="528">
        <v>4</v>
      </c>
      <c r="J3175" s="528">
        <v>80</v>
      </c>
      <c r="K3175" s="458" t="s">
        <v>33</v>
      </c>
      <c r="L3175" s="529">
        <f t="shared" si="467"/>
        <v>3241576</v>
      </c>
      <c r="M3175" s="529">
        <v>3192000</v>
      </c>
      <c r="N3175" s="391"/>
      <c r="O3175" s="530">
        <f>M3175*0.3%</f>
        <v>9576</v>
      </c>
      <c r="P3175" s="391"/>
      <c r="Q3175" s="391">
        <v>40000</v>
      </c>
      <c r="R3175" s="528">
        <f>M3175/G3175</f>
        <v>2800</v>
      </c>
      <c r="S3175" s="487"/>
      <c r="T3175" s="398">
        <f>M3175+N3175+O3175+Q3175</f>
        <v>3241576</v>
      </c>
      <c r="U3175" s="414"/>
    </row>
    <row r="3176" spans="1:21" s="416" customFormat="1" ht="37.5" customHeight="1">
      <c r="A3176" s="414">
        <f>A3175+1</f>
        <v>198</v>
      </c>
      <c r="B3176" s="403" t="s">
        <v>2467</v>
      </c>
      <c r="C3176" s="455" t="s">
        <v>218</v>
      </c>
      <c r="D3176" s="487">
        <v>14169</v>
      </c>
      <c r="E3176" s="391">
        <v>2406</v>
      </c>
      <c r="F3176" s="391" t="s">
        <v>223</v>
      </c>
      <c r="G3176" s="391">
        <v>1145</v>
      </c>
      <c r="H3176" s="528">
        <v>5</v>
      </c>
      <c r="I3176" s="528">
        <v>4</v>
      </c>
      <c r="J3176" s="528">
        <v>80</v>
      </c>
      <c r="K3176" s="458" t="s">
        <v>33</v>
      </c>
      <c r="L3176" s="529">
        <f t="shared" si="467"/>
        <v>3255618</v>
      </c>
      <c r="M3176" s="529">
        <v>3206000</v>
      </c>
      <c r="N3176" s="391"/>
      <c r="O3176" s="530">
        <f>M3176*0.3%</f>
        <v>9618</v>
      </c>
      <c r="P3176" s="391"/>
      <c r="Q3176" s="391">
        <v>40000</v>
      </c>
      <c r="R3176" s="528">
        <f>M3176/G3176</f>
        <v>2800</v>
      </c>
      <c r="S3176" s="487"/>
      <c r="T3176" s="398">
        <f>M3176+N3176+O3176+Q3176</f>
        <v>3255618</v>
      </c>
      <c r="U3176" s="414"/>
    </row>
    <row r="3177" spans="1:21" s="416" customFormat="1" ht="37.5" customHeight="1">
      <c r="A3177" s="414">
        <f t="shared" ref="A3177:A3185" si="469">A3176+1</f>
        <v>199</v>
      </c>
      <c r="B3177" s="403" t="s">
        <v>2470</v>
      </c>
      <c r="C3177" s="455" t="s">
        <v>272</v>
      </c>
      <c r="D3177" s="487">
        <v>20568</v>
      </c>
      <c r="E3177" s="391">
        <v>4472.2</v>
      </c>
      <c r="F3177" s="391" t="s">
        <v>231</v>
      </c>
      <c r="G3177" s="391">
        <v>2167</v>
      </c>
      <c r="H3177" s="528">
        <v>4</v>
      </c>
      <c r="I3177" s="528">
        <v>6</v>
      </c>
      <c r="J3177" s="528">
        <v>55</v>
      </c>
      <c r="K3177" s="458" t="s">
        <v>33</v>
      </c>
      <c r="L3177" s="529">
        <f t="shared" ref="L3177:L3196" si="470">M3177+N3177+O3177+P3177+Q3177</f>
        <v>6125802.7999999998</v>
      </c>
      <c r="M3177" s="529">
        <v>6067600</v>
      </c>
      <c r="N3177" s="391"/>
      <c r="O3177" s="530">
        <f>M3177*0.3%</f>
        <v>18202.8</v>
      </c>
      <c r="P3177" s="391"/>
      <c r="Q3177" s="391">
        <v>40000</v>
      </c>
      <c r="R3177" s="528">
        <f>M3177/G3177</f>
        <v>2800</v>
      </c>
      <c r="S3177" s="487"/>
      <c r="T3177" s="398">
        <f>M3177+N3177+O3177+Q3177</f>
        <v>6125802.7999999998</v>
      </c>
      <c r="U3177" s="414"/>
    </row>
    <row r="3178" spans="1:21" s="416" customFormat="1" ht="37.5" customHeight="1">
      <c r="A3178" s="414">
        <f t="shared" si="469"/>
        <v>200</v>
      </c>
      <c r="B3178" s="403" t="s">
        <v>2471</v>
      </c>
      <c r="C3178" s="455" t="s">
        <v>272</v>
      </c>
      <c r="D3178" s="811">
        <v>12479</v>
      </c>
      <c r="E3178" s="391">
        <v>1200</v>
      </c>
      <c r="F3178" s="391" t="s">
        <v>223</v>
      </c>
      <c r="G3178" s="391">
        <v>964</v>
      </c>
      <c r="H3178" s="528">
        <v>4</v>
      </c>
      <c r="I3178" s="528">
        <v>3</v>
      </c>
      <c r="J3178" s="528">
        <v>29</v>
      </c>
      <c r="K3178" s="458" t="s">
        <v>225</v>
      </c>
      <c r="L3178" s="529">
        <f t="shared" si="470"/>
        <v>507072</v>
      </c>
      <c r="M3178" s="529">
        <f>J3178*16000</f>
        <v>464000</v>
      </c>
      <c r="N3178" s="391">
        <v>32000</v>
      </c>
      <c r="O3178" s="530"/>
      <c r="P3178" s="391"/>
      <c r="Q3178" s="391">
        <v>11072</v>
      </c>
      <c r="R3178" s="528">
        <f>M3178/J3178</f>
        <v>16000</v>
      </c>
      <c r="S3178" s="487"/>
      <c r="T3178" s="398"/>
      <c r="U3178" s="414"/>
    </row>
    <row r="3179" spans="1:21" s="416" customFormat="1" ht="37.5" customHeight="1">
      <c r="A3179" s="414">
        <f t="shared" si="469"/>
        <v>201</v>
      </c>
      <c r="B3179" s="403" t="s">
        <v>2472</v>
      </c>
      <c r="C3179" s="455" t="s">
        <v>343</v>
      </c>
      <c r="D3179" s="811">
        <v>2955</v>
      </c>
      <c r="E3179" s="391">
        <v>540</v>
      </c>
      <c r="F3179" s="391" t="s">
        <v>223</v>
      </c>
      <c r="G3179" s="391">
        <v>469</v>
      </c>
      <c r="H3179" s="528">
        <v>2</v>
      </c>
      <c r="I3179" s="528">
        <v>1</v>
      </c>
      <c r="J3179" s="528">
        <v>8</v>
      </c>
      <c r="K3179" s="458" t="s">
        <v>225</v>
      </c>
      <c r="L3179" s="529">
        <f t="shared" si="470"/>
        <v>178301</v>
      </c>
      <c r="M3179" s="529">
        <f>J3179*18000</f>
        <v>144000</v>
      </c>
      <c r="N3179" s="391">
        <v>32000</v>
      </c>
      <c r="O3179" s="530"/>
      <c r="P3179" s="391"/>
      <c r="Q3179" s="391">
        <v>2301</v>
      </c>
      <c r="R3179" s="528">
        <f>M3179/J3179</f>
        <v>18000</v>
      </c>
      <c r="S3179" s="487"/>
      <c r="T3179" s="398"/>
      <c r="U3179" s="414"/>
    </row>
    <row r="3180" spans="1:21" s="416" customFormat="1" ht="37.5" customHeight="1">
      <c r="A3180" s="414">
        <f t="shared" si="469"/>
        <v>202</v>
      </c>
      <c r="B3180" s="403" t="s">
        <v>2473</v>
      </c>
      <c r="C3180" s="455" t="s">
        <v>343</v>
      </c>
      <c r="D3180" s="811">
        <v>2955</v>
      </c>
      <c r="E3180" s="391">
        <v>540</v>
      </c>
      <c r="F3180" s="391" t="s">
        <v>223</v>
      </c>
      <c r="G3180" s="391">
        <v>469</v>
      </c>
      <c r="H3180" s="528">
        <v>2</v>
      </c>
      <c r="I3180" s="528">
        <v>1</v>
      </c>
      <c r="J3180" s="528">
        <v>8</v>
      </c>
      <c r="K3180" s="458" t="s">
        <v>225</v>
      </c>
      <c r="L3180" s="529">
        <f t="shared" si="470"/>
        <v>178301</v>
      </c>
      <c r="M3180" s="529">
        <f>J3180*18000</f>
        <v>144000</v>
      </c>
      <c r="N3180" s="391">
        <v>32000</v>
      </c>
      <c r="O3180" s="530"/>
      <c r="P3180" s="391"/>
      <c r="Q3180" s="391">
        <v>2301</v>
      </c>
      <c r="R3180" s="528">
        <f>M3180/J3180</f>
        <v>18000</v>
      </c>
      <c r="S3180" s="487"/>
      <c r="T3180" s="398"/>
      <c r="U3180" s="414"/>
    </row>
    <row r="3181" spans="1:21" s="416" customFormat="1" ht="37.5" customHeight="1">
      <c r="A3181" s="414">
        <f t="shared" si="469"/>
        <v>203</v>
      </c>
      <c r="B3181" s="403" t="s">
        <v>2474</v>
      </c>
      <c r="C3181" s="455" t="s">
        <v>272</v>
      </c>
      <c r="D3181" s="487">
        <v>13896</v>
      </c>
      <c r="E3181" s="391">
        <v>2263</v>
      </c>
      <c r="F3181" s="391" t="s">
        <v>234</v>
      </c>
      <c r="G3181" s="391">
        <v>960</v>
      </c>
      <c r="H3181" s="528">
        <v>5</v>
      </c>
      <c r="I3181" s="528">
        <v>4</v>
      </c>
      <c r="J3181" s="528">
        <v>56</v>
      </c>
      <c r="K3181" s="458" t="s">
        <v>33</v>
      </c>
      <c r="L3181" s="529">
        <f t="shared" si="470"/>
        <v>1753184</v>
      </c>
      <c r="M3181" s="529">
        <v>1728000</v>
      </c>
      <c r="N3181" s="391"/>
      <c r="O3181" s="530">
        <f>M3181*0.3%</f>
        <v>5184</v>
      </c>
      <c r="P3181" s="391"/>
      <c r="Q3181" s="391">
        <v>20000</v>
      </c>
      <c r="R3181" s="528">
        <f>M3181/G3181</f>
        <v>1800</v>
      </c>
      <c r="S3181" s="487"/>
      <c r="T3181" s="398">
        <f>M3181+N3181+O3181+Q3181</f>
        <v>1753184</v>
      </c>
      <c r="U3181" s="414"/>
    </row>
    <row r="3182" spans="1:21" s="416" customFormat="1" ht="37.5" customHeight="1">
      <c r="A3182" s="414">
        <f t="shared" si="469"/>
        <v>204</v>
      </c>
      <c r="B3182" s="403" t="s">
        <v>2475</v>
      </c>
      <c r="C3182" s="455" t="s">
        <v>218</v>
      </c>
      <c r="D3182" s="487">
        <v>12301</v>
      </c>
      <c r="E3182" s="391">
        <v>1700</v>
      </c>
      <c r="F3182" s="391" t="s">
        <v>223</v>
      </c>
      <c r="G3182" s="391">
        <v>959</v>
      </c>
      <c r="H3182" s="528">
        <v>5</v>
      </c>
      <c r="I3182" s="528">
        <v>4</v>
      </c>
      <c r="J3182" s="528">
        <v>80</v>
      </c>
      <c r="K3182" s="458" t="s">
        <v>33</v>
      </c>
      <c r="L3182" s="529">
        <f t="shared" si="470"/>
        <v>2731757.6</v>
      </c>
      <c r="M3182" s="529">
        <v>2685200</v>
      </c>
      <c r="N3182" s="391"/>
      <c r="O3182" s="530">
        <f>M3182*0.3%</f>
        <v>8055.6</v>
      </c>
      <c r="P3182" s="391"/>
      <c r="Q3182" s="391">
        <v>38502</v>
      </c>
      <c r="R3182" s="528">
        <f>M3182/G3182</f>
        <v>2800</v>
      </c>
      <c r="S3182" s="487"/>
      <c r="T3182" s="398">
        <f>M3182+N3182+O3182+Q3182</f>
        <v>2731757.6</v>
      </c>
      <c r="U3182" s="414"/>
    </row>
    <row r="3183" spans="1:21" s="416" customFormat="1" ht="37.5" customHeight="1">
      <c r="A3183" s="414">
        <f t="shared" si="469"/>
        <v>205</v>
      </c>
      <c r="B3183" s="403" t="s">
        <v>2476</v>
      </c>
      <c r="C3183" s="455" t="s">
        <v>272</v>
      </c>
      <c r="D3183" s="487">
        <v>14778</v>
      </c>
      <c r="E3183" s="391">
        <v>3867</v>
      </c>
      <c r="F3183" s="391" t="s">
        <v>223</v>
      </c>
      <c r="G3183" s="391">
        <v>1397.8</v>
      </c>
      <c r="H3183" s="528">
        <v>4</v>
      </c>
      <c r="I3183" s="528">
        <v>4</v>
      </c>
      <c r="J3183" s="528">
        <v>35</v>
      </c>
      <c r="K3183" s="458" t="s">
        <v>225</v>
      </c>
      <c r="L3183" s="529">
        <f t="shared" si="470"/>
        <v>607000</v>
      </c>
      <c r="M3183" s="529">
        <f>J3183*16000</f>
        <v>560000</v>
      </c>
      <c r="N3183" s="391">
        <v>27000</v>
      </c>
      <c r="O3183" s="530"/>
      <c r="P3183" s="391"/>
      <c r="Q3183" s="391">
        <v>20000</v>
      </c>
      <c r="R3183" s="528">
        <f>M3183/J3183</f>
        <v>16000</v>
      </c>
      <c r="S3183" s="487"/>
      <c r="T3183" s="398"/>
      <c r="U3183" s="414"/>
    </row>
    <row r="3184" spans="1:21" s="416" customFormat="1" ht="37.5" customHeight="1">
      <c r="A3184" s="414">
        <f t="shared" si="469"/>
        <v>206</v>
      </c>
      <c r="B3184" s="403" t="s">
        <v>2479</v>
      </c>
      <c r="C3184" s="455" t="s">
        <v>272</v>
      </c>
      <c r="D3184" s="487">
        <v>43736</v>
      </c>
      <c r="E3184" s="391">
        <v>5686</v>
      </c>
      <c r="F3184" s="391" t="s">
        <v>228</v>
      </c>
      <c r="G3184" s="391">
        <v>1887</v>
      </c>
      <c r="H3184" s="528">
        <v>10</v>
      </c>
      <c r="I3184" s="528">
        <v>2</v>
      </c>
      <c r="J3184" s="528">
        <v>55</v>
      </c>
      <c r="K3184" s="458" t="s">
        <v>33</v>
      </c>
      <c r="L3184" s="529">
        <f t="shared" si="470"/>
        <v>5319450.8</v>
      </c>
      <c r="M3184" s="529">
        <v>5283600</v>
      </c>
      <c r="N3184" s="391"/>
      <c r="O3184" s="530">
        <f>M3184*0.3%</f>
        <v>15850.800000000001</v>
      </c>
      <c r="P3184" s="391"/>
      <c r="Q3184" s="391">
        <v>20000</v>
      </c>
      <c r="R3184" s="528">
        <f>M3184/G3184</f>
        <v>2800</v>
      </c>
      <c r="S3184" s="487"/>
      <c r="T3184" s="398">
        <f>M3184+N3184+O3184+Q3184</f>
        <v>5319450.8</v>
      </c>
      <c r="U3184" s="414"/>
    </row>
    <row r="3185" spans="1:21" s="416" customFormat="1" ht="37.5" customHeight="1">
      <c r="A3185" s="414">
        <f t="shared" si="469"/>
        <v>207</v>
      </c>
      <c r="B3185" s="403" t="s">
        <v>2480</v>
      </c>
      <c r="C3185" s="455" t="s">
        <v>272</v>
      </c>
      <c r="D3185" s="487">
        <v>18439</v>
      </c>
      <c r="E3185" s="391">
        <v>3090</v>
      </c>
      <c r="F3185" s="391" t="s">
        <v>234</v>
      </c>
      <c r="G3185" s="391">
        <v>1110.8</v>
      </c>
      <c r="H3185" s="528">
        <v>5</v>
      </c>
      <c r="I3185" s="528">
        <v>5</v>
      </c>
      <c r="J3185" s="528">
        <v>70</v>
      </c>
      <c r="K3185" s="458" t="s">
        <v>225</v>
      </c>
      <c r="L3185" s="529">
        <f t="shared" si="470"/>
        <v>1174591</v>
      </c>
      <c r="M3185" s="529">
        <f>J3185*16000</f>
        <v>1120000</v>
      </c>
      <c r="N3185" s="391">
        <v>35000</v>
      </c>
      <c r="O3185" s="530"/>
      <c r="P3185" s="391"/>
      <c r="Q3185" s="391">
        <v>19591</v>
      </c>
      <c r="R3185" s="528">
        <f>M3185/J3185</f>
        <v>16000</v>
      </c>
      <c r="S3185" s="487"/>
      <c r="T3185" s="398"/>
      <c r="U3185" s="414"/>
    </row>
    <row r="3186" spans="1:21" s="416" customFormat="1" ht="56.25" customHeight="1">
      <c r="A3186" s="414">
        <f t="shared" ref="A3186:A3197" si="471">A3185+1</f>
        <v>208</v>
      </c>
      <c r="B3186" s="403" t="s">
        <v>2481</v>
      </c>
      <c r="C3186" s="455" t="s">
        <v>218</v>
      </c>
      <c r="D3186" s="487">
        <v>36164</v>
      </c>
      <c r="E3186" s="391">
        <v>4900</v>
      </c>
      <c r="F3186" s="391" t="s">
        <v>234</v>
      </c>
      <c r="G3186" s="391">
        <v>1597</v>
      </c>
      <c r="H3186" s="528">
        <v>9</v>
      </c>
      <c r="I3186" s="528">
        <v>4</v>
      </c>
      <c r="J3186" s="528">
        <v>144</v>
      </c>
      <c r="K3186" s="458" t="s">
        <v>30</v>
      </c>
      <c r="L3186" s="529">
        <f t="shared" si="470"/>
        <v>4661824</v>
      </c>
      <c r="M3186" s="529">
        <f>J3186*32000</f>
        <v>4608000</v>
      </c>
      <c r="N3186" s="391"/>
      <c r="O3186" s="530">
        <f t="shared" ref="O3186:O3191" si="472">M3186*0.3%</f>
        <v>13824</v>
      </c>
      <c r="P3186" s="391"/>
      <c r="Q3186" s="391">
        <v>40000</v>
      </c>
      <c r="R3186" s="528">
        <f>M3186/J3186</f>
        <v>32000</v>
      </c>
      <c r="S3186" s="487"/>
      <c r="T3186" s="398"/>
      <c r="U3186" s="414"/>
    </row>
    <row r="3187" spans="1:21" s="416" customFormat="1" ht="56.25" customHeight="1">
      <c r="A3187" s="414">
        <f t="shared" si="471"/>
        <v>209</v>
      </c>
      <c r="B3187" s="403" t="s">
        <v>2482</v>
      </c>
      <c r="C3187" s="455" t="s">
        <v>218</v>
      </c>
      <c r="D3187" s="811">
        <v>4856</v>
      </c>
      <c r="E3187" s="391">
        <v>1284</v>
      </c>
      <c r="F3187" s="391" t="s">
        <v>231</v>
      </c>
      <c r="G3187" s="391">
        <v>447.7</v>
      </c>
      <c r="H3187" s="528">
        <v>5</v>
      </c>
      <c r="I3187" s="528">
        <v>2</v>
      </c>
      <c r="J3187" s="528">
        <v>30</v>
      </c>
      <c r="K3187" s="458" t="s">
        <v>30</v>
      </c>
      <c r="L3187" s="529">
        <f t="shared" si="470"/>
        <v>773908</v>
      </c>
      <c r="M3187" s="529">
        <f>J3187*25000</f>
        <v>750000</v>
      </c>
      <c r="N3187" s="391"/>
      <c r="O3187" s="530">
        <f t="shared" si="472"/>
        <v>2250</v>
      </c>
      <c r="P3187" s="391"/>
      <c r="Q3187" s="391">
        <v>21658</v>
      </c>
      <c r="R3187" s="528">
        <f>M3187/J3187</f>
        <v>25000</v>
      </c>
      <c r="S3187" s="487"/>
      <c r="T3187" s="398"/>
      <c r="U3187" s="414"/>
    </row>
    <row r="3188" spans="1:21" s="416" customFormat="1" ht="75" customHeight="1">
      <c r="A3188" s="414">
        <f t="shared" si="471"/>
        <v>210</v>
      </c>
      <c r="B3188" s="403" t="s">
        <v>2485</v>
      </c>
      <c r="C3188" s="455" t="s">
        <v>293</v>
      </c>
      <c r="D3188" s="487">
        <v>2512</v>
      </c>
      <c r="E3188" s="391">
        <v>498</v>
      </c>
      <c r="F3188" s="391" t="s">
        <v>223</v>
      </c>
      <c r="G3188" s="391">
        <v>491</v>
      </c>
      <c r="H3188" s="528">
        <v>2</v>
      </c>
      <c r="I3188" s="528">
        <v>2</v>
      </c>
      <c r="J3188" s="528">
        <v>16</v>
      </c>
      <c r="K3188" s="458" t="s">
        <v>401</v>
      </c>
      <c r="L3188" s="529">
        <f t="shared" si="470"/>
        <v>417365</v>
      </c>
      <c r="M3188" s="529">
        <v>400000</v>
      </c>
      <c r="N3188" s="391"/>
      <c r="O3188" s="530">
        <f t="shared" si="472"/>
        <v>1200</v>
      </c>
      <c r="P3188" s="391"/>
      <c r="Q3188" s="391">
        <v>16165</v>
      </c>
      <c r="R3188" s="528">
        <f>M3188/J3188</f>
        <v>25000</v>
      </c>
      <c r="S3188" s="487"/>
      <c r="T3188" s="398"/>
      <c r="U3188" s="414"/>
    </row>
    <row r="3189" spans="1:21" s="416" customFormat="1" ht="75" customHeight="1">
      <c r="A3189" s="414">
        <f t="shared" si="471"/>
        <v>211</v>
      </c>
      <c r="B3189" s="403" t="s">
        <v>2486</v>
      </c>
      <c r="C3189" s="455" t="s">
        <v>293</v>
      </c>
      <c r="D3189" s="487">
        <v>2368</v>
      </c>
      <c r="E3189" s="391">
        <v>498</v>
      </c>
      <c r="F3189" s="391" t="s">
        <v>223</v>
      </c>
      <c r="G3189" s="391">
        <v>487</v>
      </c>
      <c r="H3189" s="528">
        <v>2</v>
      </c>
      <c r="I3189" s="528">
        <v>2</v>
      </c>
      <c r="J3189" s="528">
        <v>16</v>
      </c>
      <c r="K3189" s="458" t="s">
        <v>401</v>
      </c>
      <c r="L3189" s="529">
        <f t="shared" si="470"/>
        <v>417365</v>
      </c>
      <c r="M3189" s="529">
        <v>400000</v>
      </c>
      <c r="N3189" s="391"/>
      <c r="O3189" s="530">
        <f t="shared" si="472"/>
        <v>1200</v>
      </c>
      <c r="P3189" s="391"/>
      <c r="Q3189" s="391">
        <v>16165</v>
      </c>
      <c r="R3189" s="528">
        <f>M3189/J3189</f>
        <v>25000</v>
      </c>
      <c r="S3189" s="487"/>
      <c r="T3189" s="398"/>
      <c r="U3189" s="414"/>
    </row>
    <row r="3190" spans="1:21" s="416" customFormat="1" ht="47.25" customHeight="1">
      <c r="A3190" s="414">
        <f t="shared" si="471"/>
        <v>212</v>
      </c>
      <c r="B3190" s="403" t="s">
        <v>2487</v>
      </c>
      <c r="C3190" s="455" t="s">
        <v>218</v>
      </c>
      <c r="D3190" s="487">
        <v>18271</v>
      </c>
      <c r="E3190" s="391">
        <v>3360</v>
      </c>
      <c r="F3190" s="391" t="s">
        <v>223</v>
      </c>
      <c r="G3190" s="391">
        <v>1672</v>
      </c>
      <c r="H3190" s="528">
        <v>5</v>
      </c>
      <c r="I3190" s="528">
        <v>6</v>
      </c>
      <c r="J3190" s="528">
        <v>120</v>
      </c>
      <c r="K3190" s="458" t="s">
        <v>33</v>
      </c>
      <c r="L3190" s="529">
        <f t="shared" si="470"/>
        <v>4735644.8</v>
      </c>
      <c r="M3190" s="529">
        <v>4681600</v>
      </c>
      <c r="N3190" s="391"/>
      <c r="O3190" s="530">
        <f t="shared" si="472"/>
        <v>14044.800000000001</v>
      </c>
      <c r="P3190" s="391"/>
      <c r="Q3190" s="391">
        <v>40000</v>
      </c>
      <c r="R3190" s="528">
        <f>M3190/G3190</f>
        <v>2800</v>
      </c>
      <c r="S3190" s="487"/>
      <c r="T3190" s="398">
        <f>M3190+N3190+O3190+Q3190</f>
        <v>4735644.8</v>
      </c>
      <c r="U3190" s="414"/>
    </row>
    <row r="3191" spans="1:21" s="416" customFormat="1" ht="37.5" customHeight="1">
      <c r="A3191" s="414">
        <f t="shared" si="471"/>
        <v>213</v>
      </c>
      <c r="B3191" s="403" t="s">
        <v>2488</v>
      </c>
      <c r="C3191" s="455" t="s">
        <v>272</v>
      </c>
      <c r="D3191" s="487">
        <v>12223</v>
      </c>
      <c r="E3191" s="391">
        <v>2741.7000000000003</v>
      </c>
      <c r="F3191" s="391" t="s">
        <v>223</v>
      </c>
      <c r="G3191" s="391">
        <v>1160</v>
      </c>
      <c r="H3191" s="528">
        <v>5</v>
      </c>
      <c r="I3191" s="528">
        <v>4</v>
      </c>
      <c r="J3191" s="528">
        <v>78</v>
      </c>
      <c r="K3191" s="458" t="s">
        <v>33</v>
      </c>
      <c r="L3191" s="529">
        <f t="shared" si="470"/>
        <v>3296002</v>
      </c>
      <c r="M3191" s="529">
        <v>3248000</v>
      </c>
      <c r="N3191" s="391"/>
      <c r="O3191" s="530">
        <f t="shared" si="472"/>
        <v>9744</v>
      </c>
      <c r="P3191" s="391"/>
      <c r="Q3191" s="391">
        <v>38258</v>
      </c>
      <c r="R3191" s="528">
        <f>M3191/G3191</f>
        <v>2800</v>
      </c>
      <c r="S3191" s="487"/>
      <c r="T3191" s="398">
        <f>M3191+N3191+O3191+Q3191</f>
        <v>3296002</v>
      </c>
      <c r="U3191" s="414"/>
    </row>
    <row r="3192" spans="1:21" s="416" customFormat="1" ht="37.5" customHeight="1">
      <c r="A3192" s="414">
        <f t="shared" si="471"/>
        <v>214</v>
      </c>
      <c r="B3192" s="403" t="s">
        <v>2489</v>
      </c>
      <c r="C3192" s="455" t="s">
        <v>272</v>
      </c>
      <c r="D3192" s="811">
        <v>2344</v>
      </c>
      <c r="E3192" s="391">
        <v>560</v>
      </c>
      <c r="F3192" s="391" t="s">
        <v>223</v>
      </c>
      <c r="G3192" s="391">
        <v>464</v>
      </c>
      <c r="H3192" s="528">
        <v>2</v>
      </c>
      <c r="I3192" s="528">
        <v>1</v>
      </c>
      <c r="J3192" s="528">
        <v>10</v>
      </c>
      <c r="K3192" s="458" t="s">
        <v>225</v>
      </c>
      <c r="L3192" s="529">
        <f t="shared" si="470"/>
        <v>214841</v>
      </c>
      <c r="M3192" s="529">
        <f>J3192*18000</f>
        <v>180000</v>
      </c>
      <c r="N3192" s="391">
        <v>32000</v>
      </c>
      <c r="O3192" s="530"/>
      <c r="P3192" s="391"/>
      <c r="Q3192" s="391">
        <v>2841</v>
      </c>
      <c r="R3192" s="528">
        <f>M3192/J3192</f>
        <v>18000</v>
      </c>
      <c r="S3192" s="487"/>
      <c r="T3192" s="398"/>
      <c r="U3192" s="414"/>
    </row>
    <row r="3193" spans="1:21" s="416" customFormat="1" ht="37.5" customHeight="1">
      <c r="A3193" s="414">
        <f t="shared" si="471"/>
        <v>215</v>
      </c>
      <c r="B3193" s="403" t="s">
        <v>2491</v>
      </c>
      <c r="C3193" s="455" t="s">
        <v>272</v>
      </c>
      <c r="D3193" s="811">
        <v>2422</v>
      </c>
      <c r="E3193" s="391">
        <v>520</v>
      </c>
      <c r="F3193" s="391" t="s">
        <v>223</v>
      </c>
      <c r="G3193" s="391">
        <v>498</v>
      </c>
      <c r="H3193" s="528">
        <v>2</v>
      </c>
      <c r="I3193" s="528">
        <v>1</v>
      </c>
      <c r="J3193" s="528">
        <v>8</v>
      </c>
      <c r="K3193" s="458" t="s">
        <v>225</v>
      </c>
      <c r="L3193" s="529">
        <f t="shared" si="470"/>
        <v>178441</v>
      </c>
      <c r="M3193" s="529">
        <f>J3193*18000</f>
        <v>144000</v>
      </c>
      <c r="N3193" s="391">
        <v>32000</v>
      </c>
      <c r="O3193" s="530"/>
      <c r="P3193" s="391"/>
      <c r="Q3193" s="391">
        <v>2441</v>
      </c>
      <c r="R3193" s="528">
        <f>M3193/J3193</f>
        <v>18000</v>
      </c>
      <c r="S3193" s="487"/>
      <c r="T3193" s="398"/>
      <c r="U3193" s="414"/>
    </row>
    <row r="3194" spans="1:21" s="416" customFormat="1" ht="37.5" customHeight="1">
      <c r="A3194" s="414">
        <f t="shared" si="471"/>
        <v>216</v>
      </c>
      <c r="B3194" s="403" t="s">
        <v>2493</v>
      </c>
      <c r="C3194" s="455" t="s">
        <v>293</v>
      </c>
      <c r="D3194" s="487">
        <v>2994</v>
      </c>
      <c r="E3194" s="391">
        <v>607.9</v>
      </c>
      <c r="F3194" s="391" t="s">
        <v>252</v>
      </c>
      <c r="G3194" s="391">
        <v>662</v>
      </c>
      <c r="H3194" s="528">
        <v>2</v>
      </c>
      <c r="I3194" s="528">
        <v>2</v>
      </c>
      <c r="J3194" s="528">
        <v>16</v>
      </c>
      <c r="K3194" s="458" t="s">
        <v>225</v>
      </c>
      <c r="L3194" s="529">
        <f t="shared" si="470"/>
        <v>317889</v>
      </c>
      <c r="M3194" s="529">
        <f>J3194*18000</f>
        <v>288000</v>
      </c>
      <c r="N3194" s="391">
        <v>25000</v>
      </c>
      <c r="O3194" s="530"/>
      <c r="P3194" s="391"/>
      <c r="Q3194" s="391">
        <v>4889</v>
      </c>
      <c r="R3194" s="528">
        <f>M3194/J3194</f>
        <v>18000</v>
      </c>
      <c r="S3194" s="487"/>
      <c r="T3194" s="398"/>
      <c r="U3194" s="414"/>
    </row>
    <row r="3195" spans="1:21" s="416" customFormat="1" ht="79.5" customHeight="1">
      <c r="A3195" s="414">
        <f t="shared" si="471"/>
        <v>217</v>
      </c>
      <c r="B3195" s="403" t="s">
        <v>2496</v>
      </c>
      <c r="C3195" s="455" t="s">
        <v>272</v>
      </c>
      <c r="D3195" s="811">
        <v>3004</v>
      </c>
      <c r="E3195" s="391">
        <v>580</v>
      </c>
      <c r="F3195" s="391" t="s">
        <v>223</v>
      </c>
      <c r="G3195" s="391">
        <v>532</v>
      </c>
      <c r="H3195" s="528">
        <v>2</v>
      </c>
      <c r="I3195" s="528">
        <v>2</v>
      </c>
      <c r="J3195" s="528">
        <v>12</v>
      </c>
      <c r="K3195" s="458" t="s">
        <v>30</v>
      </c>
      <c r="L3195" s="529">
        <f t="shared" si="470"/>
        <v>323350</v>
      </c>
      <c r="M3195" s="529">
        <v>300000</v>
      </c>
      <c r="N3195" s="391"/>
      <c r="O3195" s="530">
        <v>20000</v>
      </c>
      <c r="P3195" s="391"/>
      <c r="Q3195" s="391">
        <v>3350</v>
      </c>
      <c r="R3195" s="528">
        <f>M3195/J3195</f>
        <v>25000</v>
      </c>
      <c r="S3195" s="487"/>
      <c r="T3195" s="398"/>
      <c r="U3195" s="414"/>
    </row>
    <row r="3196" spans="1:21" s="416" customFormat="1" ht="37.5" customHeight="1">
      <c r="A3196" s="414">
        <f t="shared" si="471"/>
        <v>218</v>
      </c>
      <c r="B3196" s="403" t="s">
        <v>2497</v>
      </c>
      <c r="C3196" s="455" t="s">
        <v>272</v>
      </c>
      <c r="D3196" s="487">
        <v>69800</v>
      </c>
      <c r="E3196" s="391">
        <v>4925</v>
      </c>
      <c r="F3196" s="391" t="s">
        <v>234</v>
      </c>
      <c r="G3196" s="391">
        <v>1302</v>
      </c>
      <c r="H3196" s="528">
        <v>14</v>
      </c>
      <c r="I3196" s="528">
        <v>1</v>
      </c>
      <c r="J3196" s="528">
        <v>75</v>
      </c>
      <c r="K3196" s="458" t="s">
        <v>33</v>
      </c>
      <c r="L3196" s="529">
        <f t="shared" si="470"/>
        <v>2370630.7999999998</v>
      </c>
      <c r="M3196" s="529">
        <v>2343600</v>
      </c>
      <c r="N3196" s="391"/>
      <c r="O3196" s="530">
        <f>M3196*0.3%</f>
        <v>7030.8</v>
      </c>
      <c r="P3196" s="391"/>
      <c r="Q3196" s="391">
        <v>20000</v>
      </c>
      <c r="R3196" s="528">
        <f>M3196/G3196</f>
        <v>1800</v>
      </c>
      <c r="S3196" s="487"/>
      <c r="T3196" s="398">
        <f>M3196+N3196+O3196+Q3196</f>
        <v>2370630.7999999998</v>
      </c>
      <c r="U3196" s="414"/>
    </row>
    <row r="3197" spans="1:21" s="416" customFormat="1" ht="37.5" customHeight="1">
      <c r="A3197" s="414">
        <f t="shared" si="471"/>
        <v>219</v>
      </c>
      <c r="B3197" s="403" t="s">
        <v>2500</v>
      </c>
      <c r="C3197" s="455" t="s">
        <v>272</v>
      </c>
      <c r="D3197" s="811">
        <v>12440</v>
      </c>
      <c r="E3197" s="391">
        <v>3030</v>
      </c>
      <c r="F3197" s="391" t="s">
        <v>223</v>
      </c>
      <c r="G3197" s="391">
        <v>974</v>
      </c>
      <c r="H3197" s="528">
        <v>5</v>
      </c>
      <c r="I3197" s="528">
        <v>4</v>
      </c>
      <c r="J3197" s="528">
        <v>80</v>
      </c>
      <c r="K3197" s="458" t="s">
        <v>33</v>
      </c>
      <c r="L3197" s="529">
        <f>M3197+N3197+O3197+P3197+Q3197+M3198+N3198+O3198+P3198+Q3198</f>
        <v>7054353.5999999996</v>
      </c>
      <c r="M3197" s="529">
        <f>G3197*2800</f>
        <v>2727200</v>
      </c>
      <c r="N3197" s="391"/>
      <c r="O3197" s="530">
        <f>M3197*0.3%</f>
        <v>8181.6</v>
      </c>
      <c r="P3197" s="391"/>
      <c r="Q3197" s="391">
        <v>21972</v>
      </c>
      <c r="R3197" s="528">
        <f>M3197/G3197</f>
        <v>2800</v>
      </c>
      <c r="S3197" s="487"/>
      <c r="T3197" s="398">
        <f>M3197+N3197+O3197+Q3197</f>
        <v>2757353.6</v>
      </c>
      <c r="U3197" s="414"/>
    </row>
    <row r="3198" spans="1:21" s="416" customFormat="1" ht="37.5" customHeight="1">
      <c r="A3198" s="414"/>
      <c r="B3198" s="403"/>
      <c r="C3198" s="455"/>
      <c r="D3198" s="811"/>
      <c r="E3198" s="391"/>
      <c r="F3198" s="391"/>
      <c r="G3198" s="391"/>
      <c r="H3198" s="528"/>
      <c r="I3198" s="528"/>
      <c r="J3198" s="528"/>
      <c r="K3198" s="458" t="s">
        <v>38</v>
      </c>
      <c r="L3198" s="529"/>
      <c r="M3198" s="529">
        <v>4242000</v>
      </c>
      <c r="N3198" s="391"/>
      <c r="O3198" s="530">
        <v>25000</v>
      </c>
      <c r="P3198" s="391"/>
      <c r="Q3198" s="391">
        <v>30000</v>
      </c>
      <c r="R3198" s="528">
        <f>M3198/E3197</f>
        <v>1400</v>
      </c>
      <c r="S3198" s="487"/>
      <c r="T3198" s="398"/>
      <c r="U3198" s="414"/>
    </row>
    <row r="3199" spans="1:21" s="416" customFormat="1" ht="37.5" customHeight="1">
      <c r="A3199" s="414">
        <f>A3197+1</f>
        <v>220</v>
      </c>
      <c r="B3199" s="591" t="s">
        <v>2501</v>
      </c>
      <c r="C3199" s="617" t="s">
        <v>272</v>
      </c>
      <c r="D3199" s="561">
        <v>36411</v>
      </c>
      <c r="E3199" s="565">
        <v>6808</v>
      </c>
      <c r="F3199" s="539" t="s">
        <v>223</v>
      </c>
      <c r="G3199" s="565">
        <v>4042</v>
      </c>
      <c r="H3199" s="561">
        <v>4</v>
      </c>
      <c r="I3199" s="561">
        <v>11</v>
      </c>
      <c r="J3199" s="561">
        <v>120</v>
      </c>
      <c r="K3199" s="397" t="s">
        <v>33</v>
      </c>
      <c r="L3199" s="529">
        <f>M3199+N3199+O3199+P3199+Q3199+M3200+N3200+O3200+P3200+Q3200</f>
        <v>19203778</v>
      </c>
      <c r="M3199" s="538">
        <v>9531200</v>
      </c>
      <c r="N3199" s="388"/>
      <c r="O3199" s="473">
        <v>36378</v>
      </c>
      <c r="P3199" s="388"/>
      <c r="Q3199" s="391">
        <v>40000</v>
      </c>
      <c r="R3199" s="446">
        <f>M3199/G3199</f>
        <v>2358.0405739732805</v>
      </c>
      <c r="S3199" s="487"/>
      <c r="T3199" s="398">
        <f>M3199+N3199+O3199+Q3199</f>
        <v>9607578</v>
      </c>
      <c r="U3199" s="414"/>
    </row>
    <row r="3200" spans="1:21" s="416" customFormat="1" ht="37.5" customHeight="1">
      <c r="A3200" s="414"/>
      <c r="B3200" s="403"/>
      <c r="C3200" s="455"/>
      <c r="D3200" s="811"/>
      <c r="E3200" s="391"/>
      <c r="F3200" s="391"/>
      <c r="G3200" s="391"/>
      <c r="H3200" s="528"/>
      <c r="I3200" s="528"/>
      <c r="J3200" s="528"/>
      <c r="K3200" s="458" t="s">
        <v>38</v>
      </c>
      <c r="L3200" s="529"/>
      <c r="M3200" s="529">
        <v>9531200</v>
      </c>
      <c r="N3200" s="391"/>
      <c r="O3200" s="530">
        <v>25000</v>
      </c>
      <c r="P3200" s="391"/>
      <c r="Q3200" s="391">
        <v>40000</v>
      </c>
      <c r="R3200" s="528">
        <f>M3200/E3199</f>
        <v>1400</v>
      </c>
      <c r="S3200" s="487"/>
      <c r="T3200" s="398"/>
      <c r="U3200" s="414"/>
    </row>
    <row r="3201" spans="1:21" s="416" customFormat="1" ht="37.5" customHeight="1">
      <c r="A3201" s="414">
        <f>A3199+1</f>
        <v>221</v>
      </c>
      <c r="B3201" s="403" t="s">
        <v>2502</v>
      </c>
      <c r="C3201" s="455" t="s">
        <v>272</v>
      </c>
      <c r="D3201" s="811">
        <v>10252</v>
      </c>
      <c r="E3201" s="391">
        <v>580</v>
      </c>
      <c r="F3201" s="391" t="s">
        <v>223</v>
      </c>
      <c r="G3201" s="391">
        <v>997</v>
      </c>
      <c r="H3201" s="528">
        <v>4</v>
      </c>
      <c r="I3201" s="528">
        <v>3</v>
      </c>
      <c r="J3201" s="528">
        <v>18</v>
      </c>
      <c r="K3201" s="458" t="s">
        <v>225</v>
      </c>
      <c r="L3201" s="529">
        <f>M3201+N3201+O3201+P3201+Q3201</f>
        <v>327222</v>
      </c>
      <c r="M3201" s="529">
        <f>J3201*16000</f>
        <v>288000</v>
      </c>
      <c r="N3201" s="391">
        <v>32000</v>
      </c>
      <c r="O3201" s="530"/>
      <c r="P3201" s="391"/>
      <c r="Q3201" s="391">
        <v>7222</v>
      </c>
      <c r="R3201" s="528">
        <f>M3201/J3201</f>
        <v>16000</v>
      </c>
      <c r="S3201" s="487"/>
      <c r="T3201" s="398"/>
      <c r="U3201" s="414"/>
    </row>
    <row r="3202" spans="1:21" s="416" customFormat="1" ht="37.5" customHeight="1">
      <c r="A3202" s="414">
        <f t="shared" ref="A3202:A3242" si="473">A3201+1</f>
        <v>222</v>
      </c>
      <c r="B3202" s="403" t="s">
        <v>2503</v>
      </c>
      <c r="C3202" s="455" t="s">
        <v>272</v>
      </c>
      <c r="D3202" s="487">
        <v>24898</v>
      </c>
      <c r="E3202" s="391">
        <v>5516</v>
      </c>
      <c r="F3202" s="391" t="s">
        <v>223</v>
      </c>
      <c r="G3202" s="391">
        <v>3110</v>
      </c>
      <c r="H3202" s="528">
        <v>5</v>
      </c>
      <c r="I3202" s="528">
        <v>9</v>
      </c>
      <c r="J3202" s="528">
        <v>94</v>
      </c>
      <c r="K3202" s="458" t="s">
        <v>33</v>
      </c>
      <c r="L3202" s="529">
        <f>M3202+N3202+O3202+P3202+Q3202+M3203+N3203+O3203+P3203+Q3203</f>
        <v>16561524</v>
      </c>
      <c r="M3202" s="529">
        <v>8708000</v>
      </c>
      <c r="N3202" s="391"/>
      <c r="O3202" s="530">
        <f>M3202*0.3%</f>
        <v>26124</v>
      </c>
      <c r="P3202" s="391"/>
      <c r="Q3202" s="391">
        <v>40000</v>
      </c>
      <c r="R3202" s="528">
        <f>M3202/G3202</f>
        <v>2800</v>
      </c>
      <c r="S3202" s="487"/>
      <c r="T3202" s="398">
        <f>M3202+N3202+O3202+Q3202</f>
        <v>8774124</v>
      </c>
      <c r="U3202" s="414"/>
    </row>
    <row r="3203" spans="1:21" s="416" customFormat="1" ht="37.5" customHeight="1">
      <c r="A3203" s="414"/>
      <c r="B3203" s="403"/>
      <c r="C3203" s="455"/>
      <c r="D3203" s="811"/>
      <c r="E3203" s="391"/>
      <c r="F3203" s="391"/>
      <c r="G3203" s="391"/>
      <c r="H3203" s="528"/>
      <c r="I3203" s="528"/>
      <c r="J3203" s="528"/>
      <c r="K3203" s="458" t="s">
        <v>38</v>
      </c>
      <c r="L3203" s="529"/>
      <c r="M3203" s="529">
        <v>7722400</v>
      </c>
      <c r="N3203" s="391"/>
      <c r="O3203" s="530">
        <v>25000</v>
      </c>
      <c r="P3203" s="391"/>
      <c r="Q3203" s="391">
        <v>40000</v>
      </c>
      <c r="R3203" s="528">
        <f>M3203/E3202</f>
        <v>1400</v>
      </c>
      <c r="S3203" s="487"/>
      <c r="T3203" s="398"/>
      <c r="U3203" s="414"/>
    </row>
    <row r="3204" spans="1:21" s="416" customFormat="1" ht="37.5" customHeight="1">
      <c r="A3204" s="414">
        <f>A3202+1</f>
        <v>223</v>
      </c>
      <c r="B3204" s="403" t="s">
        <v>2504</v>
      </c>
      <c r="C3204" s="455" t="s">
        <v>272</v>
      </c>
      <c r="D3204" s="811">
        <v>12962</v>
      </c>
      <c r="E3204" s="391">
        <v>3030</v>
      </c>
      <c r="F3204" s="391" t="s">
        <v>223</v>
      </c>
      <c r="G3204" s="391">
        <v>1139</v>
      </c>
      <c r="H3204" s="528">
        <v>5</v>
      </c>
      <c r="I3204" s="528">
        <v>4</v>
      </c>
      <c r="J3204" s="528">
        <v>75</v>
      </c>
      <c r="K3204" s="458" t="s">
        <v>33</v>
      </c>
      <c r="L3204" s="529">
        <f t="shared" ref="L3204:L3235" si="474">M3204+N3204+O3204+P3204+Q3204</f>
        <v>3221660.6</v>
      </c>
      <c r="M3204" s="529">
        <f>G3204*2800</f>
        <v>3189200</v>
      </c>
      <c r="N3204" s="391"/>
      <c r="O3204" s="530">
        <f>M3204*0.3%</f>
        <v>9567.6</v>
      </c>
      <c r="P3204" s="391"/>
      <c r="Q3204" s="391">
        <v>22893</v>
      </c>
      <c r="R3204" s="528">
        <f>M3204/G3204</f>
        <v>2800</v>
      </c>
      <c r="S3204" s="487"/>
      <c r="T3204" s="398">
        <f>M3204+N3204+O3204+Q3204</f>
        <v>3221660.6</v>
      </c>
      <c r="U3204" s="414"/>
    </row>
    <row r="3205" spans="1:21" s="416" customFormat="1" ht="56.25" customHeight="1">
      <c r="A3205" s="414">
        <f t="shared" si="473"/>
        <v>224</v>
      </c>
      <c r="B3205" s="403" t="s">
        <v>2505</v>
      </c>
      <c r="C3205" s="455" t="s">
        <v>272</v>
      </c>
      <c r="D3205" s="811">
        <v>11246</v>
      </c>
      <c r="E3205" s="391">
        <f>1920</f>
        <v>1920</v>
      </c>
      <c r="F3205" s="391" t="s">
        <v>223</v>
      </c>
      <c r="G3205" s="391">
        <v>1147</v>
      </c>
      <c r="H3205" s="528">
        <v>4</v>
      </c>
      <c r="I3205" s="528">
        <v>4</v>
      </c>
      <c r="J3205" s="528">
        <v>63</v>
      </c>
      <c r="K3205" s="458" t="s">
        <v>30</v>
      </c>
      <c r="L3205" s="529">
        <f t="shared" si="474"/>
        <v>1733881</v>
      </c>
      <c r="M3205" s="529">
        <f>J3205*27000</f>
        <v>1701000</v>
      </c>
      <c r="N3205" s="391"/>
      <c r="O3205" s="530">
        <f>M3205*0.3%</f>
        <v>5103</v>
      </c>
      <c r="P3205" s="391"/>
      <c r="Q3205" s="391">
        <v>27778</v>
      </c>
      <c r="R3205" s="528">
        <f>M3205/J3205</f>
        <v>27000</v>
      </c>
      <c r="S3205" s="487"/>
      <c r="T3205" s="398"/>
      <c r="U3205" s="414"/>
    </row>
    <row r="3206" spans="1:21" s="416" customFormat="1" ht="37.5" customHeight="1">
      <c r="A3206" s="414">
        <f t="shared" si="473"/>
        <v>225</v>
      </c>
      <c r="B3206" s="403" t="s">
        <v>2506</v>
      </c>
      <c r="C3206" s="455" t="s">
        <v>343</v>
      </c>
      <c r="D3206" s="811">
        <v>2011</v>
      </c>
      <c r="E3206" s="391">
        <v>540</v>
      </c>
      <c r="F3206" s="391" t="s">
        <v>223</v>
      </c>
      <c r="G3206" s="391">
        <v>326</v>
      </c>
      <c r="H3206" s="528">
        <v>2</v>
      </c>
      <c r="I3206" s="528">
        <v>1</v>
      </c>
      <c r="J3206" s="528">
        <v>8</v>
      </c>
      <c r="K3206" s="458" t="s">
        <v>225</v>
      </c>
      <c r="L3206" s="529">
        <f t="shared" si="474"/>
        <v>177868</v>
      </c>
      <c r="M3206" s="529">
        <f>J3206*18000</f>
        <v>144000</v>
      </c>
      <c r="N3206" s="391">
        <v>32000</v>
      </c>
      <c r="O3206" s="530"/>
      <c r="P3206" s="391"/>
      <c r="Q3206" s="391">
        <v>1868</v>
      </c>
      <c r="R3206" s="528">
        <f>M3206/J3206</f>
        <v>18000</v>
      </c>
      <c r="S3206" s="487"/>
      <c r="T3206" s="398"/>
      <c r="U3206" s="414"/>
    </row>
    <row r="3207" spans="1:21" s="416" customFormat="1" ht="37.5" customHeight="1">
      <c r="A3207" s="414">
        <f t="shared" si="473"/>
        <v>226</v>
      </c>
      <c r="B3207" s="403" t="s">
        <v>2507</v>
      </c>
      <c r="C3207" s="455" t="s">
        <v>343</v>
      </c>
      <c r="D3207" s="811">
        <v>3482</v>
      </c>
      <c r="E3207" s="391">
        <v>796</v>
      </c>
      <c r="F3207" s="391" t="s">
        <v>223</v>
      </c>
      <c r="G3207" s="391">
        <v>675</v>
      </c>
      <c r="H3207" s="528">
        <v>2</v>
      </c>
      <c r="I3207" s="528">
        <v>3</v>
      </c>
      <c r="J3207" s="528">
        <v>14</v>
      </c>
      <c r="K3207" s="458" t="s">
        <v>225</v>
      </c>
      <c r="L3207" s="529">
        <f t="shared" si="474"/>
        <v>287090</v>
      </c>
      <c r="M3207" s="529">
        <f>J3207*18000</f>
        <v>252000</v>
      </c>
      <c r="N3207" s="391">
        <v>32000</v>
      </c>
      <c r="O3207" s="530"/>
      <c r="P3207" s="391"/>
      <c r="Q3207" s="391">
        <v>3090</v>
      </c>
      <c r="R3207" s="528">
        <f>M3207/J3207</f>
        <v>18000</v>
      </c>
      <c r="S3207" s="487"/>
      <c r="T3207" s="398"/>
      <c r="U3207" s="414"/>
    </row>
    <row r="3208" spans="1:21" s="416" customFormat="1" ht="37.5" customHeight="1">
      <c r="A3208" s="414">
        <f t="shared" si="473"/>
        <v>227</v>
      </c>
      <c r="B3208" s="403" t="s">
        <v>2508</v>
      </c>
      <c r="C3208" s="455" t="s">
        <v>343</v>
      </c>
      <c r="D3208" s="811">
        <v>5128</v>
      </c>
      <c r="E3208" s="391">
        <v>796</v>
      </c>
      <c r="F3208" s="391" t="s">
        <v>223</v>
      </c>
      <c r="G3208" s="391">
        <v>998</v>
      </c>
      <c r="H3208" s="528">
        <v>2</v>
      </c>
      <c r="I3208" s="528">
        <v>3</v>
      </c>
      <c r="J3208" s="528">
        <v>18</v>
      </c>
      <c r="K3208" s="458" t="s">
        <v>225</v>
      </c>
      <c r="L3208" s="529">
        <f t="shared" si="474"/>
        <v>360632</v>
      </c>
      <c r="M3208" s="529">
        <f>J3208*18000</f>
        <v>324000</v>
      </c>
      <c r="N3208" s="391">
        <v>32000</v>
      </c>
      <c r="O3208" s="530"/>
      <c r="P3208" s="391"/>
      <c r="Q3208" s="391">
        <v>4632</v>
      </c>
      <c r="R3208" s="528">
        <f>M3208/J3208</f>
        <v>18000</v>
      </c>
      <c r="S3208" s="487"/>
      <c r="T3208" s="398"/>
      <c r="U3208" s="414"/>
    </row>
    <row r="3209" spans="1:21" s="416" customFormat="1" ht="37.5" customHeight="1">
      <c r="A3209" s="414">
        <f t="shared" si="473"/>
        <v>228</v>
      </c>
      <c r="B3209" s="403" t="s">
        <v>2510</v>
      </c>
      <c r="C3209" s="455" t="s">
        <v>272</v>
      </c>
      <c r="D3209" s="811">
        <v>3542</v>
      </c>
      <c r="E3209" s="391">
        <v>570</v>
      </c>
      <c r="F3209" s="391" t="s">
        <v>223</v>
      </c>
      <c r="G3209" s="391">
        <v>609</v>
      </c>
      <c r="H3209" s="528">
        <v>2</v>
      </c>
      <c r="I3209" s="528">
        <v>2</v>
      </c>
      <c r="J3209" s="528">
        <v>11</v>
      </c>
      <c r="K3209" s="458" t="s">
        <v>225</v>
      </c>
      <c r="L3209" s="529">
        <f t="shared" si="474"/>
        <v>233085</v>
      </c>
      <c r="M3209" s="529">
        <f>J3209*18000</f>
        <v>198000</v>
      </c>
      <c r="N3209" s="391">
        <v>32000</v>
      </c>
      <c r="O3209" s="530"/>
      <c r="P3209" s="391"/>
      <c r="Q3209" s="391">
        <v>3085</v>
      </c>
      <c r="R3209" s="528">
        <f>M3209/J3209</f>
        <v>18000</v>
      </c>
      <c r="S3209" s="487"/>
      <c r="T3209" s="398"/>
      <c r="U3209" s="414"/>
    </row>
    <row r="3210" spans="1:21" s="416" customFormat="1" ht="37.5" customHeight="1">
      <c r="A3210" s="414">
        <f t="shared" si="473"/>
        <v>229</v>
      </c>
      <c r="B3210" s="403" t="s">
        <v>2512</v>
      </c>
      <c r="C3210" s="455" t="s">
        <v>272</v>
      </c>
      <c r="D3210" s="487">
        <v>37482</v>
      </c>
      <c r="E3210" s="391">
        <v>5092.8599999999997</v>
      </c>
      <c r="F3210" s="391" t="s">
        <v>234</v>
      </c>
      <c r="G3210" s="391">
        <v>1928</v>
      </c>
      <c r="H3210" s="528">
        <v>9</v>
      </c>
      <c r="I3210" s="528">
        <v>4</v>
      </c>
      <c r="J3210" s="528">
        <v>134</v>
      </c>
      <c r="K3210" s="458" t="s">
        <v>33</v>
      </c>
      <c r="L3210" s="529">
        <f t="shared" si="474"/>
        <v>3500811.2</v>
      </c>
      <c r="M3210" s="529">
        <v>3470400</v>
      </c>
      <c r="N3210" s="391"/>
      <c r="O3210" s="530">
        <f>M3210*0.3%</f>
        <v>10411.200000000001</v>
      </c>
      <c r="P3210" s="391"/>
      <c r="Q3210" s="391">
        <v>20000</v>
      </c>
      <c r="R3210" s="528">
        <f>M3210/G3210</f>
        <v>1800</v>
      </c>
      <c r="S3210" s="487"/>
      <c r="T3210" s="398">
        <f>M3210+N3210+O3210+Q3210</f>
        <v>3500811.2</v>
      </c>
      <c r="U3210" s="414"/>
    </row>
    <row r="3211" spans="1:21" s="416" customFormat="1" ht="39.75" customHeight="1">
      <c r="A3211" s="414">
        <f t="shared" si="473"/>
        <v>230</v>
      </c>
      <c r="B3211" s="403" t="s">
        <v>2513</v>
      </c>
      <c r="C3211" s="455" t="s">
        <v>315</v>
      </c>
      <c r="D3211" s="487">
        <v>1348</v>
      </c>
      <c r="E3211" s="391">
        <v>594</v>
      </c>
      <c r="F3211" s="391" t="s">
        <v>223</v>
      </c>
      <c r="G3211" s="391">
        <v>560</v>
      </c>
      <c r="H3211" s="528">
        <v>2</v>
      </c>
      <c r="I3211" s="528">
        <v>1</v>
      </c>
      <c r="J3211" s="528">
        <v>8</v>
      </c>
      <c r="K3211" s="458" t="s">
        <v>33</v>
      </c>
      <c r="L3211" s="529">
        <f t="shared" si="474"/>
        <v>1579372</v>
      </c>
      <c r="M3211" s="529">
        <f>G3211*2800</f>
        <v>1568000</v>
      </c>
      <c r="N3211" s="391"/>
      <c r="O3211" s="530">
        <f>M3211*0.3%</f>
        <v>4704</v>
      </c>
      <c r="P3211" s="391"/>
      <c r="Q3211" s="391">
        <v>6668</v>
      </c>
      <c r="R3211" s="528">
        <f>M3211/G3211</f>
        <v>2800</v>
      </c>
      <c r="S3211" s="487"/>
      <c r="T3211" s="398">
        <f>M3211+N3211+O3211+Q3211</f>
        <v>1579372</v>
      </c>
      <c r="U3211" s="414"/>
    </row>
    <row r="3212" spans="1:21" s="416" customFormat="1" ht="39.75" customHeight="1">
      <c r="A3212" s="414">
        <f t="shared" si="473"/>
        <v>231</v>
      </c>
      <c r="B3212" s="403" t="s">
        <v>2514</v>
      </c>
      <c r="C3212" s="455" t="s">
        <v>315</v>
      </c>
      <c r="D3212" s="487">
        <v>2712</v>
      </c>
      <c r="E3212" s="391">
        <v>654</v>
      </c>
      <c r="F3212" s="391" t="s">
        <v>223</v>
      </c>
      <c r="G3212" s="391">
        <v>476</v>
      </c>
      <c r="H3212" s="528">
        <v>2</v>
      </c>
      <c r="I3212" s="528">
        <v>2</v>
      </c>
      <c r="J3212" s="528">
        <v>8</v>
      </c>
      <c r="K3212" s="458" t="s">
        <v>33</v>
      </c>
      <c r="L3212" s="529">
        <f t="shared" si="474"/>
        <v>1350212.4</v>
      </c>
      <c r="M3212" s="529">
        <f>G3212*2800</f>
        <v>1332800</v>
      </c>
      <c r="N3212" s="391"/>
      <c r="O3212" s="530">
        <f>M3212*0.3%</f>
        <v>3998.4</v>
      </c>
      <c r="P3212" s="391"/>
      <c r="Q3212" s="391">
        <v>13414</v>
      </c>
      <c r="R3212" s="528">
        <f>M3212/G3212</f>
        <v>2800</v>
      </c>
      <c r="S3212" s="487"/>
      <c r="T3212" s="398">
        <f>M3212+N3212+O3212+Q3212</f>
        <v>1350212.4</v>
      </c>
      <c r="U3212" s="414"/>
    </row>
    <row r="3213" spans="1:21" s="416" customFormat="1" ht="37.5" customHeight="1">
      <c r="A3213" s="414">
        <f t="shared" si="473"/>
        <v>232</v>
      </c>
      <c r="B3213" s="403" t="s">
        <v>2516</v>
      </c>
      <c r="C3213" s="455" t="s">
        <v>240</v>
      </c>
      <c r="D3213" s="487">
        <v>1946</v>
      </c>
      <c r="E3213" s="391">
        <v>463</v>
      </c>
      <c r="F3213" s="391" t="s">
        <v>223</v>
      </c>
      <c r="G3213" s="391">
        <v>376</v>
      </c>
      <c r="H3213" s="528">
        <v>2</v>
      </c>
      <c r="I3213" s="528">
        <v>1</v>
      </c>
      <c r="J3213" s="528">
        <v>8</v>
      </c>
      <c r="K3213" s="458" t="s">
        <v>225</v>
      </c>
      <c r="L3213" s="529">
        <f t="shared" si="474"/>
        <v>161015</v>
      </c>
      <c r="M3213" s="529">
        <f>J3213*18000</f>
        <v>144000</v>
      </c>
      <c r="N3213" s="391">
        <v>15000</v>
      </c>
      <c r="O3213" s="530"/>
      <c r="P3213" s="391"/>
      <c r="Q3213" s="391">
        <v>2015</v>
      </c>
      <c r="R3213" s="528">
        <f>M3213/J3213</f>
        <v>18000</v>
      </c>
      <c r="S3213" s="487"/>
      <c r="T3213" s="398"/>
      <c r="U3213" s="414"/>
    </row>
    <row r="3214" spans="1:21" s="416" customFormat="1" ht="37.5" customHeight="1">
      <c r="A3214" s="414">
        <f t="shared" si="473"/>
        <v>233</v>
      </c>
      <c r="B3214" s="403" t="s">
        <v>2517</v>
      </c>
      <c r="C3214" s="455" t="s">
        <v>240</v>
      </c>
      <c r="D3214" s="487">
        <v>1855</v>
      </c>
      <c r="E3214" s="391">
        <v>444</v>
      </c>
      <c r="F3214" s="391" t="s">
        <v>223</v>
      </c>
      <c r="G3214" s="391">
        <v>369</v>
      </c>
      <c r="H3214" s="528">
        <v>2</v>
      </c>
      <c r="I3214" s="528">
        <v>1</v>
      </c>
      <c r="J3214" s="528">
        <v>8</v>
      </c>
      <c r="K3214" s="458" t="s">
        <v>225</v>
      </c>
      <c r="L3214" s="529">
        <f t="shared" si="474"/>
        <v>162265</v>
      </c>
      <c r="M3214" s="529">
        <f>J3214*18000</f>
        <v>144000</v>
      </c>
      <c r="N3214" s="391">
        <v>15000</v>
      </c>
      <c r="O3214" s="530"/>
      <c r="P3214" s="391"/>
      <c r="Q3214" s="391">
        <v>3265</v>
      </c>
      <c r="R3214" s="528">
        <f>M3214/J3214</f>
        <v>18000</v>
      </c>
      <c r="S3214" s="487"/>
      <c r="T3214" s="398"/>
      <c r="U3214" s="414"/>
    </row>
    <row r="3215" spans="1:21" s="416" customFormat="1" ht="37.5" customHeight="1">
      <c r="A3215" s="414">
        <f t="shared" si="473"/>
        <v>234</v>
      </c>
      <c r="B3215" s="403" t="s">
        <v>2518</v>
      </c>
      <c r="C3215" s="455" t="s">
        <v>272</v>
      </c>
      <c r="D3215" s="487">
        <v>14088</v>
      </c>
      <c r="E3215" s="391">
        <v>2320</v>
      </c>
      <c r="F3215" s="391" t="s">
        <v>223</v>
      </c>
      <c r="G3215" s="391">
        <v>1028</v>
      </c>
      <c r="H3215" s="528">
        <v>5</v>
      </c>
      <c r="I3215" s="528">
        <v>4</v>
      </c>
      <c r="J3215" s="528">
        <v>75</v>
      </c>
      <c r="K3215" s="458" t="s">
        <v>225</v>
      </c>
      <c r="L3215" s="529">
        <f t="shared" si="474"/>
        <v>1247000</v>
      </c>
      <c r="M3215" s="529">
        <f>J3215*16000</f>
        <v>1200000</v>
      </c>
      <c r="N3215" s="391">
        <v>27000</v>
      </c>
      <c r="O3215" s="530"/>
      <c r="P3215" s="391"/>
      <c r="Q3215" s="391">
        <v>20000</v>
      </c>
      <c r="R3215" s="528">
        <f>M3215/J3215</f>
        <v>16000</v>
      </c>
      <c r="S3215" s="487"/>
      <c r="T3215" s="398"/>
      <c r="U3215" s="414"/>
    </row>
    <row r="3216" spans="1:21" s="416" customFormat="1" ht="37.5" customHeight="1">
      <c r="A3216" s="414">
        <f t="shared" si="473"/>
        <v>235</v>
      </c>
      <c r="B3216" s="403" t="s">
        <v>2519</v>
      </c>
      <c r="C3216" s="455" t="s">
        <v>272</v>
      </c>
      <c r="D3216" s="487">
        <v>13466</v>
      </c>
      <c r="E3216" s="391">
        <v>2450</v>
      </c>
      <c r="F3216" s="391" t="s">
        <v>234</v>
      </c>
      <c r="G3216" s="391">
        <v>973</v>
      </c>
      <c r="H3216" s="528">
        <v>5</v>
      </c>
      <c r="I3216" s="528">
        <v>4</v>
      </c>
      <c r="J3216" s="528">
        <v>64</v>
      </c>
      <c r="K3216" s="458" t="s">
        <v>225</v>
      </c>
      <c r="L3216" s="529">
        <f t="shared" si="474"/>
        <v>1067991</v>
      </c>
      <c r="M3216" s="529">
        <f>J3216*16000</f>
        <v>1024000</v>
      </c>
      <c r="N3216" s="391">
        <v>27000</v>
      </c>
      <c r="O3216" s="530"/>
      <c r="P3216" s="391"/>
      <c r="Q3216" s="391">
        <v>16991</v>
      </c>
      <c r="R3216" s="528">
        <f>M3216/J3216</f>
        <v>16000</v>
      </c>
      <c r="S3216" s="487"/>
      <c r="T3216" s="398"/>
      <c r="U3216" s="414"/>
    </row>
    <row r="3217" spans="1:21" s="416" customFormat="1" ht="37.5" customHeight="1">
      <c r="A3217" s="414">
        <f t="shared" si="473"/>
        <v>236</v>
      </c>
      <c r="B3217" s="403" t="s">
        <v>2520</v>
      </c>
      <c r="C3217" s="455" t="s">
        <v>272</v>
      </c>
      <c r="D3217" s="487">
        <v>29942</v>
      </c>
      <c r="E3217" s="391">
        <v>4795</v>
      </c>
      <c r="F3217" s="391" t="s">
        <v>234</v>
      </c>
      <c r="G3217" s="391">
        <v>960</v>
      </c>
      <c r="H3217" s="528">
        <v>15</v>
      </c>
      <c r="I3217" s="528">
        <v>1</v>
      </c>
      <c r="J3217" s="528">
        <v>44</v>
      </c>
      <c r="K3217" s="458" t="s">
        <v>33</v>
      </c>
      <c r="L3217" s="529">
        <f t="shared" si="474"/>
        <v>1753184</v>
      </c>
      <c r="M3217" s="529">
        <v>1728000</v>
      </c>
      <c r="N3217" s="391"/>
      <c r="O3217" s="530">
        <f>M3217*0.3%</f>
        <v>5184</v>
      </c>
      <c r="P3217" s="391"/>
      <c r="Q3217" s="391">
        <v>20000</v>
      </c>
      <c r="R3217" s="528">
        <f>M3217/G3217</f>
        <v>1800</v>
      </c>
      <c r="S3217" s="487"/>
      <c r="T3217" s="398">
        <f>M3217+N3217+O3217+Q3217</f>
        <v>1753184</v>
      </c>
      <c r="U3217" s="414"/>
    </row>
    <row r="3218" spans="1:21" s="416" customFormat="1" ht="37.5" customHeight="1">
      <c r="A3218" s="414">
        <f t="shared" si="473"/>
        <v>237</v>
      </c>
      <c r="B3218" s="403" t="s">
        <v>2522</v>
      </c>
      <c r="C3218" s="455" t="s">
        <v>403</v>
      </c>
      <c r="D3218" s="487">
        <v>19913</v>
      </c>
      <c r="E3218" s="391">
        <v>1436</v>
      </c>
      <c r="F3218" s="391" t="s">
        <v>404</v>
      </c>
      <c r="G3218" s="391">
        <v>1349.9</v>
      </c>
      <c r="H3218" s="528">
        <v>5</v>
      </c>
      <c r="I3218" s="528">
        <v>6</v>
      </c>
      <c r="J3218" s="528">
        <v>90</v>
      </c>
      <c r="K3218" s="458" t="s">
        <v>225</v>
      </c>
      <c r="L3218" s="529">
        <f t="shared" si="474"/>
        <v>1485000</v>
      </c>
      <c r="M3218" s="529">
        <f>J3218*16000</f>
        <v>1440000</v>
      </c>
      <c r="N3218" s="391">
        <v>25000</v>
      </c>
      <c r="O3218" s="530"/>
      <c r="P3218" s="391"/>
      <c r="Q3218" s="391">
        <v>20000</v>
      </c>
      <c r="R3218" s="528">
        <f>M3218/J3218</f>
        <v>16000</v>
      </c>
      <c r="S3218" s="487"/>
      <c r="T3218" s="398"/>
      <c r="U3218" s="414"/>
    </row>
    <row r="3219" spans="1:21" s="416" customFormat="1" ht="37.5" customHeight="1">
      <c r="A3219" s="414">
        <f t="shared" si="473"/>
        <v>238</v>
      </c>
      <c r="B3219" s="403" t="s">
        <v>2523</v>
      </c>
      <c r="C3219" s="455" t="s">
        <v>230</v>
      </c>
      <c r="D3219" s="487">
        <v>2973</v>
      </c>
      <c r="E3219" s="391">
        <v>334</v>
      </c>
      <c r="F3219" s="391" t="s">
        <v>223</v>
      </c>
      <c r="G3219" s="391">
        <v>797.1</v>
      </c>
      <c r="H3219" s="528">
        <v>2</v>
      </c>
      <c r="I3219" s="528">
        <v>3</v>
      </c>
      <c r="J3219" s="528">
        <v>20</v>
      </c>
      <c r="K3219" s="458" t="s">
        <v>33</v>
      </c>
      <c r="L3219" s="529">
        <f t="shared" si="474"/>
        <v>2253280.64</v>
      </c>
      <c r="M3219" s="529">
        <v>2231880</v>
      </c>
      <c r="N3219" s="391"/>
      <c r="O3219" s="530">
        <f t="shared" ref="O3219:O3232" si="475">M3219*0.3%</f>
        <v>6695.64</v>
      </c>
      <c r="P3219" s="391"/>
      <c r="Q3219" s="391">
        <v>14705</v>
      </c>
      <c r="R3219" s="528">
        <f t="shared" ref="R3219:R3224" si="476">M3219/G3219</f>
        <v>2800</v>
      </c>
      <c r="S3219" s="487"/>
      <c r="T3219" s="398">
        <f t="shared" ref="T3219:T3224" si="477">M3219+N3219+O3219+Q3219</f>
        <v>2253280.64</v>
      </c>
      <c r="U3219" s="414"/>
    </row>
    <row r="3220" spans="1:21" s="416" customFormat="1" ht="37.5" customHeight="1">
      <c r="A3220" s="414">
        <f t="shared" si="473"/>
        <v>239</v>
      </c>
      <c r="B3220" s="403" t="s">
        <v>2524</v>
      </c>
      <c r="C3220" s="455" t="s">
        <v>230</v>
      </c>
      <c r="D3220" s="487">
        <v>3024</v>
      </c>
      <c r="E3220" s="391">
        <v>334</v>
      </c>
      <c r="F3220" s="391" t="s">
        <v>223</v>
      </c>
      <c r="G3220" s="391">
        <v>1151.4000000000001</v>
      </c>
      <c r="H3220" s="528">
        <v>2</v>
      </c>
      <c r="I3220" s="528">
        <v>2</v>
      </c>
      <c r="J3220" s="528">
        <v>30</v>
      </c>
      <c r="K3220" s="458" t="s">
        <v>33</v>
      </c>
      <c r="L3220" s="529">
        <f t="shared" si="474"/>
        <v>3248549.7600000002</v>
      </c>
      <c r="M3220" s="529">
        <v>3223920.0000000005</v>
      </c>
      <c r="N3220" s="391"/>
      <c r="O3220" s="530">
        <f t="shared" si="475"/>
        <v>9671.760000000002</v>
      </c>
      <c r="P3220" s="391"/>
      <c r="Q3220" s="391">
        <v>14958</v>
      </c>
      <c r="R3220" s="528">
        <f t="shared" si="476"/>
        <v>2800</v>
      </c>
      <c r="S3220" s="487"/>
      <c r="T3220" s="398">
        <f t="shared" si="477"/>
        <v>3248549.7600000002</v>
      </c>
      <c r="U3220" s="414"/>
    </row>
    <row r="3221" spans="1:21" s="416" customFormat="1" ht="45.75" customHeight="1">
      <c r="A3221" s="414">
        <f t="shared" si="473"/>
        <v>240</v>
      </c>
      <c r="B3221" s="403" t="s">
        <v>2525</v>
      </c>
      <c r="C3221" s="455" t="s">
        <v>218</v>
      </c>
      <c r="D3221" s="487">
        <v>37626</v>
      </c>
      <c r="E3221" s="391">
        <v>4380</v>
      </c>
      <c r="F3221" s="391" t="s">
        <v>234</v>
      </c>
      <c r="G3221" s="391">
        <v>1147.5</v>
      </c>
      <c r="H3221" s="528">
        <v>9</v>
      </c>
      <c r="I3221" s="528">
        <v>4</v>
      </c>
      <c r="J3221" s="528">
        <v>144</v>
      </c>
      <c r="K3221" s="458" t="s">
        <v>33</v>
      </c>
      <c r="L3221" s="529">
        <f t="shared" si="474"/>
        <v>2091696.5</v>
      </c>
      <c r="M3221" s="529">
        <v>2065500</v>
      </c>
      <c r="N3221" s="391"/>
      <c r="O3221" s="530">
        <f t="shared" si="475"/>
        <v>6196.5</v>
      </c>
      <c r="P3221" s="391"/>
      <c r="Q3221" s="391">
        <v>20000</v>
      </c>
      <c r="R3221" s="528">
        <f t="shared" si="476"/>
        <v>1800</v>
      </c>
      <c r="S3221" s="487"/>
      <c r="T3221" s="398">
        <f t="shared" si="477"/>
        <v>2091696.5</v>
      </c>
      <c r="U3221" s="414"/>
    </row>
    <row r="3222" spans="1:21" s="416" customFormat="1" ht="37.5" customHeight="1">
      <c r="A3222" s="414">
        <f t="shared" si="473"/>
        <v>241</v>
      </c>
      <c r="B3222" s="403" t="s">
        <v>2526</v>
      </c>
      <c r="C3222" s="455" t="s">
        <v>405</v>
      </c>
      <c r="D3222" s="487">
        <v>7667</v>
      </c>
      <c r="E3222" s="391">
        <v>1613</v>
      </c>
      <c r="F3222" s="391" t="s">
        <v>234</v>
      </c>
      <c r="G3222" s="391">
        <v>602.4</v>
      </c>
      <c r="H3222" s="528">
        <v>5</v>
      </c>
      <c r="I3222" s="528">
        <v>3</v>
      </c>
      <c r="J3222" s="528">
        <v>45</v>
      </c>
      <c r="K3222" s="458" t="s">
        <v>33</v>
      </c>
      <c r="L3222" s="529">
        <f t="shared" si="474"/>
        <v>1101113.96</v>
      </c>
      <c r="M3222" s="529">
        <v>1084320</v>
      </c>
      <c r="N3222" s="391"/>
      <c r="O3222" s="530">
        <f t="shared" si="475"/>
        <v>3252.96</v>
      </c>
      <c r="P3222" s="391"/>
      <c r="Q3222" s="391">
        <v>13541</v>
      </c>
      <c r="R3222" s="528">
        <f t="shared" si="476"/>
        <v>1800</v>
      </c>
      <c r="S3222" s="487"/>
      <c r="T3222" s="398">
        <f t="shared" si="477"/>
        <v>1101113.96</v>
      </c>
      <c r="U3222" s="414"/>
    </row>
    <row r="3223" spans="1:21" s="416" customFormat="1" ht="37.5" customHeight="1">
      <c r="A3223" s="414">
        <f t="shared" si="473"/>
        <v>242</v>
      </c>
      <c r="B3223" s="403" t="s">
        <v>2528</v>
      </c>
      <c r="C3223" s="455" t="s">
        <v>405</v>
      </c>
      <c r="D3223" s="487">
        <v>17426</v>
      </c>
      <c r="E3223" s="391">
        <v>3030</v>
      </c>
      <c r="F3223" s="391" t="s">
        <v>234</v>
      </c>
      <c r="G3223" s="391">
        <v>1322</v>
      </c>
      <c r="H3223" s="528">
        <v>5</v>
      </c>
      <c r="I3223" s="528">
        <v>4</v>
      </c>
      <c r="J3223" s="528">
        <v>80</v>
      </c>
      <c r="K3223" s="458" t="s">
        <v>33</v>
      </c>
      <c r="L3223" s="529">
        <f t="shared" si="474"/>
        <v>2406738.7999999998</v>
      </c>
      <c r="M3223" s="529">
        <v>2379600</v>
      </c>
      <c r="N3223" s="391"/>
      <c r="O3223" s="530">
        <f t="shared" si="475"/>
        <v>7138.8</v>
      </c>
      <c r="P3223" s="391"/>
      <c r="Q3223" s="391">
        <v>20000</v>
      </c>
      <c r="R3223" s="528">
        <f t="shared" si="476"/>
        <v>1800</v>
      </c>
      <c r="S3223" s="487"/>
      <c r="T3223" s="398">
        <f t="shared" si="477"/>
        <v>2406738.7999999998</v>
      </c>
      <c r="U3223" s="414"/>
    </row>
    <row r="3224" spans="1:21" s="416" customFormat="1" ht="37.5" customHeight="1">
      <c r="A3224" s="414">
        <f t="shared" si="473"/>
        <v>243</v>
      </c>
      <c r="B3224" s="403" t="s">
        <v>2529</v>
      </c>
      <c r="C3224" s="455" t="s">
        <v>405</v>
      </c>
      <c r="D3224" s="487">
        <v>17426</v>
      </c>
      <c r="E3224" s="391">
        <v>3030</v>
      </c>
      <c r="F3224" s="391" t="s">
        <v>234</v>
      </c>
      <c r="G3224" s="391">
        <v>1322</v>
      </c>
      <c r="H3224" s="528">
        <v>5</v>
      </c>
      <c r="I3224" s="528">
        <v>4</v>
      </c>
      <c r="J3224" s="528">
        <v>80</v>
      </c>
      <c r="K3224" s="458" t="s">
        <v>33</v>
      </c>
      <c r="L3224" s="529">
        <f t="shared" si="474"/>
        <v>2406738.7999999998</v>
      </c>
      <c r="M3224" s="529">
        <v>2379600</v>
      </c>
      <c r="N3224" s="391"/>
      <c r="O3224" s="530">
        <f t="shared" si="475"/>
        <v>7138.8</v>
      </c>
      <c r="P3224" s="391"/>
      <c r="Q3224" s="391">
        <v>20000</v>
      </c>
      <c r="R3224" s="528">
        <f t="shared" si="476"/>
        <v>1800</v>
      </c>
      <c r="S3224" s="487"/>
      <c r="T3224" s="398">
        <f t="shared" si="477"/>
        <v>2406738.7999999998</v>
      </c>
      <c r="U3224" s="414"/>
    </row>
    <row r="3225" spans="1:21" s="416" customFormat="1" ht="37.5" customHeight="1">
      <c r="A3225" s="414">
        <f t="shared" si="473"/>
        <v>244</v>
      </c>
      <c r="B3225" s="403" t="s">
        <v>2530</v>
      </c>
      <c r="C3225" s="455" t="s">
        <v>272</v>
      </c>
      <c r="D3225" s="487">
        <v>18067</v>
      </c>
      <c r="E3225" s="391">
        <v>5100</v>
      </c>
      <c r="F3225" s="391" t="s">
        <v>231</v>
      </c>
      <c r="G3225" s="391">
        <v>1538</v>
      </c>
      <c r="H3225" s="528">
        <v>4</v>
      </c>
      <c r="I3225" s="528">
        <v>6</v>
      </c>
      <c r="J3225" s="528">
        <v>47</v>
      </c>
      <c r="K3225" s="458" t="s">
        <v>38</v>
      </c>
      <c r="L3225" s="529">
        <f t="shared" si="474"/>
        <v>8502812.5</v>
      </c>
      <c r="M3225" s="529">
        <v>8437500</v>
      </c>
      <c r="N3225" s="391"/>
      <c r="O3225" s="530">
        <v>25312.5</v>
      </c>
      <c r="P3225" s="391"/>
      <c r="Q3225" s="391">
        <v>40000</v>
      </c>
      <c r="R3225" s="528">
        <f>M3225/E3225</f>
        <v>1654.4117647058824</v>
      </c>
      <c r="S3225" s="487"/>
      <c r="T3225" s="398"/>
      <c r="U3225" s="414"/>
    </row>
    <row r="3226" spans="1:21" s="416" customFormat="1" ht="56.25" customHeight="1">
      <c r="A3226" s="414">
        <f t="shared" si="473"/>
        <v>245</v>
      </c>
      <c r="B3226" s="403" t="s">
        <v>2531</v>
      </c>
      <c r="C3226" s="455" t="s">
        <v>272</v>
      </c>
      <c r="D3226" s="811">
        <v>2979</v>
      </c>
      <c r="E3226" s="391">
        <v>520</v>
      </c>
      <c r="F3226" s="391" t="s">
        <v>231</v>
      </c>
      <c r="G3226" s="391">
        <v>472.7</v>
      </c>
      <c r="H3226" s="528">
        <v>2</v>
      </c>
      <c r="I3226" s="528">
        <v>1</v>
      </c>
      <c r="J3226" s="528">
        <v>10</v>
      </c>
      <c r="K3226" s="458" t="s">
        <v>30</v>
      </c>
      <c r="L3226" s="529">
        <f t="shared" si="474"/>
        <v>262050</v>
      </c>
      <c r="M3226" s="529">
        <f>J3226*25000</f>
        <v>250000</v>
      </c>
      <c r="N3226" s="391"/>
      <c r="O3226" s="530">
        <f t="shared" si="475"/>
        <v>750</v>
      </c>
      <c r="P3226" s="391"/>
      <c r="Q3226" s="391">
        <v>11300</v>
      </c>
      <c r="R3226" s="528">
        <f>M3226/J3226</f>
        <v>25000</v>
      </c>
      <c r="S3226" s="487"/>
      <c r="T3226" s="398"/>
      <c r="U3226" s="414"/>
    </row>
    <row r="3227" spans="1:21" s="416" customFormat="1" ht="37.5" customHeight="1">
      <c r="A3227" s="414">
        <f t="shared" si="473"/>
        <v>246</v>
      </c>
      <c r="B3227" s="403" t="s">
        <v>2532</v>
      </c>
      <c r="C3227" s="455" t="s">
        <v>272</v>
      </c>
      <c r="D3227" s="811">
        <v>4602</v>
      </c>
      <c r="E3227" s="391">
        <v>1123.8</v>
      </c>
      <c r="F3227" s="391" t="s">
        <v>223</v>
      </c>
      <c r="G3227" s="391">
        <v>900</v>
      </c>
      <c r="H3227" s="528">
        <v>3</v>
      </c>
      <c r="I3227" s="528">
        <v>2</v>
      </c>
      <c r="J3227" s="528">
        <v>27</v>
      </c>
      <c r="K3227" s="458" t="s">
        <v>33</v>
      </c>
      <c r="L3227" s="1128">
        <f>M3227+N3227+O3227+P3227+Q3227+M3228+N3228+O3228+Q3228</f>
        <v>3757702</v>
      </c>
      <c r="M3227" s="529">
        <v>3146640</v>
      </c>
      <c r="N3227" s="391"/>
      <c r="O3227" s="530">
        <v>20000</v>
      </c>
      <c r="P3227" s="391"/>
      <c r="Q3227" s="391">
        <v>14404</v>
      </c>
      <c r="R3227" s="528">
        <f>M3227/E3227</f>
        <v>2800</v>
      </c>
      <c r="S3227" s="487"/>
      <c r="T3227" s="398">
        <f>M3227+N3227+O3227+Q3227</f>
        <v>3181044</v>
      </c>
      <c r="U3227" s="414"/>
    </row>
    <row r="3228" spans="1:21" s="416" customFormat="1" ht="61.5" customHeight="1">
      <c r="A3228" s="414"/>
      <c r="B3228" s="403"/>
      <c r="C3228" s="455"/>
      <c r="D3228" s="811"/>
      <c r="E3228" s="391"/>
      <c r="F3228" s="391"/>
      <c r="G3228" s="391"/>
      <c r="H3228" s="528"/>
      <c r="I3228" s="528"/>
      <c r="J3228" s="528"/>
      <c r="K3228" s="458" t="s">
        <v>30</v>
      </c>
      <c r="L3228" s="1128"/>
      <c r="M3228" s="529">
        <v>540000</v>
      </c>
      <c r="N3228" s="391"/>
      <c r="O3228" s="530">
        <v>15000</v>
      </c>
      <c r="P3228" s="391"/>
      <c r="Q3228" s="391">
        <v>21658</v>
      </c>
      <c r="R3228" s="528"/>
      <c r="S3228" s="487"/>
      <c r="T3228" s="398"/>
      <c r="U3228" s="414"/>
    </row>
    <row r="3229" spans="1:21" s="416" customFormat="1" ht="37.5" customHeight="1">
      <c r="A3229" s="414">
        <f>A3227+1</f>
        <v>247</v>
      </c>
      <c r="B3229" s="403" t="s">
        <v>2533</v>
      </c>
      <c r="C3229" s="455" t="s">
        <v>272</v>
      </c>
      <c r="D3229" s="811">
        <v>4772</v>
      </c>
      <c r="E3229" s="391">
        <v>1123.8</v>
      </c>
      <c r="F3229" s="391" t="s">
        <v>223</v>
      </c>
      <c r="G3229" s="391">
        <v>678</v>
      </c>
      <c r="H3229" s="528">
        <v>3</v>
      </c>
      <c r="I3229" s="528">
        <v>2</v>
      </c>
      <c r="J3229" s="528">
        <v>27</v>
      </c>
      <c r="K3229" s="458" t="s">
        <v>33</v>
      </c>
      <c r="L3229" s="529">
        <f t="shared" si="474"/>
        <v>1919031.2</v>
      </c>
      <c r="M3229" s="529">
        <f>G3229*2800</f>
        <v>1898400</v>
      </c>
      <c r="N3229" s="391"/>
      <c r="O3229" s="530">
        <f t="shared" si="475"/>
        <v>5695.2</v>
      </c>
      <c r="P3229" s="391"/>
      <c r="Q3229" s="391">
        <v>14936</v>
      </c>
      <c r="R3229" s="528">
        <f>M3229/G3229</f>
        <v>2800</v>
      </c>
      <c r="S3229" s="487"/>
      <c r="T3229" s="398">
        <f>M3229+N3229+O3229+Q3229</f>
        <v>1919031.2</v>
      </c>
      <c r="U3229" s="414"/>
    </row>
    <row r="3230" spans="1:21" s="416" customFormat="1" ht="37.5" customHeight="1">
      <c r="A3230" s="414">
        <f t="shared" si="473"/>
        <v>248</v>
      </c>
      <c r="B3230" s="403" t="s">
        <v>2534</v>
      </c>
      <c r="C3230" s="455" t="s">
        <v>272</v>
      </c>
      <c r="D3230" s="811">
        <v>4559</v>
      </c>
      <c r="E3230" s="391">
        <v>1123.8</v>
      </c>
      <c r="F3230" s="391" t="s">
        <v>223</v>
      </c>
      <c r="G3230" s="391">
        <v>674</v>
      </c>
      <c r="H3230" s="528">
        <v>3</v>
      </c>
      <c r="I3230" s="528">
        <v>2</v>
      </c>
      <c r="J3230" s="528">
        <v>27</v>
      </c>
      <c r="K3230" s="458" t="s">
        <v>33</v>
      </c>
      <c r="L3230" s="529">
        <f t="shared" si="474"/>
        <v>1907131.6</v>
      </c>
      <c r="M3230" s="529">
        <f>G3230*2800</f>
        <v>1887200</v>
      </c>
      <c r="N3230" s="391"/>
      <c r="O3230" s="530">
        <f t="shared" si="475"/>
        <v>5661.6</v>
      </c>
      <c r="P3230" s="391"/>
      <c r="Q3230" s="391">
        <v>14270</v>
      </c>
      <c r="R3230" s="528">
        <f>M3230/G3230</f>
        <v>2800</v>
      </c>
      <c r="S3230" s="487"/>
      <c r="T3230" s="398">
        <f>M3230+N3230+O3230+Q3230</f>
        <v>1907131.6</v>
      </c>
      <c r="U3230" s="414"/>
    </row>
    <row r="3231" spans="1:21" s="416" customFormat="1" ht="37.5" customHeight="1">
      <c r="A3231" s="414">
        <f t="shared" si="473"/>
        <v>249</v>
      </c>
      <c r="B3231" s="403" t="s">
        <v>2535</v>
      </c>
      <c r="C3231" s="455" t="s">
        <v>218</v>
      </c>
      <c r="D3231" s="487">
        <v>43747.72</v>
      </c>
      <c r="E3231" s="391">
        <v>7693</v>
      </c>
      <c r="F3231" s="391" t="s">
        <v>234</v>
      </c>
      <c r="G3231" s="391">
        <v>2022</v>
      </c>
      <c r="H3231" s="528">
        <v>9</v>
      </c>
      <c r="I3231" s="528">
        <v>6</v>
      </c>
      <c r="J3231" s="528">
        <v>216</v>
      </c>
      <c r="K3231" s="458" t="s">
        <v>33</v>
      </c>
      <c r="L3231" s="529">
        <f t="shared" si="474"/>
        <v>3670518.8</v>
      </c>
      <c r="M3231" s="529">
        <v>3639600</v>
      </c>
      <c r="N3231" s="391"/>
      <c r="O3231" s="530">
        <f t="shared" si="475"/>
        <v>10918.800000000001</v>
      </c>
      <c r="P3231" s="391"/>
      <c r="Q3231" s="391">
        <v>20000</v>
      </c>
      <c r="R3231" s="528">
        <f>M3231/G3231</f>
        <v>1800</v>
      </c>
      <c r="S3231" s="487"/>
      <c r="T3231" s="398">
        <f>M3231+N3231+O3231+Q3231</f>
        <v>3670518.8</v>
      </c>
      <c r="U3231" s="414"/>
    </row>
    <row r="3232" spans="1:21" s="416" customFormat="1" ht="37.5" customHeight="1">
      <c r="A3232" s="414">
        <f t="shared" si="473"/>
        <v>250</v>
      </c>
      <c r="B3232" s="403" t="s">
        <v>2537</v>
      </c>
      <c r="C3232" s="455" t="s">
        <v>218</v>
      </c>
      <c r="D3232" s="487">
        <v>29941</v>
      </c>
      <c r="E3232" s="391">
        <v>6161.76</v>
      </c>
      <c r="F3232" s="391" t="s">
        <v>234</v>
      </c>
      <c r="G3232" s="391">
        <v>1420</v>
      </c>
      <c r="H3232" s="528">
        <v>9</v>
      </c>
      <c r="I3232" s="528">
        <v>4</v>
      </c>
      <c r="J3232" s="528">
        <v>140</v>
      </c>
      <c r="K3232" s="458" t="s">
        <v>33</v>
      </c>
      <c r="L3232" s="529">
        <f t="shared" si="474"/>
        <v>2583668</v>
      </c>
      <c r="M3232" s="529">
        <v>2556000</v>
      </c>
      <c r="N3232" s="391"/>
      <c r="O3232" s="530">
        <f t="shared" si="475"/>
        <v>7668</v>
      </c>
      <c r="P3232" s="391"/>
      <c r="Q3232" s="391">
        <v>20000</v>
      </c>
      <c r="R3232" s="528">
        <f>M3232/G3232</f>
        <v>1800</v>
      </c>
      <c r="S3232" s="487"/>
      <c r="T3232" s="398">
        <f>M3232+N3232+O3232+Q3232</f>
        <v>2583668</v>
      </c>
      <c r="U3232" s="414"/>
    </row>
    <row r="3233" spans="1:21" s="416" customFormat="1" ht="37.5" customHeight="1">
      <c r="A3233" s="414">
        <f t="shared" si="473"/>
        <v>251</v>
      </c>
      <c r="B3233" s="403" t="s">
        <v>2538</v>
      </c>
      <c r="C3233" s="455" t="s">
        <v>272</v>
      </c>
      <c r="D3233" s="487">
        <v>8243</v>
      </c>
      <c r="E3233" s="391">
        <v>2302.3000000000002</v>
      </c>
      <c r="F3233" s="391" t="s">
        <v>231</v>
      </c>
      <c r="G3233" s="391">
        <v>741</v>
      </c>
      <c r="H3233" s="528">
        <v>6</v>
      </c>
      <c r="I3233" s="528">
        <v>2</v>
      </c>
      <c r="J3233" s="528">
        <v>20</v>
      </c>
      <c r="K3233" s="458" t="s">
        <v>377</v>
      </c>
      <c r="L3233" s="529">
        <f t="shared" si="474"/>
        <v>6981900.0000000009</v>
      </c>
      <c r="M3233" s="529">
        <v>6906900.0000000009</v>
      </c>
      <c r="N3233" s="391">
        <v>45000</v>
      </c>
      <c r="O3233" s="530"/>
      <c r="P3233" s="391"/>
      <c r="Q3233" s="391">
        <v>30000</v>
      </c>
      <c r="R3233" s="528">
        <f>M3233/E3233</f>
        <v>3000</v>
      </c>
      <c r="S3233" s="487"/>
      <c r="T3233" s="398"/>
      <c r="U3233" s="414"/>
    </row>
    <row r="3234" spans="1:21" s="416" customFormat="1" ht="37.5" customHeight="1">
      <c r="A3234" s="414">
        <f t="shared" si="473"/>
        <v>252</v>
      </c>
      <c r="B3234" s="403" t="s">
        <v>2540</v>
      </c>
      <c r="C3234" s="455" t="s">
        <v>272</v>
      </c>
      <c r="D3234" s="487">
        <v>102002</v>
      </c>
      <c r="E3234" s="391">
        <v>12600</v>
      </c>
      <c r="F3234" s="391" t="s">
        <v>234</v>
      </c>
      <c r="G3234" s="391">
        <v>3828.1</v>
      </c>
      <c r="H3234" s="528">
        <v>10</v>
      </c>
      <c r="I3234" s="528">
        <v>8</v>
      </c>
      <c r="J3234" s="528">
        <v>290</v>
      </c>
      <c r="K3234" s="458" t="s">
        <v>377</v>
      </c>
      <c r="L3234" s="529">
        <f t="shared" si="474"/>
        <v>37875000</v>
      </c>
      <c r="M3234" s="529">
        <v>37800000</v>
      </c>
      <c r="N3234" s="391">
        <v>45000</v>
      </c>
      <c r="O3234" s="530"/>
      <c r="P3234" s="391"/>
      <c r="Q3234" s="391">
        <v>30000</v>
      </c>
      <c r="R3234" s="528">
        <f>M3234/E3234</f>
        <v>3000</v>
      </c>
      <c r="S3234" s="487"/>
      <c r="T3234" s="398"/>
      <c r="U3234" s="414"/>
    </row>
    <row r="3235" spans="1:21" s="416" customFormat="1" ht="37.5" customHeight="1">
      <c r="A3235" s="414">
        <f t="shared" si="473"/>
        <v>253</v>
      </c>
      <c r="B3235" s="403" t="s">
        <v>2541</v>
      </c>
      <c r="C3235" s="455" t="s">
        <v>272</v>
      </c>
      <c r="D3235" s="487">
        <v>10434</v>
      </c>
      <c r="E3235" s="391">
        <v>1530</v>
      </c>
      <c r="F3235" s="391" t="s">
        <v>223</v>
      </c>
      <c r="G3235" s="391">
        <v>907.5</v>
      </c>
      <c r="H3235" s="528">
        <v>5</v>
      </c>
      <c r="I3235" s="528">
        <v>3</v>
      </c>
      <c r="J3235" s="528">
        <v>61</v>
      </c>
      <c r="K3235" s="458" t="s">
        <v>33</v>
      </c>
      <c r="L3235" s="529">
        <f t="shared" si="474"/>
        <v>2567052</v>
      </c>
      <c r="M3235" s="529">
        <v>2541000</v>
      </c>
      <c r="N3235" s="391"/>
      <c r="O3235" s="530">
        <f>M3235*0.3%</f>
        <v>7623</v>
      </c>
      <c r="P3235" s="391"/>
      <c r="Q3235" s="391">
        <v>18429</v>
      </c>
      <c r="R3235" s="528">
        <f>M3235/G3235</f>
        <v>2800</v>
      </c>
      <c r="S3235" s="487"/>
      <c r="T3235" s="398">
        <f>M3235+N3235+O3235+Q3235</f>
        <v>2567052</v>
      </c>
      <c r="U3235" s="414"/>
    </row>
    <row r="3236" spans="1:21" s="416" customFormat="1" ht="37.5" customHeight="1">
      <c r="A3236" s="414">
        <f t="shared" si="473"/>
        <v>254</v>
      </c>
      <c r="B3236" s="403" t="s">
        <v>2545</v>
      </c>
      <c r="C3236" s="455" t="s">
        <v>272</v>
      </c>
      <c r="D3236" s="487">
        <v>4564</v>
      </c>
      <c r="E3236" s="391">
        <v>1234</v>
      </c>
      <c r="F3236" s="391" t="s">
        <v>223</v>
      </c>
      <c r="G3236" s="391">
        <v>699</v>
      </c>
      <c r="H3236" s="528">
        <v>3</v>
      </c>
      <c r="I3236" s="528">
        <v>3</v>
      </c>
      <c r="J3236" s="528">
        <v>34</v>
      </c>
      <c r="K3236" s="458" t="s">
        <v>225</v>
      </c>
      <c r="L3236" s="529">
        <f t="shared" ref="L3236:L3264" si="478">M3236+N3236+O3236+P3236+Q3236</f>
        <v>578436</v>
      </c>
      <c r="M3236" s="529">
        <f>J3236*16000</f>
        <v>544000</v>
      </c>
      <c r="N3236" s="391">
        <v>27000</v>
      </c>
      <c r="O3236" s="530"/>
      <c r="P3236" s="391"/>
      <c r="Q3236" s="391">
        <v>7436</v>
      </c>
      <c r="R3236" s="528">
        <f>M3236/J3236</f>
        <v>16000</v>
      </c>
      <c r="S3236" s="487"/>
      <c r="T3236" s="398"/>
      <c r="U3236" s="414"/>
    </row>
    <row r="3237" spans="1:21" s="416" customFormat="1" ht="37.5" customHeight="1">
      <c r="A3237" s="414">
        <f t="shared" si="473"/>
        <v>255</v>
      </c>
      <c r="B3237" s="403" t="s">
        <v>2546</v>
      </c>
      <c r="C3237" s="455" t="s">
        <v>272</v>
      </c>
      <c r="D3237" s="487">
        <v>6993</v>
      </c>
      <c r="E3237" s="391">
        <v>3990</v>
      </c>
      <c r="F3237" s="391" t="s">
        <v>231</v>
      </c>
      <c r="G3237" s="391">
        <v>375</v>
      </c>
      <c r="H3237" s="528">
        <v>6</v>
      </c>
      <c r="I3237" s="528">
        <v>1</v>
      </c>
      <c r="J3237" s="528">
        <v>22</v>
      </c>
      <c r="K3237" s="458" t="s">
        <v>33</v>
      </c>
      <c r="L3237" s="529">
        <f t="shared" si="478"/>
        <v>1065501</v>
      </c>
      <c r="M3237" s="529">
        <f>G3237*2800</f>
        <v>1050000</v>
      </c>
      <c r="N3237" s="391"/>
      <c r="O3237" s="530">
        <f>M3237*0.3%</f>
        <v>3150</v>
      </c>
      <c r="P3237" s="391"/>
      <c r="Q3237" s="391">
        <v>12351</v>
      </c>
      <c r="R3237" s="528">
        <f>M3237/G3237</f>
        <v>2800</v>
      </c>
      <c r="S3237" s="487"/>
      <c r="T3237" s="398">
        <f>M3237+N3237+O3237+Q3237</f>
        <v>1065501</v>
      </c>
      <c r="U3237" s="414"/>
    </row>
    <row r="3238" spans="1:21" s="416" customFormat="1" ht="37.5" customHeight="1">
      <c r="A3238" s="414">
        <f t="shared" si="473"/>
        <v>256</v>
      </c>
      <c r="B3238" s="403" t="s">
        <v>2547</v>
      </c>
      <c r="C3238" s="455" t="s">
        <v>272</v>
      </c>
      <c r="D3238" s="487">
        <v>3348</v>
      </c>
      <c r="E3238" s="391">
        <v>692</v>
      </c>
      <c r="F3238" s="391" t="s">
        <v>223</v>
      </c>
      <c r="G3238" s="391">
        <v>659.9</v>
      </c>
      <c r="H3238" s="528">
        <v>2</v>
      </c>
      <c r="I3238" s="528">
        <v>2</v>
      </c>
      <c r="J3238" s="528">
        <v>12</v>
      </c>
      <c r="K3238" s="458" t="s">
        <v>225</v>
      </c>
      <c r="L3238" s="529">
        <f t="shared" si="478"/>
        <v>248846</v>
      </c>
      <c r="M3238" s="529">
        <f>J3238*18000</f>
        <v>216000</v>
      </c>
      <c r="N3238" s="391">
        <v>27000</v>
      </c>
      <c r="O3238" s="530"/>
      <c r="P3238" s="391"/>
      <c r="Q3238" s="391">
        <v>5846</v>
      </c>
      <c r="R3238" s="528">
        <f>M3238/J3238</f>
        <v>18000</v>
      </c>
      <c r="S3238" s="487"/>
      <c r="T3238" s="398"/>
      <c r="U3238" s="414"/>
    </row>
    <row r="3239" spans="1:21" s="416" customFormat="1" ht="37.5" customHeight="1">
      <c r="A3239" s="414">
        <f t="shared" si="473"/>
        <v>257</v>
      </c>
      <c r="B3239" s="403" t="s">
        <v>2548</v>
      </c>
      <c r="C3239" s="455" t="s">
        <v>272</v>
      </c>
      <c r="D3239" s="487">
        <v>3371</v>
      </c>
      <c r="E3239" s="391">
        <v>692</v>
      </c>
      <c r="F3239" s="391" t="s">
        <v>223</v>
      </c>
      <c r="G3239" s="391">
        <v>653.9</v>
      </c>
      <c r="H3239" s="528">
        <v>2</v>
      </c>
      <c r="I3239" s="528">
        <v>2</v>
      </c>
      <c r="J3239" s="528">
        <v>12</v>
      </c>
      <c r="K3239" s="458" t="s">
        <v>225</v>
      </c>
      <c r="L3239" s="529">
        <f t="shared" si="478"/>
        <v>248939</v>
      </c>
      <c r="M3239" s="529">
        <f>J3239*18000</f>
        <v>216000</v>
      </c>
      <c r="N3239" s="391">
        <v>27000</v>
      </c>
      <c r="O3239" s="530"/>
      <c r="P3239" s="391"/>
      <c r="Q3239" s="391">
        <v>5939</v>
      </c>
      <c r="R3239" s="528">
        <f>M3239/J3239</f>
        <v>18000</v>
      </c>
      <c r="S3239" s="487"/>
      <c r="T3239" s="398"/>
      <c r="U3239" s="414"/>
    </row>
    <row r="3240" spans="1:21" s="416" customFormat="1" ht="37.5" customHeight="1">
      <c r="A3240" s="414">
        <f t="shared" si="473"/>
        <v>258</v>
      </c>
      <c r="B3240" s="403" t="s">
        <v>2549</v>
      </c>
      <c r="C3240" s="455" t="s">
        <v>272</v>
      </c>
      <c r="D3240" s="487">
        <v>3498</v>
      </c>
      <c r="E3240" s="391">
        <v>692</v>
      </c>
      <c r="F3240" s="391" t="s">
        <v>223</v>
      </c>
      <c r="G3240" s="391">
        <v>668.7</v>
      </c>
      <c r="H3240" s="528">
        <v>2</v>
      </c>
      <c r="I3240" s="528">
        <v>2</v>
      </c>
      <c r="J3240" s="528">
        <v>12</v>
      </c>
      <c r="K3240" s="458" t="s">
        <v>225</v>
      </c>
      <c r="L3240" s="529">
        <f t="shared" si="478"/>
        <v>248967</v>
      </c>
      <c r="M3240" s="529">
        <f>J3240*18000</f>
        <v>216000</v>
      </c>
      <c r="N3240" s="391">
        <v>27000</v>
      </c>
      <c r="O3240" s="530"/>
      <c r="P3240" s="391"/>
      <c r="Q3240" s="391">
        <v>5967</v>
      </c>
      <c r="R3240" s="528">
        <f>M3240/J3240</f>
        <v>18000</v>
      </c>
      <c r="S3240" s="487"/>
      <c r="T3240" s="398"/>
      <c r="U3240" s="414"/>
    </row>
    <row r="3241" spans="1:21" s="416" customFormat="1" ht="37.5" customHeight="1">
      <c r="A3241" s="414">
        <f t="shared" si="473"/>
        <v>259</v>
      </c>
      <c r="B3241" s="403" t="s">
        <v>2552</v>
      </c>
      <c r="C3241" s="455" t="s">
        <v>272</v>
      </c>
      <c r="D3241" s="487">
        <v>14034</v>
      </c>
      <c r="E3241" s="391">
        <v>2440</v>
      </c>
      <c r="F3241" s="391" t="s">
        <v>223</v>
      </c>
      <c r="G3241" s="391">
        <v>1065</v>
      </c>
      <c r="H3241" s="528">
        <v>5</v>
      </c>
      <c r="I3241" s="528">
        <v>4</v>
      </c>
      <c r="J3241" s="528">
        <v>79</v>
      </c>
      <c r="K3241" s="458" t="s">
        <v>225</v>
      </c>
      <c r="L3241" s="529">
        <f t="shared" si="478"/>
        <v>1809335.23</v>
      </c>
      <c r="M3241" s="529">
        <v>1754335.23</v>
      </c>
      <c r="N3241" s="391">
        <v>35000</v>
      </c>
      <c r="O3241" s="530"/>
      <c r="P3241" s="391"/>
      <c r="Q3241" s="391">
        <v>20000</v>
      </c>
      <c r="R3241" s="528">
        <f>M3241/J3241</f>
        <v>22206.775063291137</v>
      </c>
      <c r="S3241" s="487"/>
      <c r="T3241" s="398"/>
      <c r="U3241" s="414"/>
    </row>
    <row r="3242" spans="1:21" s="416" customFormat="1" ht="37.5" customHeight="1">
      <c r="A3242" s="414">
        <f t="shared" si="473"/>
        <v>260</v>
      </c>
      <c r="B3242" s="403" t="s">
        <v>2554</v>
      </c>
      <c r="C3242" s="455" t="s">
        <v>218</v>
      </c>
      <c r="D3242" s="487">
        <v>12565</v>
      </c>
      <c r="E3242" s="391">
        <v>2860</v>
      </c>
      <c r="F3242" s="391" t="s">
        <v>234</v>
      </c>
      <c r="G3242" s="391">
        <v>414.4</v>
      </c>
      <c r="H3242" s="528">
        <v>12</v>
      </c>
      <c r="I3242" s="528">
        <v>1</v>
      </c>
      <c r="J3242" s="528">
        <v>48</v>
      </c>
      <c r="K3242" s="458" t="s">
        <v>33</v>
      </c>
      <c r="L3242" s="529">
        <f t="shared" si="478"/>
        <v>768157.76</v>
      </c>
      <c r="M3242" s="529">
        <v>745920</v>
      </c>
      <c r="N3242" s="391"/>
      <c r="O3242" s="530">
        <f>M3242*0.3%</f>
        <v>2237.7600000000002</v>
      </c>
      <c r="P3242" s="391"/>
      <c r="Q3242" s="391">
        <v>20000</v>
      </c>
      <c r="R3242" s="528">
        <f>M3242/G3242</f>
        <v>1800</v>
      </c>
      <c r="S3242" s="487"/>
      <c r="T3242" s="398">
        <f>M3242+N3242+O3242+Q3242</f>
        <v>768157.76</v>
      </c>
      <c r="U3242" s="414"/>
    </row>
    <row r="3243" spans="1:21" s="416" customFormat="1" ht="37.5" customHeight="1">
      <c r="A3243" s="414">
        <f t="shared" ref="A3243:A3274" si="479">A3242+1</f>
        <v>261</v>
      </c>
      <c r="B3243" s="403" t="s">
        <v>2555</v>
      </c>
      <c r="C3243" s="455" t="s">
        <v>218</v>
      </c>
      <c r="D3243" s="487">
        <v>12664</v>
      </c>
      <c r="E3243" s="391">
        <v>2860</v>
      </c>
      <c r="F3243" s="391" t="s">
        <v>234</v>
      </c>
      <c r="G3243" s="391">
        <v>425</v>
      </c>
      <c r="H3243" s="528">
        <v>12</v>
      </c>
      <c r="I3243" s="528">
        <v>1</v>
      </c>
      <c r="J3243" s="528">
        <v>48</v>
      </c>
      <c r="K3243" s="458" t="s">
        <v>33</v>
      </c>
      <c r="L3243" s="529">
        <f t="shared" si="478"/>
        <v>787295</v>
      </c>
      <c r="M3243" s="529">
        <v>765000</v>
      </c>
      <c r="N3243" s="391"/>
      <c r="O3243" s="530">
        <f>M3243*0.3%</f>
        <v>2295</v>
      </c>
      <c r="P3243" s="391"/>
      <c r="Q3243" s="391">
        <v>20000</v>
      </c>
      <c r="R3243" s="528">
        <f>M3243/G3243</f>
        <v>1800</v>
      </c>
      <c r="S3243" s="487"/>
      <c r="T3243" s="398">
        <f>M3243+N3243+O3243+Q3243</f>
        <v>787295</v>
      </c>
      <c r="U3243" s="414"/>
    </row>
    <row r="3244" spans="1:21" s="416" customFormat="1" ht="37.5" customHeight="1">
      <c r="A3244" s="414">
        <f t="shared" si="479"/>
        <v>262</v>
      </c>
      <c r="B3244" s="403" t="s">
        <v>2556</v>
      </c>
      <c r="C3244" s="455" t="s">
        <v>218</v>
      </c>
      <c r="D3244" s="487">
        <v>12388</v>
      </c>
      <c r="E3244" s="391">
        <v>2860</v>
      </c>
      <c r="F3244" s="391" t="s">
        <v>234</v>
      </c>
      <c r="G3244" s="391">
        <v>378</v>
      </c>
      <c r="H3244" s="528">
        <v>12</v>
      </c>
      <c r="I3244" s="528">
        <v>1</v>
      </c>
      <c r="J3244" s="528">
        <v>48</v>
      </c>
      <c r="K3244" s="458" t="s">
        <v>33</v>
      </c>
      <c r="L3244" s="529">
        <f t="shared" si="478"/>
        <v>702441.2</v>
      </c>
      <c r="M3244" s="529">
        <v>680400</v>
      </c>
      <c r="N3244" s="391"/>
      <c r="O3244" s="530">
        <f>M3244*0.3%</f>
        <v>2041.2</v>
      </c>
      <c r="P3244" s="391"/>
      <c r="Q3244" s="391">
        <v>20000</v>
      </c>
      <c r="R3244" s="528">
        <f>M3244/G3244</f>
        <v>1800</v>
      </c>
      <c r="S3244" s="487"/>
      <c r="T3244" s="398">
        <f>M3244+N3244+O3244+Q3244</f>
        <v>702441.2</v>
      </c>
      <c r="U3244" s="414"/>
    </row>
    <row r="3245" spans="1:21" s="416" customFormat="1" ht="56.25" customHeight="1">
      <c r="A3245" s="414">
        <f t="shared" si="479"/>
        <v>263</v>
      </c>
      <c r="B3245" s="403" t="s">
        <v>2557</v>
      </c>
      <c r="C3245" s="455" t="s">
        <v>272</v>
      </c>
      <c r="D3245" s="487">
        <v>22463</v>
      </c>
      <c r="E3245" s="391">
        <v>4380</v>
      </c>
      <c r="F3245" s="391" t="s">
        <v>234</v>
      </c>
      <c r="G3245" s="391">
        <v>825</v>
      </c>
      <c r="H3245" s="528">
        <v>9</v>
      </c>
      <c r="I3245" s="528">
        <v>2</v>
      </c>
      <c r="J3245" s="528">
        <v>79</v>
      </c>
      <c r="K3245" s="458" t="s">
        <v>30</v>
      </c>
      <c r="L3245" s="529">
        <f t="shared" si="478"/>
        <v>2575584</v>
      </c>
      <c r="M3245" s="529">
        <v>2528000</v>
      </c>
      <c r="N3245" s="391"/>
      <c r="O3245" s="530">
        <v>7584</v>
      </c>
      <c r="P3245" s="391"/>
      <c r="Q3245" s="391">
        <v>40000</v>
      </c>
      <c r="R3245" s="528">
        <f>M3245/J3245</f>
        <v>32000</v>
      </c>
      <c r="S3245" s="487"/>
      <c r="T3245" s="398"/>
      <c r="U3245" s="414"/>
    </row>
    <row r="3246" spans="1:21" s="416" customFormat="1" ht="37.5" customHeight="1">
      <c r="A3246" s="414">
        <f t="shared" si="479"/>
        <v>264</v>
      </c>
      <c r="B3246" s="403" t="s">
        <v>2558</v>
      </c>
      <c r="C3246" s="455" t="s">
        <v>218</v>
      </c>
      <c r="D3246" s="487">
        <v>17262</v>
      </c>
      <c r="E3246" s="391">
        <v>3371</v>
      </c>
      <c r="F3246" s="391" t="s">
        <v>234</v>
      </c>
      <c r="G3246" s="391">
        <v>678.1</v>
      </c>
      <c r="H3246" s="528">
        <v>10</v>
      </c>
      <c r="I3246" s="528">
        <v>2</v>
      </c>
      <c r="J3246" s="528">
        <v>80</v>
      </c>
      <c r="K3246" s="458" t="s">
        <v>33</v>
      </c>
      <c r="L3246" s="529">
        <f t="shared" si="478"/>
        <v>1244241.74</v>
      </c>
      <c r="M3246" s="529">
        <v>1220580</v>
      </c>
      <c r="N3246" s="391"/>
      <c r="O3246" s="530">
        <f>M3246*0.3%</f>
        <v>3661.7400000000002</v>
      </c>
      <c r="P3246" s="391"/>
      <c r="Q3246" s="391">
        <v>20000</v>
      </c>
      <c r="R3246" s="528">
        <f>M3246/G3246</f>
        <v>1800</v>
      </c>
      <c r="S3246" s="487"/>
      <c r="T3246" s="398">
        <f>M3246+N3246+O3246+Q3246</f>
        <v>1244241.74</v>
      </c>
      <c r="U3246" s="414"/>
    </row>
    <row r="3247" spans="1:21" s="416" customFormat="1" ht="37.5" customHeight="1">
      <c r="A3247" s="414">
        <f t="shared" si="479"/>
        <v>265</v>
      </c>
      <c r="B3247" s="403" t="s">
        <v>2559</v>
      </c>
      <c r="C3247" s="455" t="s">
        <v>272</v>
      </c>
      <c r="D3247" s="894">
        <v>11020</v>
      </c>
      <c r="E3247" s="391">
        <v>1971</v>
      </c>
      <c r="F3247" s="391" t="s">
        <v>223</v>
      </c>
      <c r="G3247" s="391">
        <v>1134</v>
      </c>
      <c r="H3247" s="528">
        <v>4</v>
      </c>
      <c r="I3247" s="528">
        <v>4</v>
      </c>
      <c r="J3247" s="528">
        <v>38</v>
      </c>
      <c r="K3247" s="458" t="s">
        <v>225</v>
      </c>
      <c r="L3247" s="529">
        <f t="shared" si="478"/>
        <v>648064</v>
      </c>
      <c r="M3247" s="529">
        <f>J3247*16000</f>
        <v>608000</v>
      </c>
      <c r="N3247" s="391">
        <v>30000</v>
      </c>
      <c r="O3247" s="530"/>
      <c r="P3247" s="391"/>
      <c r="Q3247" s="391">
        <v>10064</v>
      </c>
      <c r="R3247" s="528">
        <f>M3247/J3247</f>
        <v>16000</v>
      </c>
      <c r="S3247" s="487"/>
      <c r="T3247" s="398"/>
      <c r="U3247" s="414"/>
    </row>
    <row r="3248" spans="1:21" s="416" customFormat="1" ht="56.25" customHeight="1">
      <c r="A3248" s="414">
        <f t="shared" si="479"/>
        <v>266</v>
      </c>
      <c r="B3248" s="403" t="s">
        <v>2560</v>
      </c>
      <c r="C3248" s="455" t="s">
        <v>272</v>
      </c>
      <c r="D3248" s="811">
        <v>21655</v>
      </c>
      <c r="E3248" s="391">
        <v>4772</v>
      </c>
      <c r="F3248" s="391" t="s">
        <v>231</v>
      </c>
      <c r="G3248" s="391">
        <v>3000</v>
      </c>
      <c r="H3248" s="528">
        <v>5</v>
      </c>
      <c r="I3248" s="528">
        <v>8</v>
      </c>
      <c r="J3248" s="528">
        <v>92</v>
      </c>
      <c r="K3248" s="458" t="s">
        <v>30</v>
      </c>
      <c r="L3248" s="529">
        <f t="shared" si="478"/>
        <v>2531452</v>
      </c>
      <c r="M3248" s="529">
        <f>J3248*27000</f>
        <v>2484000</v>
      </c>
      <c r="N3248" s="391"/>
      <c r="O3248" s="530">
        <f>M3248*0.3%</f>
        <v>7452</v>
      </c>
      <c r="P3248" s="391"/>
      <c r="Q3248" s="391">
        <v>40000</v>
      </c>
      <c r="R3248" s="528">
        <f>M3248/J3248</f>
        <v>27000</v>
      </c>
      <c r="S3248" s="487"/>
      <c r="T3248" s="398"/>
      <c r="U3248" s="414"/>
    </row>
    <row r="3249" spans="1:21" s="416" customFormat="1" ht="37.5" customHeight="1">
      <c r="A3249" s="414">
        <f t="shared" si="479"/>
        <v>267</v>
      </c>
      <c r="B3249" s="403" t="s">
        <v>2561</v>
      </c>
      <c r="C3249" s="455" t="s">
        <v>393</v>
      </c>
      <c r="D3249" s="487">
        <v>4341</v>
      </c>
      <c r="E3249" s="391">
        <v>497</v>
      </c>
      <c r="F3249" s="391" t="s">
        <v>252</v>
      </c>
      <c r="G3249" s="391">
        <v>712.7</v>
      </c>
      <c r="H3249" s="528">
        <v>2</v>
      </c>
      <c r="I3249" s="528">
        <v>2</v>
      </c>
      <c r="J3249" s="528">
        <v>18</v>
      </c>
      <c r="K3249" s="458" t="s">
        <v>225</v>
      </c>
      <c r="L3249" s="529">
        <f t="shared" si="478"/>
        <v>350656</v>
      </c>
      <c r="M3249" s="529">
        <f>J3249*18000</f>
        <v>324000</v>
      </c>
      <c r="N3249" s="391">
        <v>20000</v>
      </c>
      <c r="O3249" s="530"/>
      <c r="P3249" s="391"/>
      <c r="Q3249" s="391">
        <v>6656</v>
      </c>
      <c r="R3249" s="528">
        <f>M3249/J3249</f>
        <v>18000</v>
      </c>
      <c r="S3249" s="487"/>
      <c r="T3249" s="398"/>
      <c r="U3249" s="414"/>
    </row>
    <row r="3250" spans="1:21" s="416" customFormat="1" ht="37.5" customHeight="1">
      <c r="A3250" s="414">
        <f t="shared" si="479"/>
        <v>268</v>
      </c>
      <c r="B3250" s="403" t="s">
        <v>2562</v>
      </c>
      <c r="C3250" s="455" t="s">
        <v>393</v>
      </c>
      <c r="D3250" s="487">
        <v>2917</v>
      </c>
      <c r="E3250" s="391">
        <v>340</v>
      </c>
      <c r="F3250" s="391" t="s">
        <v>252</v>
      </c>
      <c r="G3250" s="391">
        <v>531</v>
      </c>
      <c r="H3250" s="528">
        <v>2</v>
      </c>
      <c r="I3250" s="528">
        <v>1</v>
      </c>
      <c r="J3250" s="528">
        <v>12</v>
      </c>
      <c r="K3250" s="458" t="s">
        <v>225</v>
      </c>
      <c r="L3250" s="529">
        <f t="shared" si="478"/>
        <v>240051</v>
      </c>
      <c r="M3250" s="529">
        <f>J3250*18000</f>
        <v>216000</v>
      </c>
      <c r="N3250" s="391">
        <v>20000</v>
      </c>
      <c r="O3250" s="530"/>
      <c r="P3250" s="391"/>
      <c r="Q3250" s="391">
        <v>4051</v>
      </c>
      <c r="R3250" s="528">
        <f>M3250/J3250</f>
        <v>18000</v>
      </c>
      <c r="S3250" s="487"/>
      <c r="T3250" s="398"/>
      <c r="U3250" s="414"/>
    </row>
    <row r="3251" spans="1:21" s="416" customFormat="1" ht="56.25" customHeight="1">
      <c r="A3251" s="414">
        <f t="shared" si="479"/>
        <v>269</v>
      </c>
      <c r="B3251" s="403" t="s">
        <v>2564</v>
      </c>
      <c r="C3251" s="455" t="s">
        <v>272</v>
      </c>
      <c r="D3251" s="487">
        <v>2911</v>
      </c>
      <c r="E3251" s="391">
        <v>615</v>
      </c>
      <c r="F3251" s="391" t="s">
        <v>231</v>
      </c>
      <c r="G3251" s="391">
        <v>362</v>
      </c>
      <c r="H3251" s="528">
        <v>5</v>
      </c>
      <c r="I3251" s="528">
        <v>1</v>
      </c>
      <c r="J3251" s="528">
        <v>12</v>
      </c>
      <c r="K3251" s="458" t="s">
        <v>30</v>
      </c>
      <c r="L3251" s="529">
        <f t="shared" si="478"/>
        <v>336272</v>
      </c>
      <c r="M3251" s="529">
        <f>J3251*27000</f>
        <v>324000</v>
      </c>
      <c r="N3251" s="391"/>
      <c r="O3251" s="530">
        <f>M3251*0.3%</f>
        <v>972</v>
      </c>
      <c r="P3251" s="391"/>
      <c r="Q3251" s="391">
        <v>11300</v>
      </c>
      <c r="R3251" s="528">
        <f>M3251/J3251</f>
        <v>27000</v>
      </c>
      <c r="S3251" s="487"/>
      <c r="T3251" s="398"/>
      <c r="U3251" s="414"/>
    </row>
    <row r="3252" spans="1:21" s="416" customFormat="1" ht="54.75" customHeight="1">
      <c r="A3252" s="414">
        <f t="shared" si="479"/>
        <v>270</v>
      </c>
      <c r="B3252" s="403" t="s">
        <v>2565</v>
      </c>
      <c r="C3252" s="455" t="s">
        <v>218</v>
      </c>
      <c r="D3252" s="487">
        <v>22801</v>
      </c>
      <c r="E3252" s="391">
        <v>3863</v>
      </c>
      <c r="F3252" s="391" t="s">
        <v>234</v>
      </c>
      <c r="G3252" s="391">
        <v>720</v>
      </c>
      <c r="H3252" s="528">
        <v>12</v>
      </c>
      <c r="I3252" s="528">
        <v>2</v>
      </c>
      <c r="J3252" s="528">
        <v>96</v>
      </c>
      <c r="K3252" s="458" t="s">
        <v>33</v>
      </c>
      <c r="L3252" s="529">
        <f t="shared" si="478"/>
        <v>1319888</v>
      </c>
      <c r="M3252" s="529">
        <v>1296000</v>
      </c>
      <c r="N3252" s="391"/>
      <c r="O3252" s="530">
        <f>M3252*0.3%</f>
        <v>3888</v>
      </c>
      <c r="P3252" s="391"/>
      <c r="Q3252" s="391">
        <v>20000</v>
      </c>
      <c r="R3252" s="528">
        <f>M3252/G3252</f>
        <v>1800</v>
      </c>
      <c r="S3252" s="487"/>
      <c r="T3252" s="398">
        <f>M3252+N3252+O3252+Q3252</f>
        <v>1319888</v>
      </c>
      <c r="U3252" s="414"/>
    </row>
    <row r="3253" spans="1:21" s="416" customFormat="1" ht="37.5" customHeight="1">
      <c r="A3253" s="414">
        <f t="shared" si="479"/>
        <v>271</v>
      </c>
      <c r="B3253" s="403" t="s">
        <v>2566</v>
      </c>
      <c r="C3253" s="455" t="s">
        <v>218</v>
      </c>
      <c r="D3253" s="487">
        <v>23224</v>
      </c>
      <c r="E3253" s="391">
        <v>3863</v>
      </c>
      <c r="F3253" s="391" t="s">
        <v>223</v>
      </c>
      <c r="G3253" s="391">
        <v>718</v>
      </c>
      <c r="H3253" s="528">
        <v>12</v>
      </c>
      <c r="I3253" s="528">
        <v>2</v>
      </c>
      <c r="J3253" s="528">
        <v>96</v>
      </c>
      <c r="K3253" s="458" t="s">
        <v>225</v>
      </c>
      <c r="L3253" s="529">
        <f t="shared" si="478"/>
        <v>1972000</v>
      </c>
      <c r="M3253" s="529">
        <f>J3253*20000</f>
        <v>1920000</v>
      </c>
      <c r="N3253" s="391">
        <v>32000</v>
      </c>
      <c r="O3253" s="530"/>
      <c r="P3253" s="391"/>
      <c r="Q3253" s="391">
        <v>20000</v>
      </c>
      <c r="R3253" s="528">
        <f>M3253/J3253</f>
        <v>20000</v>
      </c>
      <c r="S3253" s="487"/>
      <c r="T3253" s="398"/>
      <c r="U3253" s="414"/>
    </row>
    <row r="3254" spans="1:21" s="416" customFormat="1" ht="48.75" customHeight="1">
      <c r="A3254" s="414">
        <f t="shared" si="479"/>
        <v>272</v>
      </c>
      <c r="B3254" s="403" t="s">
        <v>2569</v>
      </c>
      <c r="C3254" s="455" t="s">
        <v>218</v>
      </c>
      <c r="D3254" s="487">
        <v>31304</v>
      </c>
      <c r="E3254" s="391">
        <v>5183</v>
      </c>
      <c r="F3254" s="391" t="s">
        <v>234</v>
      </c>
      <c r="G3254" s="391">
        <v>1366</v>
      </c>
      <c r="H3254" s="528">
        <v>9</v>
      </c>
      <c r="I3254" s="528">
        <v>4</v>
      </c>
      <c r="J3254" s="528">
        <v>144</v>
      </c>
      <c r="K3254" s="458" t="s">
        <v>235</v>
      </c>
      <c r="L3254" s="529">
        <f t="shared" si="478"/>
        <v>2486176.4</v>
      </c>
      <c r="M3254" s="529">
        <v>2458800</v>
      </c>
      <c r="N3254" s="391"/>
      <c r="O3254" s="530">
        <f t="shared" ref="O3254:O3262" si="480">M3254*0.3%</f>
        <v>7376.4000000000005</v>
      </c>
      <c r="P3254" s="391"/>
      <c r="Q3254" s="391">
        <v>20000</v>
      </c>
      <c r="R3254" s="528">
        <f>M3254/G3254</f>
        <v>1800</v>
      </c>
      <c r="S3254" s="487"/>
      <c r="T3254" s="398">
        <f>M3254+N3254+O3254+Q3254</f>
        <v>2486176.4</v>
      </c>
      <c r="U3254" s="414"/>
    </row>
    <row r="3255" spans="1:21" s="416" customFormat="1" ht="56.25" customHeight="1">
      <c r="A3255" s="414">
        <f t="shared" si="479"/>
        <v>273</v>
      </c>
      <c r="B3255" s="403" t="s">
        <v>2570</v>
      </c>
      <c r="C3255" s="455" t="s">
        <v>272</v>
      </c>
      <c r="D3255" s="487">
        <v>25899</v>
      </c>
      <c r="E3255" s="391">
        <v>3625</v>
      </c>
      <c r="F3255" s="391" t="s">
        <v>234</v>
      </c>
      <c r="G3255" s="391">
        <v>1277</v>
      </c>
      <c r="H3255" s="528">
        <v>10</v>
      </c>
      <c r="I3255" s="528">
        <v>3</v>
      </c>
      <c r="J3255" s="528">
        <v>116</v>
      </c>
      <c r="K3255" s="458" t="s">
        <v>30</v>
      </c>
      <c r="L3255" s="529">
        <f t="shared" si="478"/>
        <v>3763136</v>
      </c>
      <c r="M3255" s="529">
        <f>J3255*32000</f>
        <v>3712000</v>
      </c>
      <c r="N3255" s="391"/>
      <c r="O3255" s="530">
        <f t="shared" si="480"/>
        <v>11136</v>
      </c>
      <c r="P3255" s="391"/>
      <c r="Q3255" s="391">
        <v>40000</v>
      </c>
      <c r="R3255" s="528">
        <f>M3255/J3255</f>
        <v>32000</v>
      </c>
      <c r="S3255" s="487"/>
      <c r="T3255" s="398"/>
      <c r="U3255" s="414"/>
    </row>
    <row r="3256" spans="1:21" s="416" customFormat="1" ht="37.5" customHeight="1">
      <c r="A3256" s="414">
        <f t="shared" si="479"/>
        <v>274</v>
      </c>
      <c r="B3256" s="403" t="s">
        <v>2571</v>
      </c>
      <c r="C3256" s="455" t="s">
        <v>218</v>
      </c>
      <c r="D3256" s="487">
        <v>25970</v>
      </c>
      <c r="E3256" s="391">
        <v>4580</v>
      </c>
      <c r="F3256" s="391" t="s">
        <v>234</v>
      </c>
      <c r="G3256" s="391">
        <v>1020</v>
      </c>
      <c r="H3256" s="528">
        <v>10</v>
      </c>
      <c r="I3256" s="528">
        <v>3</v>
      </c>
      <c r="J3256" s="528">
        <v>116</v>
      </c>
      <c r="K3256" s="458" t="s">
        <v>33</v>
      </c>
      <c r="L3256" s="529">
        <f t="shared" si="478"/>
        <v>1861508</v>
      </c>
      <c r="M3256" s="529">
        <v>1836000</v>
      </c>
      <c r="N3256" s="391"/>
      <c r="O3256" s="530">
        <f t="shared" si="480"/>
        <v>5508</v>
      </c>
      <c r="P3256" s="391"/>
      <c r="Q3256" s="391">
        <v>20000</v>
      </c>
      <c r="R3256" s="528">
        <f>M3256/G3256</f>
        <v>1800</v>
      </c>
      <c r="S3256" s="487"/>
      <c r="T3256" s="398">
        <f>M3256+N3256+O3256+Q3256</f>
        <v>1861508</v>
      </c>
      <c r="U3256" s="414"/>
    </row>
    <row r="3257" spans="1:21" s="416" customFormat="1" ht="47.25" customHeight="1">
      <c r="A3257" s="414">
        <f t="shared" si="479"/>
        <v>275</v>
      </c>
      <c r="B3257" s="403" t="s">
        <v>2572</v>
      </c>
      <c r="C3257" s="455" t="s">
        <v>218</v>
      </c>
      <c r="D3257" s="487">
        <v>14006</v>
      </c>
      <c r="E3257" s="391">
        <v>2700</v>
      </c>
      <c r="F3257" s="391" t="s">
        <v>223</v>
      </c>
      <c r="G3257" s="391">
        <v>1117</v>
      </c>
      <c r="H3257" s="528">
        <v>5</v>
      </c>
      <c r="I3257" s="528">
        <v>5</v>
      </c>
      <c r="J3257" s="528">
        <v>100</v>
      </c>
      <c r="K3257" s="458" t="s">
        <v>38</v>
      </c>
      <c r="L3257" s="529">
        <f t="shared" si="478"/>
        <v>4563359.4000000004</v>
      </c>
      <c r="M3257" s="529">
        <v>4519800</v>
      </c>
      <c r="N3257" s="391"/>
      <c r="O3257" s="530">
        <f t="shared" si="480"/>
        <v>13559.4</v>
      </c>
      <c r="P3257" s="391"/>
      <c r="Q3257" s="391">
        <v>30000</v>
      </c>
      <c r="R3257" s="528">
        <f>M3257/E3257</f>
        <v>1674</v>
      </c>
      <c r="S3257" s="487"/>
      <c r="T3257" s="398"/>
      <c r="U3257" s="414"/>
    </row>
    <row r="3258" spans="1:21" s="416" customFormat="1" ht="37.5" customHeight="1">
      <c r="A3258" s="414">
        <f t="shared" si="479"/>
        <v>276</v>
      </c>
      <c r="B3258" s="403" t="s">
        <v>2573</v>
      </c>
      <c r="C3258" s="455" t="s">
        <v>272</v>
      </c>
      <c r="D3258" s="487">
        <v>16717</v>
      </c>
      <c r="E3258" s="391">
        <v>3280</v>
      </c>
      <c r="F3258" s="391" t="s">
        <v>223</v>
      </c>
      <c r="G3258" s="391">
        <v>1339.7</v>
      </c>
      <c r="H3258" s="528">
        <v>5</v>
      </c>
      <c r="I3258" s="528">
        <v>5</v>
      </c>
      <c r="J3258" s="528">
        <v>91</v>
      </c>
      <c r="K3258" s="458" t="s">
        <v>33</v>
      </c>
      <c r="L3258" s="529">
        <f t="shared" si="478"/>
        <v>3791939.48</v>
      </c>
      <c r="M3258" s="529">
        <v>3751160</v>
      </c>
      <c r="N3258" s="391"/>
      <c r="O3258" s="530">
        <f t="shared" si="480"/>
        <v>11253.48</v>
      </c>
      <c r="P3258" s="391"/>
      <c r="Q3258" s="391">
        <v>29526</v>
      </c>
      <c r="R3258" s="528">
        <f t="shared" ref="R3258:R3265" si="481">M3258/G3258</f>
        <v>2800</v>
      </c>
      <c r="S3258" s="487"/>
      <c r="T3258" s="398">
        <f t="shared" ref="T3258:T3265" si="482">M3258+N3258+O3258+Q3258</f>
        <v>3791939.48</v>
      </c>
      <c r="U3258" s="414"/>
    </row>
    <row r="3259" spans="1:21" s="416" customFormat="1" ht="69.75" customHeight="1">
      <c r="A3259" s="414">
        <f t="shared" si="479"/>
        <v>277</v>
      </c>
      <c r="B3259" s="403" t="s">
        <v>2574</v>
      </c>
      <c r="C3259" s="455" t="s">
        <v>240</v>
      </c>
      <c r="D3259" s="487">
        <v>3024</v>
      </c>
      <c r="E3259" s="391">
        <v>211</v>
      </c>
      <c r="F3259" s="391" t="s">
        <v>223</v>
      </c>
      <c r="G3259" s="391">
        <v>612.29999999999995</v>
      </c>
      <c r="H3259" s="528">
        <v>2</v>
      </c>
      <c r="I3259" s="528">
        <v>2</v>
      </c>
      <c r="J3259" s="528">
        <v>12</v>
      </c>
      <c r="K3259" s="458" t="s">
        <v>33</v>
      </c>
      <c r="L3259" s="529">
        <f t="shared" si="478"/>
        <v>1734541.3199999998</v>
      </c>
      <c r="M3259" s="529">
        <f>G3259*2800</f>
        <v>1714439.9999999998</v>
      </c>
      <c r="N3259" s="391"/>
      <c r="O3259" s="530">
        <f t="shared" si="480"/>
        <v>5143.32</v>
      </c>
      <c r="P3259" s="391"/>
      <c r="Q3259" s="391">
        <v>14958</v>
      </c>
      <c r="R3259" s="528">
        <f t="shared" si="481"/>
        <v>2800</v>
      </c>
      <c r="S3259" s="487"/>
      <c r="T3259" s="398">
        <f t="shared" si="482"/>
        <v>1734541.3199999998</v>
      </c>
      <c r="U3259" s="414"/>
    </row>
    <row r="3260" spans="1:21" s="416" customFormat="1" ht="37.5" customHeight="1">
      <c r="A3260" s="414">
        <f t="shared" si="479"/>
        <v>278</v>
      </c>
      <c r="B3260" s="403" t="s">
        <v>2575</v>
      </c>
      <c r="C3260" s="455" t="s">
        <v>218</v>
      </c>
      <c r="D3260" s="487">
        <v>22878</v>
      </c>
      <c r="E3260" s="391">
        <v>5724</v>
      </c>
      <c r="F3260" s="391" t="s">
        <v>234</v>
      </c>
      <c r="G3260" s="391">
        <v>816.4</v>
      </c>
      <c r="H3260" s="528">
        <v>12</v>
      </c>
      <c r="I3260" s="528">
        <v>2</v>
      </c>
      <c r="J3260" s="528">
        <v>96</v>
      </c>
      <c r="K3260" s="458" t="s">
        <v>33</v>
      </c>
      <c r="L3260" s="529">
        <f t="shared" si="478"/>
        <v>1493928.56</v>
      </c>
      <c r="M3260" s="529">
        <v>1469520</v>
      </c>
      <c r="N3260" s="391"/>
      <c r="O3260" s="530">
        <f t="shared" si="480"/>
        <v>4408.5600000000004</v>
      </c>
      <c r="P3260" s="391"/>
      <c r="Q3260" s="391">
        <v>20000</v>
      </c>
      <c r="R3260" s="528">
        <f t="shared" si="481"/>
        <v>1800</v>
      </c>
      <c r="S3260" s="487"/>
      <c r="T3260" s="398">
        <f t="shared" si="482"/>
        <v>1493928.56</v>
      </c>
      <c r="U3260" s="414"/>
    </row>
    <row r="3261" spans="1:21" s="416" customFormat="1" ht="37.5" customHeight="1">
      <c r="A3261" s="414">
        <f t="shared" si="479"/>
        <v>279</v>
      </c>
      <c r="B3261" s="403" t="s">
        <v>2576</v>
      </c>
      <c r="C3261" s="455" t="s">
        <v>218</v>
      </c>
      <c r="D3261" s="487">
        <v>24560</v>
      </c>
      <c r="E3261" s="391">
        <v>3402</v>
      </c>
      <c r="F3261" s="391" t="s">
        <v>234</v>
      </c>
      <c r="G3261" s="391">
        <v>1765</v>
      </c>
      <c r="H3261" s="528">
        <v>9</v>
      </c>
      <c r="I3261" s="528">
        <v>3</v>
      </c>
      <c r="J3261" s="528">
        <v>99</v>
      </c>
      <c r="K3261" s="458" t="s">
        <v>33</v>
      </c>
      <c r="L3261" s="529">
        <f t="shared" si="478"/>
        <v>3206531</v>
      </c>
      <c r="M3261" s="529">
        <v>3177000</v>
      </c>
      <c r="N3261" s="391"/>
      <c r="O3261" s="530">
        <f t="shared" si="480"/>
        <v>9531</v>
      </c>
      <c r="P3261" s="391"/>
      <c r="Q3261" s="391">
        <v>20000</v>
      </c>
      <c r="R3261" s="528">
        <f t="shared" si="481"/>
        <v>1800</v>
      </c>
      <c r="S3261" s="487"/>
      <c r="T3261" s="398">
        <f t="shared" si="482"/>
        <v>3206531</v>
      </c>
      <c r="U3261" s="414"/>
    </row>
    <row r="3262" spans="1:21" s="416" customFormat="1" ht="37.5" customHeight="1">
      <c r="A3262" s="414">
        <f t="shared" si="479"/>
        <v>280</v>
      </c>
      <c r="B3262" s="403" t="s">
        <v>2577</v>
      </c>
      <c r="C3262" s="455" t="s">
        <v>218</v>
      </c>
      <c r="D3262" s="487">
        <v>24834</v>
      </c>
      <c r="E3262" s="391">
        <v>3424</v>
      </c>
      <c r="F3262" s="391" t="s">
        <v>234</v>
      </c>
      <c r="G3262" s="391">
        <v>1325.6</v>
      </c>
      <c r="H3262" s="528">
        <v>9</v>
      </c>
      <c r="I3262" s="528">
        <v>2</v>
      </c>
      <c r="J3262" s="528">
        <v>73</v>
      </c>
      <c r="K3262" s="458" t="s">
        <v>33</v>
      </c>
      <c r="L3262" s="529">
        <f t="shared" si="478"/>
        <v>2413238.2400000002</v>
      </c>
      <c r="M3262" s="529">
        <v>2386080</v>
      </c>
      <c r="N3262" s="391"/>
      <c r="O3262" s="530">
        <f t="shared" si="480"/>
        <v>7158.24</v>
      </c>
      <c r="P3262" s="391"/>
      <c r="Q3262" s="391">
        <v>20000</v>
      </c>
      <c r="R3262" s="528">
        <f t="shared" si="481"/>
        <v>1800.0000000000002</v>
      </c>
      <c r="S3262" s="487"/>
      <c r="T3262" s="398">
        <f t="shared" si="482"/>
        <v>2413238.2400000002</v>
      </c>
      <c r="U3262" s="414"/>
    </row>
    <row r="3263" spans="1:21" s="416" customFormat="1" ht="37.5" customHeight="1">
      <c r="A3263" s="414">
        <f t="shared" si="479"/>
        <v>281</v>
      </c>
      <c r="B3263" s="403" t="s">
        <v>2578</v>
      </c>
      <c r="C3263" s="455" t="s">
        <v>218</v>
      </c>
      <c r="D3263" s="487">
        <v>69617.7</v>
      </c>
      <c r="E3263" s="391">
        <v>8050</v>
      </c>
      <c r="F3263" s="391" t="s">
        <v>234</v>
      </c>
      <c r="G3263" s="391">
        <v>2775.43</v>
      </c>
      <c r="H3263" s="528">
        <v>9</v>
      </c>
      <c r="I3263" s="528">
        <v>7</v>
      </c>
      <c r="J3263" s="528">
        <v>298</v>
      </c>
      <c r="K3263" s="458" t="s">
        <v>33</v>
      </c>
      <c r="L3263" s="529">
        <f t="shared" si="478"/>
        <v>5033259.21</v>
      </c>
      <c r="M3263" s="529">
        <v>4995774</v>
      </c>
      <c r="N3263" s="391"/>
      <c r="O3263" s="530">
        <v>17485.21</v>
      </c>
      <c r="P3263" s="391"/>
      <c r="Q3263" s="391">
        <v>20000</v>
      </c>
      <c r="R3263" s="528">
        <f t="shared" si="481"/>
        <v>1800</v>
      </c>
      <c r="S3263" s="487"/>
      <c r="T3263" s="398">
        <f t="shared" si="482"/>
        <v>5033259.21</v>
      </c>
      <c r="U3263" s="414"/>
    </row>
    <row r="3264" spans="1:21" s="416" customFormat="1" ht="41.25" customHeight="1">
      <c r="A3264" s="414">
        <f t="shared" si="479"/>
        <v>282</v>
      </c>
      <c r="B3264" s="403" t="s">
        <v>2580</v>
      </c>
      <c r="C3264" s="455" t="s">
        <v>218</v>
      </c>
      <c r="D3264" s="487">
        <v>12500</v>
      </c>
      <c r="E3264" s="391">
        <v>2590</v>
      </c>
      <c r="F3264" s="391" t="s">
        <v>223</v>
      </c>
      <c r="G3264" s="391">
        <v>1140</v>
      </c>
      <c r="H3264" s="528">
        <v>5</v>
      </c>
      <c r="I3264" s="528">
        <v>4</v>
      </c>
      <c r="J3264" s="528">
        <v>80</v>
      </c>
      <c r="K3264" s="458" t="s">
        <v>33</v>
      </c>
      <c r="L3264" s="529">
        <f t="shared" si="478"/>
        <v>3223654</v>
      </c>
      <c r="M3264" s="529">
        <v>3192000</v>
      </c>
      <c r="N3264" s="391"/>
      <c r="O3264" s="530">
        <f>M3264*0.3%</f>
        <v>9576</v>
      </c>
      <c r="P3264" s="391"/>
      <c r="Q3264" s="391">
        <v>22078</v>
      </c>
      <c r="R3264" s="528">
        <f t="shared" si="481"/>
        <v>2800</v>
      </c>
      <c r="S3264" s="487"/>
      <c r="T3264" s="398">
        <f t="shared" si="482"/>
        <v>3223654</v>
      </c>
      <c r="U3264" s="414"/>
    </row>
    <row r="3265" spans="1:22" s="416" customFormat="1" ht="41.25" customHeight="1">
      <c r="A3265" s="414">
        <f t="shared" si="479"/>
        <v>283</v>
      </c>
      <c r="B3265" s="403" t="s">
        <v>2581</v>
      </c>
      <c r="C3265" s="455" t="s">
        <v>218</v>
      </c>
      <c r="D3265" s="487">
        <v>12578</v>
      </c>
      <c r="E3265" s="391">
        <v>2611</v>
      </c>
      <c r="F3265" s="391" t="s">
        <v>223</v>
      </c>
      <c r="G3265" s="391">
        <v>1138</v>
      </c>
      <c r="H3265" s="528">
        <v>5</v>
      </c>
      <c r="I3265" s="528">
        <v>4</v>
      </c>
      <c r="J3265" s="528">
        <v>80</v>
      </c>
      <c r="K3265" s="458" t="s">
        <v>33</v>
      </c>
      <c r="L3265" s="529">
        <f t="shared" ref="L3265:L3278" si="483">M3265+N3265+O3265+P3265+Q3265</f>
        <v>3218174.2</v>
      </c>
      <c r="M3265" s="529">
        <v>3186400</v>
      </c>
      <c r="N3265" s="391"/>
      <c r="O3265" s="530">
        <f>M3265*0.3%</f>
        <v>9559.2000000000007</v>
      </c>
      <c r="P3265" s="391"/>
      <c r="Q3265" s="391">
        <v>22215</v>
      </c>
      <c r="R3265" s="528">
        <f t="shared" si="481"/>
        <v>2800</v>
      </c>
      <c r="S3265" s="487"/>
      <c r="T3265" s="398">
        <f t="shared" si="482"/>
        <v>3218174.2</v>
      </c>
      <c r="U3265" s="414"/>
    </row>
    <row r="3266" spans="1:22" s="416" customFormat="1" ht="56.25" customHeight="1">
      <c r="A3266" s="414">
        <f t="shared" si="479"/>
        <v>284</v>
      </c>
      <c r="B3266" s="403" t="s">
        <v>2582</v>
      </c>
      <c r="C3266" s="455" t="s">
        <v>393</v>
      </c>
      <c r="D3266" s="487">
        <v>2552</v>
      </c>
      <c r="E3266" s="391">
        <v>640</v>
      </c>
      <c r="F3266" s="391" t="s">
        <v>223</v>
      </c>
      <c r="G3266" s="391">
        <v>527</v>
      </c>
      <c r="H3266" s="528">
        <v>2</v>
      </c>
      <c r="I3266" s="528">
        <v>1</v>
      </c>
      <c r="J3266" s="528">
        <v>12</v>
      </c>
      <c r="K3266" s="458" t="s">
        <v>238</v>
      </c>
      <c r="L3266" s="529">
        <f t="shared" si="483"/>
        <v>312200</v>
      </c>
      <c r="M3266" s="529">
        <f>J3266*25000</f>
        <v>300000</v>
      </c>
      <c r="N3266" s="391"/>
      <c r="O3266" s="530">
        <f>M3266*0.3%</f>
        <v>900</v>
      </c>
      <c r="P3266" s="391"/>
      <c r="Q3266" s="391">
        <v>11300</v>
      </c>
      <c r="R3266" s="528">
        <f>M3266/J3266</f>
        <v>25000</v>
      </c>
      <c r="S3266" s="487"/>
      <c r="T3266" s="398"/>
      <c r="U3266" s="414"/>
    </row>
    <row r="3267" spans="1:22" s="416" customFormat="1" ht="56.25" customHeight="1">
      <c r="A3267" s="414">
        <f t="shared" si="479"/>
        <v>285</v>
      </c>
      <c r="B3267" s="403" t="s">
        <v>2583</v>
      </c>
      <c r="C3267" s="455" t="s">
        <v>393</v>
      </c>
      <c r="D3267" s="487">
        <v>2597</v>
      </c>
      <c r="E3267" s="391">
        <v>593</v>
      </c>
      <c r="F3267" s="391" t="s">
        <v>223</v>
      </c>
      <c r="G3267" s="391">
        <v>465</v>
      </c>
      <c r="H3267" s="528">
        <v>2</v>
      </c>
      <c r="I3267" s="528">
        <v>1</v>
      </c>
      <c r="J3267" s="528">
        <v>12</v>
      </c>
      <c r="K3267" s="458" t="s">
        <v>238</v>
      </c>
      <c r="L3267" s="529">
        <f t="shared" si="483"/>
        <v>312200</v>
      </c>
      <c r="M3267" s="529">
        <f>J3267*25000</f>
        <v>300000</v>
      </c>
      <c r="N3267" s="391"/>
      <c r="O3267" s="530">
        <f>M3267*0.3%</f>
        <v>900</v>
      </c>
      <c r="P3267" s="391"/>
      <c r="Q3267" s="391">
        <v>11300</v>
      </c>
      <c r="R3267" s="528">
        <f>M3267/J3267</f>
        <v>25000</v>
      </c>
      <c r="S3267" s="487"/>
      <c r="T3267" s="398"/>
      <c r="U3267" s="414"/>
    </row>
    <row r="3268" spans="1:22" s="416" customFormat="1" ht="56.25" customHeight="1">
      <c r="A3268" s="414">
        <f t="shared" si="479"/>
        <v>286</v>
      </c>
      <c r="B3268" s="403" t="s">
        <v>2584</v>
      </c>
      <c r="C3268" s="455" t="s">
        <v>402</v>
      </c>
      <c r="D3268" s="487">
        <v>2361</v>
      </c>
      <c r="E3268" s="391">
        <v>562</v>
      </c>
      <c r="F3268" s="391" t="s">
        <v>223</v>
      </c>
      <c r="G3268" s="391">
        <v>465</v>
      </c>
      <c r="H3268" s="528">
        <v>2</v>
      </c>
      <c r="I3268" s="528">
        <v>1</v>
      </c>
      <c r="J3268" s="528">
        <v>12</v>
      </c>
      <c r="K3268" s="458" t="s">
        <v>238</v>
      </c>
      <c r="L3268" s="529">
        <f t="shared" si="483"/>
        <v>312200</v>
      </c>
      <c r="M3268" s="529">
        <f>J3268*25000</f>
        <v>300000</v>
      </c>
      <c r="N3268" s="391"/>
      <c r="O3268" s="530">
        <f>M3268*0.3%</f>
        <v>900</v>
      </c>
      <c r="P3268" s="391"/>
      <c r="Q3268" s="391">
        <v>11300</v>
      </c>
      <c r="R3268" s="528">
        <f>M3268/J3268</f>
        <v>25000</v>
      </c>
      <c r="S3268" s="487"/>
      <c r="T3268" s="398"/>
      <c r="U3268" s="414"/>
    </row>
    <row r="3269" spans="1:22" s="416" customFormat="1" ht="37.5" customHeight="1">
      <c r="A3269" s="414">
        <f t="shared" si="479"/>
        <v>287</v>
      </c>
      <c r="B3269" s="403" t="s">
        <v>2585</v>
      </c>
      <c r="C3269" s="455" t="s">
        <v>272</v>
      </c>
      <c r="D3269" s="811">
        <v>4008</v>
      </c>
      <c r="E3269" s="391">
        <v>1123.8</v>
      </c>
      <c r="F3269" s="391" t="s">
        <v>223</v>
      </c>
      <c r="G3269" s="391">
        <v>667.3</v>
      </c>
      <c r="H3269" s="528">
        <v>3</v>
      </c>
      <c r="I3269" s="528">
        <v>3</v>
      </c>
      <c r="J3269" s="528">
        <v>18</v>
      </c>
      <c r="K3269" s="458" t="s">
        <v>239</v>
      </c>
      <c r="L3269" s="529">
        <f t="shared" si="483"/>
        <v>532771</v>
      </c>
      <c r="M3269" s="529">
        <f>J3269*27000</f>
        <v>486000</v>
      </c>
      <c r="N3269" s="391">
        <v>35000</v>
      </c>
      <c r="O3269" s="530"/>
      <c r="P3269" s="391"/>
      <c r="Q3269" s="391">
        <v>11771</v>
      </c>
      <c r="R3269" s="528">
        <f>M3269/J3269</f>
        <v>27000</v>
      </c>
      <c r="S3269" s="487"/>
      <c r="T3269" s="398"/>
      <c r="U3269" s="414"/>
    </row>
    <row r="3270" spans="1:22" s="416" customFormat="1" ht="37.5" customHeight="1">
      <c r="A3270" s="414">
        <f t="shared" si="479"/>
        <v>288</v>
      </c>
      <c r="B3270" s="403" t="s">
        <v>2588</v>
      </c>
      <c r="C3270" s="455" t="s">
        <v>272</v>
      </c>
      <c r="D3270" s="487">
        <v>5433</v>
      </c>
      <c r="E3270" s="391">
        <v>1145</v>
      </c>
      <c r="F3270" s="391" t="s">
        <v>234</v>
      </c>
      <c r="G3270" s="391">
        <v>579</v>
      </c>
      <c r="H3270" s="528">
        <v>4</v>
      </c>
      <c r="I3270" s="528">
        <v>2</v>
      </c>
      <c r="J3270" s="528">
        <v>32</v>
      </c>
      <c r="K3270" s="458" t="s">
        <v>377</v>
      </c>
      <c r="L3270" s="529">
        <f t="shared" si="483"/>
        <v>3501922</v>
      </c>
      <c r="M3270" s="529">
        <v>3435000</v>
      </c>
      <c r="N3270" s="391">
        <v>45000</v>
      </c>
      <c r="O3270" s="530"/>
      <c r="P3270" s="391"/>
      <c r="Q3270" s="391">
        <v>21922</v>
      </c>
      <c r="R3270" s="528">
        <f>M3270/E3270</f>
        <v>3000</v>
      </c>
      <c r="S3270" s="487"/>
      <c r="T3270" s="398"/>
      <c r="U3270" s="414"/>
    </row>
    <row r="3271" spans="1:22" s="416" customFormat="1" ht="48.75" customHeight="1">
      <c r="A3271" s="414">
        <f t="shared" si="479"/>
        <v>289</v>
      </c>
      <c r="B3271" s="403" t="s">
        <v>2589</v>
      </c>
      <c r="C3271" s="455" t="s">
        <v>240</v>
      </c>
      <c r="D3271" s="487">
        <v>1778</v>
      </c>
      <c r="E3271" s="391">
        <v>526</v>
      </c>
      <c r="F3271" s="391" t="s">
        <v>223</v>
      </c>
      <c r="G3271" s="391">
        <v>354</v>
      </c>
      <c r="H3271" s="528">
        <v>2</v>
      </c>
      <c r="I3271" s="528">
        <v>1</v>
      </c>
      <c r="J3271" s="528">
        <v>8</v>
      </c>
      <c r="K3271" s="458" t="s">
        <v>33</v>
      </c>
      <c r="L3271" s="529">
        <f t="shared" si="483"/>
        <v>1016388.6</v>
      </c>
      <c r="M3271" s="529">
        <f>G3271*2800</f>
        <v>991200</v>
      </c>
      <c r="N3271" s="391"/>
      <c r="O3271" s="530">
        <f>M3271*0.3%</f>
        <v>2973.6</v>
      </c>
      <c r="P3271" s="391"/>
      <c r="Q3271" s="391">
        <v>22215</v>
      </c>
      <c r="R3271" s="528">
        <f>M3271/G3271</f>
        <v>2800</v>
      </c>
      <c r="S3271" s="487"/>
      <c r="T3271" s="398">
        <f>M3271+N3271+O3271+Q3271</f>
        <v>1016388.6</v>
      </c>
      <c r="U3271" s="414"/>
    </row>
    <row r="3272" spans="1:22" s="416" customFormat="1" ht="37.5" customHeight="1">
      <c r="A3272" s="414">
        <f t="shared" si="479"/>
        <v>290</v>
      </c>
      <c r="B3272" s="403" t="s">
        <v>2590</v>
      </c>
      <c r="C3272" s="455" t="s">
        <v>272</v>
      </c>
      <c r="D3272" s="487">
        <v>6212</v>
      </c>
      <c r="E3272" s="391">
        <v>1234</v>
      </c>
      <c r="F3272" s="391" t="s">
        <v>223</v>
      </c>
      <c r="G3272" s="391">
        <v>883</v>
      </c>
      <c r="H3272" s="528">
        <v>3</v>
      </c>
      <c r="I3272" s="528">
        <v>3</v>
      </c>
      <c r="J3272" s="528">
        <v>35</v>
      </c>
      <c r="K3272" s="458" t="s">
        <v>225</v>
      </c>
      <c r="L3272" s="529">
        <f t="shared" si="483"/>
        <v>597621</v>
      </c>
      <c r="M3272" s="529">
        <f>J3272*16000</f>
        <v>560000</v>
      </c>
      <c r="N3272" s="391">
        <v>27000</v>
      </c>
      <c r="O3272" s="530"/>
      <c r="P3272" s="391"/>
      <c r="Q3272" s="391">
        <v>10621</v>
      </c>
      <c r="R3272" s="528">
        <f>M3272/J3272</f>
        <v>16000</v>
      </c>
      <c r="S3272" s="487"/>
      <c r="T3272" s="398"/>
      <c r="U3272" s="414"/>
    </row>
    <row r="3273" spans="1:22" s="416" customFormat="1" ht="37.5" customHeight="1">
      <c r="A3273" s="414">
        <f t="shared" si="479"/>
        <v>291</v>
      </c>
      <c r="B3273" s="403" t="s">
        <v>2591</v>
      </c>
      <c r="C3273" s="455" t="s">
        <v>272</v>
      </c>
      <c r="D3273" s="487">
        <v>3841</v>
      </c>
      <c r="E3273" s="391">
        <v>824</v>
      </c>
      <c r="F3273" s="391" t="s">
        <v>223</v>
      </c>
      <c r="G3273" s="391">
        <v>580</v>
      </c>
      <c r="H3273" s="528">
        <v>3</v>
      </c>
      <c r="I3273" s="528">
        <v>2</v>
      </c>
      <c r="J3273" s="528">
        <v>21</v>
      </c>
      <c r="K3273" s="458" t="s">
        <v>225</v>
      </c>
      <c r="L3273" s="529">
        <f t="shared" si="483"/>
        <v>369551</v>
      </c>
      <c r="M3273" s="529">
        <f>J3273*16000</f>
        <v>336000</v>
      </c>
      <c r="N3273" s="391">
        <v>27000</v>
      </c>
      <c r="O3273" s="530"/>
      <c r="P3273" s="391"/>
      <c r="Q3273" s="391">
        <v>6551</v>
      </c>
      <c r="R3273" s="528">
        <f>M3273/J3273</f>
        <v>16000</v>
      </c>
      <c r="S3273" s="487"/>
      <c r="T3273" s="398"/>
      <c r="U3273" s="414"/>
    </row>
    <row r="3274" spans="1:22" s="416" customFormat="1" ht="59.25" customHeight="1">
      <c r="A3274" s="414">
        <f t="shared" si="479"/>
        <v>292</v>
      </c>
      <c r="B3274" s="403" t="s">
        <v>2592</v>
      </c>
      <c r="C3274" s="455" t="s">
        <v>293</v>
      </c>
      <c r="D3274" s="487">
        <v>3973</v>
      </c>
      <c r="E3274" s="391">
        <v>761</v>
      </c>
      <c r="F3274" s="391" t="s">
        <v>252</v>
      </c>
      <c r="G3274" s="391">
        <v>896</v>
      </c>
      <c r="H3274" s="528">
        <v>2</v>
      </c>
      <c r="I3274" s="528">
        <v>3</v>
      </c>
      <c r="J3274" s="528">
        <v>22</v>
      </c>
      <c r="K3274" s="458" t="s">
        <v>33</v>
      </c>
      <c r="L3274" s="529">
        <f t="shared" si="483"/>
        <v>2535978.4</v>
      </c>
      <c r="M3274" s="529">
        <v>2508800</v>
      </c>
      <c r="N3274" s="391"/>
      <c r="O3274" s="530">
        <f>M3274*0.3%</f>
        <v>7526.4000000000005</v>
      </c>
      <c r="P3274" s="391"/>
      <c r="Q3274" s="391">
        <v>19652</v>
      </c>
      <c r="R3274" s="528">
        <f>M3274/G3274</f>
        <v>2800</v>
      </c>
      <c r="S3274" s="487"/>
      <c r="T3274" s="398">
        <f>M3274+N3274+O3274+Q3274</f>
        <v>2535978.4</v>
      </c>
      <c r="U3274" s="414"/>
    </row>
    <row r="3275" spans="1:22" s="416" customFormat="1" ht="37.5" customHeight="1">
      <c r="A3275" s="414">
        <f t="shared" ref="A3275:A3289" si="484">A3274+1</f>
        <v>293</v>
      </c>
      <c r="B3275" s="403" t="s">
        <v>2593</v>
      </c>
      <c r="C3275" s="455" t="s">
        <v>293</v>
      </c>
      <c r="D3275" s="487">
        <v>3030</v>
      </c>
      <c r="E3275" s="391">
        <v>444</v>
      </c>
      <c r="F3275" s="391" t="s">
        <v>223</v>
      </c>
      <c r="G3275" s="391">
        <v>521</v>
      </c>
      <c r="H3275" s="528">
        <v>2</v>
      </c>
      <c r="I3275" s="528">
        <v>2</v>
      </c>
      <c r="J3275" s="528">
        <v>12</v>
      </c>
      <c r="K3275" s="458" t="s">
        <v>225</v>
      </c>
      <c r="L3275" s="529">
        <f t="shared" si="483"/>
        <v>240587</v>
      </c>
      <c r="M3275" s="529">
        <f>J3275*18000</f>
        <v>216000</v>
      </c>
      <c r="N3275" s="391">
        <v>20000</v>
      </c>
      <c r="O3275" s="530"/>
      <c r="P3275" s="391"/>
      <c r="Q3275" s="391">
        <v>4587</v>
      </c>
      <c r="R3275" s="528">
        <f>M3275/J3275</f>
        <v>18000</v>
      </c>
      <c r="S3275" s="487"/>
      <c r="T3275" s="398"/>
      <c r="U3275" s="414"/>
    </row>
    <row r="3276" spans="1:22" s="416" customFormat="1" ht="37.5" customHeight="1">
      <c r="A3276" s="414">
        <f t="shared" si="484"/>
        <v>294</v>
      </c>
      <c r="B3276" s="403" t="s">
        <v>2594</v>
      </c>
      <c r="C3276" s="455" t="s">
        <v>272</v>
      </c>
      <c r="D3276" s="487">
        <v>8727</v>
      </c>
      <c r="E3276" s="391">
        <v>1461</v>
      </c>
      <c r="F3276" s="391" t="s">
        <v>252</v>
      </c>
      <c r="G3276" s="391">
        <v>585</v>
      </c>
      <c r="H3276" s="528">
        <v>5</v>
      </c>
      <c r="I3276" s="528">
        <v>2</v>
      </c>
      <c r="J3276" s="528">
        <v>40</v>
      </c>
      <c r="K3276" s="458" t="s">
        <v>225</v>
      </c>
      <c r="L3276" s="529">
        <f t="shared" si="483"/>
        <v>674819</v>
      </c>
      <c r="M3276" s="529">
        <f>J3276*16000</f>
        <v>640000</v>
      </c>
      <c r="N3276" s="391">
        <v>25000</v>
      </c>
      <c r="O3276" s="530"/>
      <c r="P3276" s="391"/>
      <c r="Q3276" s="391">
        <v>9819</v>
      </c>
      <c r="R3276" s="528">
        <f>M3276/J3276</f>
        <v>16000</v>
      </c>
      <c r="S3276" s="487"/>
      <c r="T3276" s="398"/>
      <c r="U3276" s="414"/>
    </row>
    <row r="3277" spans="1:22" s="416" customFormat="1" ht="54.75" customHeight="1">
      <c r="A3277" s="414">
        <f t="shared" si="484"/>
        <v>295</v>
      </c>
      <c r="B3277" s="403" t="s">
        <v>2595</v>
      </c>
      <c r="C3277" s="455" t="s">
        <v>218</v>
      </c>
      <c r="D3277" s="487">
        <v>17426</v>
      </c>
      <c r="E3277" s="391">
        <v>2710</v>
      </c>
      <c r="F3277" s="391" t="s">
        <v>252</v>
      </c>
      <c r="G3277" s="391">
        <v>1235</v>
      </c>
      <c r="H3277" s="528">
        <v>5</v>
      </c>
      <c r="I3277" s="528">
        <v>4</v>
      </c>
      <c r="J3277" s="528">
        <v>80</v>
      </c>
      <c r="K3277" s="458" t="s">
        <v>227</v>
      </c>
      <c r="L3277" s="529">
        <f t="shared" si="483"/>
        <v>8195000</v>
      </c>
      <c r="M3277" s="529">
        <v>8130000</v>
      </c>
      <c r="N3277" s="391">
        <v>35000</v>
      </c>
      <c r="O3277" s="530"/>
      <c r="P3277" s="391"/>
      <c r="Q3277" s="391">
        <v>30000</v>
      </c>
      <c r="R3277" s="528">
        <f>M3277/E3277</f>
        <v>3000</v>
      </c>
      <c r="S3277" s="487"/>
      <c r="T3277" s="398"/>
      <c r="U3277" s="414"/>
    </row>
    <row r="3278" spans="1:22" s="416" customFormat="1" ht="56.25" customHeight="1">
      <c r="A3278" s="414">
        <f t="shared" si="484"/>
        <v>296</v>
      </c>
      <c r="B3278" s="403" t="s">
        <v>2596</v>
      </c>
      <c r="C3278" s="455" t="s">
        <v>218</v>
      </c>
      <c r="D3278" s="811">
        <v>11859</v>
      </c>
      <c r="E3278" s="391">
        <v>2200</v>
      </c>
      <c r="F3278" s="391" t="s">
        <v>252</v>
      </c>
      <c r="G3278" s="391">
        <v>836</v>
      </c>
      <c r="H3278" s="528">
        <v>5</v>
      </c>
      <c r="I3278" s="528">
        <v>3</v>
      </c>
      <c r="J3278" s="528">
        <v>60</v>
      </c>
      <c r="K3278" s="458" t="s">
        <v>30</v>
      </c>
      <c r="L3278" s="529">
        <f t="shared" si="483"/>
        <v>1652638</v>
      </c>
      <c r="M3278" s="529">
        <f>J3278*27000</f>
        <v>1620000</v>
      </c>
      <c r="N3278" s="391"/>
      <c r="O3278" s="530">
        <f>M3278*0.3%</f>
        <v>4860</v>
      </c>
      <c r="P3278" s="391"/>
      <c r="Q3278" s="391">
        <v>27778</v>
      </c>
      <c r="R3278" s="528">
        <f>M3278/J3278</f>
        <v>27000</v>
      </c>
      <c r="S3278" s="487"/>
      <c r="T3278" s="398"/>
      <c r="U3278" s="414"/>
    </row>
    <row r="3279" spans="1:22" s="416" customFormat="1" ht="42.75" customHeight="1">
      <c r="A3279" s="1125">
        <f t="shared" si="484"/>
        <v>297</v>
      </c>
      <c r="B3279" s="403" t="s">
        <v>1659</v>
      </c>
      <c r="C3279" s="455" t="s">
        <v>218</v>
      </c>
      <c r="D3279" s="811">
        <v>12440</v>
      </c>
      <c r="E3279" s="391">
        <v>3120</v>
      </c>
      <c r="F3279" s="391" t="s">
        <v>234</v>
      </c>
      <c r="G3279" s="391">
        <v>816</v>
      </c>
      <c r="H3279" s="528">
        <v>9</v>
      </c>
      <c r="I3279" s="528">
        <v>2</v>
      </c>
      <c r="J3279" s="528">
        <v>72</v>
      </c>
      <c r="K3279" s="458" t="s">
        <v>33</v>
      </c>
      <c r="L3279" s="1128">
        <f>SUBTOTAL(9,M3279:Q3280)</f>
        <v>10741257.83</v>
      </c>
      <c r="M3279" s="529">
        <v>1468800</v>
      </c>
      <c r="N3279" s="391"/>
      <c r="O3279" s="530">
        <f>M3279*0.3%</f>
        <v>4406.4000000000005</v>
      </c>
      <c r="P3279" s="391"/>
      <c r="Q3279" s="391">
        <v>20000</v>
      </c>
      <c r="R3279" s="528">
        <f>M3279/G3279</f>
        <v>1800</v>
      </c>
      <c r="S3279" s="383"/>
      <c r="T3279" s="398">
        <f>M3279+N3279+O3279+Q3279</f>
        <v>1493206.4</v>
      </c>
      <c r="U3279" s="414"/>
    </row>
    <row r="3280" spans="1:22" s="416" customFormat="1" ht="37.5" customHeight="1">
      <c r="A3280" s="1125"/>
      <c r="B3280" s="403"/>
      <c r="C3280" s="455" t="s">
        <v>218</v>
      </c>
      <c r="D3280" s="487">
        <v>17273</v>
      </c>
      <c r="E3280" s="391">
        <v>3062</v>
      </c>
      <c r="F3280" s="391" t="s">
        <v>234</v>
      </c>
      <c r="G3280" s="391">
        <v>816</v>
      </c>
      <c r="H3280" s="528">
        <v>9</v>
      </c>
      <c r="I3280" s="528">
        <v>2</v>
      </c>
      <c r="J3280" s="528">
        <v>72</v>
      </c>
      <c r="K3280" s="458" t="s">
        <v>368</v>
      </c>
      <c r="L3280" s="1128"/>
      <c r="M3280" s="529">
        <v>9186000</v>
      </c>
      <c r="N3280" s="391">
        <v>32351.43</v>
      </c>
      <c r="O3280" s="530"/>
      <c r="P3280" s="391"/>
      <c r="Q3280" s="391">
        <v>29700</v>
      </c>
      <c r="R3280" s="528">
        <f>M3280/E3280</f>
        <v>3000</v>
      </c>
      <c r="S3280" s="383"/>
      <c r="T3280" s="398"/>
      <c r="U3280" s="390"/>
      <c r="V3280" s="390"/>
    </row>
    <row r="3281" spans="1:21" s="416" customFormat="1" ht="47.25" customHeight="1">
      <c r="A3281" s="414">
        <f>A3279+1</f>
        <v>298</v>
      </c>
      <c r="B3281" s="403" t="s">
        <v>2597</v>
      </c>
      <c r="C3281" s="455" t="s">
        <v>218</v>
      </c>
      <c r="D3281" s="808">
        <v>19913</v>
      </c>
      <c r="E3281" s="391">
        <v>4155</v>
      </c>
      <c r="F3281" s="391" t="s">
        <v>252</v>
      </c>
      <c r="G3281" s="391">
        <v>1984</v>
      </c>
      <c r="H3281" s="528">
        <v>5</v>
      </c>
      <c r="I3281" s="528">
        <v>7</v>
      </c>
      <c r="J3281" s="528">
        <v>140</v>
      </c>
      <c r="K3281" s="458" t="s">
        <v>33</v>
      </c>
      <c r="L3281" s="529">
        <f t="shared" ref="L3281:L3288" si="485">M3281+N3281+O3281+P3281+Q3281</f>
        <v>5596464.5999999996</v>
      </c>
      <c r="M3281" s="529">
        <f>G3281*2800</f>
        <v>5555200</v>
      </c>
      <c r="N3281" s="391"/>
      <c r="O3281" s="530">
        <f>M3281*0.3%</f>
        <v>16665.599999999999</v>
      </c>
      <c r="P3281" s="391"/>
      <c r="Q3281" s="391">
        <v>24599</v>
      </c>
      <c r="R3281" s="528">
        <f>M3281/G3281</f>
        <v>2800</v>
      </c>
      <c r="S3281" s="487"/>
      <c r="T3281" s="398">
        <f>M3281+N3281+O3281+Q3281</f>
        <v>5596464.5999999996</v>
      </c>
      <c r="U3281" s="414"/>
    </row>
    <row r="3282" spans="1:21" s="416" customFormat="1" ht="37.5" customHeight="1">
      <c r="A3282" s="414">
        <f t="shared" si="484"/>
        <v>299</v>
      </c>
      <c r="B3282" s="403" t="s">
        <v>2598</v>
      </c>
      <c r="C3282" s="455" t="s">
        <v>218</v>
      </c>
      <c r="D3282" s="487">
        <v>17426</v>
      </c>
      <c r="E3282" s="391">
        <v>2620</v>
      </c>
      <c r="F3282" s="391" t="s">
        <v>252</v>
      </c>
      <c r="G3282" s="391">
        <v>1148</v>
      </c>
      <c r="H3282" s="528">
        <v>5</v>
      </c>
      <c r="I3282" s="528">
        <v>4</v>
      </c>
      <c r="J3282" s="528">
        <v>80</v>
      </c>
      <c r="K3282" s="458" t="s">
        <v>225</v>
      </c>
      <c r="L3282" s="529">
        <f t="shared" si="485"/>
        <v>1332000</v>
      </c>
      <c r="M3282" s="529">
        <f>J3282*16000</f>
        <v>1280000</v>
      </c>
      <c r="N3282" s="391">
        <v>32000</v>
      </c>
      <c r="O3282" s="530"/>
      <c r="P3282" s="391"/>
      <c r="Q3282" s="391">
        <v>20000</v>
      </c>
      <c r="R3282" s="528">
        <f>M3282/J3282</f>
        <v>16000</v>
      </c>
      <c r="S3282" s="487"/>
      <c r="T3282" s="398"/>
      <c r="U3282" s="414"/>
    </row>
    <row r="3283" spans="1:21" s="416" customFormat="1" ht="68.25" customHeight="1">
      <c r="A3283" s="414">
        <f t="shared" si="484"/>
        <v>300</v>
      </c>
      <c r="B3283" s="403" t="s">
        <v>2599</v>
      </c>
      <c r="C3283" s="455" t="s">
        <v>218</v>
      </c>
      <c r="D3283" s="487">
        <v>17426</v>
      </c>
      <c r="E3283" s="391">
        <v>5350</v>
      </c>
      <c r="F3283" s="391" t="s">
        <v>252</v>
      </c>
      <c r="G3283" s="391">
        <v>2268</v>
      </c>
      <c r="H3283" s="528">
        <v>5</v>
      </c>
      <c r="I3283" s="528">
        <v>8</v>
      </c>
      <c r="J3283" s="528">
        <v>160</v>
      </c>
      <c r="K3283" s="458" t="s">
        <v>33</v>
      </c>
      <c r="L3283" s="529">
        <f t="shared" si="485"/>
        <v>6400229.2000000002</v>
      </c>
      <c r="M3283" s="529">
        <f>G3283*2800</f>
        <v>6350400</v>
      </c>
      <c r="N3283" s="391"/>
      <c r="O3283" s="530">
        <f t="shared" ref="O3283:O3289" si="486">M3283*0.3%</f>
        <v>19051.2</v>
      </c>
      <c r="P3283" s="391"/>
      <c r="Q3283" s="391">
        <v>30778</v>
      </c>
      <c r="R3283" s="528">
        <f>M3283/G3283</f>
        <v>2800</v>
      </c>
      <c r="S3283" s="487"/>
      <c r="T3283" s="398">
        <f>M3283+N3283+O3283+Q3283</f>
        <v>6400229.2000000002</v>
      </c>
      <c r="U3283" s="414"/>
    </row>
    <row r="3284" spans="1:21" s="416" customFormat="1" ht="37.5" customHeight="1">
      <c r="A3284" s="414">
        <f t="shared" si="484"/>
        <v>301</v>
      </c>
      <c r="B3284" s="403" t="s">
        <v>2601</v>
      </c>
      <c r="C3284" s="455" t="s">
        <v>272</v>
      </c>
      <c r="D3284" s="487">
        <v>21780</v>
      </c>
      <c r="E3284" s="391">
        <v>3115</v>
      </c>
      <c r="F3284" s="391" t="s">
        <v>223</v>
      </c>
      <c r="G3284" s="391">
        <v>1883</v>
      </c>
      <c r="H3284" s="528">
        <v>5</v>
      </c>
      <c r="I3284" s="528">
        <v>3</v>
      </c>
      <c r="J3284" s="528">
        <v>54</v>
      </c>
      <c r="K3284" s="458" t="s">
        <v>33</v>
      </c>
      <c r="L3284" s="529">
        <f t="shared" si="485"/>
        <v>5326685.2</v>
      </c>
      <c r="M3284" s="529">
        <v>5272400</v>
      </c>
      <c r="N3284" s="391"/>
      <c r="O3284" s="530">
        <f t="shared" si="486"/>
        <v>15817.2</v>
      </c>
      <c r="P3284" s="391"/>
      <c r="Q3284" s="391">
        <v>38468</v>
      </c>
      <c r="R3284" s="528">
        <f>M3284/G3284</f>
        <v>2800</v>
      </c>
      <c r="S3284" s="487"/>
      <c r="T3284" s="398">
        <f>M3284+N3284+O3284+Q3284</f>
        <v>5326685.2</v>
      </c>
      <c r="U3284" s="414"/>
    </row>
    <row r="3285" spans="1:21" s="416" customFormat="1" ht="56.25" customHeight="1">
      <c r="A3285" s="414">
        <f t="shared" si="484"/>
        <v>302</v>
      </c>
      <c r="B3285" s="403" t="s">
        <v>2602</v>
      </c>
      <c r="C3285" s="455" t="s">
        <v>272</v>
      </c>
      <c r="D3285" s="487">
        <v>13565</v>
      </c>
      <c r="E3285" s="391">
        <v>3500</v>
      </c>
      <c r="F3285" s="391" t="s">
        <v>223</v>
      </c>
      <c r="G3285" s="391">
        <v>1229</v>
      </c>
      <c r="H3285" s="528">
        <v>4</v>
      </c>
      <c r="I3285" s="528">
        <v>3</v>
      </c>
      <c r="J3285" s="528">
        <v>30</v>
      </c>
      <c r="K3285" s="458" t="s">
        <v>372</v>
      </c>
      <c r="L3285" s="529">
        <f t="shared" si="485"/>
        <v>5902535</v>
      </c>
      <c r="M3285" s="529">
        <v>5845000</v>
      </c>
      <c r="N3285" s="391"/>
      <c r="O3285" s="530">
        <v>17535</v>
      </c>
      <c r="P3285" s="391"/>
      <c r="Q3285" s="391">
        <v>40000</v>
      </c>
      <c r="R3285" s="528">
        <f>M3285/E3285</f>
        <v>1670</v>
      </c>
      <c r="S3285" s="487"/>
      <c r="T3285" s="398"/>
      <c r="U3285" s="414"/>
    </row>
    <row r="3286" spans="1:21" s="416" customFormat="1" ht="37.5" customHeight="1">
      <c r="A3286" s="414">
        <f t="shared" si="484"/>
        <v>303</v>
      </c>
      <c r="B3286" s="403" t="s">
        <v>2603</v>
      </c>
      <c r="C3286" s="455" t="s">
        <v>272</v>
      </c>
      <c r="D3286" s="487">
        <v>27121</v>
      </c>
      <c r="E3286" s="391">
        <v>4429</v>
      </c>
      <c r="F3286" s="391" t="s">
        <v>223</v>
      </c>
      <c r="G3286" s="391">
        <v>2070.4</v>
      </c>
      <c r="H3286" s="528">
        <v>5</v>
      </c>
      <c r="I3286" s="528">
        <v>5</v>
      </c>
      <c r="J3286" s="528">
        <v>87</v>
      </c>
      <c r="K3286" s="458" t="s">
        <v>33</v>
      </c>
      <c r="L3286" s="529">
        <f t="shared" si="485"/>
        <v>5854511.3600000003</v>
      </c>
      <c r="M3286" s="529">
        <v>5797120</v>
      </c>
      <c r="N3286" s="391"/>
      <c r="O3286" s="530">
        <f t="shared" si="486"/>
        <v>17391.36</v>
      </c>
      <c r="P3286" s="391"/>
      <c r="Q3286" s="391">
        <v>40000</v>
      </c>
      <c r="R3286" s="528">
        <f>M3286/G3286</f>
        <v>2800</v>
      </c>
      <c r="S3286" s="487"/>
      <c r="T3286" s="398">
        <f>M3286+N3286+O3286+Q3286</f>
        <v>5854511.3600000003</v>
      </c>
      <c r="U3286" s="414"/>
    </row>
    <row r="3287" spans="1:21" s="416" customFormat="1" ht="37.5" customHeight="1">
      <c r="A3287" s="414">
        <f t="shared" si="484"/>
        <v>304</v>
      </c>
      <c r="B3287" s="403" t="s">
        <v>2604</v>
      </c>
      <c r="C3287" s="455" t="s">
        <v>272</v>
      </c>
      <c r="D3287" s="487">
        <v>17876</v>
      </c>
      <c r="E3287" s="391">
        <v>3115</v>
      </c>
      <c r="F3287" s="391" t="s">
        <v>223</v>
      </c>
      <c r="G3287" s="391">
        <v>1648</v>
      </c>
      <c r="H3287" s="528">
        <v>5</v>
      </c>
      <c r="I3287" s="528">
        <v>6</v>
      </c>
      <c r="J3287" s="528">
        <v>99</v>
      </c>
      <c r="K3287" s="458" t="s">
        <v>33</v>
      </c>
      <c r="L3287" s="529">
        <f t="shared" si="485"/>
        <v>4659816.2</v>
      </c>
      <c r="M3287" s="529">
        <v>4614400</v>
      </c>
      <c r="N3287" s="391"/>
      <c r="O3287" s="530">
        <f t="shared" si="486"/>
        <v>13843.2</v>
      </c>
      <c r="P3287" s="391"/>
      <c r="Q3287" s="391">
        <v>31573</v>
      </c>
      <c r="R3287" s="528">
        <f>M3287/G3287</f>
        <v>2800</v>
      </c>
      <c r="S3287" s="487"/>
      <c r="T3287" s="398">
        <f>M3287+N3287+O3287+Q3287</f>
        <v>4659816.2</v>
      </c>
      <c r="U3287" s="414"/>
    </row>
    <row r="3288" spans="1:21" s="416" customFormat="1" ht="37.5" customHeight="1">
      <c r="A3288" s="414">
        <f t="shared" si="484"/>
        <v>305</v>
      </c>
      <c r="B3288" s="403" t="s">
        <v>2605</v>
      </c>
      <c r="C3288" s="455" t="s">
        <v>272</v>
      </c>
      <c r="D3288" s="487">
        <v>62035</v>
      </c>
      <c r="E3288" s="391">
        <v>8000</v>
      </c>
      <c r="F3288" s="391" t="s">
        <v>223</v>
      </c>
      <c r="G3288" s="391">
        <v>2712.1</v>
      </c>
      <c r="H3288" s="528">
        <v>5</v>
      </c>
      <c r="I3288" s="528">
        <v>7</v>
      </c>
      <c r="J3288" s="528">
        <v>183</v>
      </c>
      <c r="K3288" s="458" t="s">
        <v>33</v>
      </c>
      <c r="L3288" s="529">
        <f t="shared" si="485"/>
        <v>7656661.6399999997</v>
      </c>
      <c r="M3288" s="529">
        <v>7593880</v>
      </c>
      <c r="N3288" s="391"/>
      <c r="O3288" s="530">
        <f t="shared" si="486"/>
        <v>22781.64</v>
      </c>
      <c r="P3288" s="391"/>
      <c r="Q3288" s="391">
        <v>40000</v>
      </c>
      <c r="R3288" s="528">
        <f>M3288/G3288</f>
        <v>2800</v>
      </c>
      <c r="S3288" s="487"/>
      <c r="T3288" s="398">
        <f>M3288+N3288+O3288+Q3288</f>
        <v>7656661.6399999997</v>
      </c>
      <c r="U3288" s="414"/>
    </row>
    <row r="3289" spans="1:21" s="416" customFormat="1" ht="37.5" customHeight="1">
      <c r="A3289" s="1125">
        <f t="shared" si="484"/>
        <v>306</v>
      </c>
      <c r="B3289" s="403" t="s">
        <v>2606</v>
      </c>
      <c r="C3289" s="455" t="s">
        <v>272</v>
      </c>
      <c r="D3289" s="487">
        <v>1194</v>
      </c>
      <c r="E3289" s="391">
        <v>1720</v>
      </c>
      <c r="F3289" s="391" t="s">
        <v>223</v>
      </c>
      <c r="G3289" s="391">
        <v>902</v>
      </c>
      <c r="H3289" s="528">
        <v>5</v>
      </c>
      <c r="I3289" s="528">
        <v>3</v>
      </c>
      <c r="J3289" s="528">
        <v>60</v>
      </c>
      <c r="K3289" s="458" t="s">
        <v>33</v>
      </c>
      <c r="L3289" s="1128">
        <f>SUBTOTAL(9,M3289:Q3290)</f>
        <v>5178569.8</v>
      </c>
      <c r="M3289" s="529">
        <v>2525600</v>
      </c>
      <c r="N3289" s="391"/>
      <c r="O3289" s="530">
        <f t="shared" si="486"/>
        <v>7576.8</v>
      </c>
      <c r="P3289" s="391"/>
      <c r="Q3289" s="391">
        <v>20945</v>
      </c>
      <c r="R3289" s="528">
        <f>M3289/G3289</f>
        <v>2800</v>
      </c>
      <c r="S3289" s="487"/>
      <c r="T3289" s="398">
        <f>M3289+N3289+O3289+Q3289</f>
        <v>2554121.7999999998</v>
      </c>
      <c r="U3289" s="414"/>
    </row>
    <row r="3290" spans="1:21" s="416" customFormat="1" ht="65.25" customHeight="1">
      <c r="A3290" s="1125"/>
      <c r="B3290" s="403"/>
      <c r="C3290" s="455"/>
      <c r="D3290" s="487"/>
      <c r="E3290" s="391"/>
      <c r="F3290" s="391"/>
      <c r="G3290" s="391"/>
      <c r="H3290" s="528"/>
      <c r="I3290" s="528"/>
      <c r="J3290" s="528"/>
      <c r="K3290" s="458" t="s">
        <v>38</v>
      </c>
      <c r="L3290" s="1128"/>
      <c r="M3290" s="529">
        <v>2580000</v>
      </c>
      <c r="N3290" s="391"/>
      <c r="O3290" s="530">
        <v>14448</v>
      </c>
      <c r="P3290" s="391"/>
      <c r="Q3290" s="391">
        <v>30000</v>
      </c>
      <c r="R3290" s="528">
        <f>M3290/E3289</f>
        <v>1500</v>
      </c>
      <c r="S3290" s="487"/>
      <c r="T3290" s="398"/>
      <c r="U3290" s="414"/>
    </row>
    <row r="3291" spans="1:21" s="416" customFormat="1" ht="37.5" customHeight="1">
      <c r="A3291" s="414">
        <v>307</v>
      </c>
      <c r="B3291" s="403" t="s">
        <v>2608</v>
      </c>
      <c r="C3291" s="455" t="s">
        <v>272</v>
      </c>
      <c r="D3291" s="487">
        <v>12584</v>
      </c>
      <c r="E3291" s="391">
        <v>2180</v>
      </c>
      <c r="F3291" s="391" t="s">
        <v>223</v>
      </c>
      <c r="G3291" s="391">
        <v>1142</v>
      </c>
      <c r="H3291" s="528">
        <v>5</v>
      </c>
      <c r="I3291" s="528">
        <v>4</v>
      </c>
      <c r="J3291" s="528">
        <v>80</v>
      </c>
      <c r="K3291" s="458" t="s">
        <v>33</v>
      </c>
      <c r="L3291" s="529">
        <f t="shared" ref="L3291:L3307" si="487">M3291+N3291+O3291+P3291+Q3291</f>
        <v>3229418.8</v>
      </c>
      <c r="M3291" s="529">
        <v>3197600</v>
      </c>
      <c r="N3291" s="391"/>
      <c r="O3291" s="530">
        <f>M3291*0.3%</f>
        <v>9592.8000000000011</v>
      </c>
      <c r="P3291" s="391"/>
      <c r="Q3291" s="391">
        <v>22226</v>
      </c>
      <c r="R3291" s="528">
        <f>M3291/G3291</f>
        <v>2800</v>
      </c>
      <c r="S3291" s="487"/>
      <c r="T3291" s="398">
        <f>M3291+N3291+O3291+Q3291</f>
        <v>3229418.8</v>
      </c>
      <c r="U3291" s="414"/>
    </row>
    <row r="3292" spans="1:21" s="416" customFormat="1" ht="37.5" customHeight="1">
      <c r="A3292" s="414">
        <f t="shared" ref="A3292:A3354" si="488">A3291+1</f>
        <v>308</v>
      </c>
      <c r="B3292" s="403" t="s">
        <v>2609</v>
      </c>
      <c r="C3292" s="455" t="s">
        <v>272</v>
      </c>
      <c r="D3292" s="487">
        <v>12798</v>
      </c>
      <c r="E3292" s="391">
        <v>2180</v>
      </c>
      <c r="F3292" s="391" t="s">
        <v>223</v>
      </c>
      <c r="G3292" s="391">
        <v>1125</v>
      </c>
      <c r="H3292" s="528">
        <v>5</v>
      </c>
      <c r="I3292" s="528">
        <v>4</v>
      </c>
      <c r="J3292" s="528">
        <v>79</v>
      </c>
      <c r="K3292" s="458" t="s">
        <v>33</v>
      </c>
      <c r="L3292" s="529">
        <f t="shared" si="487"/>
        <v>3182054</v>
      </c>
      <c r="M3292" s="529">
        <v>3150000</v>
      </c>
      <c r="N3292" s="391"/>
      <c r="O3292" s="530">
        <f>M3292*0.3%</f>
        <v>9450</v>
      </c>
      <c r="P3292" s="391"/>
      <c r="Q3292" s="391">
        <v>22604</v>
      </c>
      <c r="R3292" s="528">
        <f>M3292/G3292</f>
        <v>2800</v>
      </c>
      <c r="S3292" s="487"/>
      <c r="T3292" s="398">
        <f>M3292+N3292+O3292+Q3292</f>
        <v>3182054</v>
      </c>
      <c r="U3292" s="414"/>
    </row>
    <row r="3293" spans="1:21" s="416" customFormat="1" ht="37.5" customHeight="1">
      <c r="A3293" s="414">
        <f t="shared" si="488"/>
        <v>309</v>
      </c>
      <c r="B3293" s="403" t="s">
        <v>2611</v>
      </c>
      <c r="C3293" s="455" t="s">
        <v>293</v>
      </c>
      <c r="D3293" s="487">
        <v>3202</v>
      </c>
      <c r="E3293" s="391">
        <v>497</v>
      </c>
      <c r="F3293" s="391" t="s">
        <v>252</v>
      </c>
      <c r="G3293" s="391">
        <v>603</v>
      </c>
      <c r="H3293" s="528">
        <v>2</v>
      </c>
      <c r="I3293" s="528">
        <v>2</v>
      </c>
      <c r="J3293" s="528">
        <v>12</v>
      </c>
      <c r="K3293" s="458" t="s">
        <v>225</v>
      </c>
      <c r="L3293" s="529">
        <f t="shared" si="487"/>
        <v>240761</v>
      </c>
      <c r="M3293" s="529">
        <f>J3293*18000</f>
        <v>216000</v>
      </c>
      <c r="N3293" s="391">
        <v>20000</v>
      </c>
      <c r="O3293" s="530"/>
      <c r="P3293" s="391"/>
      <c r="Q3293" s="391">
        <v>4761</v>
      </c>
      <c r="R3293" s="528">
        <f t="shared" ref="R3293:R3300" si="489">M3293/J3293</f>
        <v>18000</v>
      </c>
      <c r="S3293" s="487"/>
      <c r="T3293" s="398"/>
      <c r="U3293" s="414"/>
    </row>
    <row r="3294" spans="1:21" s="416" customFormat="1" ht="37.5" customHeight="1">
      <c r="A3294" s="414">
        <f t="shared" si="488"/>
        <v>310</v>
      </c>
      <c r="B3294" s="403" t="s">
        <v>2612</v>
      </c>
      <c r="C3294" s="455" t="s">
        <v>398</v>
      </c>
      <c r="D3294" s="487">
        <v>2383</v>
      </c>
      <c r="E3294" s="391">
        <v>340</v>
      </c>
      <c r="F3294" s="391" t="s">
        <v>252</v>
      </c>
      <c r="G3294" s="391">
        <v>467</v>
      </c>
      <c r="H3294" s="528">
        <v>2</v>
      </c>
      <c r="I3294" s="528">
        <v>1</v>
      </c>
      <c r="J3294" s="528">
        <v>12</v>
      </c>
      <c r="K3294" s="458" t="s">
        <v>225</v>
      </c>
      <c r="L3294" s="529">
        <f t="shared" si="487"/>
        <v>239942</v>
      </c>
      <c r="M3294" s="529">
        <f>J3294*18000</f>
        <v>216000</v>
      </c>
      <c r="N3294" s="391">
        <v>20000</v>
      </c>
      <c r="O3294" s="530"/>
      <c r="P3294" s="391"/>
      <c r="Q3294" s="391">
        <v>3942</v>
      </c>
      <c r="R3294" s="528">
        <f t="shared" si="489"/>
        <v>18000</v>
      </c>
      <c r="S3294" s="487"/>
      <c r="T3294" s="398"/>
      <c r="U3294" s="414"/>
    </row>
    <row r="3295" spans="1:21" s="416" customFormat="1" ht="37.5" customHeight="1">
      <c r="A3295" s="414">
        <f t="shared" si="488"/>
        <v>311</v>
      </c>
      <c r="B3295" s="403" t="s">
        <v>2613</v>
      </c>
      <c r="C3295" s="455" t="s">
        <v>393</v>
      </c>
      <c r="D3295" s="487">
        <v>2709</v>
      </c>
      <c r="E3295" s="391">
        <v>344</v>
      </c>
      <c r="F3295" s="391" t="s">
        <v>252</v>
      </c>
      <c r="G3295" s="391">
        <v>522</v>
      </c>
      <c r="H3295" s="528">
        <v>2</v>
      </c>
      <c r="I3295" s="528">
        <v>1</v>
      </c>
      <c r="J3295" s="528">
        <v>12</v>
      </c>
      <c r="K3295" s="458" t="s">
        <v>225</v>
      </c>
      <c r="L3295" s="529">
        <f t="shared" si="487"/>
        <v>240263</v>
      </c>
      <c r="M3295" s="529">
        <f>J3295*18000</f>
        <v>216000</v>
      </c>
      <c r="N3295" s="391">
        <v>20000</v>
      </c>
      <c r="O3295" s="530"/>
      <c r="P3295" s="391"/>
      <c r="Q3295" s="391">
        <v>4263</v>
      </c>
      <c r="R3295" s="528">
        <f t="shared" si="489"/>
        <v>18000</v>
      </c>
      <c r="S3295" s="487"/>
      <c r="T3295" s="398"/>
      <c r="U3295" s="414"/>
    </row>
    <row r="3296" spans="1:21" s="416" customFormat="1" ht="56.25" customHeight="1">
      <c r="A3296" s="414">
        <f t="shared" si="488"/>
        <v>312</v>
      </c>
      <c r="B3296" s="403" t="s">
        <v>2614</v>
      </c>
      <c r="C3296" s="455" t="s">
        <v>393</v>
      </c>
      <c r="D3296" s="487">
        <v>2691</v>
      </c>
      <c r="E3296" s="391">
        <v>718</v>
      </c>
      <c r="F3296" s="391" t="s">
        <v>252</v>
      </c>
      <c r="G3296" s="391">
        <v>522</v>
      </c>
      <c r="H3296" s="528">
        <v>2</v>
      </c>
      <c r="I3296" s="528">
        <v>3</v>
      </c>
      <c r="J3296" s="528">
        <v>12</v>
      </c>
      <c r="K3296" s="458" t="s">
        <v>30</v>
      </c>
      <c r="L3296" s="529">
        <f t="shared" si="487"/>
        <v>312200</v>
      </c>
      <c r="M3296" s="529">
        <f>J3296*25000</f>
        <v>300000</v>
      </c>
      <c r="N3296" s="391"/>
      <c r="O3296" s="530">
        <f>M3296*0.3%</f>
        <v>900</v>
      </c>
      <c r="P3296" s="391"/>
      <c r="Q3296" s="391">
        <v>11300</v>
      </c>
      <c r="R3296" s="528">
        <f t="shared" si="489"/>
        <v>25000</v>
      </c>
      <c r="S3296" s="487"/>
      <c r="T3296" s="398"/>
      <c r="U3296" s="414"/>
    </row>
    <row r="3297" spans="1:21" s="416" customFormat="1" ht="56.25" customHeight="1">
      <c r="A3297" s="414">
        <f t="shared" si="488"/>
        <v>313</v>
      </c>
      <c r="B3297" s="403" t="s">
        <v>2615</v>
      </c>
      <c r="C3297" s="455" t="s">
        <v>393</v>
      </c>
      <c r="D3297" s="487">
        <v>3915</v>
      </c>
      <c r="E3297" s="391">
        <v>718</v>
      </c>
      <c r="F3297" s="391" t="s">
        <v>252</v>
      </c>
      <c r="G3297" s="391">
        <v>702</v>
      </c>
      <c r="H3297" s="528">
        <v>2</v>
      </c>
      <c r="I3297" s="528">
        <v>3</v>
      </c>
      <c r="J3297" s="528">
        <v>12</v>
      </c>
      <c r="K3297" s="458" t="s">
        <v>225</v>
      </c>
      <c r="L3297" s="529">
        <f t="shared" si="487"/>
        <v>305300</v>
      </c>
      <c r="M3297" s="529">
        <v>264000</v>
      </c>
      <c r="N3297" s="391">
        <v>30000</v>
      </c>
      <c r="O3297" s="530"/>
      <c r="P3297" s="391"/>
      <c r="Q3297" s="391">
        <v>11300</v>
      </c>
      <c r="R3297" s="528">
        <f t="shared" si="489"/>
        <v>22000</v>
      </c>
      <c r="S3297" s="487"/>
      <c r="T3297" s="398"/>
      <c r="U3297" s="414"/>
    </row>
    <row r="3298" spans="1:21" s="416" customFormat="1" ht="37.5" customHeight="1">
      <c r="A3298" s="414">
        <f t="shared" si="488"/>
        <v>314</v>
      </c>
      <c r="B3298" s="403" t="s">
        <v>2616</v>
      </c>
      <c r="C3298" s="455" t="s">
        <v>398</v>
      </c>
      <c r="D3298" s="487">
        <v>3922</v>
      </c>
      <c r="E3298" s="391">
        <v>719</v>
      </c>
      <c r="F3298" s="391" t="s">
        <v>252</v>
      </c>
      <c r="G3298" s="391">
        <v>761</v>
      </c>
      <c r="H3298" s="528">
        <v>2</v>
      </c>
      <c r="I3298" s="528">
        <v>3</v>
      </c>
      <c r="J3298" s="528">
        <v>12</v>
      </c>
      <c r="K3298" s="458" t="s">
        <v>225</v>
      </c>
      <c r="L3298" s="529">
        <f t="shared" si="487"/>
        <v>241973</v>
      </c>
      <c r="M3298" s="529">
        <f>J3298*18000</f>
        <v>216000</v>
      </c>
      <c r="N3298" s="391">
        <v>20000</v>
      </c>
      <c r="O3298" s="530"/>
      <c r="P3298" s="391"/>
      <c r="Q3298" s="391">
        <v>5973</v>
      </c>
      <c r="R3298" s="528">
        <f t="shared" si="489"/>
        <v>18000</v>
      </c>
      <c r="S3298" s="487"/>
      <c r="T3298" s="398"/>
      <c r="U3298" s="414"/>
    </row>
    <row r="3299" spans="1:21" s="416" customFormat="1" ht="56.25" customHeight="1">
      <c r="A3299" s="414">
        <f t="shared" si="488"/>
        <v>315</v>
      </c>
      <c r="B3299" s="403" t="s">
        <v>2617</v>
      </c>
      <c r="C3299" s="455" t="s">
        <v>393</v>
      </c>
      <c r="D3299" s="487">
        <v>3789</v>
      </c>
      <c r="E3299" s="391">
        <v>930</v>
      </c>
      <c r="F3299" s="391" t="s">
        <v>252</v>
      </c>
      <c r="G3299" s="391">
        <v>769</v>
      </c>
      <c r="H3299" s="528">
        <v>2</v>
      </c>
      <c r="I3299" s="528">
        <v>4</v>
      </c>
      <c r="J3299" s="528">
        <v>16</v>
      </c>
      <c r="K3299" s="458" t="s">
        <v>30</v>
      </c>
      <c r="L3299" s="529">
        <f t="shared" si="487"/>
        <v>412500</v>
      </c>
      <c r="M3299" s="529">
        <v>400000</v>
      </c>
      <c r="N3299" s="391"/>
      <c r="O3299" s="530">
        <f>M3299*0.3%</f>
        <v>1200</v>
      </c>
      <c r="P3299" s="391"/>
      <c r="Q3299" s="391">
        <v>11300</v>
      </c>
      <c r="R3299" s="528">
        <f t="shared" si="489"/>
        <v>25000</v>
      </c>
      <c r="S3299" s="487"/>
      <c r="T3299" s="398"/>
      <c r="U3299" s="414"/>
    </row>
    <row r="3300" spans="1:21" s="416" customFormat="1" ht="56.25" customHeight="1">
      <c r="A3300" s="414">
        <f t="shared" si="488"/>
        <v>316</v>
      </c>
      <c r="B3300" s="403" t="s">
        <v>2618</v>
      </c>
      <c r="C3300" s="455" t="s">
        <v>343</v>
      </c>
      <c r="D3300" s="811">
        <v>1692</v>
      </c>
      <c r="E3300" s="391">
        <v>540</v>
      </c>
      <c r="F3300" s="391" t="s">
        <v>223</v>
      </c>
      <c r="G3300" s="391">
        <v>366.6</v>
      </c>
      <c r="H3300" s="528">
        <v>2</v>
      </c>
      <c r="I3300" s="528">
        <v>2</v>
      </c>
      <c r="J3300" s="528">
        <v>8</v>
      </c>
      <c r="K3300" s="458" t="s">
        <v>30</v>
      </c>
      <c r="L3300" s="529">
        <f t="shared" si="487"/>
        <v>209546</v>
      </c>
      <c r="M3300" s="529">
        <f>J3300*25000</f>
        <v>200000</v>
      </c>
      <c r="N3300" s="391"/>
      <c r="O3300" s="530">
        <f>M3300*0.3%</f>
        <v>600</v>
      </c>
      <c r="P3300" s="391"/>
      <c r="Q3300" s="391">
        <v>8946</v>
      </c>
      <c r="R3300" s="528">
        <f t="shared" si="489"/>
        <v>25000</v>
      </c>
      <c r="S3300" s="487"/>
      <c r="T3300" s="398"/>
      <c r="U3300" s="414"/>
    </row>
    <row r="3301" spans="1:21" s="416" customFormat="1" ht="37.5" customHeight="1">
      <c r="A3301" s="414">
        <f t="shared" si="488"/>
        <v>317</v>
      </c>
      <c r="B3301" s="403" t="s">
        <v>2619</v>
      </c>
      <c r="C3301" s="455" t="s">
        <v>272</v>
      </c>
      <c r="D3301" s="487">
        <v>4508</v>
      </c>
      <c r="E3301" s="391">
        <v>650</v>
      </c>
      <c r="F3301" s="391" t="s">
        <v>223</v>
      </c>
      <c r="G3301" s="391">
        <v>578</v>
      </c>
      <c r="H3301" s="528">
        <v>2</v>
      </c>
      <c r="I3301" s="528">
        <v>2</v>
      </c>
      <c r="J3301" s="528">
        <v>16</v>
      </c>
      <c r="K3301" s="458" t="s">
        <v>33</v>
      </c>
      <c r="L3301" s="529">
        <f t="shared" si="487"/>
        <v>1645553.2</v>
      </c>
      <c r="M3301" s="529">
        <v>1618400</v>
      </c>
      <c r="N3301" s="391"/>
      <c r="O3301" s="530">
        <f>M3301*0.3%</f>
        <v>4855.2</v>
      </c>
      <c r="P3301" s="391"/>
      <c r="Q3301" s="391">
        <v>22298</v>
      </c>
      <c r="R3301" s="528">
        <f>M3301/G3301</f>
        <v>2800</v>
      </c>
      <c r="S3301" s="487"/>
      <c r="T3301" s="398">
        <f>M3301+N3301+O3301+Q3301</f>
        <v>1645553.2</v>
      </c>
      <c r="U3301" s="414"/>
    </row>
    <row r="3302" spans="1:21" s="416" customFormat="1" ht="56.25" customHeight="1">
      <c r="A3302" s="414">
        <f t="shared" si="488"/>
        <v>318</v>
      </c>
      <c r="B3302" s="403" t="s">
        <v>2620</v>
      </c>
      <c r="C3302" s="455" t="s">
        <v>343</v>
      </c>
      <c r="D3302" s="811">
        <v>2756</v>
      </c>
      <c r="E3302" s="391">
        <v>1123.8</v>
      </c>
      <c r="F3302" s="391" t="s">
        <v>223</v>
      </c>
      <c r="G3302" s="391">
        <v>534.79999999999995</v>
      </c>
      <c r="H3302" s="528">
        <v>2</v>
      </c>
      <c r="I3302" s="528">
        <v>2</v>
      </c>
      <c r="J3302" s="528">
        <v>12</v>
      </c>
      <c r="K3302" s="458" t="s">
        <v>30</v>
      </c>
      <c r="L3302" s="529">
        <f t="shared" si="487"/>
        <v>312200</v>
      </c>
      <c r="M3302" s="529">
        <f>J3302*25000</f>
        <v>300000</v>
      </c>
      <c r="N3302" s="391"/>
      <c r="O3302" s="530">
        <f>M3302*0.3%</f>
        <v>900</v>
      </c>
      <c r="P3302" s="391"/>
      <c r="Q3302" s="391">
        <v>11300</v>
      </c>
      <c r="R3302" s="528">
        <f>M3302/J3302</f>
        <v>25000</v>
      </c>
      <c r="S3302" s="487"/>
      <c r="T3302" s="398"/>
      <c r="U3302" s="414"/>
    </row>
    <row r="3303" spans="1:21" s="416" customFormat="1" ht="56.25" customHeight="1">
      <c r="A3303" s="414">
        <f t="shared" si="488"/>
        <v>319</v>
      </c>
      <c r="B3303" s="403" t="s">
        <v>2621</v>
      </c>
      <c r="C3303" s="455" t="s">
        <v>272</v>
      </c>
      <c r="D3303" s="811">
        <v>3690</v>
      </c>
      <c r="E3303" s="391">
        <v>1123.8</v>
      </c>
      <c r="F3303" s="391" t="s">
        <v>223</v>
      </c>
      <c r="G3303" s="391">
        <v>730</v>
      </c>
      <c r="H3303" s="528">
        <v>3</v>
      </c>
      <c r="I3303" s="528">
        <v>3</v>
      </c>
      <c r="J3303" s="528">
        <v>15</v>
      </c>
      <c r="K3303" s="458" t="s">
        <v>30</v>
      </c>
      <c r="L3303" s="529">
        <f t="shared" si="487"/>
        <v>387425</v>
      </c>
      <c r="M3303" s="529">
        <f>J3303*25000</f>
        <v>375000</v>
      </c>
      <c r="N3303" s="391"/>
      <c r="O3303" s="530">
        <f>M3303*0.3%</f>
        <v>1125</v>
      </c>
      <c r="P3303" s="391"/>
      <c r="Q3303" s="391">
        <v>11300</v>
      </c>
      <c r="R3303" s="528">
        <f>M3303/J3303</f>
        <v>25000</v>
      </c>
      <c r="S3303" s="487"/>
      <c r="T3303" s="398"/>
      <c r="U3303" s="414"/>
    </row>
    <row r="3304" spans="1:21" s="416" customFormat="1" ht="37.5" customHeight="1">
      <c r="A3304" s="414">
        <f t="shared" si="488"/>
        <v>320</v>
      </c>
      <c r="B3304" s="403" t="s">
        <v>2623</v>
      </c>
      <c r="C3304" s="455" t="s">
        <v>272</v>
      </c>
      <c r="D3304" s="487">
        <v>9046</v>
      </c>
      <c r="E3304" s="391">
        <v>1547</v>
      </c>
      <c r="F3304" s="391" t="s">
        <v>223</v>
      </c>
      <c r="G3304" s="391">
        <v>671</v>
      </c>
      <c r="H3304" s="528">
        <v>4</v>
      </c>
      <c r="I3304" s="528">
        <v>2</v>
      </c>
      <c r="J3304" s="528">
        <v>23</v>
      </c>
      <c r="K3304" s="458" t="s">
        <v>33</v>
      </c>
      <c r="L3304" s="529">
        <f t="shared" si="487"/>
        <v>1911215</v>
      </c>
      <c r="M3304" s="529">
        <v>1878800</v>
      </c>
      <c r="N3304" s="391"/>
      <c r="O3304" s="530">
        <v>20000</v>
      </c>
      <c r="P3304" s="391"/>
      <c r="Q3304" s="391">
        <v>12415</v>
      </c>
      <c r="R3304" s="528">
        <f>M3304/J3304</f>
        <v>81686.956521739135</v>
      </c>
      <c r="S3304" s="487"/>
      <c r="T3304" s="398"/>
      <c r="U3304" s="414"/>
    </row>
    <row r="3305" spans="1:21" s="416" customFormat="1" ht="37.5" customHeight="1">
      <c r="A3305" s="414">
        <f t="shared" si="488"/>
        <v>321</v>
      </c>
      <c r="B3305" s="403" t="s">
        <v>2624</v>
      </c>
      <c r="C3305" s="455" t="s">
        <v>403</v>
      </c>
      <c r="D3305" s="487">
        <v>5455</v>
      </c>
      <c r="E3305" s="391">
        <v>715</v>
      </c>
      <c r="F3305" s="391" t="s">
        <v>314</v>
      </c>
      <c r="G3305" s="391">
        <v>795.1</v>
      </c>
      <c r="H3305" s="528">
        <v>3</v>
      </c>
      <c r="I3305" s="528">
        <v>2</v>
      </c>
      <c r="J3305" s="528">
        <v>24</v>
      </c>
      <c r="K3305" s="458" t="s">
        <v>395</v>
      </c>
      <c r="L3305" s="529">
        <f t="shared" si="487"/>
        <v>1771541.66</v>
      </c>
      <c r="M3305" s="529">
        <f>SUM(G3305*2200)</f>
        <v>1749220</v>
      </c>
      <c r="N3305" s="391"/>
      <c r="O3305" s="530">
        <f>M3305*0.3%</f>
        <v>5247.66</v>
      </c>
      <c r="P3305" s="391"/>
      <c r="Q3305" s="391">
        <v>17074</v>
      </c>
      <c r="R3305" s="528">
        <f>M3305/G3305</f>
        <v>2200</v>
      </c>
      <c r="S3305" s="487"/>
      <c r="T3305" s="398">
        <f>M3305+N3305+O3305+Q3305</f>
        <v>1771541.66</v>
      </c>
      <c r="U3305" s="414"/>
    </row>
    <row r="3306" spans="1:21" s="416" customFormat="1" ht="59.25" customHeight="1">
      <c r="A3306" s="414">
        <f t="shared" si="488"/>
        <v>322</v>
      </c>
      <c r="B3306" s="403" t="s">
        <v>2626</v>
      </c>
      <c r="C3306" s="455" t="s">
        <v>315</v>
      </c>
      <c r="D3306" s="487">
        <v>68513</v>
      </c>
      <c r="E3306" s="391">
        <v>10889</v>
      </c>
      <c r="F3306" s="391" t="s">
        <v>234</v>
      </c>
      <c r="G3306" s="391">
        <v>3622</v>
      </c>
      <c r="H3306" s="528">
        <v>10</v>
      </c>
      <c r="I3306" s="528">
        <v>6</v>
      </c>
      <c r="J3306" s="528">
        <v>216</v>
      </c>
      <c r="K3306" s="458" t="s">
        <v>33</v>
      </c>
      <c r="L3306" s="529">
        <f t="shared" si="487"/>
        <v>6559158.7999999998</v>
      </c>
      <c r="M3306" s="529">
        <v>6519600</v>
      </c>
      <c r="N3306" s="391"/>
      <c r="O3306" s="530">
        <f>M3306*0.3%</f>
        <v>19558.8</v>
      </c>
      <c r="P3306" s="391"/>
      <c r="Q3306" s="391">
        <v>20000</v>
      </c>
      <c r="R3306" s="528">
        <f>M3306/G3306</f>
        <v>1800</v>
      </c>
      <c r="S3306" s="487"/>
      <c r="T3306" s="398">
        <f>M3306+N3306+O3306+Q3306</f>
        <v>6559158.7999999998</v>
      </c>
      <c r="U3306" s="414"/>
    </row>
    <row r="3307" spans="1:21" s="416" customFormat="1" ht="37.5" customHeight="1">
      <c r="A3307" s="414">
        <f t="shared" si="488"/>
        <v>323</v>
      </c>
      <c r="B3307" s="403" t="s">
        <v>2627</v>
      </c>
      <c r="C3307" s="455" t="s">
        <v>218</v>
      </c>
      <c r="D3307" s="487">
        <v>7182</v>
      </c>
      <c r="E3307" s="391">
        <v>1459</v>
      </c>
      <c r="F3307" s="391" t="s">
        <v>223</v>
      </c>
      <c r="G3307" s="391">
        <v>829</v>
      </c>
      <c r="H3307" s="528">
        <v>4</v>
      </c>
      <c r="I3307" s="528">
        <v>3</v>
      </c>
      <c r="J3307" s="528">
        <v>48</v>
      </c>
      <c r="K3307" s="458" t="s">
        <v>33</v>
      </c>
      <c r="L3307" s="529">
        <f t="shared" si="487"/>
        <v>2368680</v>
      </c>
      <c r="M3307" s="529">
        <v>2321200</v>
      </c>
      <c r="N3307" s="487">
        <v>25000</v>
      </c>
      <c r="O3307" s="391"/>
      <c r="P3307" s="391"/>
      <c r="Q3307" s="391">
        <v>22480</v>
      </c>
      <c r="R3307" s="528">
        <f>M3307/J3307</f>
        <v>48358.333333333336</v>
      </c>
      <c r="S3307" s="487"/>
      <c r="T3307" s="398">
        <f>M3307+N3307+O3307+Q3307</f>
        <v>2368680</v>
      </c>
      <c r="U3307" s="414"/>
    </row>
    <row r="3308" spans="1:21" s="416" customFormat="1" ht="37.5" customHeight="1">
      <c r="A3308" s="414">
        <f t="shared" si="488"/>
        <v>324</v>
      </c>
      <c r="B3308" s="403" t="s">
        <v>2633</v>
      </c>
      <c r="C3308" s="455" t="s">
        <v>218</v>
      </c>
      <c r="D3308" s="487">
        <v>36164</v>
      </c>
      <c r="E3308" s="391">
        <v>6804</v>
      </c>
      <c r="F3308" s="391" t="s">
        <v>234</v>
      </c>
      <c r="G3308" s="391">
        <v>1360</v>
      </c>
      <c r="H3308" s="528">
        <v>9</v>
      </c>
      <c r="I3308" s="528">
        <v>4</v>
      </c>
      <c r="J3308" s="528">
        <v>144</v>
      </c>
      <c r="K3308" s="458" t="s">
        <v>225</v>
      </c>
      <c r="L3308" s="529">
        <f t="shared" ref="L3308:L3334" si="490">M3308+N3308+O3308+P3308+Q3308</f>
        <v>2932000</v>
      </c>
      <c r="M3308" s="529">
        <f>J3308*20000</f>
        <v>2880000</v>
      </c>
      <c r="N3308" s="391">
        <v>32000</v>
      </c>
      <c r="O3308" s="530"/>
      <c r="P3308" s="391"/>
      <c r="Q3308" s="391">
        <v>20000</v>
      </c>
      <c r="R3308" s="528">
        <f>M3308/J3308</f>
        <v>20000</v>
      </c>
      <c r="S3308" s="487"/>
      <c r="T3308" s="398"/>
      <c r="U3308" s="414"/>
    </row>
    <row r="3309" spans="1:21" s="416" customFormat="1" ht="56.25" customHeight="1">
      <c r="A3309" s="414">
        <f t="shared" si="488"/>
        <v>325</v>
      </c>
      <c r="B3309" s="403" t="s">
        <v>2635</v>
      </c>
      <c r="C3309" s="455" t="s">
        <v>272</v>
      </c>
      <c r="D3309" s="487">
        <v>8856</v>
      </c>
      <c r="E3309" s="391">
        <v>1728</v>
      </c>
      <c r="F3309" s="391" t="s">
        <v>223</v>
      </c>
      <c r="G3309" s="391">
        <v>644</v>
      </c>
      <c r="H3309" s="528">
        <v>5</v>
      </c>
      <c r="I3309" s="528">
        <v>2</v>
      </c>
      <c r="J3309" s="528">
        <v>26</v>
      </c>
      <c r="K3309" s="458" t="s">
        <v>30</v>
      </c>
      <c r="L3309" s="529">
        <f t="shared" si="490"/>
        <v>731884</v>
      </c>
      <c r="M3309" s="529">
        <f>J3309*27000</f>
        <v>702000</v>
      </c>
      <c r="N3309" s="391"/>
      <c r="O3309" s="530">
        <f>M3309*0.3%</f>
        <v>2106</v>
      </c>
      <c r="P3309" s="391"/>
      <c r="Q3309" s="391">
        <v>27778</v>
      </c>
      <c r="R3309" s="528">
        <f>M3309/J3309</f>
        <v>27000</v>
      </c>
      <c r="S3309" s="487"/>
      <c r="T3309" s="398"/>
      <c r="U3309" s="414"/>
    </row>
    <row r="3310" spans="1:21" s="416" customFormat="1" ht="37.5" customHeight="1">
      <c r="A3310" s="414">
        <f t="shared" si="488"/>
        <v>326</v>
      </c>
      <c r="B3310" s="403" t="s">
        <v>2636</v>
      </c>
      <c r="C3310" s="455" t="s">
        <v>272</v>
      </c>
      <c r="D3310" s="811">
        <v>10750</v>
      </c>
      <c r="E3310" s="391">
        <v>715</v>
      </c>
      <c r="F3310" s="391" t="s">
        <v>223</v>
      </c>
      <c r="G3310" s="391">
        <v>1299</v>
      </c>
      <c r="H3310" s="528">
        <v>3</v>
      </c>
      <c r="I3310" s="528">
        <v>4</v>
      </c>
      <c r="J3310" s="528">
        <v>31</v>
      </c>
      <c r="K3310" s="458" t="s">
        <v>225</v>
      </c>
      <c r="L3310" s="529">
        <f t="shared" si="490"/>
        <v>534819</v>
      </c>
      <c r="M3310" s="529">
        <f>J3310*16000</f>
        <v>496000</v>
      </c>
      <c r="N3310" s="391">
        <v>30000</v>
      </c>
      <c r="O3310" s="530"/>
      <c r="P3310" s="391"/>
      <c r="Q3310" s="391">
        <v>8819</v>
      </c>
      <c r="R3310" s="528">
        <f>M3310/J3310</f>
        <v>16000</v>
      </c>
      <c r="S3310" s="487"/>
      <c r="T3310" s="398"/>
      <c r="U3310" s="414"/>
    </row>
    <row r="3311" spans="1:21" s="416" customFormat="1" ht="37.5" customHeight="1">
      <c r="A3311" s="414">
        <f t="shared" si="488"/>
        <v>327</v>
      </c>
      <c r="B3311" s="403" t="s">
        <v>2637</v>
      </c>
      <c r="C3311" s="455" t="s">
        <v>272</v>
      </c>
      <c r="D3311" s="487">
        <v>19861</v>
      </c>
      <c r="E3311" s="391">
        <v>2550</v>
      </c>
      <c r="F3311" s="391" t="s">
        <v>223</v>
      </c>
      <c r="G3311" s="391">
        <v>1806</v>
      </c>
      <c r="H3311" s="528">
        <v>5</v>
      </c>
      <c r="I3311" s="528">
        <v>6</v>
      </c>
      <c r="J3311" s="528">
        <v>120</v>
      </c>
      <c r="K3311" s="458" t="s">
        <v>33</v>
      </c>
      <c r="L3311" s="529">
        <f t="shared" si="490"/>
        <v>5107048.4000000004</v>
      </c>
      <c r="M3311" s="529">
        <v>5056800</v>
      </c>
      <c r="N3311" s="391"/>
      <c r="O3311" s="530">
        <f>M3311*0.3%</f>
        <v>15170.4</v>
      </c>
      <c r="P3311" s="391"/>
      <c r="Q3311" s="391">
        <v>35078</v>
      </c>
      <c r="R3311" s="528">
        <f>M3311/G3311</f>
        <v>2800</v>
      </c>
      <c r="S3311" s="487"/>
      <c r="T3311" s="398">
        <f>M3311+N3311+O3311+Q3311</f>
        <v>5107048.4000000004</v>
      </c>
      <c r="U3311" s="414"/>
    </row>
    <row r="3312" spans="1:21" s="416" customFormat="1" ht="37.5" customHeight="1">
      <c r="A3312" s="414">
        <f t="shared" si="488"/>
        <v>328</v>
      </c>
      <c r="B3312" s="403" t="s">
        <v>2639</v>
      </c>
      <c r="C3312" s="455" t="s">
        <v>272</v>
      </c>
      <c r="D3312" s="487">
        <v>20616</v>
      </c>
      <c r="E3312" s="391">
        <v>3399.2</v>
      </c>
      <c r="F3312" s="391" t="s">
        <v>234</v>
      </c>
      <c r="G3312" s="391">
        <v>1380</v>
      </c>
      <c r="H3312" s="528">
        <v>6</v>
      </c>
      <c r="I3312" s="528">
        <v>5</v>
      </c>
      <c r="J3312" s="528">
        <v>59</v>
      </c>
      <c r="K3312" s="458" t="s">
        <v>33</v>
      </c>
      <c r="L3312" s="529">
        <f t="shared" si="490"/>
        <v>2511452</v>
      </c>
      <c r="M3312" s="529">
        <v>2484000</v>
      </c>
      <c r="N3312" s="391"/>
      <c r="O3312" s="530">
        <f>M3312*0.3%</f>
        <v>7452</v>
      </c>
      <c r="P3312" s="391"/>
      <c r="Q3312" s="391">
        <v>20000</v>
      </c>
      <c r="R3312" s="528">
        <f>M3312/G3312</f>
        <v>1800</v>
      </c>
      <c r="S3312" s="487"/>
      <c r="T3312" s="398">
        <f>M3312+N3312+O3312+Q3312</f>
        <v>2511452</v>
      </c>
      <c r="U3312" s="414"/>
    </row>
    <row r="3313" spans="1:21" s="416" customFormat="1" ht="37.5" customHeight="1">
      <c r="A3313" s="414">
        <f t="shared" si="488"/>
        <v>329</v>
      </c>
      <c r="B3313" s="403" t="s">
        <v>2640</v>
      </c>
      <c r="C3313" s="455" t="s">
        <v>272</v>
      </c>
      <c r="D3313" s="487">
        <v>60525</v>
      </c>
      <c r="E3313" s="391">
        <v>6315</v>
      </c>
      <c r="F3313" s="391" t="s">
        <v>234</v>
      </c>
      <c r="G3313" s="391">
        <v>2178</v>
      </c>
      <c r="H3313" s="528">
        <v>10</v>
      </c>
      <c r="I3313" s="528">
        <v>5</v>
      </c>
      <c r="J3313" s="528">
        <v>220</v>
      </c>
      <c r="K3313" s="458" t="s">
        <v>285</v>
      </c>
      <c r="L3313" s="529">
        <f t="shared" si="490"/>
        <v>19020000</v>
      </c>
      <c r="M3313" s="529">
        <v>18945000</v>
      </c>
      <c r="N3313" s="391">
        <v>45000</v>
      </c>
      <c r="O3313" s="530"/>
      <c r="P3313" s="391"/>
      <c r="Q3313" s="391">
        <v>30000</v>
      </c>
      <c r="R3313" s="528">
        <f>M3313/E3313</f>
        <v>3000</v>
      </c>
      <c r="S3313" s="487"/>
      <c r="T3313" s="398"/>
      <c r="U3313" s="414"/>
    </row>
    <row r="3314" spans="1:21" s="416" customFormat="1" ht="37.5" customHeight="1">
      <c r="A3314" s="414">
        <f t="shared" si="488"/>
        <v>330</v>
      </c>
      <c r="B3314" s="403" t="s">
        <v>2641</v>
      </c>
      <c r="C3314" s="455" t="s">
        <v>218</v>
      </c>
      <c r="D3314" s="811">
        <v>12440</v>
      </c>
      <c r="E3314" s="391">
        <v>3070</v>
      </c>
      <c r="F3314" s="391" t="s">
        <v>234</v>
      </c>
      <c r="G3314" s="391">
        <v>626</v>
      </c>
      <c r="H3314" s="528">
        <v>9</v>
      </c>
      <c r="I3314" s="528">
        <v>2</v>
      </c>
      <c r="J3314" s="528">
        <v>72</v>
      </c>
      <c r="K3314" s="458" t="s">
        <v>33</v>
      </c>
      <c r="L3314" s="529">
        <f t="shared" si="490"/>
        <v>1150180.3999999999</v>
      </c>
      <c r="M3314" s="529">
        <v>1126800</v>
      </c>
      <c r="N3314" s="391"/>
      <c r="O3314" s="530">
        <f t="shared" ref="O3314:O3320" si="491">M3314*0.3%</f>
        <v>3380.4</v>
      </c>
      <c r="P3314" s="391"/>
      <c r="Q3314" s="391">
        <v>20000</v>
      </c>
      <c r="R3314" s="528">
        <f t="shared" ref="R3314:R3321" si="492">M3314/G3314</f>
        <v>1800</v>
      </c>
      <c r="S3314" s="487"/>
      <c r="T3314" s="398">
        <f t="shared" ref="T3314:T3321" si="493">M3314+N3314+O3314+Q3314</f>
        <v>1150180.3999999999</v>
      </c>
      <c r="U3314" s="414"/>
    </row>
    <row r="3315" spans="1:21" s="416" customFormat="1" ht="37.5" customHeight="1">
      <c r="A3315" s="414">
        <f t="shared" si="488"/>
        <v>331</v>
      </c>
      <c r="B3315" s="403" t="s">
        <v>2642</v>
      </c>
      <c r="C3315" s="455" t="s">
        <v>218</v>
      </c>
      <c r="D3315" s="487">
        <v>22907</v>
      </c>
      <c r="E3315" s="391">
        <v>3540</v>
      </c>
      <c r="F3315" s="391" t="s">
        <v>234</v>
      </c>
      <c r="G3315" s="391">
        <v>981</v>
      </c>
      <c r="H3315" s="528">
        <v>9</v>
      </c>
      <c r="I3315" s="528">
        <v>2</v>
      </c>
      <c r="J3315" s="528">
        <v>144</v>
      </c>
      <c r="K3315" s="458" t="s">
        <v>33</v>
      </c>
      <c r="L3315" s="529">
        <f t="shared" si="490"/>
        <v>1791097.4</v>
      </c>
      <c r="M3315" s="529">
        <v>1765800</v>
      </c>
      <c r="N3315" s="391"/>
      <c r="O3315" s="530">
        <f t="shared" si="491"/>
        <v>5297.4000000000005</v>
      </c>
      <c r="P3315" s="391"/>
      <c r="Q3315" s="391">
        <v>20000</v>
      </c>
      <c r="R3315" s="528">
        <f t="shared" si="492"/>
        <v>1800</v>
      </c>
      <c r="S3315" s="487"/>
      <c r="T3315" s="398">
        <f t="shared" si="493"/>
        <v>1791097.4</v>
      </c>
      <c r="U3315" s="414"/>
    </row>
    <row r="3316" spans="1:21" s="416" customFormat="1" ht="37.5" customHeight="1">
      <c r="A3316" s="414">
        <f t="shared" si="488"/>
        <v>332</v>
      </c>
      <c r="B3316" s="403" t="s">
        <v>2643</v>
      </c>
      <c r="C3316" s="455" t="s">
        <v>218</v>
      </c>
      <c r="D3316" s="487">
        <v>7657</v>
      </c>
      <c r="E3316" s="391">
        <v>1090</v>
      </c>
      <c r="F3316" s="391" t="s">
        <v>234</v>
      </c>
      <c r="G3316" s="391">
        <v>333</v>
      </c>
      <c r="H3316" s="528">
        <v>9</v>
      </c>
      <c r="I3316" s="528">
        <v>1</v>
      </c>
      <c r="J3316" s="528">
        <v>36</v>
      </c>
      <c r="K3316" s="458" t="s">
        <v>33</v>
      </c>
      <c r="L3316" s="529">
        <f t="shared" si="490"/>
        <v>614722.19999999995</v>
      </c>
      <c r="M3316" s="529">
        <v>599400</v>
      </c>
      <c r="N3316" s="391"/>
      <c r="O3316" s="530">
        <f t="shared" si="491"/>
        <v>1798.2</v>
      </c>
      <c r="P3316" s="391"/>
      <c r="Q3316" s="391">
        <v>13524</v>
      </c>
      <c r="R3316" s="528">
        <f t="shared" si="492"/>
        <v>1800</v>
      </c>
      <c r="S3316" s="487"/>
      <c r="T3316" s="398">
        <f t="shared" si="493"/>
        <v>614722.19999999995</v>
      </c>
      <c r="U3316" s="414"/>
    </row>
    <row r="3317" spans="1:21" s="416" customFormat="1" ht="35.25" customHeight="1">
      <c r="A3317" s="414">
        <f t="shared" si="488"/>
        <v>333</v>
      </c>
      <c r="B3317" s="403" t="s">
        <v>2644</v>
      </c>
      <c r="C3317" s="455" t="s">
        <v>218</v>
      </c>
      <c r="D3317" s="487">
        <v>23890</v>
      </c>
      <c r="E3317" s="391">
        <v>3590</v>
      </c>
      <c r="F3317" s="391" t="s">
        <v>234</v>
      </c>
      <c r="G3317" s="391">
        <v>983</v>
      </c>
      <c r="H3317" s="528">
        <v>9</v>
      </c>
      <c r="I3317" s="528">
        <v>2</v>
      </c>
      <c r="J3317" s="528">
        <v>144</v>
      </c>
      <c r="K3317" s="458" t="s">
        <v>33</v>
      </c>
      <c r="L3317" s="529">
        <f t="shared" si="490"/>
        <v>1794708.2</v>
      </c>
      <c r="M3317" s="529">
        <v>1769400</v>
      </c>
      <c r="N3317" s="391"/>
      <c r="O3317" s="530">
        <f t="shared" si="491"/>
        <v>5308.2</v>
      </c>
      <c r="P3317" s="391"/>
      <c r="Q3317" s="391">
        <v>20000</v>
      </c>
      <c r="R3317" s="528">
        <f t="shared" si="492"/>
        <v>1800</v>
      </c>
      <c r="S3317" s="487"/>
      <c r="T3317" s="398">
        <f t="shared" si="493"/>
        <v>1794708.2</v>
      </c>
      <c r="U3317" s="414"/>
    </row>
    <row r="3318" spans="1:21" s="416" customFormat="1" ht="35.25" customHeight="1">
      <c r="A3318" s="414">
        <f t="shared" si="488"/>
        <v>334</v>
      </c>
      <c r="B3318" s="403" t="s">
        <v>2645</v>
      </c>
      <c r="C3318" s="455" t="s">
        <v>218</v>
      </c>
      <c r="D3318" s="487">
        <v>7537</v>
      </c>
      <c r="E3318" s="391">
        <v>1090</v>
      </c>
      <c r="F3318" s="391" t="s">
        <v>234</v>
      </c>
      <c r="G3318" s="391">
        <v>328</v>
      </c>
      <c r="H3318" s="528">
        <v>9</v>
      </c>
      <c r="I3318" s="528">
        <v>1</v>
      </c>
      <c r="J3318" s="528">
        <v>36</v>
      </c>
      <c r="K3318" s="458" t="s">
        <v>33</v>
      </c>
      <c r="L3318" s="529">
        <f t="shared" si="490"/>
        <v>605483.19999999995</v>
      </c>
      <c r="M3318" s="529">
        <v>590400</v>
      </c>
      <c r="N3318" s="391"/>
      <c r="O3318" s="530">
        <f t="shared" si="491"/>
        <v>1771.2</v>
      </c>
      <c r="P3318" s="391"/>
      <c r="Q3318" s="391">
        <v>13312</v>
      </c>
      <c r="R3318" s="528">
        <f t="shared" si="492"/>
        <v>1800</v>
      </c>
      <c r="S3318" s="487"/>
      <c r="T3318" s="398">
        <f t="shared" si="493"/>
        <v>605483.19999999995</v>
      </c>
      <c r="U3318" s="414"/>
    </row>
    <row r="3319" spans="1:21" s="416" customFormat="1" ht="35.25" customHeight="1">
      <c r="A3319" s="414">
        <f t="shared" si="488"/>
        <v>335</v>
      </c>
      <c r="B3319" s="403" t="s">
        <v>2646</v>
      </c>
      <c r="C3319" s="455" t="s">
        <v>218</v>
      </c>
      <c r="D3319" s="487">
        <v>7550</v>
      </c>
      <c r="E3319" s="391">
        <v>1090</v>
      </c>
      <c r="F3319" s="391" t="s">
        <v>234</v>
      </c>
      <c r="G3319" s="391">
        <v>329</v>
      </c>
      <c r="H3319" s="528">
        <v>9</v>
      </c>
      <c r="I3319" s="528">
        <v>1</v>
      </c>
      <c r="J3319" s="528">
        <v>36</v>
      </c>
      <c r="K3319" s="458" t="s">
        <v>33</v>
      </c>
      <c r="L3319" s="529">
        <f t="shared" si="490"/>
        <v>607311.6</v>
      </c>
      <c r="M3319" s="529">
        <v>592200</v>
      </c>
      <c r="N3319" s="391"/>
      <c r="O3319" s="530">
        <f t="shared" si="491"/>
        <v>1776.6000000000001</v>
      </c>
      <c r="P3319" s="391"/>
      <c r="Q3319" s="391">
        <v>13335</v>
      </c>
      <c r="R3319" s="528">
        <f t="shared" si="492"/>
        <v>1800</v>
      </c>
      <c r="S3319" s="487"/>
      <c r="T3319" s="398">
        <f t="shared" si="493"/>
        <v>607311.6</v>
      </c>
      <c r="U3319" s="414"/>
    </row>
    <row r="3320" spans="1:21" s="416" customFormat="1" ht="35.25" customHeight="1">
      <c r="A3320" s="414">
        <f t="shared" si="488"/>
        <v>336</v>
      </c>
      <c r="B3320" s="403" t="s">
        <v>2647</v>
      </c>
      <c r="C3320" s="455" t="s">
        <v>218</v>
      </c>
      <c r="D3320" s="487">
        <v>16171</v>
      </c>
      <c r="E3320" s="391">
        <v>2560</v>
      </c>
      <c r="F3320" s="391" t="s">
        <v>234</v>
      </c>
      <c r="G3320" s="391">
        <v>692</v>
      </c>
      <c r="H3320" s="528">
        <v>9</v>
      </c>
      <c r="I3320" s="528">
        <v>2</v>
      </c>
      <c r="J3320" s="528">
        <v>72</v>
      </c>
      <c r="K3320" s="458" t="s">
        <v>33</v>
      </c>
      <c r="L3320" s="529">
        <f t="shared" si="490"/>
        <v>1269336.8</v>
      </c>
      <c r="M3320" s="529">
        <v>1245600</v>
      </c>
      <c r="N3320" s="391"/>
      <c r="O3320" s="530">
        <f t="shared" si="491"/>
        <v>3736.8</v>
      </c>
      <c r="P3320" s="391"/>
      <c r="Q3320" s="391">
        <v>20000</v>
      </c>
      <c r="R3320" s="528">
        <f t="shared" si="492"/>
        <v>1800</v>
      </c>
      <c r="S3320" s="487"/>
      <c r="T3320" s="398">
        <f t="shared" si="493"/>
        <v>1269336.8</v>
      </c>
      <c r="U3320" s="414"/>
    </row>
    <row r="3321" spans="1:21" s="416" customFormat="1" ht="35.25" customHeight="1">
      <c r="A3321" s="414">
        <f t="shared" si="488"/>
        <v>337</v>
      </c>
      <c r="B3321" s="403" t="s">
        <v>2648</v>
      </c>
      <c r="C3321" s="455" t="s">
        <v>218</v>
      </c>
      <c r="D3321" s="487">
        <v>49781</v>
      </c>
      <c r="E3321" s="391">
        <v>7118</v>
      </c>
      <c r="F3321" s="391" t="s">
        <v>234</v>
      </c>
      <c r="G3321" s="391">
        <v>831.74</v>
      </c>
      <c r="H3321" s="528">
        <v>12</v>
      </c>
      <c r="I3321" s="528">
        <v>4</v>
      </c>
      <c r="J3321" s="528">
        <v>198</v>
      </c>
      <c r="K3321" s="458" t="s">
        <v>33</v>
      </c>
      <c r="L3321" s="529">
        <f t="shared" si="490"/>
        <v>1522371.96</v>
      </c>
      <c r="M3321" s="529">
        <v>1497132</v>
      </c>
      <c r="N3321" s="391"/>
      <c r="O3321" s="530">
        <v>5239.96</v>
      </c>
      <c r="P3321" s="391"/>
      <c r="Q3321" s="391">
        <v>20000</v>
      </c>
      <c r="R3321" s="528">
        <f t="shared" si="492"/>
        <v>1800</v>
      </c>
      <c r="S3321" s="487"/>
      <c r="T3321" s="398">
        <f t="shared" si="493"/>
        <v>1522371.96</v>
      </c>
      <c r="U3321" s="414"/>
    </row>
    <row r="3322" spans="1:21" s="416" customFormat="1" ht="35.25" customHeight="1">
      <c r="A3322" s="414">
        <f t="shared" si="488"/>
        <v>338</v>
      </c>
      <c r="B3322" s="403" t="s">
        <v>2649</v>
      </c>
      <c r="C3322" s="455" t="s">
        <v>218</v>
      </c>
      <c r="D3322" s="808">
        <v>17426</v>
      </c>
      <c r="E3322" s="391">
        <v>3343</v>
      </c>
      <c r="F3322" s="391" t="s">
        <v>223</v>
      </c>
      <c r="G3322" s="391">
        <v>1110</v>
      </c>
      <c r="H3322" s="528">
        <v>6</v>
      </c>
      <c r="I3322" s="528">
        <v>4</v>
      </c>
      <c r="J3322" s="528">
        <v>80</v>
      </c>
      <c r="K3322" s="458" t="s">
        <v>38</v>
      </c>
      <c r="L3322" s="529">
        <f t="shared" si="490"/>
        <v>5059543.5</v>
      </c>
      <c r="M3322" s="529">
        <v>5014500</v>
      </c>
      <c r="N3322" s="391"/>
      <c r="O3322" s="530">
        <v>15043.5</v>
      </c>
      <c r="P3322" s="391"/>
      <c r="Q3322" s="391">
        <v>30000</v>
      </c>
      <c r="R3322" s="528">
        <f>M3322/E3322</f>
        <v>1500</v>
      </c>
      <c r="S3322" s="487"/>
      <c r="T3322" s="398"/>
      <c r="U3322" s="414"/>
    </row>
    <row r="3323" spans="1:21" s="416" customFormat="1" ht="35.25" customHeight="1">
      <c r="A3323" s="414">
        <f t="shared" si="488"/>
        <v>339</v>
      </c>
      <c r="B3323" s="403" t="s">
        <v>2650</v>
      </c>
      <c r="C3323" s="455" t="s">
        <v>218</v>
      </c>
      <c r="D3323" s="487">
        <v>20832</v>
      </c>
      <c r="E3323" s="391">
        <v>3981</v>
      </c>
      <c r="F3323" s="391" t="s">
        <v>234</v>
      </c>
      <c r="G3323" s="391">
        <v>978</v>
      </c>
      <c r="H3323" s="528">
        <v>12</v>
      </c>
      <c r="I3323" s="528">
        <v>2</v>
      </c>
      <c r="J3323" s="528">
        <v>76</v>
      </c>
      <c r="K3323" s="458" t="s">
        <v>33</v>
      </c>
      <c r="L3323" s="529">
        <f t="shared" si="490"/>
        <v>1785681.2</v>
      </c>
      <c r="M3323" s="529">
        <v>1760400</v>
      </c>
      <c r="N3323" s="391"/>
      <c r="O3323" s="530">
        <f>M3323*0.3%</f>
        <v>5281.2</v>
      </c>
      <c r="P3323" s="391"/>
      <c r="Q3323" s="391">
        <v>20000</v>
      </c>
      <c r="R3323" s="528">
        <f>M3323/G3323</f>
        <v>1800</v>
      </c>
      <c r="S3323" s="487"/>
      <c r="T3323" s="398">
        <f>M3323+N3323+O3323+Q3323</f>
        <v>1785681.2</v>
      </c>
      <c r="U3323" s="414"/>
    </row>
    <row r="3324" spans="1:21" s="416" customFormat="1" ht="35.25" customHeight="1">
      <c r="A3324" s="414">
        <f t="shared" si="488"/>
        <v>340</v>
      </c>
      <c r="B3324" s="403" t="s">
        <v>2651</v>
      </c>
      <c r="C3324" s="455" t="s">
        <v>218</v>
      </c>
      <c r="D3324" s="487">
        <v>12607</v>
      </c>
      <c r="E3324" s="391">
        <v>1040.5999999999999</v>
      </c>
      <c r="F3324" s="391" t="s">
        <v>223</v>
      </c>
      <c r="G3324" s="391">
        <v>1255.7</v>
      </c>
      <c r="H3324" s="528">
        <v>4</v>
      </c>
      <c r="I3324" s="528">
        <v>5</v>
      </c>
      <c r="J3324" s="528">
        <v>44</v>
      </c>
      <c r="K3324" s="458" t="s">
        <v>33</v>
      </c>
      <c r="L3324" s="529">
        <f t="shared" si="490"/>
        <v>3565967.88</v>
      </c>
      <c r="M3324" s="529">
        <v>3515960</v>
      </c>
      <c r="N3324" s="391"/>
      <c r="O3324" s="530">
        <f>M3324*0.3%</f>
        <v>10547.880000000001</v>
      </c>
      <c r="P3324" s="391"/>
      <c r="Q3324" s="391">
        <v>39460</v>
      </c>
      <c r="R3324" s="528">
        <f>M3324/G3324</f>
        <v>2800</v>
      </c>
      <c r="S3324" s="487"/>
      <c r="T3324" s="398">
        <f>M3324+N3324+O3324+Q3324</f>
        <v>3565967.88</v>
      </c>
      <c r="U3324" s="414"/>
    </row>
    <row r="3325" spans="1:21" s="416" customFormat="1" ht="56.25" customHeight="1">
      <c r="A3325" s="414">
        <f t="shared" si="488"/>
        <v>341</v>
      </c>
      <c r="B3325" s="403" t="s">
        <v>2652</v>
      </c>
      <c r="C3325" s="455" t="s">
        <v>393</v>
      </c>
      <c r="D3325" s="487">
        <v>3842</v>
      </c>
      <c r="E3325" s="391">
        <v>396</v>
      </c>
      <c r="F3325" s="391" t="s">
        <v>252</v>
      </c>
      <c r="G3325" s="391">
        <v>702</v>
      </c>
      <c r="H3325" s="528">
        <v>2</v>
      </c>
      <c r="I3325" s="528">
        <v>1</v>
      </c>
      <c r="J3325" s="528">
        <v>8</v>
      </c>
      <c r="K3325" s="458" t="s">
        <v>38</v>
      </c>
      <c r="L3325" s="529">
        <f t="shared" si="490"/>
        <v>636100</v>
      </c>
      <c r="M3325" s="529">
        <v>604800</v>
      </c>
      <c r="N3325" s="391"/>
      <c r="O3325" s="530">
        <v>20000</v>
      </c>
      <c r="P3325" s="391"/>
      <c r="Q3325" s="391">
        <v>11300</v>
      </c>
      <c r="R3325" s="528">
        <f t="shared" ref="R3325:R3331" si="494">M3325/J3325</f>
        <v>75600</v>
      </c>
      <c r="S3325" s="487"/>
      <c r="T3325" s="398"/>
      <c r="U3325" s="414"/>
    </row>
    <row r="3326" spans="1:21" s="416" customFormat="1" ht="37.5" customHeight="1">
      <c r="A3326" s="414">
        <f t="shared" si="488"/>
        <v>342</v>
      </c>
      <c r="B3326" s="403" t="s">
        <v>2653</v>
      </c>
      <c r="C3326" s="455" t="s">
        <v>393</v>
      </c>
      <c r="D3326" s="487">
        <v>1346</v>
      </c>
      <c r="E3326" s="391">
        <v>498</v>
      </c>
      <c r="F3326" s="391" t="s">
        <v>252</v>
      </c>
      <c r="G3326" s="391">
        <v>231</v>
      </c>
      <c r="H3326" s="528">
        <v>2</v>
      </c>
      <c r="I3326" s="528">
        <v>2</v>
      </c>
      <c r="J3326" s="528">
        <v>18</v>
      </c>
      <c r="K3326" s="458" t="s">
        <v>225</v>
      </c>
      <c r="L3326" s="529">
        <f t="shared" si="490"/>
        <v>350820</v>
      </c>
      <c r="M3326" s="529">
        <f>J3326*18000</f>
        <v>324000</v>
      </c>
      <c r="N3326" s="391">
        <v>20000</v>
      </c>
      <c r="O3326" s="530"/>
      <c r="P3326" s="391"/>
      <c r="Q3326" s="391">
        <v>6820</v>
      </c>
      <c r="R3326" s="528">
        <f t="shared" si="494"/>
        <v>18000</v>
      </c>
      <c r="S3326" s="487"/>
      <c r="T3326" s="398"/>
      <c r="U3326" s="414"/>
    </row>
    <row r="3327" spans="1:21" s="416" customFormat="1" ht="56.25" customHeight="1">
      <c r="A3327" s="414">
        <f t="shared" si="488"/>
        <v>343</v>
      </c>
      <c r="B3327" s="403" t="s">
        <v>2654</v>
      </c>
      <c r="C3327" s="455" t="s">
        <v>393</v>
      </c>
      <c r="D3327" s="487">
        <v>4277</v>
      </c>
      <c r="E3327" s="391">
        <v>338</v>
      </c>
      <c r="F3327" s="391" t="s">
        <v>252</v>
      </c>
      <c r="G3327" s="391">
        <v>842</v>
      </c>
      <c r="H3327" s="528">
        <v>2</v>
      </c>
      <c r="I3327" s="528">
        <v>1</v>
      </c>
      <c r="J3327" s="528">
        <v>12</v>
      </c>
      <c r="K3327" s="458" t="s">
        <v>238</v>
      </c>
      <c r="L3327" s="529">
        <f t="shared" si="490"/>
        <v>322558</v>
      </c>
      <c r="M3327" s="529">
        <f>J3327*25000</f>
        <v>300000</v>
      </c>
      <c r="N3327" s="391"/>
      <c r="O3327" s="530">
        <f>M3327*0.3%</f>
        <v>900</v>
      </c>
      <c r="P3327" s="391"/>
      <c r="Q3327" s="391">
        <v>21658</v>
      </c>
      <c r="R3327" s="528">
        <f t="shared" si="494"/>
        <v>25000</v>
      </c>
      <c r="S3327" s="487"/>
      <c r="T3327" s="398"/>
      <c r="U3327" s="414"/>
    </row>
    <row r="3328" spans="1:21" s="416" customFormat="1" ht="56.25" customHeight="1">
      <c r="A3328" s="414">
        <f t="shared" si="488"/>
        <v>344</v>
      </c>
      <c r="B3328" s="403" t="s">
        <v>2655</v>
      </c>
      <c r="C3328" s="455" t="s">
        <v>393</v>
      </c>
      <c r="D3328" s="487">
        <v>4296</v>
      </c>
      <c r="E3328" s="391">
        <v>340</v>
      </c>
      <c r="F3328" s="391" t="s">
        <v>252</v>
      </c>
      <c r="G3328" s="391">
        <f>842.4-12.3</f>
        <v>830.1</v>
      </c>
      <c r="H3328" s="528">
        <v>2</v>
      </c>
      <c r="I3328" s="528">
        <v>1</v>
      </c>
      <c r="J3328" s="528">
        <v>12</v>
      </c>
      <c r="K3328" s="458" t="s">
        <v>238</v>
      </c>
      <c r="L3328" s="529">
        <f t="shared" si="490"/>
        <v>322558</v>
      </c>
      <c r="M3328" s="529">
        <f>J3328*25000</f>
        <v>300000</v>
      </c>
      <c r="N3328" s="391"/>
      <c r="O3328" s="530">
        <f>M3328*0.3%</f>
        <v>900</v>
      </c>
      <c r="P3328" s="391"/>
      <c r="Q3328" s="391">
        <v>21658</v>
      </c>
      <c r="R3328" s="528">
        <f t="shared" si="494"/>
        <v>25000</v>
      </c>
      <c r="S3328" s="487"/>
      <c r="T3328" s="398"/>
      <c r="U3328" s="414"/>
    </row>
    <row r="3329" spans="1:31" s="416" customFormat="1" ht="56.25" customHeight="1">
      <c r="A3329" s="414">
        <f t="shared" si="488"/>
        <v>345</v>
      </c>
      <c r="B3329" s="403" t="s">
        <v>2656</v>
      </c>
      <c r="C3329" s="455" t="s">
        <v>393</v>
      </c>
      <c r="D3329" s="487">
        <v>2557</v>
      </c>
      <c r="E3329" s="391">
        <v>345</v>
      </c>
      <c r="F3329" s="391" t="s">
        <v>252</v>
      </c>
      <c r="G3329" s="391">
        <v>499.8</v>
      </c>
      <c r="H3329" s="528">
        <v>2</v>
      </c>
      <c r="I3329" s="528">
        <v>1</v>
      </c>
      <c r="J3329" s="528">
        <v>12</v>
      </c>
      <c r="K3329" s="458" t="s">
        <v>238</v>
      </c>
      <c r="L3329" s="529">
        <f t="shared" si="490"/>
        <v>312200</v>
      </c>
      <c r="M3329" s="529">
        <f>J3329*25000</f>
        <v>300000</v>
      </c>
      <c r="N3329" s="391"/>
      <c r="O3329" s="530">
        <f>M3329*0.3%</f>
        <v>900</v>
      </c>
      <c r="P3329" s="391"/>
      <c r="Q3329" s="391">
        <v>11300</v>
      </c>
      <c r="R3329" s="528">
        <f t="shared" si="494"/>
        <v>25000</v>
      </c>
      <c r="S3329" s="487"/>
      <c r="T3329" s="398"/>
      <c r="U3329" s="414"/>
    </row>
    <row r="3330" spans="1:31" s="416" customFormat="1" ht="37.5" customHeight="1">
      <c r="A3330" s="414">
        <f t="shared" si="488"/>
        <v>346</v>
      </c>
      <c r="B3330" s="403" t="s">
        <v>2657</v>
      </c>
      <c r="C3330" s="455" t="s">
        <v>399</v>
      </c>
      <c r="D3330" s="487">
        <v>2526</v>
      </c>
      <c r="E3330" s="391">
        <v>346</v>
      </c>
      <c r="F3330" s="391" t="s">
        <v>252</v>
      </c>
      <c r="G3330" s="391">
        <v>501</v>
      </c>
      <c r="H3330" s="528">
        <v>2</v>
      </c>
      <c r="I3330" s="528">
        <v>1</v>
      </c>
      <c r="J3330" s="528">
        <v>12</v>
      </c>
      <c r="K3330" s="458" t="s">
        <v>225</v>
      </c>
      <c r="L3330" s="529">
        <f t="shared" si="490"/>
        <v>240425</v>
      </c>
      <c r="M3330" s="529">
        <f>J3330*18000</f>
        <v>216000</v>
      </c>
      <c r="N3330" s="391">
        <v>20000</v>
      </c>
      <c r="O3330" s="530"/>
      <c r="P3330" s="391"/>
      <c r="Q3330" s="391">
        <v>4425</v>
      </c>
      <c r="R3330" s="528">
        <f t="shared" si="494"/>
        <v>18000</v>
      </c>
      <c r="S3330" s="487"/>
      <c r="T3330" s="398"/>
      <c r="U3330" s="414"/>
    </row>
    <row r="3331" spans="1:31" s="416" customFormat="1" ht="37.5" customHeight="1">
      <c r="A3331" s="414">
        <f t="shared" si="488"/>
        <v>347</v>
      </c>
      <c r="B3331" s="403" t="s">
        <v>2658</v>
      </c>
      <c r="C3331" s="455" t="s">
        <v>399</v>
      </c>
      <c r="D3331" s="487">
        <v>2549</v>
      </c>
      <c r="E3331" s="391">
        <v>347</v>
      </c>
      <c r="F3331" s="391" t="s">
        <v>252</v>
      </c>
      <c r="G3331" s="391">
        <v>500</v>
      </c>
      <c r="H3331" s="528">
        <v>2</v>
      </c>
      <c r="I3331" s="528">
        <v>1</v>
      </c>
      <c r="J3331" s="528">
        <v>12</v>
      </c>
      <c r="K3331" s="458" t="s">
        <v>225</v>
      </c>
      <c r="L3331" s="529">
        <f t="shared" si="490"/>
        <v>240434</v>
      </c>
      <c r="M3331" s="529">
        <f>J3331*18000</f>
        <v>216000</v>
      </c>
      <c r="N3331" s="391">
        <v>20000</v>
      </c>
      <c r="O3331" s="530"/>
      <c r="P3331" s="391"/>
      <c r="Q3331" s="391">
        <v>4434</v>
      </c>
      <c r="R3331" s="528">
        <f t="shared" si="494"/>
        <v>18000</v>
      </c>
      <c r="S3331" s="487"/>
      <c r="T3331" s="398"/>
      <c r="U3331" s="414"/>
    </row>
    <row r="3332" spans="1:31" s="416" customFormat="1" ht="37.5" customHeight="1">
      <c r="A3332" s="414">
        <f t="shared" si="488"/>
        <v>348</v>
      </c>
      <c r="B3332" s="403" t="s">
        <v>2661</v>
      </c>
      <c r="C3332" s="455" t="s">
        <v>218</v>
      </c>
      <c r="D3332" s="487">
        <v>21077</v>
      </c>
      <c r="E3332" s="391">
        <v>5625</v>
      </c>
      <c r="F3332" s="391" t="s">
        <v>231</v>
      </c>
      <c r="G3332" s="391">
        <v>1472</v>
      </c>
      <c r="H3332" s="528">
        <v>9</v>
      </c>
      <c r="I3332" s="528">
        <v>2</v>
      </c>
      <c r="J3332" s="528">
        <v>81</v>
      </c>
      <c r="K3332" s="458" t="s">
        <v>33</v>
      </c>
      <c r="L3332" s="529">
        <f t="shared" si="490"/>
        <v>4171190.8</v>
      </c>
      <c r="M3332" s="529">
        <v>4121600</v>
      </c>
      <c r="N3332" s="391"/>
      <c r="O3332" s="530">
        <f>M3332*0.3%</f>
        <v>12364.800000000001</v>
      </c>
      <c r="P3332" s="391"/>
      <c r="Q3332" s="391">
        <v>37226</v>
      </c>
      <c r="R3332" s="528">
        <f>M3332/G3332</f>
        <v>2800</v>
      </c>
      <c r="S3332" s="487"/>
      <c r="T3332" s="398">
        <f>M3332+N3332+O3332+Q3332</f>
        <v>4171190.8</v>
      </c>
      <c r="U3332" s="414"/>
      <c r="V3332" s="390"/>
    </row>
    <row r="3333" spans="1:31" s="416" customFormat="1" ht="37.5" customHeight="1">
      <c r="A3333" s="414">
        <f t="shared" si="488"/>
        <v>349</v>
      </c>
      <c r="B3333" s="403" t="s">
        <v>2662</v>
      </c>
      <c r="C3333" s="455" t="s">
        <v>272</v>
      </c>
      <c r="D3333" s="487">
        <v>14576</v>
      </c>
      <c r="E3333" s="391">
        <v>3200</v>
      </c>
      <c r="F3333" s="391" t="s">
        <v>234</v>
      </c>
      <c r="G3333" s="391">
        <v>608.29999999999995</v>
      </c>
      <c r="H3333" s="528">
        <v>9</v>
      </c>
      <c r="I3333" s="528">
        <v>1</v>
      </c>
      <c r="J3333" s="528">
        <v>129</v>
      </c>
      <c r="K3333" s="458" t="s">
        <v>225</v>
      </c>
      <c r="L3333" s="529">
        <f t="shared" si="490"/>
        <v>2623933</v>
      </c>
      <c r="M3333" s="529">
        <f>J3333*20000</f>
        <v>2580000</v>
      </c>
      <c r="N3333" s="391">
        <v>32000</v>
      </c>
      <c r="O3333" s="530"/>
      <c r="P3333" s="391"/>
      <c r="Q3333" s="391">
        <v>11933</v>
      </c>
      <c r="R3333" s="528">
        <f>M3333/J3333</f>
        <v>20000</v>
      </c>
      <c r="S3333" s="487"/>
      <c r="T3333" s="398"/>
      <c r="U3333" s="414"/>
      <c r="V3333" s="390"/>
    </row>
    <row r="3334" spans="1:31" s="416" customFormat="1" ht="37.5" customHeight="1">
      <c r="A3334" s="414">
        <f t="shared" si="488"/>
        <v>350</v>
      </c>
      <c r="B3334" s="403" t="s">
        <v>2663</v>
      </c>
      <c r="C3334" s="455" t="s">
        <v>218</v>
      </c>
      <c r="D3334" s="487">
        <v>16455</v>
      </c>
      <c r="E3334" s="391">
        <v>3155</v>
      </c>
      <c r="F3334" s="391" t="s">
        <v>234</v>
      </c>
      <c r="G3334" s="391">
        <v>666</v>
      </c>
      <c r="H3334" s="528">
        <v>9</v>
      </c>
      <c r="I3334" s="528">
        <v>2</v>
      </c>
      <c r="J3334" s="528">
        <f>72-1</f>
        <v>71</v>
      </c>
      <c r="K3334" s="458" t="s">
        <v>38</v>
      </c>
      <c r="L3334" s="529">
        <f t="shared" si="490"/>
        <v>4776697.5</v>
      </c>
      <c r="M3334" s="529">
        <f>E3334*1500</f>
        <v>4732500</v>
      </c>
      <c r="N3334" s="391"/>
      <c r="O3334" s="530">
        <f t="shared" ref="O3334:O3343" si="495">M3334*0.3%</f>
        <v>14197.5</v>
      </c>
      <c r="P3334" s="391"/>
      <c r="Q3334" s="391">
        <v>30000</v>
      </c>
      <c r="R3334" s="528">
        <f>M3334/E3334</f>
        <v>1500</v>
      </c>
      <c r="S3334" s="487"/>
      <c r="T3334" s="398"/>
      <c r="U3334" s="414"/>
      <c r="V3334" s="390"/>
    </row>
    <row r="3335" spans="1:31" s="977" customFormat="1" ht="37.5" customHeight="1">
      <c r="A3335" s="414">
        <f t="shared" si="488"/>
        <v>351</v>
      </c>
      <c r="B3335" s="403" t="s">
        <v>3773</v>
      </c>
      <c r="C3335" s="455" t="s">
        <v>218</v>
      </c>
      <c r="D3335" s="487">
        <v>7870</v>
      </c>
      <c r="E3335" s="391">
        <v>1893.23</v>
      </c>
      <c r="F3335" s="391" t="s">
        <v>234</v>
      </c>
      <c r="G3335" s="391">
        <v>343.5</v>
      </c>
      <c r="H3335" s="528">
        <v>9</v>
      </c>
      <c r="I3335" s="528">
        <v>1</v>
      </c>
      <c r="J3335" s="528">
        <v>36</v>
      </c>
      <c r="K3335" s="458" t="s">
        <v>33</v>
      </c>
      <c r="L3335" s="529">
        <f t="shared" ref="L3335:L3351" si="496">M3335+N3335+O3335+P3335+Q3335</f>
        <v>634054.9</v>
      </c>
      <c r="M3335" s="529">
        <v>618300</v>
      </c>
      <c r="N3335" s="391"/>
      <c r="O3335" s="530">
        <f t="shared" si="495"/>
        <v>1854.9</v>
      </c>
      <c r="P3335" s="391"/>
      <c r="Q3335" s="391">
        <v>13900</v>
      </c>
      <c r="R3335" s="528">
        <f>M3335/G3335</f>
        <v>1800</v>
      </c>
      <c r="S3335" s="388"/>
      <c r="T3335" s="398">
        <f>M3335+N3335+O3335+Q3335</f>
        <v>634054.9</v>
      </c>
      <c r="U3335" s="493"/>
      <c r="V3335" s="390"/>
      <c r="W3335" s="981"/>
      <c r="X3335" s="414"/>
      <c r="Y3335" s="825"/>
      <c r="Z3335" s="981"/>
      <c r="AB3335" s="414"/>
      <c r="AC3335" s="825"/>
      <c r="AD3335" s="414"/>
      <c r="AE3335" s="825"/>
    </row>
    <row r="3336" spans="1:31" s="977" customFormat="1" ht="37.5" customHeight="1">
      <c r="A3336" s="414">
        <f t="shared" si="488"/>
        <v>352</v>
      </c>
      <c r="B3336" s="403" t="s">
        <v>2665</v>
      </c>
      <c r="C3336" s="455" t="s">
        <v>218</v>
      </c>
      <c r="D3336" s="487">
        <v>19298</v>
      </c>
      <c r="E3336" s="391">
        <v>1109</v>
      </c>
      <c r="F3336" s="391" t="s">
        <v>234</v>
      </c>
      <c r="G3336" s="391">
        <v>340</v>
      </c>
      <c r="H3336" s="528">
        <v>9</v>
      </c>
      <c r="I3336" s="528">
        <v>1</v>
      </c>
      <c r="J3336" s="528">
        <v>36</v>
      </c>
      <c r="K3336" s="458" t="s">
        <v>33</v>
      </c>
      <c r="L3336" s="529">
        <f t="shared" si="496"/>
        <v>633836</v>
      </c>
      <c r="M3336" s="529">
        <v>612000</v>
      </c>
      <c r="N3336" s="391"/>
      <c r="O3336" s="530">
        <f t="shared" si="495"/>
        <v>1836</v>
      </c>
      <c r="P3336" s="391"/>
      <c r="Q3336" s="391">
        <v>20000</v>
      </c>
      <c r="R3336" s="528">
        <f>M3336/G3336</f>
        <v>1800</v>
      </c>
      <c r="S3336" s="388"/>
      <c r="T3336" s="398">
        <f>M3336+N3336+O3336+Q3336</f>
        <v>633836</v>
      </c>
      <c r="U3336" s="493"/>
      <c r="V3336" s="390"/>
      <c r="W3336" s="981"/>
      <c r="X3336" s="414"/>
      <c r="Y3336" s="825"/>
      <c r="Z3336" s="981"/>
      <c r="AB3336" s="414"/>
      <c r="AC3336" s="825"/>
      <c r="AD3336" s="414"/>
      <c r="AE3336" s="825"/>
    </row>
    <row r="3337" spans="1:31" s="977" customFormat="1" ht="56.25" customHeight="1">
      <c r="A3337" s="414">
        <f t="shared" si="488"/>
        <v>353</v>
      </c>
      <c r="B3337" s="403" t="s">
        <v>2666</v>
      </c>
      <c r="C3337" s="455" t="s">
        <v>218</v>
      </c>
      <c r="D3337" s="487">
        <v>15730</v>
      </c>
      <c r="E3337" s="391">
        <v>2970</v>
      </c>
      <c r="F3337" s="391" t="s">
        <v>234</v>
      </c>
      <c r="G3337" s="391">
        <v>687</v>
      </c>
      <c r="H3337" s="528">
        <v>9</v>
      </c>
      <c r="I3337" s="528">
        <v>2</v>
      </c>
      <c r="J3337" s="528">
        <v>71</v>
      </c>
      <c r="K3337" s="458" t="s">
        <v>30</v>
      </c>
      <c r="L3337" s="529">
        <f t="shared" si="496"/>
        <v>2313657</v>
      </c>
      <c r="M3337" s="529">
        <f>J3337*32000</f>
        <v>2272000</v>
      </c>
      <c r="N3337" s="391"/>
      <c r="O3337" s="530">
        <f t="shared" si="495"/>
        <v>6816</v>
      </c>
      <c r="P3337" s="391"/>
      <c r="Q3337" s="391">
        <v>34841</v>
      </c>
      <c r="R3337" s="528">
        <f>M3337/J3337</f>
        <v>32000</v>
      </c>
      <c r="S3337" s="388"/>
      <c r="T3337" s="398"/>
      <c r="U3337" s="493"/>
      <c r="V3337" s="390"/>
      <c r="W3337" s="981"/>
      <c r="X3337" s="414"/>
      <c r="Y3337" s="825"/>
      <c r="Z3337" s="981"/>
      <c r="AB3337" s="414"/>
      <c r="AC3337" s="825"/>
      <c r="AD3337" s="414"/>
      <c r="AE3337" s="825"/>
    </row>
    <row r="3338" spans="1:31" s="977" customFormat="1" ht="37.5" customHeight="1">
      <c r="A3338" s="414">
        <f t="shared" si="488"/>
        <v>354</v>
      </c>
      <c r="B3338" s="403" t="s">
        <v>2669</v>
      </c>
      <c r="C3338" s="455" t="s">
        <v>272</v>
      </c>
      <c r="D3338" s="487">
        <v>32053</v>
      </c>
      <c r="E3338" s="391">
        <v>2780</v>
      </c>
      <c r="F3338" s="391" t="s">
        <v>234</v>
      </c>
      <c r="G3338" s="391">
        <v>1567.1</v>
      </c>
      <c r="H3338" s="528">
        <v>9</v>
      </c>
      <c r="I3338" s="528">
        <v>4</v>
      </c>
      <c r="J3338" s="528">
        <v>137</v>
      </c>
      <c r="K3338" s="458" t="s">
        <v>33</v>
      </c>
      <c r="L3338" s="529">
        <f t="shared" si="496"/>
        <v>2849242.34</v>
      </c>
      <c r="M3338" s="529">
        <v>2820780</v>
      </c>
      <c r="N3338" s="391"/>
      <c r="O3338" s="530">
        <f t="shared" si="495"/>
        <v>8462.34</v>
      </c>
      <c r="P3338" s="391"/>
      <c r="Q3338" s="391">
        <v>20000</v>
      </c>
      <c r="R3338" s="528">
        <f>M3338/G3338</f>
        <v>1800</v>
      </c>
      <c r="S3338" s="388"/>
      <c r="T3338" s="398">
        <f t="shared" ref="T3338:T3343" si="497">M3338+N3338+O3338+Q3338</f>
        <v>2849242.34</v>
      </c>
      <c r="U3338" s="493"/>
      <c r="V3338" s="390"/>
      <c r="W3338" s="981"/>
      <c r="X3338" s="414"/>
      <c r="Y3338" s="825"/>
      <c r="Z3338" s="981"/>
      <c r="AB3338" s="414"/>
      <c r="AC3338" s="825"/>
      <c r="AD3338" s="414"/>
      <c r="AE3338" s="825"/>
    </row>
    <row r="3339" spans="1:31" s="416" customFormat="1" ht="35.25" customHeight="1">
      <c r="A3339" s="414">
        <f t="shared" si="488"/>
        <v>355</v>
      </c>
      <c r="B3339" s="403" t="s">
        <v>2677</v>
      </c>
      <c r="C3339" s="455" t="s">
        <v>315</v>
      </c>
      <c r="D3339" s="487">
        <v>4141</v>
      </c>
      <c r="E3339" s="391">
        <v>926</v>
      </c>
      <c r="F3339" s="391" t="s">
        <v>223</v>
      </c>
      <c r="G3339" s="391">
        <v>547</v>
      </c>
      <c r="H3339" s="528">
        <v>3</v>
      </c>
      <c r="I3339" s="528">
        <v>2</v>
      </c>
      <c r="J3339" s="528">
        <v>18</v>
      </c>
      <c r="K3339" s="458" t="s">
        <v>33</v>
      </c>
      <c r="L3339" s="529">
        <f t="shared" si="496"/>
        <v>1549155.8</v>
      </c>
      <c r="M3339" s="529">
        <f>G3339*2800</f>
        <v>1531600</v>
      </c>
      <c r="N3339" s="391"/>
      <c r="O3339" s="530">
        <f t="shared" si="495"/>
        <v>4594.8</v>
      </c>
      <c r="P3339" s="391"/>
      <c r="Q3339" s="391">
        <v>12961</v>
      </c>
      <c r="R3339" s="528">
        <f t="shared" ref="R3339:R3344" si="498">M3339/G3339</f>
        <v>2800</v>
      </c>
      <c r="S3339" s="487"/>
      <c r="T3339" s="398">
        <f t="shared" si="497"/>
        <v>1549155.8</v>
      </c>
      <c r="U3339" s="414"/>
      <c r="V3339" s="390"/>
    </row>
    <row r="3340" spans="1:31" s="416" customFormat="1" ht="35.25" customHeight="1">
      <c r="A3340" s="414">
        <f t="shared" si="488"/>
        <v>356</v>
      </c>
      <c r="B3340" s="403" t="s">
        <v>2678</v>
      </c>
      <c r="C3340" s="455" t="s">
        <v>315</v>
      </c>
      <c r="D3340" s="487">
        <v>4162</v>
      </c>
      <c r="E3340" s="391">
        <v>926</v>
      </c>
      <c r="F3340" s="391" t="s">
        <v>223</v>
      </c>
      <c r="G3340" s="391">
        <v>585</v>
      </c>
      <c r="H3340" s="528">
        <v>3</v>
      </c>
      <c r="I3340" s="528">
        <v>2</v>
      </c>
      <c r="J3340" s="528">
        <v>18</v>
      </c>
      <c r="K3340" s="458" t="s">
        <v>33</v>
      </c>
      <c r="L3340" s="529">
        <f t="shared" si="496"/>
        <v>1655875</v>
      </c>
      <c r="M3340" s="529">
        <f>G3340*2800</f>
        <v>1638000</v>
      </c>
      <c r="N3340" s="391"/>
      <c r="O3340" s="530">
        <f t="shared" si="495"/>
        <v>4914</v>
      </c>
      <c r="P3340" s="391"/>
      <c r="Q3340" s="391">
        <v>12961</v>
      </c>
      <c r="R3340" s="528">
        <f t="shared" si="498"/>
        <v>2800</v>
      </c>
      <c r="S3340" s="487"/>
      <c r="T3340" s="398">
        <f t="shared" si="497"/>
        <v>1655875</v>
      </c>
      <c r="U3340" s="414"/>
      <c r="V3340" s="390"/>
    </row>
    <row r="3341" spans="1:31" s="416" customFormat="1" ht="35.25" customHeight="1">
      <c r="A3341" s="414">
        <f t="shared" si="488"/>
        <v>357</v>
      </c>
      <c r="B3341" s="403" t="s">
        <v>2680</v>
      </c>
      <c r="C3341" s="455" t="s">
        <v>218</v>
      </c>
      <c r="D3341" s="487">
        <v>7273</v>
      </c>
      <c r="E3341" s="391">
        <v>1484.97</v>
      </c>
      <c r="F3341" s="391" t="s">
        <v>223</v>
      </c>
      <c r="G3341" s="391">
        <v>832</v>
      </c>
      <c r="H3341" s="528">
        <v>4</v>
      </c>
      <c r="I3341" s="528">
        <v>3</v>
      </c>
      <c r="J3341" s="528">
        <v>48</v>
      </c>
      <c r="K3341" s="458" t="s">
        <v>33</v>
      </c>
      <c r="L3341" s="529">
        <f t="shared" si="496"/>
        <v>2359352.7999999998</v>
      </c>
      <c r="M3341" s="529">
        <f>G3341*2800</f>
        <v>2329600</v>
      </c>
      <c r="N3341" s="391"/>
      <c r="O3341" s="530">
        <f t="shared" si="495"/>
        <v>6988.8</v>
      </c>
      <c r="P3341" s="391"/>
      <c r="Q3341" s="391">
        <v>22764</v>
      </c>
      <c r="R3341" s="528">
        <f t="shared" si="498"/>
        <v>2800</v>
      </c>
      <c r="S3341" s="487"/>
      <c r="T3341" s="398">
        <f t="shared" si="497"/>
        <v>2359352.7999999998</v>
      </c>
      <c r="U3341" s="414"/>
      <c r="V3341" s="390"/>
    </row>
    <row r="3342" spans="1:31" s="416" customFormat="1" ht="35.25" customHeight="1">
      <c r="A3342" s="414">
        <f t="shared" si="488"/>
        <v>358</v>
      </c>
      <c r="B3342" s="403" t="s">
        <v>2682</v>
      </c>
      <c r="C3342" s="455" t="s">
        <v>218</v>
      </c>
      <c r="D3342" s="487">
        <v>31500</v>
      </c>
      <c r="E3342" s="391">
        <v>6089</v>
      </c>
      <c r="F3342" s="391" t="s">
        <v>234</v>
      </c>
      <c r="G3342" s="391">
        <v>1427.8</v>
      </c>
      <c r="H3342" s="528">
        <v>9</v>
      </c>
      <c r="I3342" s="528">
        <v>4</v>
      </c>
      <c r="J3342" s="528">
        <v>144</v>
      </c>
      <c r="K3342" s="458" t="s">
        <v>33</v>
      </c>
      <c r="L3342" s="529">
        <f t="shared" si="496"/>
        <v>2597750.12</v>
      </c>
      <c r="M3342" s="529">
        <v>2570040</v>
      </c>
      <c r="N3342" s="391"/>
      <c r="O3342" s="530">
        <f t="shared" si="495"/>
        <v>7710.12</v>
      </c>
      <c r="P3342" s="391"/>
      <c r="Q3342" s="391">
        <v>20000</v>
      </c>
      <c r="R3342" s="528">
        <f t="shared" si="498"/>
        <v>1800</v>
      </c>
      <c r="S3342" s="487"/>
      <c r="T3342" s="398">
        <f t="shared" si="497"/>
        <v>2597750.12</v>
      </c>
      <c r="U3342" s="414"/>
      <c r="V3342" s="390"/>
    </row>
    <row r="3343" spans="1:31" s="416" customFormat="1" ht="37.5" customHeight="1">
      <c r="A3343" s="414">
        <f t="shared" si="488"/>
        <v>359</v>
      </c>
      <c r="B3343" s="403" t="s">
        <v>2683</v>
      </c>
      <c r="C3343" s="455" t="s">
        <v>218</v>
      </c>
      <c r="D3343" s="487">
        <v>18973</v>
      </c>
      <c r="E3343" s="391">
        <v>4860</v>
      </c>
      <c r="F3343" s="391" t="s">
        <v>234</v>
      </c>
      <c r="G3343" s="391">
        <v>1390</v>
      </c>
      <c r="H3343" s="528">
        <v>9</v>
      </c>
      <c r="I3343" s="528">
        <v>3</v>
      </c>
      <c r="J3343" s="528">
        <v>216</v>
      </c>
      <c r="K3343" s="458" t="s">
        <v>33</v>
      </c>
      <c r="L3343" s="529">
        <f t="shared" si="496"/>
        <v>2529506</v>
      </c>
      <c r="M3343" s="529">
        <v>2502000</v>
      </c>
      <c r="N3343" s="391"/>
      <c r="O3343" s="530">
        <f t="shared" si="495"/>
        <v>7506</v>
      </c>
      <c r="P3343" s="391"/>
      <c r="Q3343" s="391">
        <v>20000</v>
      </c>
      <c r="R3343" s="528">
        <f t="shared" si="498"/>
        <v>1800</v>
      </c>
      <c r="S3343" s="487"/>
      <c r="T3343" s="398">
        <f t="shared" si="497"/>
        <v>2529506</v>
      </c>
      <c r="U3343" s="414"/>
      <c r="V3343" s="390"/>
    </row>
    <row r="3344" spans="1:31" s="416" customFormat="1" ht="37.5" customHeight="1">
      <c r="A3344" s="414">
        <f t="shared" si="488"/>
        <v>360</v>
      </c>
      <c r="B3344" s="403" t="s">
        <v>2684</v>
      </c>
      <c r="C3344" s="455" t="s">
        <v>218</v>
      </c>
      <c r="D3344" s="487">
        <v>12483</v>
      </c>
      <c r="E3344" s="391">
        <v>2325</v>
      </c>
      <c r="F3344" s="391" t="s">
        <v>223</v>
      </c>
      <c r="G3344" s="391">
        <v>1143</v>
      </c>
      <c r="H3344" s="528">
        <v>5</v>
      </c>
      <c r="I3344" s="528">
        <v>4</v>
      </c>
      <c r="J3344" s="528">
        <v>80</v>
      </c>
      <c r="K3344" s="458" t="s">
        <v>225</v>
      </c>
      <c r="L3344" s="529">
        <f t="shared" si="496"/>
        <v>1327000</v>
      </c>
      <c r="M3344" s="529">
        <f>J3344*16000</f>
        <v>1280000</v>
      </c>
      <c r="N3344" s="391">
        <v>27000</v>
      </c>
      <c r="O3344" s="530"/>
      <c r="P3344" s="391"/>
      <c r="Q3344" s="391">
        <v>20000</v>
      </c>
      <c r="R3344" s="528">
        <f t="shared" si="498"/>
        <v>1119.8600174978128</v>
      </c>
      <c r="S3344" s="487"/>
      <c r="T3344" s="398"/>
      <c r="U3344" s="414"/>
      <c r="V3344" s="390"/>
    </row>
    <row r="3345" spans="1:31" s="416" customFormat="1" ht="37.5" customHeight="1">
      <c r="A3345" s="414">
        <f t="shared" si="488"/>
        <v>361</v>
      </c>
      <c r="B3345" s="403" t="s">
        <v>2685</v>
      </c>
      <c r="C3345" s="455" t="s">
        <v>392</v>
      </c>
      <c r="D3345" s="487">
        <v>2808</v>
      </c>
      <c r="E3345" s="391">
        <v>461</v>
      </c>
      <c r="F3345" s="391" t="s">
        <v>223</v>
      </c>
      <c r="G3345" s="391">
        <v>571</v>
      </c>
      <c r="H3345" s="528">
        <v>2</v>
      </c>
      <c r="I3345" s="528">
        <v>2</v>
      </c>
      <c r="J3345" s="528">
        <v>16</v>
      </c>
      <c r="K3345" s="458" t="s">
        <v>225</v>
      </c>
      <c r="L3345" s="529">
        <f t="shared" si="496"/>
        <v>312582</v>
      </c>
      <c r="M3345" s="529">
        <f>J3345*18000</f>
        <v>288000</v>
      </c>
      <c r="N3345" s="391">
        <v>20000</v>
      </c>
      <c r="O3345" s="530"/>
      <c r="P3345" s="391"/>
      <c r="Q3345" s="391">
        <v>4582</v>
      </c>
      <c r="R3345" s="528">
        <f>M3345/J3345</f>
        <v>18000</v>
      </c>
      <c r="S3345" s="487"/>
      <c r="T3345" s="398"/>
      <c r="U3345" s="414"/>
      <c r="V3345" s="390"/>
    </row>
    <row r="3346" spans="1:31" s="416" customFormat="1" ht="37.5" customHeight="1">
      <c r="A3346" s="414">
        <f t="shared" si="488"/>
        <v>362</v>
      </c>
      <c r="B3346" s="403" t="s">
        <v>2686</v>
      </c>
      <c r="C3346" s="455" t="s">
        <v>392</v>
      </c>
      <c r="D3346" s="487">
        <v>2785</v>
      </c>
      <c r="E3346" s="391">
        <v>456</v>
      </c>
      <c r="F3346" s="391" t="s">
        <v>223</v>
      </c>
      <c r="G3346" s="391">
        <v>557</v>
      </c>
      <c r="H3346" s="528">
        <v>2</v>
      </c>
      <c r="I3346" s="528">
        <v>2</v>
      </c>
      <c r="J3346" s="528">
        <v>16</v>
      </c>
      <c r="K3346" s="458" t="s">
        <v>225</v>
      </c>
      <c r="L3346" s="529">
        <f t="shared" si="496"/>
        <v>312367</v>
      </c>
      <c r="M3346" s="529">
        <f>J3346*18000</f>
        <v>288000</v>
      </c>
      <c r="N3346" s="391">
        <v>20000</v>
      </c>
      <c r="O3346" s="530"/>
      <c r="P3346" s="391"/>
      <c r="Q3346" s="391">
        <v>4367</v>
      </c>
      <c r="R3346" s="528">
        <f>M3346/J3346</f>
        <v>18000</v>
      </c>
      <c r="S3346" s="487"/>
      <c r="T3346" s="398"/>
      <c r="U3346" s="414"/>
    </row>
    <row r="3347" spans="1:31" s="416" customFormat="1" ht="37.5" customHeight="1">
      <c r="A3347" s="414">
        <f t="shared" si="488"/>
        <v>363</v>
      </c>
      <c r="B3347" s="403" t="s">
        <v>2687</v>
      </c>
      <c r="C3347" s="455" t="s">
        <v>392</v>
      </c>
      <c r="D3347" s="487">
        <v>2819</v>
      </c>
      <c r="E3347" s="391">
        <v>460</v>
      </c>
      <c r="F3347" s="391" t="s">
        <v>223</v>
      </c>
      <c r="G3347" s="391">
        <v>564</v>
      </c>
      <c r="H3347" s="528">
        <v>2</v>
      </c>
      <c r="I3347" s="528">
        <v>2</v>
      </c>
      <c r="J3347" s="528">
        <v>16</v>
      </c>
      <c r="K3347" s="458" t="s">
        <v>225</v>
      </c>
      <c r="L3347" s="529">
        <f t="shared" si="496"/>
        <v>312533</v>
      </c>
      <c r="M3347" s="529">
        <f>J3347*18000</f>
        <v>288000</v>
      </c>
      <c r="N3347" s="391">
        <v>20000</v>
      </c>
      <c r="O3347" s="530"/>
      <c r="P3347" s="391"/>
      <c r="Q3347" s="391">
        <v>4533</v>
      </c>
      <c r="R3347" s="528">
        <f>M3347/J3347</f>
        <v>18000</v>
      </c>
      <c r="S3347" s="487"/>
      <c r="T3347" s="398"/>
      <c r="U3347" s="414"/>
    </row>
    <row r="3348" spans="1:31" s="416" customFormat="1" ht="37.5" customHeight="1">
      <c r="A3348" s="414">
        <f t="shared" si="488"/>
        <v>364</v>
      </c>
      <c r="B3348" s="403" t="s">
        <v>2688</v>
      </c>
      <c r="C3348" s="455" t="s">
        <v>272</v>
      </c>
      <c r="D3348" s="487">
        <v>26903</v>
      </c>
      <c r="E3348" s="391">
        <v>5360</v>
      </c>
      <c r="F3348" s="391" t="s">
        <v>234</v>
      </c>
      <c r="G3348" s="391">
        <v>1278</v>
      </c>
      <c r="H3348" s="528">
        <v>9</v>
      </c>
      <c r="I3348" s="528">
        <v>3</v>
      </c>
      <c r="J3348" s="528">
        <v>109</v>
      </c>
      <c r="K3348" s="458" t="s">
        <v>33</v>
      </c>
      <c r="L3348" s="529">
        <f t="shared" si="496"/>
        <v>2327301.2000000002</v>
      </c>
      <c r="M3348" s="529">
        <v>2300400</v>
      </c>
      <c r="N3348" s="391"/>
      <c r="O3348" s="530">
        <f>M3348*0.3%</f>
        <v>6901.2</v>
      </c>
      <c r="P3348" s="391"/>
      <c r="Q3348" s="391">
        <v>20000</v>
      </c>
      <c r="R3348" s="528">
        <f>M3348/G3348</f>
        <v>1800</v>
      </c>
      <c r="S3348" s="487"/>
      <c r="T3348" s="398">
        <f t="shared" ref="T3348:T3353" si="499">M3348+N3348+O3348+Q3348</f>
        <v>2327301.2000000002</v>
      </c>
      <c r="U3348" s="414"/>
    </row>
    <row r="3349" spans="1:31" s="416" customFormat="1" ht="39.75" customHeight="1">
      <c r="A3349" s="414">
        <f t="shared" si="488"/>
        <v>365</v>
      </c>
      <c r="B3349" s="403" t="s">
        <v>2689</v>
      </c>
      <c r="C3349" s="455" t="s">
        <v>218</v>
      </c>
      <c r="D3349" s="487">
        <v>56915</v>
      </c>
      <c r="E3349" s="391">
        <v>4968</v>
      </c>
      <c r="F3349" s="391" t="s">
        <v>234</v>
      </c>
      <c r="G3349" s="391">
        <v>2303</v>
      </c>
      <c r="H3349" s="528">
        <v>9</v>
      </c>
      <c r="I3349" s="528">
        <v>5</v>
      </c>
      <c r="J3349" s="528">
        <v>250</v>
      </c>
      <c r="K3349" s="458" t="s">
        <v>33</v>
      </c>
      <c r="L3349" s="529">
        <f t="shared" si="496"/>
        <v>4177836.2</v>
      </c>
      <c r="M3349" s="529">
        <v>4145400</v>
      </c>
      <c r="N3349" s="391"/>
      <c r="O3349" s="530">
        <f>M3349*0.3%</f>
        <v>12436.2</v>
      </c>
      <c r="P3349" s="391"/>
      <c r="Q3349" s="391">
        <v>20000</v>
      </c>
      <c r="R3349" s="528">
        <f>M3349/G3349</f>
        <v>1800</v>
      </c>
      <c r="S3349" s="487"/>
      <c r="T3349" s="398">
        <f t="shared" si="499"/>
        <v>4177836.2</v>
      </c>
      <c r="U3349" s="414"/>
    </row>
    <row r="3350" spans="1:31" s="416" customFormat="1" ht="37.5" customHeight="1">
      <c r="A3350" s="414">
        <f t="shared" si="488"/>
        <v>366</v>
      </c>
      <c r="B3350" s="403" t="s">
        <v>2691</v>
      </c>
      <c r="C3350" s="455" t="s">
        <v>272</v>
      </c>
      <c r="D3350" s="487">
        <v>45784</v>
      </c>
      <c r="E3350" s="391">
        <v>6089</v>
      </c>
      <c r="F3350" s="391" t="s">
        <v>234</v>
      </c>
      <c r="G3350" s="391">
        <v>1440</v>
      </c>
      <c r="H3350" s="528">
        <v>9</v>
      </c>
      <c r="I3350" s="528">
        <v>4</v>
      </c>
      <c r="J3350" s="528">
        <v>128</v>
      </c>
      <c r="K3350" s="458" t="s">
        <v>33</v>
      </c>
      <c r="L3350" s="529">
        <f t="shared" si="496"/>
        <v>2619776</v>
      </c>
      <c r="M3350" s="529">
        <v>2592000</v>
      </c>
      <c r="N3350" s="391"/>
      <c r="O3350" s="530">
        <f>M3350*0.3%</f>
        <v>7776</v>
      </c>
      <c r="P3350" s="391"/>
      <c r="Q3350" s="391">
        <v>20000</v>
      </c>
      <c r="R3350" s="528">
        <f>M3350/G3350</f>
        <v>1800</v>
      </c>
      <c r="S3350" s="487"/>
      <c r="T3350" s="398">
        <f t="shared" si="499"/>
        <v>2619776</v>
      </c>
      <c r="U3350" s="414"/>
    </row>
    <row r="3351" spans="1:31" s="416" customFormat="1" ht="37.5" customHeight="1">
      <c r="A3351" s="414">
        <f t="shared" si="488"/>
        <v>367</v>
      </c>
      <c r="B3351" s="403" t="s">
        <v>2701</v>
      </c>
      <c r="C3351" s="455" t="s">
        <v>315</v>
      </c>
      <c r="D3351" s="487">
        <v>4508</v>
      </c>
      <c r="E3351" s="391">
        <v>1907</v>
      </c>
      <c r="F3351" s="391" t="s">
        <v>223</v>
      </c>
      <c r="G3351" s="391">
        <v>979</v>
      </c>
      <c r="H3351" s="528">
        <v>2</v>
      </c>
      <c r="I3351" s="528">
        <v>4</v>
      </c>
      <c r="J3351" s="528">
        <v>16</v>
      </c>
      <c r="K3351" s="458" t="s">
        <v>33</v>
      </c>
      <c r="L3351" s="529">
        <f t="shared" si="496"/>
        <v>2788498</v>
      </c>
      <c r="M3351" s="529">
        <v>2741200</v>
      </c>
      <c r="N3351" s="487">
        <v>25000</v>
      </c>
      <c r="O3351" s="391"/>
      <c r="P3351" s="391"/>
      <c r="Q3351" s="391">
        <v>22298</v>
      </c>
      <c r="R3351" s="528">
        <f>M3351/J3351</f>
        <v>171325</v>
      </c>
      <c r="S3351" s="487"/>
      <c r="T3351" s="398">
        <f t="shared" si="499"/>
        <v>2788498</v>
      </c>
      <c r="U3351" s="414"/>
      <c r="V3351" s="390"/>
    </row>
    <row r="3352" spans="1:31" s="416" customFormat="1" ht="41.25" customHeight="1">
      <c r="A3352" s="414">
        <f t="shared" si="488"/>
        <v>368</v>
      </c>
      <c r="B3352" s="403" t="s">
        <v>2702</v>
      </c>
      <c r="C3352" s="455" t="s">
        <v>240</v>
      </c>
      <c r="D3352" s="487">
        <v>4128</v>
      </c>
      <c r="E3352" s="391">
        <v>728</v>
      </c>
      <c r="F3352" s="391" t="s">
        <v>223</v>
      </c>
      <c r="G3352" s="391">
        <v>837</v>
      </c>
      <c r="H3352" s="528">
        <v>2</v>
      </c>
      <c r="I3352" s="528">
        <v>2</v>
      </c>
      <c r="J3352" s="528">
        <v>12</v>
      </c>
      <c r="K3352" s="458" t="s">
        <v>33</v>
      </c>
      <c r="L3352" s="529">
        <f>M3352+N3352+O3352+P3352+Q3352</f>
        <v>2371048.7999999998</v>
      </c>
      <c r="M3352" s="529">
        <f>G3352*2800</f>
        <v>2343600</v>
      </c>
      <c r="N3352" s="391"/>
      <c r="O3352" s="530">
        <f>M3352*0.3%</f>
        <v>7030.8</v>
      </c>
      <c r="P3352" s="391"/>
      <c r="Q3352" s="391">
        <v>20418</v>
      </c>
      <c r="R3352" s="528">
        <f>M3352/G3352</f>
        <v>2800</v>
      </c>
      <c r="S3352" s="487"/>
      <c r="T3352" s="398">
        <f t="shared" si="499"/>
        <v>2371048.7999999998</v>
      </c>
      <c r="U3352" s="414"/>
      <c r="V3352" s="390"/>
    </row>
    <row r="3353" spans="1:31" s="416" customFormat="1" ht="37.5" customHeight="1">
      <c r="A3353" s="414">
        <f t="shared" si="488"/>
        <v>369</v>
      </c>
      <c r="B3353" s="403" t="s">
        <v>2703</v>
      </c>
      <c r="C3353" s="455" t="s">
        <v>272</v>
      </c>
      <c r="D3353" s="487">
        <v>13908</v>
      </c>
      <c r="E3353" s="391">
        <v>1917</v>
      </c>
      <c r="F3353" s="391" t="s">
        <v>234</v>
      </c>
      <c r="G3353" s="391">
        <v>1074</v>
      </c>
      <c r="H3353" s="528">
        <v>5</v>
      </c>
      <c r="I3353" s="528">
        <v>4</v>
      </c>
      <c r="J3353" s="528">
        <v>100</v>
      </c>
      <c r="K3353" s="458" t="s">
        <v>33</v>
      </c>
      <c r="L3353" s="529">
        <f>M3353+N3353+O3353+P3353+Q3353</f>
        <v>1958999.6</v>
      </c>
      <c r="M3353" s="529">
        <v>1933200</v>
      </c>
      <c r="N3353" s="391"/>
      <c r="O3353" s="530">
        <f>M3353*0.3%</f>
        <v>5799.6</v>
      </c>
      <c r="P3353" s="391"/>
      <c r="Q3353" s="391">
        <v>20000</v>
      </c>
      <c r="R3353" s="528">
        <f>M3353/G3353</f>
        <v>1800</v>
      </c>
      <c r="S3353" s="487"/>
      <c r="T3353" s="398">
        <f t="shared" si="499"/>
        <v>1958999.6</v>
      </c>
      <c r="U3353" s="414"/>
      <c r="V3353" s="390"/>
    </row>
    <row r="3354" spans="1:31" s="977" customFormat="1" ht="37.5" customHeight="1">
      <c r="A3354" s="414">
        <f t="shared" si="488"/>
        <v>370</v>
      </c>
      <c r="B3354" s="403" t="s">
        <v>2704</v>
      </c>
      <c r="C3354" s="455" t="s">
        <v>315</v>
      </c>
      <c r="D3354" s="487">
        <v>9151</v>
      </c>
      <c r="E3354" s="391">
        <v>1478</v>
      </c>
      <c r="F3354" s="391" t="s">
        <v>223</v>
      </c>
      <c r="G3354" s="391">
        <v>1201</v>
      </c>
      <c r="H3354" s="528">
        <v>3</v>
      </c>
      <c r="I3354" s="528">
        <v>3</v>
      </c>
      <c r="J3354" s="528">
        <v>20</v>
      </c>
      <c r="K3354" s="458" t="s">
        <v>225</v>
      </c>
      <c r="L3354" s="529">
        <f>M3354+N3354+O3354+P3354+Q3354</f>
        <v>353576</v>
      </c>
      <c r="M3354" s="529">
        <f>J3354*16000</f>
        <v>320000</v>
      </c>
      <c r="N3354" s="391">
        <v>25000</v>
      </c>
      <c r="O3354" s="530"/>
      <c r="P3354" s="391"/>
      <c r="Q3354" s="391">
        <v>8576</v>
      </c>
      <c r="R3354" s="528">
        <f>M3354/J3354</f>
        <v>16000</v>
      </c>
      <c r="S3354" s="495"/>
      <c r="T3354" s="398"/>
      <c r="U3354" s="390"/>
      <c r="V3354" s="390"/>
      <c r="W3354" s="981"/>
      <c r="X3354" s="414"/>
      <c r="Y3354" s="825"/>
      <c r="Z3354" s="981"/>
      <c r="AB3354" s="414"/>
      <c r="AC3354" s="825"/>
      <c r="AD3354" s="414"/>
      <c r="AE3354" s="825"/>
    </row>
    <row r="3355" spans="1:31" s="977" customFormat="1" ht="37.5" customHeight="1">
      <c r="A3355" s="414">
        <f>A3354+1</f>
        <v>371</v>
      </c>
      <c r="B3355" s="403" t="s">
        <v>2705</v>
      </c>
      <c r="C3355" s="455" t="s">
        <v>272</v>
      </c>
      <c r="D3355" s="487">
        <v>47970</v>
      </c>
      <c r="E3355" s="391">
        <v>5850</v>
      </c>
      <c r="F3355" s="391" t="s">
        <v>234</v>
      </c>
      <c r="G3355" s="391">
        <v>1116</v>
      </c>
      <c r="H3355" s="528">
        <v>14</v>
      </c>
      <c r="I3355" s="528">
        <v>1</v>
      </c>
      <c r="J3355" s="528">
        <v>76</v>
      </c>
      <c r="K3355" s="458" t="s">
        <v>33</v>
      </c>
      <c r="L3355" s="529">
        <f>M3355+N3355+O3355+P3355+Q3355</f>
        <v>2037720.8</v>
      </c>
      <c r="M3355" s="529">
        <v>2008800</v>
      </c>
      <c r="N3355" s="391"/>
      <c r="O3355" s="530">
        <v>8920.8000000000011</v>
      </c>
      <c r="P3355" s="391"/>
      <c r="Q3355" s="391">
        <v>20000</v>
      </c>
      <c r="R3355" s="528">
        <f>M3355/G3355</f>
        <v>1800</v>
      </c>
      <c r="S3355" s="495"/>
      <c r="T3355" s="398">
        <f>M3355+N3355+O3355+Q3355</f>
        <v>2037720.8</v>
      </c>
      <c r="U3355" s="390"/>
      <c r="V3355" s="390"/>
      <c r="W3355" s="981"/>
      <c r="X3355" s="414"/>
      <c r="Y3355" s="825"/>
      <c r="Z3355" s="981"/>
      <c r="AB3355" s="414"/>
      <c r="AC3355" s="825"/>
      <c r="AD3355" s="414"/>
      <c r="AE3355" s="825"/>
    </row>
    <row r="3356" spans="1:31" s="977" customFormat="1" ht="37.5" customHeight="1">
      <c r="A3356" s="414">
        <f>A3355+1</f>
        <v>372</v>
      </c>
      <c r="B3356" s="403" t="s">
        <v>2706</v>
      </c>
      <c r="C3356" s="455" t="s">
        <v>272</v>
      </c>
      <c r="D3356" s="487">
        <v>23535</v>
      </c>
      <c r="E3356" s="391">
        <v>4645</v>
      </c>
      <c r="F3356" s="391" t="s">
        <v>234</v>
      </c>
      <c r="G3356" s="391">
        <v>866.9</v>
      </c>
      <c r="H3356" s="528">
        <v>9</v>
      </c>
      <c r="I3356" s="528">
        <v>1</v>
      </c>
      <c r="J3356" s="528">
        <v>72</v>
      </c>
      <c r="K3356" s="458" t="s">
        <v>33</v>
      </c>
      <c r="L3356" s="529">
        <f>M3356+N3356+O3356+P3356+Q3356</f>
        <v>1585101.26</v>
      </c>
      <c r="M3356" s="529">
        <v>1560420</v>
      </c>
      <c r="N3356" s="391"/>
      <c r="O3356" s="530">
        <f>M3356*0.3%</f>
        <v>4681.26</v>
      </c>
      <c r="P3356" s="391"/>
      <c r="Q3356" s="391">
        <v>20000</v>
      </c>
      <c r="R3356" s="528">
        <f>M3356/G3356</f>
        <v>1800</v>
      </c>
      <c r="S3356" s="495"/>
      <c r="T3356" s="398">
        <f>M3356+N3356+O3356+Q3356</f>
        <v>1585101.26</v>
      </c>
      <c r="U3356" s="390"/>
      <c r="V3356" s="390"/>
      <c r="W3356" s="981"/>
      <c r="X3356" s="414"/>
      <c r="Y3356" s="825"/>
      <c r="Z3356" s="981"/>
      <c r="AB3356" s="414"/>
      <c r="AC3356" s="825"/>
      <c r="AD3356" s="414"/>
      <c r="AE3356" s="825"/>
    </row>
    <row r="3357" spans="1:31" s="416" customFormat="1" ht="37.5" customHeight="1">
      <c r="A3357" s="1125">
        <v>373</v>
      </c>
      <c r="B3357" s="403" t="s">
        <v>2708</v>
      </c>
      <c r="C3357" s="455" t="s">
        <v>272</v>
      </c>
      <c r="D3357" s="487">
        <v>30281</v>
      </c>
      <c r="E3357" s="391">
        <v>5022</v>
      </c>
      <c r="F3357" s="391" t="s">
        <v>234</v>
      </c>
      <c r="G3357" s="391">
        <v>2152</v>
      </c>
      <c r="H3357" s="528">
        <v>9</v>
      </c>
      <c r="I3357" s="528">
        <v>3</v>
      </c>
      <c r="J3357" s="528">
        <v>145</v>
      </c>
      <c r="K3357" s="458" t="s">
        <v>33</v>
      </c>
      <c r="L3357" s="1128">
        <f>M3357+N3357+O3357+P3357+Q3357+M3358+N3358+O3358+P3358+Q3358</f>
        <v>8599140.8000000007</v>
      </c>
      <c r="M3357" s="529">
        <v>3873600</v>
      </c>
      <c r="N3357" s="391"/>
      <c r="O3357" s="530">
        <f>M3357*0.3%</f>
        <v>11620.800000000001</v>
      </c>
      <c r="P3357" s="391"/>
      <c r="Q3357" s="391">
        <v>20000</v>
      </c>
      <c r="R3357" s="528">
        <f>M3357/G3357</f>
        <v>1800</v>
      </c>
      <c r="S3357" s="487"/>
      <c r="T3357" s="398">
        <f>M3357+N3357+O3357+Q3357</f>
        <v>3905220.8</v>
      </c>
      <c r="U3357" s="414"/>
    </row>
    <row r="3358" spans="1:31" s="416" customFormat="1" ht="56.25" customHeight="1">
      <c r="A3358" s="1125"/>
      <c r="B3358" s="403"/>
      <c r="C3358" s="455"/>
      <c r="D3358" s="487"/>
      <c r="E3358" s="391"/>
      <c r="F3358" s="391"/>
      <c r="G3358" s="391"/>
      <c r="H3358" s="528"/>
      <c r="I3358" s="528"/>
      <c r="J3358" s="528"/>
      <c r="K3358" s="458" t="s">
        <v>30</v>
      </c>
      <c r="L3358" s="1128"/>
      <c r="M3358" s="529">
        <v>4640000</v>
      </c>
      <c r="N3358" s="391"/>
      <c r="O3358" s="530">
        <v>13920</v>
      </c>
      <c r="P3358" s="391"/>
      <c r="Q3358" s="391">
        <v>40000</v>
      </c>
      <c r="R3358" s="528">
        <f>M3358/J3357</f>
        <v>32000</v>
      </c>
      <c r="S3358" s="487"/>
      <c r="T3358" s="398"/>
      <c r="U3358" s="414"/>
    </row>
    <row r="3359" spans="1:31" s="977" customFormat="1" ht="56.25" customHeight="1">
      <c r="A3359" s="414">
        <v>374</v>
      </c>
      <c r="B3359" s="403" t="s">
        <v>1780</v>
      </c>
      <c r="C3359" s="455" t="s">
        <v>393</v>
      </c>
      <c r="D3359" s="487">
        <v>2274</v>
      </c>
      <c r="E3359" s="391">
        <v>540</v>
      </c>
      <c r="F3359" s="391" t="s">
        <v>223</v>
      </c>
      <c r="G3359" s="391">
        <v>462</v>
      </c>
      <c r="H3359" s="528">
        <v>2</v>
      </c>
      <c r="I3359" s="528">
        <v>1</v>
      </c>
      <c r="J3359" s="528">
        <v>8</v>
      </c>
      <c r="K3359" s="458" t="s">
        <v>238</v>
      </c>
      <c r="L3359" s="529">
        <f t="shared" ref="L3359:L3381" si="500">M3359+N3359+O3359+P3359+Q3359</f>
        <v>211900</v>
      </c>
      <c r="M3359" s="529">
        <f>J3359*25000</f>
        <v>200000</v>
      </c>
      <c r="N3359" s="391"/>
      <c r="O3359" s="530">
        <f t="shared" ref="O3359:O3370" si="501">M3359*0.3%</f>
        <v>600</v>
      </c>
      <c r="P3359" s="391"/>
      <c r="Q3359" s="391">
        <v>11300</v>
      </c>
      <c r="R3359" s="528">
        <f t="shared" ref="R3359:R3366" si="502">M3359/J3359</f>
        <v>25000</v>
      </c>
      <c r="S3359" s="495"/>
      <c r="T3359" s="398"/>
      <c r="U3359" s="390"/>
      <c r="V3359" s="390"/>
      <c r="W3359" s="981"/>
      <c r="X3359" s="414"/>
      <c r="Y3359" s="825"/>
      <c r="Z3359" s="981"/>
      <c r="AB3359" s="414"/>
      <c r="AC3359" s="825"/>
      <c r="AD3359" s="414"/>
      <c r="AE3359" s="825"/>
    </row>
    <row r="3360" spans="1:31" s="977" customFormat="1" ht="75" customHeight="1">
      <c r="A3360" s="414">
        <f t="shared" ref="A3360:A3396" si="503">A3359+1</f>
        <v>375</v>
      </c>
      <c r="B3360" s="403" t="s">
        <v>2709</v>
      </c>
      <c r="C3360" s="455" t="s">
        <v>393</v>
      </c>
      <c r="D3360" s="487">
        <v>2471</v>
      </c>
      <c r="E3360" s="391">
        <v>540</v>
      </c>
      <c r="F3360" s="391" t="s">
        <v>223</v>
      </c>
      <c r="G3360" s="391">
        <v>443</v>
      </c>
      <c r="H3360" s="528">
        <v>2</v>
      </c>
      <c r="I3360" s="528">
        <v>1</v>
      </c>
      <c r="J3360" s="528">
        <v>8</v>
      </c>
      <c r="K3360" s="458" t="s">
        <v>401</v>
      </c>
      <c r="L3360" s="529">
        <f t="shared" si="500"/>
        <v>211900</v>
      </c>
      <c r="M3360" s="529">
        <f>J3360*25000</f>
        <v>200000</v>
      </c>
      <c r="N3360" s="391"/>
      <c r="O3360" s="530">
        <f t="shared" si="501"/>
        <v>600</v>
      </c>
      <c r="P3360" s="391"/>
      <c r="Q3360" s="391">
        <v>11300</v>
      </c>
      <c r="R3360" s="528">
        <f t="shared" si="502"/>
        <v>25000</v>
      </c>
      <c r="S3360" s="495"/>
      <c r="T3360" s="398"/>
      <c r="U3360" s="390"/>
      <c r="V3360" s="390"/>
      <c r="W3360" s="981"/>
      <c r="X3360" s="414"/>
      <c r="Y3360" s="825"/>
      <c r="Z3360" s="981"/>
      <c r="AB3360" s="414"/>
      <c r="AC3360" s="825"/>
      <c r="AD3360" s="414"/>
      <c r="AE3360" s="825"/>
    </row>
    <row r="3361" spans="1:31" s="977" customFormat="1" ht="75" customHeight="1">
      <c r="A3361" s="414">
        <f t="shared" si="503"/>
        <v>376</v>
      </c>
      <c r="B3361" s="403" t="s">
        <v>2710</v>
      </c>
      <c r="C3361" s="455" t="s">
        <v>393</v>
      </c>
      <c r="D3361" s="487">
        <v>2466</v>
      </c>
      <c r="E3361" s="391">
        <v>540</v>
      </c>
      <c r="F3361" s="391" t="s">
        <v>223</v>
      </c>
      <c r="G3361" s="391">
        <v>460</v>
      </c>
      <c r="H3361" s="528">
        <v>2</v>
      </c>
      <c r="I3361" s="528">
        <v>1</v>
      </c>
      <c r="J3361" s="528">
        <v>8</v>
      </c>
      <c r="K3361" s="458" t="s">
        <v>401</v>
      </c>
      <c r="L3361" s="529">
        <f t="shared" si="500"/>
        <v>211900</v>
      </c>
      <c r="M3361" s="529">
        <f>J3361*25000</f>
        <v>200000</v>
      </c>
      <c r="N3361" s="391"/>
      <c r="O3361" s="530">
        <f t="shared" si="501"/>
        <v>600</v>
      </c>
      <c r="P3361" s="391"/>
      <c r="Q3361" s="391">
        <v>11300</v>
      </c>
      <c r="R3361" s="528">
        <f t="shared" si="502"/>
        <v>25000</v>
      </c>
      <c r="S3361" s="495"/>
      <c r="T3361" s="398"/>
      <c r="U3361" s="390"/>
      <c r="V3361" s="390"/>
      <c r="W3361" s="981"/>
      <c r="X3361" s="414"/>
      <c r="Y3361" s="825"/>
      <c r="Z3361" s="981"/>
      <c r="AB3361" s="414"/>
      <c r="AC3361" s="825"/>
      <c r="AD3361" s="414"/>
      <c r="AE3361" s="825"/>
    </row>
    <row r="3362" spans="1:31" s="416" customFormat="1" ht="75" customHeight="1">
      <c r="A3362" s="414">
        <f t="shared" si="503"/>
        <v>377</v>
      </c>
      <c r="B3362" s="403" t="s">
        <v>2711</v>
      </c>
      <c r="C3362" s="455" t="s">
        <v>393</v>
      </c>
      <c r="D3362" s="487">
        <v>2391</v>
      </c>
      <c r="E3362" s="391">
        <v>550</v>
      </c>
      <c r="F3362" s="391" t="s">
        <v>223</v>
      </c>
      <c r="G3362" s="391">
        <v>435</v>
      </c>
      <c r="H3362" s="528">
        <v>2</v>
      </c>
      <c r="I3362" s="528">
        <v>1</v>
      </c>
      <c r="J3362" s="528">
        <v>8</v>
      </c>
      <c r="K3362" s="458" t="s">
        <v>401</v>
      </c>
      <c r="L3362" s="529">
        <f t="shared" si="500"/>
        <v>211900</v>
      </c>
      <c r="M3362" s="529">
        <f>J3362*25000</f>
        <v>200000</v>
      </c>
      <c r="N3362" s="391"/>
      <c r="O3362" s="530">
        <f t="shared" si="501"/>
        <v>600</v>
      </c>
      <c r="P3362" s="391"/>
      <c r="Q3362" s="391">
        <v>11300</v>
      </c>
      <c r="R3362" s="528">
        <f t="shared" si="502"/>
        <v>25000</v>
      </c>
      <c r="S3362" s="487"/>
      <c r="T3362" s="398"/>
      <c r="U3362" s="414"/>
    </row>
    <row r="3363" spans="1:31" s="416" customFormat="1" ht="75" customHeight="1">
      <c r="A3363" s="414">
        <f t="shared" si="503"/>
        <v>378</v>
      </c>
      <c r="B3363" s="403" t="s">
        <v>2713</v>
      </c>
      <c r="C3363" s="455" t="s">
        <v>293</v>
      </c>
      <c r="D3363" s="487">
        <v>2396</v>
      </c>
      <c r="E3363" s="391">
        <v>450</v>
      </c>
      <c r="F3363" s="391" t="s">
        <v>223</v>
      </c>
      <c r="G3363" s="391">
        <v>484</v>
      </c>
      <c r="H3363" s="528">
        <v>2</v>
      </c>
      <c r="I3363" s="528">
        <v>2</v>
      </c>
      <c r="J3363" s="528">
        <v>16</v>
      </c>
      <c r="K3363" s="458" t="s">
        <v>401</v>
      </c>
      <c r="L3363" s="529">
        <f t="shared" si="500"/>
        <v>412500</v>
      </c>
      <c r="M3363" s="529">
        <v>400000</v>
      </c>
      <c r="N3363" s="391"/>
      <c r="O3363" s="530">
        <f t="shared" si="501"/>
        <v>1200</v>
      </c>
      <c r="P3363" s="391"/>
      <c r="Q3363" s="391">
        <v>11300</v>
      </c>
      <c r="R3363" s="528">
        <f t="shared" si="502"/>
        <v>25000</v>
      </c>
      <c r="S3363" s="487"/>
      <c r="T3363" s="398"/>
      <c r="U3363" s="414"/>
    </row>
    <row r="3364" spans="1:31" s="416" customFormat="1" ht="75" customHeight="1">
      <c r="A3364" s="414">
        <f t="shared" si="503"/>
        <v>379</v>
      </c>
      <c r="B3364" s="403" t="s">
        <v>2714</v>
      </c>
      <c r="C3364" s="455" t="s">
        <v>293</v>
      </c>
      <c r="D3364" s="487">
        <v>2418</v>
      </c>
      <c r="E3364" s="391">
        <v>490</v>
      </c>
      <c r="F3364" s="391" t="s">
        <v>223</v>
      </c>
      <c r="G3364" s="391">
        <v>488</v>
      </c>
      <c r="H3364" s="528">
        <v>2</v>
      </c>
      <c r="I3364" s="528">
        <v>2</v>
      </c>
      <c r="J3364" s="528">
        <v>16</v>
      </c>
      <c r="K3364" s="458" t="s">
        <v>401</v>
      </c>
      <c r="L3364" s="529">
        <f t="shared" si="500"/>
        <v>412500</v>
      </c>
      <c r="M3364" s="529">
        <v>400000</v>
      </c>
      <c r="N3364" s="391"/>
      <c r="O3364" s="530">
        <f t="shared" si="501"/>
        <v>1200</v>
      </c>
      <c r="P3364" s="391"/>
      <c r="Q3364" s="391">
        <v>11300</v>
      </c>
      <c r="R3364" s="528">
        <f t="shared" si="502"/>
        <v>25000</v>
      </c>
      <c r="S3364" s="487"/>
      <c r="T3364" s="398"/>
      <c r="U3364" s="414"/>
    </row>
    <row r="3365" spans="1:31" s="416" customFormat="1" ht="75" customHeight="1">
      <c r="A3365" s="414">
        <f t="shared" si="503"/>
        <v>380</v>
      </c>
      <c r="B3365" s="403" t="s">
        <v>2715</v>
      </c>
      <c r="C3365" s="455" t="s">
        <v>293</v>
      </c>
      <c r="D3365" s="487">
        <v>2459</v>
      </c>
      <c r="E3365" s="391">
        <v>480</v>
      </c>
      <c r="F3365" s="391" t="s">
        <v>223</v>
      </c>
      <c r="G3365" s="391">
        <v>488</v>
      </c>
      <c r="H3365" s="528">
        <v>2</v>
      </c>
      <c r="I3365" s="528">
        <v>2</v>
      </c>
      <c r="J3365" s="528">
        <v>16</v>
      </c>
      <c r="K3365" s="458" t="s">
        <v>401</v>
      </c>
      <c r="L3365" s="529">
        <f t="shared" si="500"/>
        <v>412500</v>
      </c>
      <c r="M3365" s="529">
        <v>400000</v>
      </c>
      <c r="N3365" s="391"/>
      <c r="O3365" s="530">
        <f t="shared" si="501"/>
        <v>1200</v>
      </c>
      <c r="P3365" s="391"/>
      <c r="Q3365" s="391">
        <v>11300</v>
      </c>
      <c r="R3365" s="528">
        <f t="shared" si="502"/>
        <v>25000</v>
      </c>
      <c r="S3365" s="487"/>
      <c r="T3365" s="398"/>
      <c r="U3365" s="414"/>
    </row>
    <row r="3366" spans="1:31" s="416" customFormat="1" ht="75" customHeight="1">
      <c r="A3366" s="414">
        <f t="shared" si="503"/>
        <v>381</v>
      </c>
      <c r="B3366" s="403" t="s">
        <v>2716</v>
      </c>
      <c r="C3366" s="455" t="s">
        <v>293</v>
      </c>
      <c r="D3366" s="487">
        <v>2470</v>
      </c>
      <c r="E3366" s="391">
        <v>478</v>
      </c>
      <c r="F3366" s="391" t="s">
        <v>223</v>
      </c>
      <c r="G3366" s="391">
        <v>491</v>
      </c>
      <c r="H3366" s="528">
        <v>2</v>
      </c>
      <c r="I3366" s="528">
        <v>2</v>
      </c>
      <c r="J3366" s="528">
        <v>16</v>
      </c>
      <c r="K3366" s="458" t="s">
        <v>401</v>
      </c>
      <c r="L3366" s="529">
        <f t="shared" si="500"/>
        <v>412500</v>
      </c>
      <c r="M3366" s="529">
        <v>400000</v>
      </c>
      <c r="N3366" s="391"/>
      <c r="O3366" s="530">
        <f t="shared" si="501"/>
        <v>1200</v>
      </c>
      <c r="P3366" s="391"/>
      <c r="Q3366" s="391">
        <v>11300</v>
      </c>
      <c r="R3366" s="528">
        <f t="shared" si="502"/>
        <v>25000</v>
      </c>
      <c r="S3366" s="487"/>
      <c r="T3366" s="398"/>
      <c r="U3366" s="414"/>
    </row>
    <row r="3367" spans="1:31" s="416" customFormat="1" ht="38.25" customHeight="1">
      <c r="A3367" s="414">
        <f t="shared" si="503"/>
        <v>382</v>
      </c>
      <c r="B3367" s="403" t="s">
        <v>2717</v>
      </c>
      <c r="C3367" s="455" t="s">
        <v>218</v>
      </c>
      <c r="D3367" s="487">
        <v>9190</v>
      </c>
      <c r="E3367" s="391">
        <v>1300</v>
      </c>
      <c r="F3367" s="391" t="s">
        <v>223</v>
      </c>
      <c r="G3367" s="391">
        <v>836</v>
      </c>
      <c r="H3367" s="528">
        <v>5</v>
      </c>
      <c r="I3367" s="528">
        <v>3</v>
      </c>
      <c r="J3367" s="528">
        <v>60</v>
      </c>
      <c r="K3367" s="458" t="s">
        <v>33</v>
      </c>
      <c r="L3367" s="529">
        <f t="shared" si="500"/>
        <v>2376587.4</v>
      </c>
      <c r="M3367" s="391">
        <v>2340800</v>
      </c>
      <c r="N3367" s="391"/>
      <c r="O3367" s="530">
        <f t="shared" si="501"/>
        <v>7022.4000000000005</v>
      </c>
      <c r="P3367" s="391"/>
      <c r="Q3367" s="391">
        <v>28765</v>
      </c>
      <c r="R3367" s="528">
        <f>M3367/G3367</f>
        <v>2800</v>
      </c>
      <c r="S3367" s="487"/>
      <c r="T3367" s="398">
        <f>M3367+N3367+O3367+Q3367</f>
        <v>2376587.4</v>
      </c>
      <c r="U3367" s="414"/>
    </row>
    <row r="3368" spans="1:31" s="416" customFormat="1" ht="38.25" customHeight="1">
      <c r="A3368" s="414">
        <f t="shared" si="503"/>
        <v>383</v>
      </c>
      <c r="B3368" s="403" t="s">
        <v>2718</v>
      </c>
      <c r="C3368" s="455" t="s">
        <v>218</v>
      </c>
      <c r="D3368" s="487">
        <v>10503</v>
      </c>
      <c r="E3368" s="391">
        <v>1300</v>
      </c>
      <c r="F3368" s="391" t="s">
        <v>223</v>
      </c>
      <c r="G3368" s="391">
        <v>835</v>
      </c>
      <c r="H3368" s="528">
        <v>5</v>
      </c>
      <c r="I3368" s="528">
        <v>3</v>
      </c>
      <c r="J3368" s="528">
        <v>60</v>
      </c>
      <c r="K3368" s="458" t="s">
        <v>33</v>
      </c>
      <c r="L3368" s="529">
        <f t="shared" si="500"/>
        <v>2377888</v>
      </c>
      <c r="M3368" s="391">
        <v>2338000</v>
      </c>
      <c r="N3368" s="391"/>
      <c r="O3368" s="530">
        <f t="shared" si="501"/>
        <v>7014</v>
      </c>
      <c r="P3368" s="391"/>
      <c r="Q3368" s="391">
        <v>32874</v>
      </c>
      <c r="R3368" s="528">
        <f>M3368/G3368</f>
        <v>2800</v>
      </c>
      <c r="S3368" s="487"/>
      <c r="T3368" s="398">
        <f>M3368+N3368+O3368+Q3368</f>
        <v>2377888</v>
      </c>
      <c r="U3368" s="414"/>
    </row>
    <row r="3369" spans="1:31" s="416" customFormat="1" ht="37.5" customHeight="1">
      <c r="A3369" s="414">
        <f t="shared" si="503"/>
        <v>384</v>
      </c>
      <c r="B3369" s="403" t="s">
        <v>2720</v>
      </c>
      <c r="C3369" s="455" t="s">
        <v>218</v>
      </c>
      <c r="D3369" s="487">
        <v>29303</v>
      </c>
      <c r="E3369" s="391">
        <v>5508</v>
      </c>
      <c r="F3369" s="391" t="s">
        <v>234</v>
      </c>
      <c r="G3369" s="391">
        <v>1279</v>
      </c>
      <c r="H3369" s="528">
        <v>9</v>
      </c>
      <c r="I3369" s="528">
        <v>4</v>
      </c>
      <c r="J3369" s="528">
        <v>143</v>
      </c>
      <c r="K3369" s="458" t="s">
        <v>33</v>
      </c>
      <c r="L3369" s="529">
        <f t="shared" si="500"/>
        <v>2329106.6</v>
      </c>
      <c r="M3369" s="391">
        <v>2302200</v>
      </c>
      <c r="N3369" s="391"/>
      <c r="O3369" s="530">
        <f t="shared" si="501"/>
        <v>6906.6</v>
      </c>
      <c r="P3369" s="391"/>
      <c r="Q3369" s="391">
        <v>20000</v>
      </c>
      <c r="R3369" s="528">
        <f>M3369/G3369</f>
        <v>1800</v>
      </c>
      <c r="S3369" s="487"/>
      <c r="T3369" s="398">
        <f>M3369+N3369+O3369+Q3369</f>
        <v>2329106.6</v>
      </c>
      <c r="U3369" s="414"/>
    </row>
    <row r="3370" spans="1:31" s="416" customFormat="1" ht="56.25" customHeight="1">
      <c r="A3370" s="414">
        <f t="shared" si="503"/>
        <v>385</v>
      </c>
      <c r="B3370" s="403" t="s">
        <v>2721</v>
      </c>
      <c r="C3370" s="455" t="s">
        <v>272</v>
      </c>
      <c r="D3370" s="487">
        <v>5805.3</v>
      </c>
      <c r="E3370" s="391">
        <v>4177.8</v>
      </c>
      <c r="F3370" s="391">
        <v>4016.4</v>
      </c>
      <c r="G3370" s="391">
        <v>881.1</v>
      </c>
      <c r="H3370" s="528">
        <v>9</v>
      </c>
      <c r="I3370" s="528">
        <v>2</v>
      </c>
      <c r="J3370" s="528">
        <v>97</v>
      </c>
      <c r="K3370" s="458" t="s">
        <v>366</v>
      </c>
      <c r="L3370" s="529">
        <f t="shared" si="500"/>
        <v>3134970</v>
      </c>
      <c r="M3370" s="529">
        <f>J3370*32000</f>
        <v>3104000</v>
      </c>
      <c r="N3370" s="391"/>
      <c r="O3370" s="530">
        <f t="shared" si="501"/>
        <v>9312</v>
      </c>
      <c r="P3370" s="391"/>
      <c r="Q3370" s="391">
        <v>21658</v>
      </c>
      <c r="R3370" s="528">
        <f>M3370/J3370</f>
        <v>32000</v>
      </c>
      <c r="S3370" s="487"/>
      <c r="T3370" s="398"/>
      <c r="U3370" s="414"/>
    </row>
    <row r="3371" spans="1:31" s="416" customFormat="1" ht="37.5" customHeight="1">
      <c r="A3371" s="414">
        <f t="shared" si="503"/>
        <v>386</v>
      </c>
      <c r="B3371" s="403" t="s">
        <v>2722</v>
      </c>
      <c r="C3371" s="455" t="s">
        <v>403</v>
      </c>
      <c r="D3371" s="487">
        <v>8185</v>
      </c>
      <c r="E3371" s="391">
        <v>1222</v>
      </c>
      <c r="F3371" s="391" t="s">
        <v>223</v>
      </c>
      <c r="G3371" s="391">
        <v>845</v>
      </c>
      <c r="H3371" s="528">
        <v>5</v>
      </c>
      <c r="I3371" s="528">
        <v>3</v>
      </c>
      <c r="J3371" s="528">
        <v>41</v>
      </c>
      <c r="K3371" s="458" t="s">
        <v>225</v>
      </c>
      <c r="L3371" s="529">
        <f t="shared" si="500"/>
        <v>692227</v>
      </c>
      <c r="M3371" s="529">
        <f>J3371*16000</f>
        <v>656000</v>
      </c>
      <c r="N3371" s="391">
        <v>25000</v>
      </c>
      <c r="O3371" s="530"/>
      <c r="P3371" s="391"/>
      <c r="Q3371" s="391">
        <v>11227</v>
      </c>
      <c r="R3371" s="528">
        <f>M3371/J3371</f>
        <v>16000</v>
      </c>
      <c r="S3371" s="487"/>
      <c r="T3371" s="398"/>
      <c r="U3371" s="414"/>
    </row>
    <row r="3372" spans="1:31" s="416" customFormat="1" ht="63" customHeight="1">
      <c r="A3372" s="414">
        <f t="shared" si="503"/>
        <v>387</v>
      </c>
      <c r="B3372" s="403" t="s">
        <v>2723</v>
      </c>
      <c r="C3372" s="455" t="s">
        <v>272</v>
      </c>
      <c r="D3372" s="811">
        <v>12909</v>
      </c>
      <c r="E3372" s="391">
        <v>3030</v>
      </c>
      <c r="F3372" s="391" t="s">
        <v>223</v>
      </c>
      <c r="G3372" s="391">
        <v>1131</v>
      </c>
      <c r="H3372" s="528">
        <v>5</v>
      </c>
      <c r="I3372" s="528">
        <v>4</v>
      </c>
      <c r="J3372" s="528">
        <v>64</v>
      </c>
      <c r="K3372" s="458" t="s">
        <v>238</v>
      </c>
      <c r="L3372" s="529">
        <f t="shared" si="500"/>
        <v>1631619</v>
      </c>
      <c r="M3372" s="529">
        <v>1600000</v>
      </c>
      <c r="N3372" s="391"/>
      <c r="O3372" s="530">
        <v>20000</v>
      </c>
      <c r="P3372" s="391"/>
      <c r="Q3372" s="391">
        <v>11619</v>
      </c>
      <c r="R3372" s="528">
        <f>M3372/J3372</f>
        <v>25000</v>
      </c>
      <c r="S3372" s="487"/>
      <c r="T3372" s="398"/>
      <c r="U3372" s="414"/>
    </row>
    <row r="3373" spans="1:31" s="416" customFormat="1" ht="37.5" customHeight="1">
      <c r="A3373" s="414">
        <f t="shared" si="503"/>
        <v>388</v>
      </c>
      <c r="B3373" s="403" t="s">
        <v>2724</v>
      </c>
      <c r="C3373" s="455" t="s">
        <v>218</v>
      </c>
      <c r="D3373" s="487">
        <v>14576</v>
      </c>
      <c r="E3373" s="391">
        <v>2361</v>
      </c>
      <c r="F3373" s="391" t="s">
        <v>234</v>
      </c>
      <c r="G3373" s="391">
        <v>546</v>
      </c>
      <c r="H3373" s="528">
        <v>9</v>
      </c>
      <c r="I3373" s="528">
        <v>1</v>
      </c>
      <c r="J3373" s="528">
        <v>72</v>
      </c>
      <c r="K3373" s="458" t="s">
        <v>225</v>
      </c>
      <c r="L3373" s="529">
        <f t="shared" si="500"/>
        <v>1491609</v>
      </c>
      <c r="M3373" s="529">
        <v>1440000</v>
      </c>
      <c r="N3373" s="391">
        <v>35000</v>
      </c>
      <c r="O3373" s="530"/>
      <c r="P3373" s="391"/>
      <c r="Q3373" s="391">
        <v>16609</v>
      </c>
      <c r="R3373" s="528">
        <f>M3373/J3373</f>
        <v>20000</v>
      </c>
      <c r="S3373" s="487"/>
      <c r="T3373" s="398"/>
      <c r="U3373" s="414"/>
    </row>
    <row r="3374" spans="1:31" s="416" customFormat="1" ht="38.25" customHeight="1">
      <c r="A3374" s="414">
        <f t="shared" si="503"/>
        <v>389</v>
      </c>
      <c r="B3374" s="403" t="s">
        <v>2726</v>
      </c>
      <c r="C3374" s="455" t="s">
        <v>218</v>
      </c>
      <c r="D3374" s="487">
        <v>17388</v>
      </c>
      <c r="E3374" s="391">
        <v>2633</v>
      </c>
      <c r="F3374" s="391" t="s">
        <v>223</v>
      </c>
      <c r="G3374" s="391">
        <v>1067</v>
      </c>
      <c r="H3374" s="528">
        <v>5</v>
      </c>
      <c r="I3374" s="528">
        <v>4</v>
      </c>
      <c r="J3374" s="528">
        <v>80</v>
      </c>
      <c r="K3374" s="458" t="s">
        <v>33</v>
      </c>
      <c r="L3374" s="529">
        <f t="shared" si="500"/>
        <v>3036562.8</v>
      </c>
      <c r="M3374" s="529">
        <v>2987600</v>
      </c>
      <c r="N3374" s="391"/>
      <c r="O3374" s="530">
        <f>M3374*0.3%</f>
        <v>8962.8000000000011</v>
      </c>
      <c r="P3374" s="391"/>
      <c r="Q3374" s="391">
        <v>40000</v>
      </c>
      <c r="R3374" s="528">
        <f>M3374/G3374</f>
        <v>2800</v>
      </c>
      <c r="S3374" s="487"/>
      <c r="T3374" s="398">
        <f>M3374+N3374+O3374+Q3374</f>
        <v>3036562.8</v>
      </c>
      <c r="U3374" s="414"/>
    </row>
    <row r="3375" spans="1:31" s="416" customFormat="1" ht="37.5" customHeight="1">
      <c r="A3375" s="414">
        <f t="shared" si="503"/>
        <v>390</v>
      </c>
      <c r="B3375" s="403" t="s">
        <v>2727</v>
      </c>
      <c r="C3375" s="455" t="s">
        <v>272</v>
      </c>
      <c r="D3375" s="487">
        <v>41661</v>
      </c>
      <c r="E3375" s="391">
        <v>7100</v>
      </c>
      <c r="F3375" s="391" t="s">
        <v>234</v>
      </c>
      <c r="G3375" s="391">
        <v>1926</v>
      </c>
      <c r="H3375" s="528">
        <v>9</v>
      </c>
      <c r="I3375" s="528">
        <v>5</v>
      </c>
      <c r="J3375" s="528">
        <v>160</v>
      </c>
      <c r="K3375" s="458" t="s">
        <v>225</v>
      </c>
      <c r="L3375" s="529">
        <f t="shared" si="500"/>
        <v>3255000</v>
      </c>
      <c r="M3375" s="529">
        <v>3200000</v>
      </c>
      <c r="N3375" s="391">
        <v>35000</v>
      </c>
      <c r="O3375" s="530"/>
      <c r="P3375" s="391"/>
      <c r="Q3375" s="391">
        <v>20000</v>
      </c>
      <c r="R3375" s="528">
        <f>M3375/J3375</f>
        <v>20000</v>
      </c>
      <c r="S3375" s="487"/>
      <c r="T3375" s="398"/>
      <c r="U3375" s="414"/>
    </row>
    <row r="3376" spans="1:31" s="416" customFormat="1" ht="37.5" customHeight="1">
      <c r="A3376" s="414">
        <f t="shared" si="503"/>
        <v>391</v>
      </c>
      <c r="B3376" s="403" t="s">
        <v>2728</v>
      </c>
      <c r="C3376" s="455" t="s">
        <v>272</v>
      </c>
      <c r="D3376" s="487">
        <v>23806</v>
      </c>
      <c r="E3376" s="391">
        <v>4833</v>
      </c>
      <c r="F3376" s="391" t="s">
        <v>234</v>
      </c>
      <c r="G3376" s="391">
        <v>1356</v>
      </c>
      <c r="H3376" s="528">
        <v>9</v>
      </c>
      <c r="I3376" s="528">
        <v>3</v>
      </c>
      <c r="J3376" s="528">
        <v>95</v>
      </c>
      <c r="K3376" s="458" t="s">
        <v>377</v>
      </c>
      <c r="L3376" s="529">
        <f t="shared" si="500"/>
        <v>14574000</v>
      </c>
      <c r="M3376" s="529">
        <v>14499000</v>
      </c>
      <c r="N3376" s="391">
        <v>45000</v>
      </c>
      <c r="O3376" s="530"/>
      <c r="P3376" s="391"/>
      <c r="Q3376" s="391">
        <v>30000</v>
      </c>
      <c r="R3376" s="528">
        <f>M3376/E3376</f>
        <v>3000</v>
      </c>
      <c r="S3376" s="487"/>
      <c r="T3376" s="398"/>
      <c r="U3376" s="414"/>
    </row>
    <row r="3377" spans="1:36" s="416" customFormat="1" ht="37.5" customHeight="1">
      <c r="A3377" s="414">
        <f t="shared" si="503"/>
        <v>392</v>
      </c>
      <c r="B3377" s="403" t="s">
        <v>2729</v>
      </c>
      <c r="C3377" s="455" t="s">
        <v>272</v>
      </c>
      <c r="D3377" s="811">
        <v>1697</v>
      </c>
      <c r="E3377" s="391">
        <v>540</v>
      </c>
      <c r="F3377" s="391" t="s">
        <v>223</v>
      </c>
      <c r="G3377" s="391">
        <v>368</v>
      </c>
      <c r="H3377" s="528">
        <v>2</v>
      </c>
      <c r="I3377" s="528">
        <v>2</v>
      </c>
      <c r="J3377" s="528">
        <v>8</v>
      </c>
      <c r="K3377" s="458" t="s">
        <v>239</v>
      </c>
      <c r="L3377" s="529">
        <f t="shared" si="500"/>
        <v>269833</v>
      </c>
      <c r="M3377" s="529">
        <f>J3377*27000</f>
        <v>216000</v>
      </c>
      <c r="N3377" s="391">
        <v>35000</v>
      </c>
      <c r="O3377" s="530"/>
      <c r="P3377" s="391"/>
      <c r="Q3377" s="391">
        <v>18833</v>
      </c>
      <c r="R3377" s="528">
        <f>M3377/J3377</f>
        <v>27000</v>
      </c>
      <c r="S3377" s="487"/>
      <c r="T3377" s="398"/>
      <c r="U3377" s="414"/>
    </row>
    <row r="3378" spans="1:36" s="416" customFormat="1" ht="37.5" customHeight="1">
      <c r="A3378" s="414">
        <f t="shared" si="503"/>
        <v>393</v>
      </c>
      <c r="B3378" s="403" t="s">
        <v>2730</v>
      </c>
      <c r="C3378" s="455" t="s">
        <v>272</v>
      </c>
      <c r="D3378" s="487">
        <v>26576</v>
      </c>
      <c r="E3378" s="391">
        <v>7546</v>
      </c>
      <c r="F3378" s="391" t="s">
        <v>234</v>
      </c>
      <c r="G3378" s="391">
        <v>1418.1</v>
      </c>
      <c r="H3378" s="528">
        <v>5</v>
      </c>
      <c r="I3378" s="528">
        <v>7</v>
      </c>
      <c r="J3378" s="528">
        <v>96</v>
      </c>
      <c r="K3378" s="458" t="s">
        <v>33</v>
      </c>
      <c r="L3378" s="529">
        <f t="shared" si="500"/>
        <v>2580237.7400000002</v>
      </c>
      <c r="M3378" s="529">
        <v>2552580</v>
      </c>
      <c r="N3378" s="391"/>
      <c r="O3378" s="530">
        <f>M3378*0.3%</f>
        <v>7657.74</v>
      </c>
      <c r="P3378" s="391"/>
      <c r="Q3378" s="391">
        <v>20000</v>
      </c>
      <c r="R3378" s="528">
        <f>M3378/G3378</f>
        <v>1800.0000000000002</v>
      </c>
      <c r="S3378" s="487"/>
      <c r="T3378" s="398">
        <f>M3378+N3378+O3378+Q3378</f>
        <v>2580237.7400000002</v>
      </c>
      <c r="U3378" s="414"/>
    </row>
    <row r="3379" spans="1:36" s="404" customFormat="1" ht="56.25" customHeight="1">
      <c r="A3379" s="414">
        <f t="shared" si="503"/>
        <v>394</v>
      </c>
      <c r="B3379" s="403" t="s">
        <v>2732</v>
      </c>
      <c r="C3379" s="455" t="s">
        <v>397</v>
      </c>
      <c r="D3379" s="487">
        <v>103314</v>
      </c>
      <c r="E3379" s="391">
        <v>11929.4</v>
      </c>
      <c r="F3379" s="391" t="s">
        <v>234</v>
      </c>
      <c r="G3379" s="391">
        <v>3046.1</v>
      </c>
      <c r="H3379" s="528">
        <v>10</v>
      </c>
      <c r="I3379" s="528">
        <v>8</v>
      </c>
      <c r="J3379" s="528">
        <v>451</v>
      </c>
      <c r="K3379" s="458" t="s">
        <v>33</v>
      </c>
      <c r="L3379" s="529">
        <f t="shared" si="500"/>
        <v>5519428.9400000004</v>
      </c>
      <c r="M3379" s="529">
        <v>5482980</v>
      </c>
      <c r="N3379" s="391"/>
      <c r="O3379" s="530">
        <f>M3379*0.3%</f>
        <v>16448.939999999999</v>
      </c>
      <c r="P3379" s="391"/>
      <c r="Q3379" s="391">
        <v>20000</v>
      </c>
      <c r="R3379" s="528">
        <f>M3379/G3379</f>
        <v>1800</v>
      </c>
      <c r="T3379" s="398">
        <f>M3379+N3379+O3379+Q3379</f>
        <v>5519428.9400000004</v>
      </c>
      <c r="U3379" s="390"/>
      <c r="W3379" s="390"/>
      <c r="Y3379" s="390"/>
      <c r="AA3379" s="390"/>
      <c r="AC3379" s="390"/>
      <c r="AD3379" s="390"/>
      <c r="AE3379" s="390"/>
      <c r="AG3379" s="455"/>
      <c r="AH3379" s="390"/>
      <c r="AJ3379" s="390"/>
    </row>
    <row r="3380" spans="1:36" s="404" customFormat="1" ht="56.25" customHeight="1">
      <c r="A3380" s="414">
        <f t="shared" si="503"/>
        <v>395</v>
      </c>
      <c r="B3380" s="403" t="s">
        <v>2733</v>
      </c>
      <c r="C3380" s="455" t="s">
        <v>218</v>
      </c>
      <c r="D3380" s="811">
        <v>12950</v>
      </c>
      <c r="E3380" s="391">
        <v>2731.7</v>
      </c>
      <c r="F3380" s="391" t="s">
        <v>234</v>
      </c>
      <c r="G3380" s="391">
        <v>417</v>
      </c>
      <c r="H3380" s="528">
        <v>12</v>
      </c>
      <c r="I3380" s="528">
        <v>1</v>
      </c>
      <c r="J3380" s="528">
        <v>46</v>
      </c>
      <c r="K3380" s="458" t="s">
        <v>30</v>
      </c>
      <c r="L3380" s="529">
        <f t="shared" si="500"/>
        <v>1511257</v>
      </c>
      <c r="M3380" s="529">
        <f>J3380*32000</f>
        <v>1472000</v>
      </c>
      <c r="N3380" s="391"/>
      <c r="O3380" s="530">
        <f>M3380*0.3%</f>
        <v>4416</v>
      </c>
      <c r="P3380" s="391"/>
      <c r="Q3380" s="391">
        <v>34841</v>
      </c>
      <c r="R3380" s="528">
        <f>M3380/J3380</f>
        <v>32000</v>
      </c>
      <c r="S3380" s="488"/>
      <c r="T3380" s="489"/>
      <c r="U3380" s="390"/>
      <c r="W3380" s="390"/>
      <c r="Y3380" s="390"/>
      <c r="AA3380" s="390"/>
      <c r="AC3380" s="390"/>
      <c r="AD3380" s="390"/>
      <c r="AE3380" s="390"/>
      <c r="AG3380" s="455"/>
      <c r="AH3380" s="388"/>
      <c r="AJ3380" s="390"/>
    </row>
    <row r="3381" spans="1:36" s="404" customFormat="1" ht="75" customHeight="1">
      <c r="A3381" s="414">
        <f t="shared" si="503"/>
        <v>396</v>
      </c>
      <c r="B3381" s="403" t="s">
        <v>3253</v>
      </c>
      <c r="C3381" s="455" t="s">
        <v>230</v>
      </c>
      <c r="D3381" s="487">
        <v>1367</v>
      </c>
      <c r="E3381" s="391">
        <v>515</v>
      </c>
      <c r="F3381" s="391" t="s">
        <v>223</v>
      </c>
      <c r="G3381" s="391">
        <v>287.3</v>
      </c>
      <c r="H3381" s="528">
        <v>2</v>
      </c>
      <c r="I3381" s="528">
        <v>1</v>
      </c>
      <c r="J3381" s="528">
        <v>8</v>
      </c>
      <c r="K3381" s="389" t="s">
        <v>3709</v>
      </c>
      <c r="L3381" s="529">
        <f t="shared" si="500"/>
        <v>828806</v>
      </c>
      <c r="M3381" s="529">
        <v>800000</v>
      </c>
      <c r="N3381" s="391">
        <v>20000</v>
      </c>
      <c r="O3381" s="530"/>
      <c r="P3381" s="391"/>
      <c r="Q3381" s="391">
        <v>8806</v>
      </c>
      <c r="R3381" s="528">
        <f>M3381/E3381</f>
        <v>1553.3980582524273</v>
      </c>
      <c r="S3381" s="488"/>
      <c r="T3381" s="489"/>
      <c r="U3381" s="390"/>
      <c r="V3381" s="390"/>
      <c r="W3381" s="390"/>
      <c r="Y3381" s="390"/>
      <c r="AA3381" s="390"/>
      <c r="AC3381" s="390"/>
      <c r="AD3381" s="390"/>
      <c r="AE3381" s="390"/>
      <c r="AG3381" s="455"/>
      <c r="AH3381" s="388"/>
      <c r="AJ3381" s="390"/>
    </row>
    <row r="3382" spans="1:36" s="404" customFormat="1" ht="37.5" customHeight="1">
      <c r="A3382" s="414">
        <f t="shared" si="503"/>
        <v>397</v>
      </c>
      <c r="B3382" s="403" t="s">
        <v>3254</v>
      </c>
      <c r="C3382" s="455" t="s">
        <v>230</v>
      </c>
      <c r="D3382" s="487">
        <v>1463</v>
      </c>
      <c r="E3382" s="391">
        <v>520</v>
      </c>
      <c r="F3382" s="391" t="s">
        <v>223</v>
      </c>
      <c r="G3382" s="391">
        <v>292.60000000000002</v>
      </c>
      <c r="H3382" s="528">
        <v>2</v>
      </c>
      <c r="I3382" s="528">
        <v>1</v>
      </c>
      <c r="J3382" s="528">
        <v>8</v>
      </c>
      <c r="K3382" s="458" t="s">
        <v>395</v>
      </c>
      <c r="L3382" s="519">
        <f>M3382+N3382+O3382+Q3382</f>
        <v>675956</v>
      </c>
      <c r="M3382" s="529">
        <v>643720</v>
      </c>
      <c r="N3382" s="391">
        <v>25000</v>
      </c>
      <c r="O3382" s="530"/>
      <c r="P3382" s="487"/>
      <c r="Q3382" s="391">
        <v>7236</v>
      </c>
      <c r="R3382" s="528">
        <f>M3382/G3382</f>
        <v>2200</v>
      </c>
      <c r="S3382" s="488"/>
      <c r="T3382" s="398">
        <f>M3382+N3382+O3382+Q3382</f>
        <v>675956</v>
      </c>
      <c r="U3382" s="390"/>
      <c r="V3382" s="390"/>
      <c r="W3382" s="390"/>
      <c r="Y3382" s="390"/>
      <c r="AA3382" s="390"/>
      <c r="AC3382" s="390"/>
      <c r="AD3382" s="390"/>
      <c r="AE3382" s="390"/>
      <c r="AG3382" s="455"/>
      <c r="AH3382" s="388"/>
      <c r="AJ3382" s="390"/>
    </row>
    <row r="3383" spans="1:36" s="404" customFormat="1" ht="37.5" customHeight="1">
      <c r="A3383" s="414">
        <f t="shared" si="503"/>
        <v>398</v>
      </c>
      <c r="B3383" s="403" t="s">
        <v>3713</v>
      </c>
      <c r="C3383" s="455" t="s">
        <v>272</v>
      </c>
      <c r="D3383" s="487">
        <v>12493</v>
      </c>
      <c r="E3383" s="391">
        <v>3035</v>
      </c>
      <c r="F3383" s="391" t="s">
        <v>223</v>
      </c>
      <c r="G3383" s="391">
        <v>1148</v>
      </c>
      <c r="H3383" s="528">
        <v>5</v>
      </c>
      <c r="I3383" s="528">
        <v>4</v>
      </c>
      <c r="J3383" s="528">
        <v>68</v>
      </c>
      <c r="K3383" s="389" t="s">
        <v>33</v>
      </c>
      <c r="L3383" s="529">
        <f>M3383+N3383+O3383+P3383+Q3383</f>
        <v>3263146.2</v>
      </c>
      <c r="M3383" s="529">
        <v>3214400</v>
      </c>
      <c r="N3383" s="391"/>
      <c r="O3383" s="530">
        <f>M3383*0.3%</f>
        <v>9643.2000000000007</v>
      </c>
      <c r="P3383" s="391"/>
      <c r="Q3383" s="391">
        <v>39103</v>
      </c>
      <c r="R3383" s="528">
        <f>M3383/G3383</f>
        <v>2800</v>
      </c>
      <c r="S3383" s="488"/>
      <c r="T3383" s="398">
        <f>M3383+N3383+O3383+Q3383</f>
        <v>3263146.2</v>
      </c>
      <c r="U3383" s="390"/>
      <c r="V3383" s="390"/>
      <c r="W3383" s="390"/>
      <c r="Y3383" s="390"/>
      <c r="AA3383" s="390"/>
      <c r="AC3383" s="390"/>
      <c r="AD3383" s="390"/>
      <c r="AE3383" s="390"/>
      <c r="AG3383" s="455"/>
      <c r="AH3383" s="388"/>
      <c r="AJ3383" s="390"/>
    </row>
    <row r="3384" spans="1:36" s="404" customFormat="1" ht="56.25" customHeight="1">
      <c r="A3384" s="414">
        <f t="shared" si="503"/>
        <v>399</v>
      </c>
      <c r="B3384" s="403" t="s">
        <v>3720</v>
      </c>
      <c r="C3384" s="455" t="s">
        <v>272</v>
      </c>
      <c r="D3384" s="382">
        <v>6291</v>
      </c>
      <c r="E3384" s="388">
        <v>2446.1999999999998</v>
      </c>
      <c r="F3384" s="391" t="s">
        <v>223</v>
      </c>
      <c r="G3384" s="383">
        <v>581</v>
      </c>
      <c r="H3384" s="446">
        <v>5</v>
      </c>
      <c r="I3384" s="446">
        <v>2</v>
      </c>
      <c r="J3384" s="382">
        <v>37</v>
      </c>
      <c r="K3384" s="389" t="s">
        <v>30</v>
      </c>
      <c r="L3384" s="529">
        <f>M3384+N3384+O3384+P3384+Q3384</f>
        <v>1023655</v>
      </c>
      <c r="M3384" s="384">
        <f>J3384*27000</f>
        <v>999000</v>
      </c>
      <c r="N3384" s="383"/>
      <c r="O3384" s="385">
        <f>M3384*0.3%</f>
        <v>2997</v>
      </c>
      <c r="P3384" s="383"/>
      <c r="Q3384" s="391">
        <v>21658</v>
      </c>
      <c r="R3384" s="528">
        <f>M3384/J3384</f>
        <v>27000</v>
      </c>
      <c r="S3384" s="488"/>
      <c r="T3384" s="489"/>
      <c r="U3384" s="390"/>
      <c r="V3384" s="390"/>
      <c r="W3384" s="390"/>
      <c r="Y3384" s="390"/>
      <c r="AA3384" s="390"/>
      <c r="AC3384" s="390"/>
      <c r="AD3384" s="390"/>
      <c r="AE3384" s="390"/>
      <c r="AG3384" s="455"/>
      <c r="AH3384" s="388"/>
      <c r="AJ3384" s="390"/>
    </row>
    <row r="3385" spans="1:36" s="404" customFormat="1" ht="37.5" customHeight="1">
      <c r="A3385" s="414">
        <f t="shared" si="503"/>
        <v>400</v>
      </c>
      <c r="B3385" s="403" t="s">
        <v>3722</v>
      </c>
      <c r="C3385" s="455" t="s">
        <v>272</v>
      </c>
      <c r="D3385" s="382">
        <v>9810</v>
      </c>
      <c r="E3385" s="388">
        <v>2970</v>
      </c>
      <c r="F3385" s="391" t="s">
        <v>231</v>
      </c>
      <c r="G3385" s="383">
        <v>1620</v>
      </c>
      <c r="H3385" s="446">
        <v>5</v>
      </c>
      <c r="I3385" s="446">
        <v>6</v>
      </c>
      <c r="J3385" s="382">
        <v>99</v>
      </c>
      <c r="K3385" s="389" t="s">
        <v>33</v>
      </c>
      <c r="L3385" s="529">
        <f>M3385+N3385+O3385+P3385+Q3385</f>
        <v>4580313</v>
      </c>
      <c r="M3385" s="639">
        <v>4536000</v>
      </c>
      <c r="N3385" s="637"/>
      <c r="O3385" s="385">
        <f>M3385*0.3%</f>
        <v>13608</v>
      </c>
      <c r="P3385" s="637"/>
      <c r="Q3385" s="391">
        <v>30705</v>
      </c>
      <c r="R3385" s="528">
        <f>M3385/G3385</f>
        <v>2800</v>
      </c>
      <c r="S3385" s="488"/>
      <c r="T3385" s="398">
        <f>M3385+N3385+O3385+Q3385</f>
        <v>4580313</v>
      </c>
      <c r="U3385" s="390"/>
      <c r="V3385" s="390"/>
      <c r="W3385" s="390"/>
      <c r="Y3385" s="390"/>
      <c r="AA3385" s="390"/>
      <c r="AC3385" s="390"/>
      <c r="AD3385" s="390"/>
      <c r="AE3385" s="390"/>
      <c r="AG3385" s="455"/>
      <c r="AH3385" s="388"/>
      <c r="AJ3385" s="390"/>
    </row>
    <row r="3386" spans="1:36" s="404" customFormat="1" ht="37.5" customHeight="1">
      <c r="A3386" s="414">
        <f t="shared" si="503"/>
        <v>401</v>
      </c>
      <c r="B3386" s="403" t="s">
        <v>3262</v>
      </c>
      <c r="C3386" s="455" t="s">
        <v>230</v>
      </c>
      <c r="D3386" s="487">
        <v>1203</v>
      </c>
      <c r="E3386" s="391">
        <v>480</v>
      </c>
      <c r="F3386" s="391" t="s">
        <v>223</v>
      </c>
      <c r="G3386" s="391">
        <v>270</v>
      </c>
      <c r="H3386" s="528">
        <v>2</v>
      </c>
      <c r="I3386" s="528">
        <v>1</v>
      </c>
      <c r="J3386" s="528">
        <v>8</v>
      </c>
      <c r="K3386" s="458" t="s">
        <v>395</v>
      </c>
      <c r="L3386" s="519">
        <f>M3386+N3386+O3386+Q3386</f>
        <v>624950</v>
      </c>
      <c r="M3386" s="529">
        <v>594000</v>
      </c>
      <c r="N3386" s="391">
        <v>25000</v>
      </c>
      <c r="O3386" s="530"/>
      <c r="P3386" s="487"/>
      <c r="Q3386" s="391">
        <v>5950</v>
      </c>
      <c r="R3386" s="528">
        <f>M3386/G3386</f>
        <v>2200</v>
      </c>
      <c r="S3386" s="488"/>
      <c r="T3386" s="398">
        <f>M3386+N3386+O3386+Q3386</f>
        <v>624950</v>
      </c>
      <c r="U3386" s="390"/>
      <c r="V3386" s="390"/>
      <c r="W3386" s="390"/>
      <c r="Y3386" s="390"/>
      <c r="AA3386" s="390"/>
      <c r="AC3386" s="390"/>
      <c r="AD3386" s="390"/>
      <c r="AE3386" s="390"/>
      <c r="AG3386" s="455"/>
      <c r="AH3386" s="388"/>
      <c r="AJ3386" s="390"/>
    </row>
    <row r="3387" spans="1:36" s="404" customFormat="1" ht="37.5" customHeight="1">
      <c r="A3387" s="414">
        <f t="shared" si="503"/>
        <v>402</v>
      </c>
      <c r="B3387" s="403" t="s">
        <v>3263</v>
      </c>
      <c r="C3387" s="455" t="s">
        <v>230</v>
      </c>
      <c r="D3387" s="487">
        <v>1306</v>
      </c>
      <c r="E3387" s="391">
        <v>480</v>
      </c>
      <c r="F3387" s="391" t="s">
        <v>223</v>
      </c>
      <c r="G3387" s="391">
        <v>236</v>
      </c>
      <c r="H3387" s="528">
        <v>2</v>
      </c>
      <c r="I3387" s="528">
        <v>1</v>
      </c>
      <c r="J3387" s="528">
        <v>8</v>
      </c>
      <c r="K3387" s="458" t="s">
        <v>395</v>
      </c>
      <c r="L3387" s="519">
        <f>M3387+N3387+O3387+Q3387</f>
        <v>550660</v>
      </c>
      <c r="M3387" s="529">
        <v>519200</v>
      </c>
      <c r="N3387" s="391">
        <v>25000</v>
      </c>
      <c r="O3387" s="530"/>
      <c r="P3387" s="487"/>
      <c r="Q3387" s="391">
        <v>6460</v>
      </c>
      <c r="R3387" s="528">
        <f>M3387/G3387</f>
        <v>2200</v>
      </c>
      <c r="S3387" s="488"/>
      <c r="T3387" s="398">
        <f>M3387+N3387+O3387+Q3387</f>
        <v>550660</v>
      </c>
      <c r="U3387" s="390"/>
      <c r="V3387" s="390"/>
      <c r="W3387" s="390"/>
      <c r="Y3387" s="390"/>
      <c r="AA3387" s="390"/>
      <c r="AC3387" s="390"/>
      <c r="AD3387" s="390"/>
      <c r="AE3387" s="390"/>
      <c r="AG3387" s="455"/>
      <c r="AH3387" s="388"/>
      <c r="AJ3387" s="390"/>
    </row>
    <row r="3388" spans="1:36" s="404" customFormat="1" ht="56.25" customHeight="1">
      <c r="A3388" s="414">
        <f t="shared" si="503"/>
        <v>403</v>
      </c>
      <c r="B3388" s="895" t="s">
        <v>3730</v>
      </c>
      <c r="C3388" s="455" t="s">
        <v>218</v>
      </c>
      <c r="D3388" s="487">
        <v>14691</v>
      </c>
      <c r="E3388" s="391">
        <v>3296</v>
      </c>
      <c r="F3388" s="391" t="s">
        <v>234</v>
      </c>
      <c r="G3388" s="391">
        <v>1132</v>
      </c>
      <c r="H3388" s="528">
        <v>9</v>
      </c>
      <c r="I3388" s="528">
        <v>6</v>
      </c>
      <c r="J3388" s="528">
        <v>90</v>
      </c>
      <c r="K3388" s="389" t="s">
        <v>30</v>
      </c>
      <c r="L3388" s="529">
        <f>M3388+N3388+O3388+P3388+Q3388</f>
        <v>2929241</v>
      </c>
      <c r="M3388" s="384">
        <f>J3388*32000</f>
        <v>2880000</v>
      </c>
      <c r="N3388" s="383"/>
      <c r="O3388" s="385">
        <f>M3388*0.005</f>
        <v>14400</v>
      </c>
      <c r="P3388" s="383"/>
      <c r="Q3388" s="391">
        <v>34841</v>
      </c>
      <c r="R3388" s="528">
        <f>M3388/J3388</f>
        <v>32000</v>
      </c>
      <c r="S3388" s="488"/>
      <c r="T3388" s="489"/>
      <c r="U3388" s="390"/>
      <c r="V3388" s="390"/>
      <c r="W3388" s="390"/>
      <c r="Y3388" s="390"/>
      <c r="AA3388" s="390"/>
      <c r="AC3388" s="390"/>
      <c r="AD3388" s="390"/>
      <c r="AE3388" s="390"/>
      <c r="AG3388" s="455"/>
      <c r="AH3388" s="388"/>
      <c r="AJ3388" s="390"/>
    </row>
    <row r="3389" spans="1:36" s="404" customFormat="1" ht="76.5" customHeight="1">
      <c r="A3389" s="414">
        <f t="shared" si="503"/>
        <v>404</v>
      </c>
      <c r="B3389" s="403" t="s">
        <v>3729</v>
      </c>
      <c r="C3389" s="455" t="s">
        <v>218</v>
      </c>
      <c r="D3389" s="545">
        <v>10133</v>
      </c>
      <c r="E3389" s="391">
        <v>2200</v>
      </c>
      <c r="F3389" s="539" t="s">
        <v>234</v>
      </c>
      <c r="G3389" s="391">
        <v>761</v>
      </c>
      <c r="H3389" s="446">
        <v>5</v>
      </c>
      <c r="I3389" s="528">
        <v>3</v>
      </c>
      <c r="J3389" s="528">
        <v>60</v>
      </c>
      <c r="K3389" s="389" t="s">
        <v>3880</v>
      </c>
      <c r="L3389" s="384">
        <f>M3389+N3389+O3389+P3389+Q3389</f>
        <v>2875700</v>
      </c>
      <c r="M3389" s="384">
        <f>G3389*3700</f>
        <v>2815700</v>
      </c>
      <c r="N3389" s="558">
        <v>40000</v>
      </c>
      <c r="O3389" s="530"/>
      <c r="P3389" s="383"/>
      <c r="Q3389" s="391">
        <v>20000</v>
      </c>
      <c r="R3389" s="446">
        <f>M3389/G3389</f>
        <v>3700</v>
      </c>
      <c r="S3389" s="488"/>
      <c r="T3389" s="398">
        <f>M3389+N3389+O3389+Q3389</f>
        <v>2875700</v>
      </c>
      <c r="U3389" s="390"/>
      <c r="V3389" s="390"/>
      <c r="W3389" s="390"/>
      <c r="Y3389" s="390"/>
      <c r="AA3389" s="390"/>
      <c r="AC3389" s="390"/>
      <c r="AD3389" s="390"/>
      <c r="AE3389" s="390"/>
      <c r="AG3389" s="455"/>
      <c r="AH3389" s="388"/>
      <c r="AJ3389" s="390"/>
    </row>
    <row r="3390" spans="1:36" s="404" customFormat="1" ht="56.25" customHeight="1">
      <c r="A3390" s="414">
        <f t="shared" si="503"/>
        <v>405</v>
      </c>
      <c r="B3390" s="403" t="s">
        <v>3259</v>
      </c>
      <c r="C3390" s="455" t="s">
        <v>218</v>
      </c>
      <c r="D3390" s="545">
        <v>15627</v>
      </c>
      <c r="E3390" s="391">
        <v>2908</v>
      </c>
      <c r="F3390" s="391" t="s">
        <v>231</v>
      </c>
      <c r="G3390" s="391">
        <v>1439</v>
      </c>
      <c r="H3390" s="446">
        <v>5</v>
      </c>
      <c r="I3390" s="528">
        <v>6</v>
      </c>
      <c r="J3390" s="528">
        <v>90</v>
      </c>
      <c r="K3390" s="389" t="s">
        <v>30</v>
      </c>
      <c r="L3390" s="529">
        <f>M3390+N3390+O3390+P3390+Q3390</f>
        <v>2472131</v>
      </c>
      <c r="M3390" s="529">
        <f>J3390*27000</f>
        <v>2430000</v>
      </c>
      <c r="N3390" s="383"/>
      <c r="O3390" s="530">
        <f>M3390*0.3%</f>
        <v>7290</v>
      </c>
      <c r="P3390" s="391"/>
      <c r="Q3390" s="391">
        <v>34841</v>
      </c>
      <c r="R3390" s="528">
        <f>M3390/J3390</f>
        <v>27000</v>
      </c>
      <c r="S3390" s="488"/>
      <c r="T3390" s="489"/>
      <c r="U3390" s="390"/>
      <c r="V3390" s="390"/>
      <c r="W3390" s="390"/>
      <c r="Y3390" s="390"/>
      <c r="AA3390" s="390"/>
      <c r="AC3390" s="390"/>
      <c r="AD3390" s="390"/>
      <c r="AE3390" s="390"/>
      <c r="AG3390" s="455"/>
      <c r="AH3390" s="388"/>
      <c r="AJ3390" s="390"/>
    </row>
    <row r="3391" spans="1:36" s="404" customFormat="1" ht="37.5" customHeight="1">
      <c r="A3391" s="414">
        <f t="shared" si="503"/>
        <v>406</v>
      </c>
      <c r="B3391" s="403" t="s">
        <v>3727</v>
      </c>
      <c r="C3391" s="455" t="s">
        <v>272</v>
      </c>
      <c r="D3391" s="487">
        <v>3515</v>
      </c>
      <c r="E3391" s="391">
        <v>2921</v>
      </c>
      <c r="F3391" s="391" t="s">
        <v>223</v>
      </c>
      <c r="G3391" s="391">
        <v>700</v>
      </c>
      <c r="H3391" s="528">
        <v>2</v>
      </c>
      <c r="I3391" s="528">
        <v>1</v>
      </c>
      <c r="J3391" s="528">
        <v>30</v>
      </c>
      <c r="K3391" s="389" t="s">
        <v>225</v>
      </c>
      <c r="L3391" s="529">
        <f>M3391+N3391+O3391+P3391+Q3391</f>
        <v>1419638</v>
      </c>
      <c r="M3391" s="529">
        <v>1386000</v>
      </c>
      <c r="N3391" s="391">
        <v>30000</v>
      </c>
      <c r="O3391" s="530"/>
      <c r="P3391" s="391"/>
      <c r="Q3391" s="391">
        <v>3638</v>
      </c>
      <c r="R3391" s="850">
        <f>M3391/J3391</f>
        <v>46200</v>
      </c>
      <c r="S3391" s="488"/>
      <c r="T3391" s="489"/>
      <c r="U3391" s="390"/>
      <c r="V3391" s="390"/>
      <c r="W3391" s="390"/>
      <c r="Y3391" s="390"/>
      <c r="AA3391" s="390"/>
      <c r="AC3391" s="390"/>
      <c r="AD3391" s="390"/>
      <c r="AE3391" s="390"/>
      <c r="AG3391" s="455"/>
      <c r="AH3391" s="388"/>
      <c r="AJ3391" s="390"/>
    </row>
    <row r="3392" spans="1:36" s="404" customFormat="1" ht="37.5" customHeight="1">
      <c r="A3392" s="414">
        <f t="shared" si="503"/>
        <v>407</v>
      </c>
      <c r="B3392" s="403" t="s">
        <v>3281</v>
      </c>
      <c r="C3392" s="455" t="s">
        <v>272</v>
      </c>
      <c r="D3392" s="487">
        <v>6786</v>
      </c>
      <c r="E3392" s="391">
        <v>1118</v>
      </c>
      <c r="F3392" s="391" t="s">
        <v>242</v>
      </c>
      <c r="G3392" s="391">
        <v>1037</v>
      </c>
      <c r="H3392" s="528">
        <v>4</v>
      </c>
      <c r="I3392" s="528">
        <v>2</v>
      </c>
      <c r="J3392" s="528">
        <v>24</v>
      </c>
      <c r="K3392" s="458" t="s">
        <v>225</v>
      </c>
      <c r="L3392" s="519">
        <f>M3392+N3392+O3392+Q3392</f>
        <v>423093</v>
      </c>
      <c r="M3392" s="529">
        <v>384000</v>
      </c>
      <c r="N3392" s="391">
        <v>32001</v>
      </c>
      <c r="O3392" s="530"/>
      <c r="P3392" s="487"/>
      <c r="Q3392" s="391">
        <v>7092</v>
      </c>
      <c r="R3392" s="850">
        <f>M3392/J3392</f>
        <v>16000</v>
      </c>
      <c r="S3392" s="488"/>
      <c r="T3392" s="489"/>
      <c r="U3392" s="390"/>
      <c r="V3392" s="390"/>
      <c r="W3392" s="390"/>
      <c r="Y3392" s="390"/>
      <c r="AA3392" s="390"/>
      <c r="AC3392" s="390"/>
      <c r="AD3392" s="390"/>
      <c r="AE3392" s="390"/>
      <c r="AG3392" s="455"/>
      <c r="AH3392" s="388"/>
      <c r="AJ3392" s="390"/>
    </row>
    <row r="3393" spans="1:36" s="404" customFormat="1" ht="44.25" customHeight="1">
      <c r="A3393" s="414">
        <f t="shared" si="503"/>
        <v>408</v>
      </c>
      <c r="B3393" s="403" t="s">
        <v>3285</v>
      </c>
      <c r="C3393" s="455" t="s">
        <v>297</v>
      </c>
      <c r="D3393" s="487">
        <v>2273</v>
      </c>
      <c r="E3393" s="391">
        <v>511.8</v>
      </c>
      <c r="F3393" s="391" t="s">
        <v>228</v>
      </c>
      <c r="G3393" s="391">
        <v>437.8</v>
      </c>
      <c r="H3393" s="528">
        <v>2</v>
      </c>
      <c r="I3393" s="528">
        <v>2</v>
      </c>
      <c r="J3393" s="528">
        <v>12</v>
      </c>
      <c r="K3393" s="458" t="s">
        <v>33</v>
      </c>
      <c r="L3393" s="519">
        <f>M3393+N3393+O3393+Q3393</f>
        <v>819283</v>
      </c>
      <c r="M3393" s="529">
        <v>788040</v>
      </c>
      <c r="N3393" s="391">
        <v>20000</v>
      </c>
      <c r="O3393" s="530"/>
      <c r="P3393" s="487"/>
      <c r="Q3393" s="391">
        <v>11243</v>
      </c>
      <c r="R3393" s="528">
        <f>M3393/G3393</f>
        <v>1800</v>
      </c>
      <c r="S3393" s="488"/>
      <c r="T3393" s="398">
        <f>M3393+N3393+O3393+Q3393</f>
        <v>819283</v>
      </c>
      <c r="U3393" s="390"/>
      <c r="V3393" s="390"/>
      <c r="W3393" s="390"/>
      <c r="Y3393" s="390"/>
      <c r="AA3393" s="390"/>
      <c r="AC3393" s="390"/>
      <c r="AD3393" s="390"/>
      <c r="AE3393" s="390"/>
      <c r="AG3393" s="455"/>
      <c r="AH3393" s="388"/>
      <c r="AJ3393" s="390"/>
    </row>
    <row r="3394" spans="1:36" s="404" customFormat="1" ht="57.75" customHeight="1">
      <c r="A3394" s="414">
        <f t="shared" si="503"/>
        <v>409</v>
      </c>
      <c r="B3394" s="403" t="s">
        <v>3286</v>
      </c>
      <c r="C3394" s="455" t="s">
        <v>297</v>
      </c>
      <c r="D3394" s="487">
        <v>2270</v>
      </c>
      <c r="E3394" s="391">
        <v>511.4</v>
      </c>
      <c r="F3394" s="391" t="s">
        <v>228</v>
      </c>
      <c r="G3394" s="391">
        <v>437.8</v>
      </c>
      <c r="H3394" s="528">
        <v>2</v>
      </c>
      <c r="I3394" s="528">
        <v>2</v>
      </c>
      <c r="J3394" s="528">
        <v>12</v>
      </c>
      <c r="K3394" s="458" t="s">
        <v>33</v>
      </c>
      <c r="L3394" s="519">
        <f>M3394+N3394+O3394+Q3394</f>
        <v>819268</v>
      </c>
      <c r="M3394" s="529">
        <v>788040</v>
      </c>
      <c r="N3394" s="391">
        <v>20000</v>
      </c>
      <c r="O3394" s="530"/>
      <c r="P3394" s="487"/>
      <c r="Q3394" s="391">
        <v>11228</v>
      </c>
      <c r="R3394" s="528">
        <f>M3394/G3394</f>
        <v>1800</v>
      </c>
      <c r="S3394" s="488"/>
      <c r="T3394" s="398">
        <f>M3394+N3394+O3394+Q3394</f>
        <v>819268</v>
      </c>
      <c r="U3394" s="390"/>
      <c r="V3394" s="390"/>
      <c r="W3394" s="390"/>
      <c r="Y3394" s="390"/>
      <c r="AA3394" s="390"/>
      <c r="AC3394" s="390"/>
      <c r="AD3394" s="390"/>
      <c r="AE3394" s="390"/>
      <c r="AG3394" s="455"/>
      <c r="AH3394" s="388"/>
      <c r="AJ3394" s="390"/>
    </row>
    <row r="3395" spans="1:36" s="404" customFormat="1" ht="56.25" customHeight="1">
      <c r="A3395" s="414">
        <f t="shared" si="503"/>
        <v>410</v>
      </c>
      <c r="B3395" s="403" t="s">
        <v>3288</v>
      </c>
      <c r="C3395" s="455" t="s">
        <v>272</v>
      </c>
      <c r="D3395" s="532">
        <v>25010</v>
      </c>
      <c r="E3395" s="391">
        <v>2028</v>
      </c>
      <c r="F3395" s="391" t="s">
        <v>234</v>
      </c>
      <c r="G3395" s="535">
        <v>1014.3</v>
      </c>
      <c r="H3395" s="536">
        <v>9</v>
      </c>
      <c r="I3395" s="536">
        <v>2</v>
      </c>
      <c r="J3395" s="536">
        <v>228</v>
      </c>
      <c r="K3395" s="389" t="s">
        <v>30</v>
      </c>
      <c r="L3395" s="529">
        <f>M3395+N3395+O3395+P3395+Q3395</f>
        <v>7357888</v>
      </c>
      <c r="M3395" s="538">
        <f>J3395*32000</f>
        <v>7296000</v>
      </c>
      <c r="N3395" s="539"/>
      <c r="O3395" s="530">
        <f>M3395*0.3%</f>
        <v>21888</v>
      </c>
      <c r="P3395" s="388"/>
      <c r="Q3395" s="391">
        <v>40000</v>
      </c>
      <c r="R3395" s="528">
        <f>M3395/J3395</f>
        <v>32000</v>
      </c>
      <c r="S3395" s="488"/>
      <c r="T3395" s="489"/>
      <c r="U3395" s="390"/>
      <c r="V3395" s="390"/>
      <c r="W3395" s="390"/>
      <c r="Y3395" s="390"/>
      <c r="AA3395" s="390"/>
      <c r="AC3395" s="390"/>
      <c r="AD3395" s="390"/>
      <c r="AE3395" s="390"/>
      <c r="AG3395" s="455"/>
      <c r="AH3395" s="388"/>
      <c r="AJ3395" s="390"/>
    </row>
    <row r="3396" spans="1:36" s="404" customFormat="1" ht="37.5" customHeight="1">
      <c r="A3396" s="414">
        <f t="shared" si="503"/>
        <v>411</v>
      </c>
      <c r="B3396" s="591" t="s">
        <v>3290</v>
      </c>
      <c r="C3396" s="455" t="s">
        <v>272</v>
      </c>
      <c r="D3396" s="561">
        <v>11248</v>
      </c>
      <c r="E3396" s="565">
        <v>2230</v>
      </c>
      <c r="F3396" s="391" t="s">
        <v>223</v>
      </c>
      <c r="G3396" s="565">
        <v>1121</v>
      </c>
      <c r="H3396" s="561">
        <v>4</v>
      </c>
      <c r="I3396" s="561">
        <v>4</v>
      </c>
      <c r="J3396" s="561">
        <v>40</v>
      </c>
      <c r="K3396" s="389" t="s">
        <v>33</v>
      </c>
      <c r="L3396" s="529">
        <f>M3396+N3396+O3396+P3396+Q3396+M3397+N3397+O3397+P3397+Q3397</f>
        <v>6583422.4000000004</v>
      </c>
      <c r="M3396" s="538">
        <v>3138800</v>
      </c>
      <c r="N3396" s="388"/>
      <c r="O3396" s="530">
        <f>M3396*0.3%</f>
        <v>9416.4</v>
      </c>
      <c r="P3396" s="388"/>
      <c r="Q3396" s="391">
        <v>35206</v>
      </c>
      <c r="R3396" s="528">
        <f>M3396/G3396</f>
        <v>2800</v>
      </c>
      <c r="S3396" s="488"/>
      <c r="T3396" s="398">
        <f>M3396+N3396+O3396+Q3396</f>
        <v>3183422.4</v>
      </c>
      <c r="U3396" s="390"/>
      <c r="V3396" s="390"/>
      <c r="W3396" s="390"/>
      <c r="Y3396" s="390"/>
      <c r="AA3396" s="390"/>
      <c r="AC3396" s="390"/>
      <c r="AD3396" s="390"/>
      <c r="AE3396" s="390"/>
      <c r="AG3396" s="455"/>
      <c r="AH3396" s="388"/>
      <c r="AJ3396" s="390"/>
    </row>
    <row r="3397" spans="1:36" s="416" customFormat="1" ht="37.5" customHeight="1">
      <c r="A3397" s="414"/>
      <c r="B3397" s="403"/>
      <c r="C3397" s="455"/>
      <c r="D3397" s="811"/>
      <c r="E3397" s="391"/>
      <c r="F3397" s="391"/>
      <c r="G3397" s="391"/>
      <c r="H3397" s="528"/>
      <c r="I3397" s="528"/>
      <c r="J3397" s="528"/>
      <c r="K3397" s="458" t="s">
        <v>38</v>
      </c>
      <c r="L3397" s="529"/>
      <c r="M3397" s="529">
        <v>3345000</v>
      </c>
      <c r="N3397" s="391"/>
      <c r="O3397" s="530">
        <v>25000</v>
      </c>
      <c r="P3397" s="391"/>
      <c r="Q3397" s="391">
        <v>30000</v>
      </c>
      <c r="R3397" s="528"/>
      <c r="S3397" s="487"/>
      <c r="T3397" s="398"/>
      <c r="U3397" s="414"/>
    </row>
    <row r="3398" spans="1:36" s="404" customFormat="1" ht="56.25" customHeight="1">
      <c r="A3398" s="414">
        <f>A3396+1</f>
        <v>412</v>
      </c>
      <c r="B3398" s="403" t="s">
        <v>3959</v>
      </c>
      <c r="C3398" s="455" t="s">
        <v>272</v>
      </c>
      <c r="D3398" s="382">
        <v>26055</v>
      </c>
      <c r="E3398" s="383">
        <v>5839</v>
      </c>
      <c r="F3398" s="391" t="s">
        <v>234</v>
      </c>
      <c r="G3398" s="383">
        <v>1101</v>
      </c>
      <c r="H3398" s="382" t="s">
        <v>3708</v>
      </c>
      <c r="I3398" s="382">
        <v>3</v>
      </c>
      <c r="J3398" s="382">
        <v>52</v>
      </c>
      <c r="K3398" s="389" t="s">
        <v>30</v>
      </c>
      <c r="L3398" s="529">
        <f t="shared" ref="L3398:L3407" si="504">M3398+N3398+O3398+P3398+Q3398</f>
        <v>1708992</v>
      </c>
      <c r="M3398" s="384">
        <f>J3398*32000</f>
        <v>1664000</v>
      </c>
      <c r="N3398" s="383"/>
      <c r="O3398" s="473">
        <f>M3398*0.3%</f>
        <v>4992</v>
      </c>
      <c r="P3398" s="383"/>
      <c r="Q3398" s="391">
        <v>40000</v>
      </c>
      <c r="R3398" s="528">
        <f>M3398/J3398</f>
        <v>32000</v>
      </c>
      <c r="S3398" s="488"/>
      <c r="T3398" s="489"/>
      <c r="U3398" s="390"/>
      <c r="V3398" s="390"/>
      <c r="W3398" s="390"/>
      <c r="Y3398" s="390"/>
      <c r="AA3398" s="390"/>
      <c r="AC3398" s="390"/>
      <c r="AD3398" s="390"/>
      <c r="AE3398" s="390"/>
      <c r="AG3398" s="455"/>
      <c r="AH3398" s="388"/>
      <c r="AJ3398" s="390"/>
    </row>
    <row r="3399" spans="1:36" s="404" customFormat="1" ht="37.5" customHeight="1">
      <c r="A3399" s="414">
        <f t="shared" ref="A3399:A3413" si="505">A3398+1</f>
        <v>413</v>
      </c>
      <c r="B3399" s="812" t="s">
        <v>3717</v>
      </c>
      <c r="C3399" s="455" t="s">
        <v>272</v>
      </c>
      <c r="D3399" s="545">
        <v>22880</v>
      </c>
      <c r="E3399" s="391">
        <v>6420</v>
      </c>
      <c r="F3399" s="391" t="s">
        <v>234</v>
      </c>
      <c r="G3399" s="391">
        <v>751</v>
      </c>
      <c r="H3399" s="382">
        <v>16</v>
      </c>
      <c r="I3399" s="382">
        <v>1</v>
      </c>
      <c r="J3399" s="528">
        <v>81</v>
      </c>
      <c r="K3399" s="389" t="s">
        <v>33</v>
      </c>
      <c r="L3399" s="529">
        <f t="shared" si="504"/>
        <v>1375855.4</v>
      </c>
      <c r="M3399" s="529">
        <v>1351800</v>
      </c>
      <c r="N3399" s="391"/>
      <c r="O3399" s="530">
        <f>M3399*0.3%</f>
        <v>4055.4</v>
      </c>
      <c r="P3399" s="391"/>
      <c r="Q3399" s="391">
        <v>20000</v>
      </c>
      <c r="R3399" s="528">
        <f>M3399/G3399</f>
        <v>1800</v>
      </c>
      <c r="S3399" s="488"/>
      <c r="T3399" s="398">
        <f>M3399+N3399+O3399+Q3399</f>
        <v>1375855.4</v>
      </c>
      <c r="U3399" s="390"/>
      <c r="V3399" s="390"/>
      <c r="W3399" s="390"/>
      <c r="Y3399" s="390"/>
      <c r="AA3399" s="390"/>
      <c r="AC3399" s="390"/>
      <c r="AD3399" s="390"/>
      <c r="AE3399" s="390"/>
      <c r="AG3399" s="455"/>
      <c r="AH3399" s="388"/>
      <c r="AJ3399" s="390"/>
    </row>
    <row r="3400" spans="1:36" s="404" customFormat="1" ht="37.5" customHeight="1">
      <c r="A3400" s="414">
        <f t="shared" si="505"/>
        <v>414</v>
      </c>
      <c r="B3400" s="403" t="s">
        <v>3293</v>
      </c>
      <c r="C3400" s="455" t="s">
        <v>272</v>
      </c>
      <c r="D3400" s="446">
        <v>61909</v>
      </c>
      <c r="E3400" s="388">
        <v>8960</v>
      </c>
      <c r="F3400" s="391" t="s">
        <v>234</v>
      </c>
      <c r="G3400" s="388">
        <v>2467.4</v>
      </c>
      <c r="H3400" s="446">
        <v>9</v>
      </c>
      <c r="I3400" s="446">
        <v>6</v>
      </c>
      <c r="J3400" s="446">
        <v>222</v>
      </c>
      <c r="K3400" s="389" t="s">
        <v>225</v>
      </c>
      <c r="L3400" s="529">
        <f t="shared" si="504"/>
        <v>5185000</v>
      </c>
      <c r="M3400" s="519">
        <v>5130000</v>
      </c>
      <c r="N3400" s="391">
        <v>35000</v>
      </c>
      <c r="O3400" s="530"/>
      <c r="P3400" s="388"/>
      <c r="Q3400" s="391">
        <v>20000</v>
      </c>
      <c r="R3400" s="528">
        <f>M3400/J3400</f>
        <v>23108.108108108107</v>
      </c>
      <c r="S3400" s="488"/>
      <c r="T3400" s="489"/>
      <c r="U3400" s="390"/>
      <c r="V3400" s="390"/>
      <c r="W3400" s="390"/>
      <c r="Y3400" s="390"/>
      <c r="AA3400" s="390"/>
      <c r="AC3400" s="390"/>
      <c r="AD3400" s="390"/>
      <c r="AE3400" s="390"/>
      <c r="AG3400" s="455"/>
      <c r="AH3400" s="388"/>
      <c r="AJ3400" s="390"/>
    </row>
    <row r="3401" spans="1:36" s="404" customFormat="1" ht="37.5" customHeight="1">
      <c r="A3401" s="414">
        <f t="shared" si="505"/>
        <v>415</v>
      </c>
      <c r="B3401" s="403" t="s">
        <v>3731</v>
      </c>
      <c r="C3401" s="455" t="s">
        <v>272</v>
      </c>
      <c r="D3401" s="487">
        <v>11911</v>
      </c>
      <c r="E3401" s="391">
        <v>2592</v>
      </c>
      <c r="F3401" s="391" t="s">
        <v>223</v>
      </c>
      <c r="G3401" s="391">
        <v>996</v>
      </c>
      <c r="H3401" s="528">
        <v>4</v>
      </c>
      <c r="I3401" s="528">
        <v>4</v>
      </c>
      <c r="J3401" s="528">
        <v>28</v>
      </c>
      <c r="K3401" s="389" t="s">
        <v>33</v>
      </c>
      <c r="L3401" s="529">
        <f t="shared" si="504"/>
        <v>2834447.4</v>
      </c>
      <c r="M3401" s="529">
        <f>G3401*2800</f>
        <v>2788800</v>
      </c>
      <c r="N3401" s="391"/>
      <c r="O3401" s="530">
        <f>M3401*0.3%</f>
        <v>8366.4</v>
      </c>
      <c r="P3401" s="391"/>
      <c r="Q3401" s="391">
        <v>37281</v>
      </c>
      <c r="R3401" s="528">
        <f>M3401/G3401</f>
        <v>2800</v>
      </c>
      <c r="S3401" s="488"/>
      <c r="T3401" s="398">
        <f>M3401+N3401+O3401+Q3401</f>
        <v>2834447.4</v>
      </c>
      <c r="U3401" s="390"/>
      <c r="V3401" s="390"/>
      <c r="W3401" s="390"/>
      <c r="Y3401" s="390"/>
      <c r="AA3401" s="390"/>
      <c r="AC3401" s="390"/>
      <c r="AD3401" s="390"/>
      <c r="AE3401" s="390"/>
      <c r="AG3401" s="455"/>
      <c r="AH3401" s="388"/>
      <c r="AJ3401" s="390"/>
    </row>
    <row r="3402" spans="1:36" s="404" customFormat="1" ht="56.25" customHeight="1">
      <c r="A3402" s="414">
        <f t="shared" si="505"/>
        <v>416</v>
      </c>
      <c r="B3402" s="711" t="s">
        <v>3716</v>
      </c>
      <c r="C3402" s="455" t="s">
        <v>272</v>
      </c>
      <c r="D3402" s="446">
        <v>10633</v>
      </c>
      <c r="E3402" s="388">
        <v>2311</v>
      </c>
      <c r="F3402" s="391" t="s">
        <v>234</v>
      </c>
      <c r="G3402" s="388">
        <v>481.1</v>
      </c>
      <c r="H3402" s="446">
        <v>5</v>
      </c>
      <c r="I3402" s="446">
        <v>1</v>
      </c>
      <c r="J3402" s="446">
        <v>77</v>
      </c>
      <c r="K3402" s="389" t="s">
        <v>30</v>
      </c>
      <c r="L3402" s="529">
        <f t="shared" si="504"/>
        <v>2322079.3199999998</v>
      </c>
      <c r="M3402" s="519">
        <v>2287439</v>
      </c>
      <c r="N3402" s="388"/>
      <c r="O3402" s="473">
        <v>6862.32</v>
      </c>
      <c r="P3402" s="388"/>
      <c r="Q3402" s="391">
        <v>27778</v>
      </c>
      <c r="R3402" s="528">
        <f>M3402/J3402</f>
        <v>29707</v>
      </c>
      <c r="S3402" s="488"/>
      <c r="T3402" s="489"/>
      <c r="U3402" s="390"/>
      <c r="V3402" s="390"/>
      <c r="W3402" s="390"/>
      <c r="Y3402" s="390"/>
      <c r="AA3402" s="390"/>
      <c r="AC3402" s="390"/>
      <c r="AD3402" s="390"/>
      <c r="AE3402" s="390"/>
      <c r="AG3402" s="455"/>
      <c r="AH3402" s="388"/>
      <c r="AJ3402" s="390"/>
    </row>
    <row r="3403" spans="1:36" s="416" customFormat="1" ht="37.5" customHeight="1">
      <c r="A3403" s="414">
        <f t="shared" si="505"/>
        <v>417</v>
      </c>
      <c r="B3403" s="403" t="s">
        <v>3726</v>
      </c>
      <c r="C3403" s="455" t="s">
        <v>218</v>
      </c>
      <c r="D3403" s="446">
        <v>62917</v>
      </c>
      <c r="E3403" s="550">
        <v>7500</v>
      </c>
      <c r="F3403" s="539" t="s">
        <v>234</v>
      </c>
      <c r="G3403" s="550">
        <v>2737.6</v>
      </c>
      <c r="H3403" s="549">
        <v>9</v>
      </c>
      <c r="I3403" s="446">
        <v>6</v>
      </c>
      <c r="J3403" s="446">
        <v>320</v>
      </c>
      <c r="K3403" s="389" t="s">
        <v>225</v>
      </c>
      <c r="L3403" s="529">
        <f t="shared" si="504"/>
        <v>6455000</v>
      </c>
      <c r="M3403" s="529">
        <v>6400000</v>
      </c>
      <c r="N3403" s="391">
        <v>35000</v>
      </c>
      <c r="O3403" s="473"/>
      <c r="P3403" s="388"/>
      <c r="Q3403" s="391">
        <v>20000</v>
      </c>
      <c r="R3403" s="850">
        <f>M3403/J3403</f>
        <v>20000</v>
      </c>
      <c r="U3403" s="414"/>
      <c r="V3403" s="390"/>
    </row>
    <row r="3404" spans="1:36" s="977" customFormat="1" ht="37.5" customHeight="1">
      <c r="A3404" s="414">
        <f t="shared" si="505"/>
        <v>418</v>
      </c>
      <c r="B3404" s="403" t="s">
        <v>3721</v>
      </c>
      <c r="C3404" s="455" t="s">
        <v>218</v>
      </c>
      <c r="D3404" s="446">
        <v>20494</v>
      </c>
      <c r="E3404" s="388">
        <v>2652.4</v>
      </c>
      <c r="F3404" s="391" t="s">
        <v>234</v>
      </c>
      <c r="G3404" s="388">
        <v>895</v>
      </c>
      <c r="H3404" s="446">
        <v>9</v>
      </c>
      <c r="I3404" s="446">
        <v>2</v>
      </c>
      <c r="J3404" s="446">
        <v>84</v>
      </c>
      <c r="K3404" s="389" t="s">
        <v>33</v>
      </c>
      <c r="L3404" s="529">
        <f t="shared" si="504"/>
        <v>1635833</v>
      </c>
      <c r="M3404" s="529">
        <v>1611000</v>
      </c>
      <c r="N3404" s="391"/>
      <c r="O3404" s="385">
        <f>M3404*0.3%</f>
        <v>4833</v>
      </c>
      <c r="P3404" s="391"/>
      <c r="Q3404" s="391">
        <v>20000</v>
      </c>
      <c r="R3404" s="528">
        <f>M3404/G3404</f>
        <v>1800</v>
      </c>
      <c r="S3404" s="404"/>
      <c r="T3404" s="398">
        <f>M3404+N3404+O3404+Q3404</f>
        <v>1635833</v>
      </c>
      <c r="U3404" s="390"/>
      <c r="V3404" s="390"/>
      <c r="W3404" s="1001"/>
      <c r="X3404" s="431"/>
      <c r="Y3404" s="390"/>
      <c r="Z3404" s="404"/>
      <c r="AA3404" s="390"/>
      <c r="AB3404" s="404"/>
      <c r="AC3404" s="390"/>
      <c r="AD3404" s="390"/>
      <c r="AE3404" s="981"/>
      <c r="AG3404" s="455"/>
      <c r="AH3404" s="388"/>
      <c r="AI3404" s="404"/>
      <c r="AJ3404" s="390"/>
    </row>
    <row r="3405" spans="1:36" s="416" customFormat="1" ht="37.5" customHeight="1">
      <c r="A3405" s="414">
        <f t="shared" si="505"/>
        <v>419</v>
      </c>
      <c r="B3405" s="403" t="s">
        <v>707</v>
      </c>
      <c r="C3405" s="455" t="s">
        <v>218</v>
      </c>
      <c r="D3405" s="446">
        <v>23915</v>
      </c>
      <c r="E3405" s="388">
        <v>4232.3</v>
      </c>
      <c r="F3405" s="391" t="s">
        <v>234</v>
      </c>
      <c r="G3405" s="388">
        <v>979</v>
      </c>
      <c r="H3405" s="446">
        <v>9</v>
      </c>
      <c r="I3405" s="446">
        <v>3</v>
      </c>
      <c r="J3405" s="446">
        <v>108</v>
      </c>
      <c r="K3405" s="389" t="s">
        <v>33</v>
      </c>
      <c r="L3405" s="529">
        <f t="shared" si="504"/>
        <v>1787486.6</v>
      </c>
      <c r="M3405" s="519">
        <v>1762200</v>
      </c>
      <c r="N3405" s="383"/>
      <c r="O3405" s="540">
        <f>M3405*0.003</f>
        <v>5286.6</v>
      </c>
      <c r="P3405" s="388"/>
      <c r="Q3405" s="391">
        <v>20000</v>
      </c>
      <c r="R3405" s="528">
        <f>M3405/G3405</f>
        <v>1800</v>
      </c>
      <c r="S3405" s="388"/>
      <c r="T3405" s="398">
        <f>M3405+N3405+O3405+Q3405</f>
        <v>1787486.6</v>
      </c>
      <c r="U3405" s="414"/>
      <c r="V3405" s="390"/>
    </row>
    <row r="3406" spans="1:36" s="416" customFormat="1" ht="37.5" customHeight="1">
      <c r="A3406" s="414">
        <f t="shared" si="505"/>
        <v>420</v>
      </c>
      <c r="B3406" s="403" t="s">
        <v>3715</v>
      </c>
      <c r="C3406" s="455" t="s">
        <v>272</v>
      </c>
      <c r="D3406" s="487">
        <v>10053</v>
      </c>
      <c r="E3406" s="391">
        <v>2276.8000000000002</v>
      </c>
      <c r="F3406" s="391" t="s">
        <v>223</v>
      </c>
      <c r="G3406" s="391">
        <v>908</v>
      </c>
      <c r="H3406" s="528">
        <v>5</v>
      </c>
      <c r="I3406" s="528">
        <v>3</v>
      </c>
      <c r="J3406" s="528">
        <v>30</v>
      </c>
      <c r="K3406" s="389" t="s">
        <v>33</v>
      </c>
      <c r="L3406" s="529">
        <f t="shared" si="504"/>
        <v>2581493.2000000002</v>
      </c>
      <c r="M3406" s="529">
        <v>2542400</v>
      </c>
      <c r="N3406" s="391"/>
      <c r="O3406" s="530">
        <f>M3406*0.3%</f>
        <v>7627.2</v>
      </c>
      <c r="P3406" s="391"/>
      <c r="Q3406" s="391">
        <v>31466</v>
      </c>
      <c r="R3406" s="528">
        <f>M3406/G3406</f>
        <v>2800</v>
      </c>
      <c r="S3406" s="388"/>
      <c r="T3406" s="398">
        <f>M3406+N3406+O3406+Q3406</f>
        <v>2581493.2000000002</v>
      </c>
      <c r="U3406" s="414"/>
      <c r="V3406" s="390"/>
    </row>
    <row r="3407" spans="1:36" s="416" customFormat="1" ht="37.5" customHeight="1">
      <c r="A3407" s="414">
        <f t="shared" si="505"/>
        <v>421</v>
      </c>
      <c r="B3407" s="403" t="s">
        <v>3723</v>
      </c>
      <c r="C3407" s="455" t="s">
        <v>272</v>
      </c>
      <c r="D3407" s="487">
        <v>922</v>
      </c>
      <c r="E3407" s="391">
        <v>320</v>
      </c>
      <c r="F3407" s="391" t="s">
        <v>223</v>
      </c>
      <c r="G3407" s="391">
        <v>199.8</v>
      </c>
      <c r="H3407" s="528">
        <v>2</v>
      </c>
      <c r="I3407" s="528">
        <v>1</v>
      </c>
      <c r="J3407" s="528">
        <v>8</v>
      </c>
      <c r="K3407" s="389" t="s">
        <v>38</v>
      </c>
      <c r="L3407" s="529">
        <f t="shared" si="504"/>
        <v>542142.80000000005</v>
      </c>
      <c r="M3407" s="529">
        <v>534600</v>
      </c>
      <c r="N3407" s="391"/>
      <c r="O3407" s="530">
        <f>M3407*0.3%</f>
        <v>1603.8</v>
      </c>
      <c r="P3407" s="391"/>
      <c r="Q3407" s="391">
        <v>5939</v>
      </c>
      <c r="R3407" s="528">
        <f>M3407/E3407</f>
        <v>1670.625</v>
      </c>
      <c r="S3407" s="388"/>
      <c r="T3407" s="398"/>
      <c r="U3407" s="414"/>
      <c r="V3407" s="390"/>
    </row>
    <row r="3408" spans="1:36" s="416" customFormat="1" ht="37.5" customHeight="1">
      <c r="A3408" s="414">
        <f t="shared" si="505"/>
        <v>422</v>
      </c>
      <c r="B3408" s="403" t="s">
        <v>3307</v>
      </c>
      <c r="C3408" s="455" t="s">
        <v>230</v>
      </c>
      <c r="D3408" s="487">
        <v>1462</v>
      </c>
      <c r="E3408" s="391">
        <v>480</v>
      </c>
      <c r="F3408" s="391" t="s">
        <v>223</v>
      </c>
      <c r="G3408" s="391">
        <v>329.4</v>
      </c>
      <c r="H3408" s="528">
        <v>2</v>
      </c>
      <c r="I3408" s="528">
        <v>1</v>
      </c>
      <c r="J3408" s="528">
        <v>8</v>
      </c>
      <c r="K3408" s="458" t="s">
        <v>395</v>
      </c>
      <c r="L3408" s="519">
        <f>M3408+N3408+O3408+Q3408</f>
        <v>756911</v>
      </c>
      <c r="M3408" s="529">
        <v>724680</v>
      </c>
      <c r="N3408" s="391">
        <v>25000</v>
      </c>
      <c r="O3408" s="530"/>
      <c r="P3408" s="487"/>
      <c r="Q3408" s="391">
        <v>7231</v>
      </c>
      <c r="R3408" s="528">
        <f>M3408/G3408</f>
        <v>2200</v>
      </c>
      <c r="S3408" s="388"/>
      <c r="T3408" s="398">
        <f>M3408+N3408+O3408+Q3408</f>
        <v>756911</v>
      </c>
      <c r="U3408" s="414"/>
      <c r="V3408" s="390"/>
    </row>
    <row r="3409" spans="1:36" s="416" customFormat="1" ht="37.5" customHeight="1">
      <c r="A3409" s="414">
        <f t="shared" si="505"/>
        <v>423</v>
      </c>
      <c r="B3409" s="403" t="s">
        <v>3308</v>
      </c>
      <c r="C3409" s="455" t="s">
        <v>230</v>
      </c>
      <c r="D3409" s="487">
        <v>1564</v>
      </c>
      <c r="E3409" s="391">
        <v>480</v>
      </c>
      <c r="F3409" s="391" t="s">
        <v>314</v>
      </c>
      <c r="G3409" s="391">
        <v>324</v>
      </c>
      <c r="H3409" s="528">
        <v>2</v>
      </c>
      <c r="I3409" s="528">
        <v>1</v>
      </c>
      <c r="J3409" s="528">
        <v>8</v>
      </c>
      <c r="K3409" s="458" t="s">
        <v>395</v>
      </c>
      <c r="L3409" s="519">
        <f>M3409+N3409+O3409+Q3409</f>
        <v>745536</v>
      </c>
      <c r="M3409" s="529">
        <v>712800</v>
      </c>
      <c r="N3409" s="391">
        <v>25000</v>
      </c>
      <c r="O3409" s="530"/>
      <c r="P3409" s="487"/>
      <c r="Q3409" s="391">
        <v>7736</v>
      </c>
      <c r="R3409" s="528">
        <f>M3409/G3409</f>
        <v>2200</v>
      </c>
      <c r="S3409" s="388"/>
      <c r="T3409" s="398">
        <f>M3409+N3409+O3409+Q3409</f>
        <v>745536</v>
      </c>
      <c r="U3409" s="414"/>
      <c r="V3409" s="390"/>
    </row>
    <row r="3410" spans="1:36" s="416" customFormat="1" ht="37.5" customHeight="1">
      <c r="A3410" s="414">
        <f t="shared" si="505"/>
        <v>424</v>
      </c>
      <c r="B3410" s="427" t="s">
        <v>789</v>
      </c>
      <c r="C3410" s="455" t="s">
        <v>218</v>
      </c>
      <c r="D3410" s="382">
        <v>32576</v>
      </c>
      <c r="E3410" s="388">
        <v>5393.6</v>
      </c>
      <c r="F3410" s="391" t="s">
        <v>234</v>
      </c>
      <c r="G3410" s="383">
        <v>1397</v>
      </c>
      <c r="H3410" s="446">
        <v>9</v>
      </c>
      <c r="I3410" s="446">
        <v>4</v>
      </c>
      <c r="J3410" s="382">
        <v>144</v>
      </c>
      <c r="K3410" s="389" t="s">
        <v>225</v>
      </c>
      <c r="L3410" s="529">
        <f>M3410+N3410+O3410+P3410+Q3410</f>
        <v>2935000</v>
      </c>
      <c r="M3410" s="639">
        <f>J3410*20000</f>
        <v>2880000</v>
      </c>
      <c r="N3410" s="391">
        <v>35000</v>
      </c>
      <c r="O3410" s="640"/>
      <c r="P3410" s="637"/>
      <c r="Q3410" s="391">
        <v>20000</v>
      </c>
      <c r="R3410" s="528">
        <f>M3410/J3410</f>
        <v>20000</v>
      </c>
      <c r="S3410" s="388"/>
      <c r="T3410" s="398"/>
      <c r="U3410" s="414"/>
      <c r="V3410" s="390"/>
    </row>
    <row r="3411" spans="1:36" s="416" customFormat="1" ht="30" customHeight="1">
      <c r="A3411" s="414">
        <f t="shared" si="505"/>
        <v>425</v>
      </c>
      <c r="B3411" s="403" t="s">
        <v>3718</v>
      </c>
      <c r="C3411" s="455" t="s">
        <v>218</v>
      </c>
      <c r="D3411" s="382">
        <v>31673</v>
      </c>
      <c r="E3411" s="388">
        <v>5394</v>
      </c>
      <c r="F3411" s="391" t="s">
        <v>234</v>
      </c>
      <c r="G3411" s="383">
        <v>1391</v>
      </c>
      <c r="H3411" s="446">
        <v>9</v>
      </c>
      <c r="I3411" s="446">
        <v>4</v>
      </c>
      <c r="J3411" s="382">
        <v>144</v>
      </c>
      <c r="K3411" s="389" t="s">
        <v>33</v>
      </c>
      <c r="L3411" s="529">
        <f>M3411+N3411+O3411+P3411+Q3411</f>
        <v>2531311.4</v>
      </c>
      <c r="M3411" s="384">
        <v>2503800</v>
      </c>
      <c r="N3411" s="383"/>
      <c r="O3411" s="385">
        <f>M3411*0.003</f>
        <v>7511.4000000000005</v>
      </c>
      <c r="P3411" s="383"/>
      <c r="Q3411" s="391">
        <v>20000</v>
      </c>
      <c r="R3411" s="528">
        <f>M3411/G3411</f>
        <v>1800</v>
      </c>
      <c r="S3411" s="388"/>
      <c r="T3411" s="398">
        <f>M3411+N3411+O3411+Q3411</f>
        <v>2531311.4</v>
      </c>
      <c r="U3411" s="414"/>
      <c r="V3411" s="390"/>
    </row>
    <row r="3412" spans="1:36" s="404" customFormat="1" ht="37.5" customHeight="1">
      <c r="A3412" s="414">
        <f t="shared" si="505"/>
        <v>426</v>
      </c>
      <c r="B3412" s="403" t="s">
        <v>3719</v>
      </c>
      <c r="C3412" s="455" t="s">
        <v>272</v>
      </c>
      <c r="D3412" s="811">
        <v>12573</v>
      </c>
      <c r="E3412" s="391">
        <v>3030</v>
      </c>
      <c r="F3412" s="391" t="s">
        <v>223</v>
      </c>
      <c r="G3412" s="391">
        <v>1147</v>
      </c>
      <c r="H3412" s="528">
        <v>5</v>
      </c>
      <c r="I3412" s="528">
        <v>4</v>
      </c>
      <c r="J3412" s="528">
        <v>80</v>
      </c>
      <c r="K3412" s="389" t="s">
        <v>239</v>
      </c>
      <c r="L3412" s="529">
        <f>M3412+N3412+O3412+P3412+Q3412</f>
        <v>2213833</v>
      </c>
      <c r="M3412" s="529">
        <f>J3412*27000</f>
        <v>2160000</v>
      </c>
      <c r="N3412" s="391">
        <v>35000</v>
      </c>
      <c r="O3412" s="530"/>
      <c r="P3412" s="391"/>
      <c r="Q3412" s="391">
        <v>18833</v>
      </c>
      <c r="R3412" s="528">
        <f>M3412/J3412</f>
        <v>27000</v>
      </c>
      <c r="S3412" s="488"/>
      <c r="T3412" s="489"/>
      <c r="U3412" s="390"/>
      <c r="V3412" s="390"/>
      <c r="W3412" s="390"/>
      <c r="Y3412" s="390"/>
      <c r="AA3412" s="390"/>
      <c r="AC3412" s="390"/>
      <c r="AD3412" s="390"/>
      <c r="AE3412" s="390"/>
      <c r="AG3412" s="455"/>
      <c r="AH3412" s="388"/>
      <c r="AJ3412" s="390"/>
    </row>
    <row r="3413" spans="1:36" s="478" customFormat="1" ht="65.25" customHeight="1">
      <c r="A3413" s="414">
        <f t="shared" si="505"/>
        <v>427</v>
      </c>
      <c r="B3413" s="403" t="s">
        <v>3886</v>
      </c>
      <c r="C3413" s="455" t="s">
        <v>218</v>
      </c>
      <c r="D3413" s="446">
        <v>16074</v>
      </c>
      <c r="E3413" s="388">
        <v>2560</v>
      </c>
      <c r="F3413" s="391" t="s">
        <v>234</v>
      </c>
      <c r="G3413" s="388">
        <v>676</v>
      </c>
      <c r="H3413" s="446">
        <v>9</v>
      </c>
      <c r="I3413" s="446">
        <v>2</v>
      </c>
      <c r="J3413" s="446">
        <v>72</v>
      </c>
      <c r="K3413" s="389" t="s">
        <v>33</v>
      </c>
      <c r="L3413" s="529">
        <f>M3413+M3414+N3414+N3413+O3413+O3414+P3414+P3413+Q3413+Q3414</f>
        <v>8998056</v>
      </c>
      <c r="M3413" s="529">
        <v>1216800</v>
      </c>
      <c r="N3413" s="391"/>
      <c r="O3413" s="530">
        <v>9000</v>
      </c>
      <c r="P3413" s="391"/>
      <c r="Q3413" s="391">
        <v>30000</v>
      </c>
      <c r="R3413" s="528">
        <f>M3413/G3413</f>
        <v>1800</v>
      </c>
      <c r="S3413" s="383">
        <f t="shared" ref="S3413:S3463" si="506">L3413-M3413-N3413-O3413-P3413-Q3413</f>
        <v>7742256</v>
      </c>
      <c r="T3413" s="398">
        <f>M3413+N3413+O3413+Q3413</f>
        <v>1255800</v>
      </c>
      <c r="U3413" s="390"/>
      <c r="W3413" s="461"/>
      <c r="X3413" s="461"/>
      <c r="Z3413" s="485"/>
      <c r="AA3413" s="994"/>
      <c r="AC3413" s="461"/>
    </row>
    <row r="3414" spans="1:36" s="478" customFormat="1" ht="65.25" customHeight="1">
      <c r="A3414" s="414"/>
      <c r="B3414" s="403"/>
      <c r="C3414" s="455"/>
      <c r="D3414" s="811"/>
      <c r="E3414" s="391"/>
      <c r="F3414" s="391"/>
      <c r="G3414" s="391"/>
      <c r="H3414" s="528"/>
      <c r="I3414" s="528"/>
      <c r="J3414" s="528"/>
      <c r="K3414" s="389" t="s">
        <v>285</v>
      </c>
      <c r="L3414" s="529"/>
      <c r="M3414" s="529">
        <v>7680000</v>
      </c>
      <c r="N3414" s="388">
        <v>32256</v>
      </c>
      <c r="O3414" s="530"/>
      <c r="P3414" s="388"/>
      <c r="Q3414" s="383">
        <v>30000</v>
      </c>
      <c r="R3414" s="528"/>
      <c r="S3414" s="383">
        <f t="shared" si="506"/>
        <v>-7742256</v>
      </c>
      <c r="T3414" s="390"/>
      <c r="U3414" s="390"/>
      <c r="W3414" s="461"/>
      <c r="X3414" s="461"/>
      <c r="Z3414" s="485"/>
      <c r="AA3414" s="994"/>
      <c r="AC3414" s="461"/>
    </row>
    <row r="3415" spans="1:36" s="478" customFormat="1" ht="65.25" customHeight="1">
      <c r="A3415" s="493">
        <f>A3413+1</f>
        <v>428</v>
      </c>
      <c r="B3415" s="403" t="s">
        <v>3681</v>
      </c>
      <c r="C3415" s="455" t="s">
        <v>218</v>
      </c>
      <c r="D3415" s="487">
        <v>8956</v>
      </c>
      <c r="E3415" s="391">
        <v>2695</v>
      </c>
      <c r="F3415" s="391" t="s">
        <v>223</v>
      </c>
      <c r="G3415" s="391">
        <v>832</v>
      </c>
      <c r="H3415" s="528">
        <v>5</v>
      </c>
      <c r="I3415" s="528">
        <v>3</v>
      </c>
      <c r="J3415" s="528">
        <v>60</v>
      </c>
      <c r="K3415" s="389" t="s">
        <v>285</v>
      </c>
      <c r="L3415" s="519">
        <f>M3415+M3416+N3416+N3415+O3415+O3416+P3415+P3416+Q3416+Q3415</f>
        <v>4760219.2</v>
      </c>
      <c r="M3415" s="529">
        <v>2329600</v>
      </c>
      <c r="N3415" s="383">
        <v>35000</v>
      </c>
      <c r="O3415" s="530"/>
      <c r="P3415" s="391"/>
      <c r="Q3415" s="391">
        <v>30000</v>
      </c>
      <c r="R3415" s="528">
        <f>M3415/E3415</f>
        <v>864.41558441558436</v>
      </c>
      <c r="S3415" s="383">
        <f t="shared" si="506"/>
        <v>2365619.2000000002</v>
      </c>
      <c r="T3415" s="390"/>
      <c r="U3415" s="390"/>
      <c r="W3415" s="461"/>
      <c r="X3415" s="461"/>
      <c r="Z3415" s="485"/>
      <c r="AA3415" s="994"/>
      <c r="AC3415" s="461"/>
    </row>
    <row r="3416" spans="1:36" s="478" customFormat="1" ht="65.25" customHeight="1">
      <c r="A3416" s="493"/>
      <c r="B3416" s="403"/>
      <c r="C3416" s="455"/>
      <c r="D3416" s="487"/>
      <c r="E3416" s="391"/>
      <c r="F3416" s="391"/>
      <c r="G3416" s="391"/>
      <c r="H3416" s="528"/>
      <c r="I3416" s="528"/>
      <c r="J3416" s="528"/>
      <c r="K3416" s="389" t="s">
        <v>33</v>
      </c>
      <c r="L3416" s="519"/>
      <c r="M3416" s="529">
        <v>2329600</v>
      </c>
      <c r="N3416" s="383"/>
      <c r="O3416" s="530">
        <v>7987.2</v>
      </c>
      <c r="P3416" s="391"/>
      <c r="Q3416" s="391">
        <v>28032</v>
      </c>
      <c r="R3416" s="528"/>
      <c r="S3416" s="383">
        <f t="shared" si="506"/>
        <v>-2365619.2000000002</v>
      </c>
      <c r="T3416" s="398">
        <f>M3416+N3416+O3416+Q3416</f>
        <v>2365619.2000000002</v>
      </c>
      <c r="U3416" s="390"/>
      <c r="W3416" s="461"/>
      <c r="X3416" s="461"/>
      <c r="Z3416" s="485"/>
      <c r="AA3416" s="994"/>
      <c r="AC3416" s="461"/>
    </row>
    <row r="3417" spans="1:36" s="478" customFormat="1" ht="65.25" customHeight="1">
      <c r="A3417" s="827">
        <f>A3415+1</f>
        <v>429</v>
      </c>
      <c r="B3417" s="403" t="s">
        <v>3696</v>
      </c>
      <c r="C3417" s="455" t="s">
        <v>272</v>
      </c>
      <c r="D3417" s="545">
        <v>9426</v>
      </c>
      <c r="E3417" s="391">
        <v>1920</v>
      </c>
      <c r="F3417" s="391" t="s">
        <v>231</v>
      </c>
      <c r="G3417" s="391">
        <v>2492.5</v>
      </c>
      <c r="H3417" s="446">
        <v>5</v>
      </c>
      <c r="I3417" s="446">
        <v>2</v>
      </c>
      <c r="J3417" s="528">
        <v>17</v>
      </c>
      <c r="K3417" s="896" t="s">
        <v>33</v>
      </c>
      <c r="L3417" s="519">
        <f>M3417+N3417+O3417+Q3417</f>
        <v>7040503</v>
      </c>
      <c r="M3417" s="519">
        <v>6979000</v>
      </c>
      <c r="N3417" s="388">
        <v>32000</v>
      </c>
      <c r="O3417" s="473"/>
      <c r="P3417" s="388"/>
      <c r="Q3417" s="391">
        <v>29503</v>
      </c>
      <c r="R3417" s="528">
        <f>M3417/G3417</f>
        <v>2800</v>
      </c>
      <c r="S3417" s="383">
        <f t="shared" si="506"/>
        <v>0</v>
      </c>
      <c r="T3417" s="398">
        <f>M3417+N3417+O3417+Q3417</f>
        <v>7040503</v>
      </c>
      <c r="U3417" s="390"/>
      <c r="W3417" s="461"/>
      <c r="X3417" s="461"/>
      <c r="Z3417" s="485"/>
      <c r="AA3417" s="994"/>
      <c r="AC3417" s="461"/>
    </row>
    <row r="3418" spans="1:36" s="416" customFormat="1" ht="37.5" customHeight="1">
      <c r="A3418" s="506">
        <f>A3417+1</f>
        <v>430</v>
      </c>
      <c r="B3418" s="403" t="s">
        <v>1470</v>
      </c>
      <c r="C3418" s="455" t="s">
        <v>272</v>
      </c>
      <c r="D3418" s="487">
        <v>24749</v>
      </c>
      <c r="E3418" s="391">
        <v>5166</v>
      </c>
      <c r="F3418" s="391" t="s">
        <v>223</v>
      </c>
      <c r="G3418" s="391">
        <v>1638</v>
      </c>
      <c r="H3418" s="528">
        <v>6</v>
      </c>
      <c r="I3418" s="528">
        <v>6</v>
      </c>
      <c r="J3418" s="528">
        <v>120</v>
      </c>
      <c r="K3418" s="458" t="s">
        <v>225</v>
      </c>
      <c r="L3418" s="519">
        <f t="shared" ref="L3418:L3429" si="507">M3418+N3418+O3418+P3418+Q3418</f>
        <v>2345868.8199999998</v>
      </c>
      <c r="M3418" s="529">
        <v>2292900</v>
      </c>
      <c r="N3418" s="391">
        <v>34973.25</v>
      </c>
      <c r="O3418" s="530"/>
      <c r="P3418" s="391"/>
      <c r="Q3418" s="391">
        <v>17995.57</v>
      </c>
      <c r="R3418" s="528">
        <f t="shared" ref="R3418:R3424" si="508">M3418/J3418</f>
        <v>19107.5</v>
      </c>
      <c r="S3418" s="383">
        <f t="shared" si="506"/>
        <v>-1.673470251262188E-10</v>
      </c>
      <c r="T3418" s="398"/>
      <c r="U3418" s="390"/>
      <c r="V3418" s="390"/>
    </row>
    <row r="3419" spans="1:36" s="416" customFormat="1" ht="37.5" customHeight="1">
      <c r="A3419" s="506">
        <f t="shared" ref="A3419:A3439" si="509">A3418+1</f>
        <v>431</v>
      </c>
      <c r="B3419" s="403" t="s">
        <v>1571</v>
      </c>
      <c r="C3419" s="455" t="s">
        <v>218</v>
      </c>
      <c r="D3419" s="487">
        <v>30527</v>
      </c>
      <c r="E3419" s="391">
        <v>5508</v>
      </c>
      <c r="F3419" s="391" t="s">
        <v>234</v>
      </c>
      <c r="G3419" s="391">
        <v>1332.5</v>
      </c>
      <c r="H3419" s="528">
        <v>9</v>
      </c>
      <c r="I3419" s="528">
        <v>4</v>
      </c>
      <c r="J3419" s="528">
        <v>144</v>
      </c>
      <c r="K3419" s="458" t="s">
        <v>225</v>
      </c>
      <c r="L3419" s="519">
        <f t="shared" si="507"/>
        <v>3066484.23</v>
      </c>
      <c r="M3419" s="529">
        <v>3012900</v>
      </c>
      <c r="N3419" s="391">
        <v>33784.230000000003</v>
      </c>
      <c r="O3419" s="530"/>
      <c r="P3419" s="391"/>
      <c r="Q3419" s="391">
        <v>19800</v>
      </c>
      <c r="R3419" s="528">
        <f t="shared" si="508"/>
        <v>20922.916666666668</v>
      </c>
      <c r="S3419" s="383">
        <f t="shared" si="506"/>
        <v>0</v>
      </c>
      <c r="T3419" s="398"/>
      <c r="U3419" s="390"/>
      <c r="V3419" s="390"/>
    </row>
    <row r="3420" spans="1:36" s="416" customFormat="1" ht="37.5" customHeight="1">
      <c r="A3420" s="506">
        <f t="shared" si="509"/>
        <v>432</v>
      </c>
      <c r="B3420" s="403" t="s">
        <v>1754</v>
      </c>
      <c r="C3420" s="455" t="s">
        <v>218</v>
      </c>
      <c r="D3420" s="487">
        <v>16232</v>
      </c>
      <c r="E3420" s="391">
        <v>3339</v>
      </c>
      <c r="F3420" s="391" t="s">
        <v>234</v>
      </c>
      <c r="G3420" s="391">
        <v>701</v>
      </c>
      <c r="H3420" s="528">
        <v>9</v>
      </c>
      <c r="I3420" s="528">
        <v>2</v>
      </c>
      <c r="J3420" s="528">
        <v>72</v>
      </c>
      <c r="K3420" s="458" t="s">
        <v>239</v>
      </c>
      <c r="L3420" s="519">
        <f t="shared" si="507"/>
        <v>2001724.71</v>
      </c>
      <c r="M3420" s="529">
        <v>1944000</v>
      </c>
      <c r="N3420" s="391">
        <v>35000</v>
      </c>
      <c r="O3420" s="530"/>
      <c r="P3420" s="391"/>
      <c r="Q3420" s="391">
        <v>22724.71</v>
      </c>
      <c r="R3420" s="528">
        <f t="shared" si="508"/>
        <v>27000</v>
      </c>
      <c r="S3420" s="383">
        <f t="shared" si="506"/>
        <v>-3.637978807091713E-11</v>
      </c>
      <c r="T3420" s="398"/>
      <c r="U3420" s="390"/>
      <c r="V3420" s="390"/>
    </row>
    <row r="3421" spans="1:36" s="416" customFormat="1" ht="37.5" customHeight="1">
      <c r="A3421" s="506">
        <f t="shared" si="509"/>
        <v>433</v>
      </c>
      <c r="B3421" s="403" t="s">
        <v>1614</v>
      </c>
      <c r="C3421" s="455" t="s">
        <v>218</v>
      </c>
      <c r="D3421" s="487">
        <v>12097</v>
      </c>
      <c r="E3421" s="391">
        <v>2687.9</v>
      </c>
      <c r="F3421" s="391" t="s">
        <v>234</v>
      </c>
      <c r="G3421" s="391">
        <v>546</v>
      </c>
      <c r="H3421" s="528">
        <v>9</v>
      </c>
      <c r="I3421" s="528">
        <v>1</v>
      </c>
      <c r="J3421" s="528">
        <v>72</v>
      </c>
      <c r="K3421" s="458" t="s">
        <v>225</v>
      </c>
      <c r="L3421" s="519">
        <f t="shared" si="507"/>
        <v>1618233.6</v>
      </c>
      <c r="M3421" s="529">
        <v>1572900</v>
      </c>
      <c r="N3421" s="391">
        <v>32718.59</v>
      </c>
      <c r="O3421" s="530"/>
      <c r="P3421" s="391"/>
      <c r="Q3421" s="391">
        <v>12615.01</v>
      </c>
      <c r="R3421" s="528">
        <f t="shared" si="508"/>
        <v>21845.833333333332</v>
      </c>
      <c r="S3421" s="383">
        <f t="shared" si="506"/>
        <v>9.276845958083868E-11</v>
      </c>
      <c r="T3421" s="398"/>
      <c r="U3421" s="390"/>
      <c r="V3421" s="390"/>
    </row>
    <row r="3422" spans="1:36" s="416" customFormat="1" ht="37.5" customHeight="1">
      <c r="A3422" s="506">
        <f t="shared" si="509"/>
        <v>434</v>
      </c>
      <c r="B3422" s="403" t="s">
        <v>1660</v>
      </c>
      <c r="C3422" s="455" t="s">
        <v>218</v>
      </c>
      <c r="D3422" s="487">
        <v>12505</v>
      </c>
      <c r="E3422" s="391">
        <v>2770</v>
      </c>
      <c r="F3422" s="391" t="s">
        <v>223</v>
      </c>
      <c r="G3422" s="391">
        <v>1240</v>
      </c>
      <c r="H3422" s="528">
        <v>5</v>
      </c>
      <c r="I3422" s="528">
        <v>4</v>
      </c>
      <c r="J3422" s="528">
        <v>80</v>
      </c>
      <c r="K3422" s="458" t="s">
        <v>225</v>
      </c>
      <c r="L3422" s="519">
        <f t="shared" si="507"/>
        <v>1467710.92</v>
      </c>
      <c r="M3422" s="529">
        <v>1412900</v>
      </c>
      <c r="N3422" s="391">
        <v>41637.760000000002</v>
      </c>
      <c r="O3422" s="530"/>
      <c r="P3422" s="391"/>
      <c r="Q3422" s="391">
        <v>13173.16</v>
      </c>
      <c r="R3422" s="528">
        <f t="shared" si="508"/>
        <v>17661.25</v>
      </c>
      <c r="S3422" s="383">
        <f t="shared" si="506"/>
        <v>-7.6397554948925972E-11</v>
      </c>
      <c r="T3422" s="398"/>
      <c r="U3422" s="390"/>
      <c r="V3422" s="390"/>
    </row>
    <row r="3423" spans="1:36" s="416" customFormat="1" ht="37.5" customHeight="1">
      <c r="A3423" s="506">
        <f t="shared" si="509"/>
        <v>435</v>
      </c>
      <c r="B3423" s="403" t="s">
        <v>1497</v>
      </c>
      <c r="C3423" s="455" t="s">
        <v>272</v>
      </c>
      <c r="D3423" s="487">
        <v>14425</v>
      </c>
      <c r="E3423" s="391">
        <v>2545</v>
      </c>
      <c r="F3423" s="391" t="s">
        <v>234</v>
      </c>
      <c r="G3423" s="391">
        <v>1007.5</v>
      </c>
      <c r="H3423" s="528">
        <v>5</v>
      </c>
      <c r="I3423" s="528">
        <v>4</v>
      </c>
      <c r="J3423" s="528">
        <v>68</v>
      </c>
      <c r="K3423" s="458" t="s">
        <v>225</v>
      </c>
      <c r="L3423" s="519">
        <f t="shared" si="507"/>
        <v>1266868.67</v>
      </c>
      <c r="M3423" s="529">
        <v>1220900</v>
      </c>
      <c r="N3423" s="391">
        <v>33200.17</v>
      </c>
      <c r="O3423" s="530"/>
      <c r="P3423" s="391"/>
      <c r="Q3423" s="391">
        <v>12768.5</v>
      </c>
      <c r="R3423" s="528">
        <f t="shared" si="508"/>
        <v>17954.411764705881</v>
      </c>
      <c r="S3423" s="383">
        <f t="shared" si="506"/>
        <v>-7.2759576141834259E-11</v>
      </c>
      <c r="T3423" s="398"/>
      <c r="U3423" s="390"/>
      <c r="V3423" s="390"/>
    </row>
    <row r="3424" spans="1:36" ht="37.5" customHeight="1">
      <c r="A3424" s="506">
        <f t="shared" si="509"/>
        <v>436</v>
      </c>
      <c r="B3424" s="427" t="s">
        <v>3668</v>
      </c>
      <c r="C3424" s="455" t="s">
        <v>218</v>
      </c>
      <c r="D3424" s="532">
        <v>6836</v>
      </c>
      <c r="E3424" s="391">
        <v>6836</v>
      </c>
      <c r="F3424" s="539" t="s">
        <v>234</v>
      </c>
      <c r="G3424" s="535">
        <v>288.10000000000002</v>
      </c>
      <c r="H3424" s="536">
        <v>9</v>
      </c>
      <c r="I3424" s="536">
        <v>1</v>
      </c>
      <c r="J3424" s="536">
        <v>26</v>
      </c>
      <c r="K3424" s="458" t="s">
        <v>225</v>
      </c>
      <c r="L3424" s="529">
        <f t="shared" si="507"/>
        <v>611037.79</v>
      </c>
      <c r="M3424" s="538">
        <v>572000</v>
      </c>
      <c r="N3424" s="539">
        <v>30741.52</v>
      </c>
      <c r="O3424" s="540"/>
      <c r="P3424" s="388"/>
      <c r="Q3424" s="541">
        <v>8296.27</v>
      </c>
      <c r="R3424" s="528">
        <f t="shared" si="508"/>
        <v>22000</v>
      </c>
      <c r="S3424" s="383">
        <f t="shared" si="506"/>
        <v>3.637978807091713E-11</v>
      </c>
      <c r="T3424" s="389"/>
      <c r="U3424" s="390"/>
      <c r="V3424" s="390"/>
    </row>
    <row r="3425" spans="1:29" s="416" customFormat="1" ht="37.5" customHeight="1">
      <c r="A3425" s="506">
        <f t="shared" si="509"/>
        <v>437</v>
      </c>
      <c r="B3425" s="403" t="s">
        <v>1592</v>
      </c>
      <c r="C3425" s="455" t="s">
        <v>272</v>
      </c>
      <c r="D3425" s="487">
        <v>22117</v>
      </c>
      <c r="E3425" s="391">
        <v>2300</v>
      </c>
      <c r="F3425" s="391" t="s">
        <v>234</v>
      </c>
      <c r="G3425" s="391">
        <v>1108</v>
      </c>
      <c r="H3425" s="528">
        <v>5</v>
      </c>
      <c r="I3425" s="528">
        <v>4</v>
      </c>
      <c r="J3425" s="528">
        <v>48</v>
      </c>
      <c r="K3425" s="458" t="s">
        <v>38</v>
      </c>
      <c r="L3425" s="519">
        <f t="shared" si="507"/>
        <v>3830341</v>
      </c>
      <c r="M3425" s="529">
        <v>3780000</v>
      </c>
      <c r="N3425" s="391"/>
      <c r="O3425" s="473">
        <v>20641</v>
      </c>
      <c r="P3425" s="391"/>
      <c r="Q3425" s="391">
        <v>29700</v>
      </c>
      <c r="R3425" s="528">
        <f>M3425/E3425</f>
        <v>1643.4782608695652</v>
      </c>
      <c r="S3425" s="383">
        <f t="shared" si="506"/>
        <v>0</v>
      </c>
      <c r="T3425" s="398"/>
      <c r="U3425" s="390"/>
      <c r="V3425" s="390"/>
    </row>
    <row r="3426" spans="1:29" s="416" customFormat="1" ht="37.5" customHeight="1">
      <c r="A3426" s="506">
        <f t="shared" si="509"/>
        <v>438</v>
      </c>
      <c r="B3426" s="403" t="s">
        <v>1761</v>
      </c>
      <c r="C3426" s="455" t="s">
        <v>272</v>
      </c>
      <c r="D3426" s="487">
        <v>24858</v>
      </c>
      <c r="E3426" s="391">
        <v>3295.6</v>
      </c>
      <c r="F3426" s="391" t="s">
        <v>223</v>
      </c>
      <c r="G3426" s="391">
        <v>1887.7</v>
      </c>
      <c r="H3426" s="528">
        <v>5</v>
      </c>
      <c r="I3426" s="528">
        <v>4</v>
      </c>
      <c r="J3426" s="528">
        <v>69</v>
      </c>
      <c r="K3426" s="458" t="s">
        <v>225</v>
      </c>
      <c r="L3426" s="519">
        <f t="shared" si="507"/>
        <v>1639877.78</v>
      </c>
      <c r="M3426" s="529">
        <v>1587000</v>
      </c>
      <c r="N3426" s="391">
        <v>33077.78</v>
      </c>
      <c r="O3426" s="530"/>
      <c r="P3426" s="391"/>
      <c r="Q3426" s="391">
        <v>19800</v>
      </c>
      <c r="R3426" s="446">
        <f>M3426/J3426</f>
        <v>23000</v>
      </c>
      <c r="S3426" s="383">
        <f t="shared" si="506"/>
        <v>2.9103830456733704E-11</v>
      </c>
      <c r="T3426" s="398"/>
      <c r="U3426" s="390"/>
      <c r="V3426" s="390"/>
    </row>
    <row r="3427" spans="1:29" s="416" customFormat="1" ht="37.5" customHeight="1">
      <c r="A3427" s="506">
        <f t="shared" si="509"/>
        <v>439</v>
      </c>
      <c r="B3427" s="403" t="s">
        <v>1769</v>
      </c>
      <c r="C3427" s="455" t="s">
        <v>272</v>
      </c>
      <c r="D3427" s="487">
        <v>11505</v>
      </c>
      <c r="E3427" s="391">
        <v>1830</v>
      </c>
      <c r="F3427" s="391" t="s">
        <v>223</v>
      </c>
      <c r="G3427" s="391">
        <v>983</v>
      </c>
      <c r="H3427" s="528">
        <v>4</v>
      </c>
      <c r="I3427" s="528">
        <v>4</v>
      </c>
      <c r="J3427" s="528">
        <v>35</v>
      </c>
      <c r="K3427" s="458" t="s">
        <v>3706</v>
      </c>
      <c r="L3427" s="519">
        <f t="shared" si="507"/>
        <v>5546785</v>
      </c>
      <c r="M3427" s="529">
        <v>5490000</v>
      </c>
      <c r="N3427" s="391">
        <v>27085</v>
      </c>
      <c r="O3427" s="530"/>
      <c r="P3427" s="391"/>
      <c r="Q3427" s="391">
        <v>29700</v>
      </c>
      <c r="R3427" s="528">
        <f>M3427/E3427</f>
        <v>3000</v>
      </c>
      <c r="S3427" s="383">
        <f t="shared" si="506"/>
        <v>0</v>
      </c>
      <c r="T3427" s="398"/>
      <c r="U3427" s="390"/>
      <c r="V3427" s="390"/>
    </row>
    <row r="3428" spans="1:29" s="416" customFormat="1" ht="75" customHeight="1">
      <c r="A3428" s="506">
        <f t="shared" si="509"/>
        <v>440</v>
      </c>
      <c r="B3428" s="403" t="s">
        <v>1770</v>
      </c>
      <c r="C3428" s="455" t="s">
        <v>272</v>
      </c>
      <c r="D3428" s="487">
        <v>5323</v>
      </c>
      <c r="E3428" s="391">
        <v>1135</v>
      </c>
      <c r="F3428" s="391" t="s">
        <v>223</v>
      </c>
      <c r="G3428" s="391">
        <v>581</v>
      </c>
      <c r="H3428" s="528">
        <v>4</v>
      </c>
      <c r="I3428" s="528">
        <v>2</v>
      </c>
      <c r="J3428" s="528">
        <v>24</v>
      </c>
      <c r="K3428" s="458" t="s">
        <v>30</v>
      </c>
      <c r="L3428" s="519">
        <f t="shared" si="507"/>
        <v>671257.42</v>
      </c>
      <c r="M3428" s="529">
        <v>600000</v>
      </c>
      <c r="N3428" s="391">
        <v>24202.38</v>
      </c>
      <c r="O3428" s="530">
        <v>20000</v>
      </c>
      <c r="P3428" s="391"/>
      <c r="Q3428" s="391">
        <v>27055.040000000001</v>
      </c>
      <c r="R3428" s="528">
        <f>M3428/J3428</f>
        <v>25000</v>
      </c>
      <c r="S3428" s="383">
        <f t="shared" si="506"/>
        <v>3.637978807091713E-11</v>
      </c>
      <c r="T3428" s="398"/>
      <c r="U3428" s="390"/>
      <c r="V3428" s="390"/>
    </row>
    <row r="3429" spans="1:29" s="416" customFormat="1" ht="37.5" customHeight="1">
      <c r="A3429" s="506">
        <f t="shared" si="509"/>
        <v>441</v>
      </c>
      <c r="B3429" s="403" t="s">
        <v>1466</v>
      </c>
      <c r="C3429" s="455" t="s">
        <v>272</v>
      </c>
      <c r="D3429" s="487">
        <v>12380</v>
      </c>
      <c r="E3429" s="391">
        <v>2608</v>
      </c>
      <c r="F3429" s="391" t="s">
        <v>223</v>
      </c>
      <c r="G3429" s="391">
        <v>1140</v>
      </c>
      <c r="H3429" s="528">
        <v>5</v>
      </c>
      <c r="I3429" s="528">
        <v>4</v>
      </c>
      <c r="J3429" s="528">
        <v>80</v>
      </c>
      <c r="K3429" s="458" t="s">
        <v>225</v>
      </c>
      <c r="L3429" s="519">
        <f t="shared" si="507"/>
        <v>1464948</v>
      </c>
      <c r="M3429" s="529">
        <v>1412900</v>
      </c>
      <c r="N3429" s="391">
        <v>32234</v>
      </c>
      <c r="O3429" s="473"/>
      <c r="P3429" s="391"/>
      <c r="Q3429" s="391">
        <v>19814</v>
      </c>
      <c r="R3429" s="528">
        <f>M3429/G3429</f>
        <v>1239.3859649122808</v>
      </c>
      <c r="S3429" s="383">
        <f t="shared" si="506"/>
        <v>0</v>
      </c>
      <c r="T3429" s="398"/>
      <c r="U3429" s="390"/>
      <c r="V3429" s="390"/>
    </row>
    <row r="3430" spans="1:29" s="416" customFormat="1" ht="37.5" customHeight="1">
      <c r="A3430" s="506">
        <f t="shared" si="509"/>
        <v>442</v>
      </c>
      <c r="B3430" s="403" t="s">
        <v>1481</v>
      </c>
      <c r="C3430" s="455" t="s">
        <v>272</v>
      </c>
      <c r="D3430" s="487">
        <v>13196</v>
      </c>
      <c r="E3430" s="391">
        <v>2410</v>
      </c>
      <c r="F3430" s="391" t="s">
        <v>223</v>
      </c>
      <c r="G3430" s="391">
        <v>1138</v>
      </c>
      <c r="H3430" s="528">
        <v>5</v>
      </c>
      <c r="I3430" s="528">
        <v>4</v>
      </c>
      <c r="J3430" s="528">
        <v>70</v>
      </c>
      <c r="K3430" s="458" t="s">
        <v>33</v>
      </c>
      <c r="L3430" s="519">
        <f>M3430+N3430+O3430+Q3430</f>
        <v>3247882.04</v>
      </c>
      <c r="M3430" s="529">
        <v>3186400</v>
      </c>
      <c r="N3430" s="391"/>
      <c r="O3430" s="530">
        <v>21682.04</v>
      </c>
      <c r="P3430" s="391"/>
      <c r="Q3430" s="388">
        <v>39800</v>
      </c>
      <c r="R3430" s="528">
        <f>M3430/G3430</f>
        <v>2800</v>
      </c>
      <c r="S3430" s="383">
        <f t="shared" si="506"/>
        <v>0</v>
      </c>
      <c r="T3430" s="398">
        <f>M3430+N3430+O3430+Q3430</f>
        <v>3247882.04</v>
      </c>
      <c r="U3430" s="390"/>
      <c r="V3430" s="390"/>
    </row>
    <row r="3431" spans="1:29" s="416" customFormat="1" ht="37.5" customHeight="1">
      <c r="A3431" s="506">
        <f t="shared" si="509"/>
        <v>443</v>
      </c>
      <c r="B3431" s="403" t="s">
        <v>1545</v>
      </c>
      <c r="C3431" s="455" t="s">
        <v>218</v>
      </c>
      <c r="D3431" s="487">
        <v>12236</v>
      </c>
      <c r="E3431" s="391">
        <v>2430</v>
      </c>
      <c r="F3431" s="391" t="s">
        <v>223</v>
      </c>
      <c r="G3431" s="391">
        <v>1144</v>
      </c>
      <c r="H3431" s="528">
        <v>5</v>
      </c>
      <c r="I3431" s="528">
        <v>4</v>
      </c>
      <c r="J3431" s="528">
        <v>80</v>
      </c>
      <c r="K3431" s="458" t="s">
        <v>225</v>
      </c>
      <c r="L3431" s="519">
        <f t="shared" ref="L3431:L3439" si="510">M3431+N3431+O3431+P3431+Q3431</f>
        <v>1470874.15</v>
      </c>
      <c r="M3431" s="529">
        <v>1412900</v>
      </c>
      <c r="N3431" s="391">
        <v>42601.919999999998</v>
      </c>
      <c r="O3431" s="530"/>
      <c r="P3431" s="391"/>
      <c r="Q3431" s="391">
        <v>15372.23</v>
      </c>
      <c r="R3431" s="528">
        <f t="shared" ref="R3431:R3436" si="511">M3431/J3431</f>
        <v>17661.25</v>
      </c>
      <c r="S3431" s="383">
        <f t="shared" si="506"/>
        <v>-9.0949470177292824E-11</v>
      </c>
      <c r="T3431" s="398"/>
      <c r="U3431" s="390"/>
      <c r="V3431" s="390"/>
    </row>
    <row r="3432" spans="1:29" s="416" customFormat="1" ht="56.25" customHeight="1">
      <c r="A3432" s="506">
        <f t="shared" si="509"/>
        <v>444</v>
      </c>
      <c r="B3432" s="403" t="s">
        <v>1547</v>
      </c>
      <c r="C3432" s="455" t="s">
        <v>218</v>
      </c>
      <c r="D3432" s="487">
        <v>12544</v>
      </c>
      <c r="E3432" s="391">
        <v>2882</v>
      </c>
      <c r="F3432" s="391" t="s">
        <v>223</v>
      </c>
      <c r="G3432" s="391">
        <v>1144</v>
      </c>
      <c r="H3432" s="528">
        <v>5</v>
      </c>
      <c r="I3432" s="528">
        <v>4</v>
      </c>
      <c r="J3432" s="528">
        <v>79</v>
      </c>
      <c r="K3432" s="458" t="s">
        <v>30</v>
      </c>
      <c r="L3432" s="519">
        <f t="shared" si="510"/>
        <v>2175469.4899999998</v>
      </c>
      <c r="M3432" s="529">
        <v>2133000</v>
      </c>
      <c r="N3432" s="391"/>
      <c r="O3432" s="473">
        <v>15107.09</v>
      </c>
      <c r="P3432" s="391"/>
      <c r="Q3432" s="391">
        <v>27362.400000000001</v>
      </c>
      <c r="R3432" s="528">
        <f t="shared" si="511"/>
        <v>27000</v>
      </c>
      <c r="S3432" s="383">
        <f t="shared" si="506"/>
        <v>-2.4374458007514477E-10</v>
      </c>
      <c r="T3432" s="398"/>
      <c r="U3432" s="390"/>
      <c r="V3432" s="390"/>
    </row>
    <row r="3433" spans="1:29" s="416" customFormat="1" ht="56.25" customHeight="1">
      <c r="A3433" s="506">
        <f t="shared" si="509"/>
        <v>445</v>
      </c>
      <c r="B3433" s="403" t="s">
        <v>1549</v>
      </c>
      <c r="C3433" s="455" t="s">
        <v>272</v>
      </c>
      <c r="D3433" s="487">
        <v>6360</v>
      </c>
      <c r="E3433" s="391">
        <v>597</v>
      </c>
      <c r="F3433" s="391" t="s">
        <v>223</v>
      </c>
      <c r="G3433" s="391">
        <v>591</v>
      </c>
      <c r="H3433" s="528">
        <v>5</v>
      </c>
      <c r="I3433" s="528">
        <v>2</v>
      </c>
      <c r="J3433" s="528">
        <v>40</v>
      </c>
      <c r="K3433" s="458" t="s">
        <v>30</v>
      </c>
      <c r="L3433" s="519">
        <f t="shared" si="510"/>
        <v>1115711.1499999999</v>
      </c>
      <c r="M3433" s="529">
        <v>1080000</v>
      </c>
      <c r="N3433" s="391"/>
      <c r="O3433" s="473">
        <v>14377.75</v>
      </c>
      <c r="P3433" s="391"/>
      <c r="Q3433" s="391">
        <v>21333.4</v>
      </c>
      <c r="R3433" s="528">
        <f t="shared" si="511"/>
        <v>27000</v>
      </c>
      <c r="S3433" s="383">
        <f t="shared" si="506"/>
        <v>-9.4587448984384537E-11</v>
      </c>
      <c r="T3433" s="398"/>
      <c r="U3433" s="390"/>
      <c r="V3433" s="390"/>
    </row>
    <row r="3434" spans="1:29" s="416" customFormat="1" ht="37.5" customHeight="1">
      <c r="A3434" s="506">
        <f t="shared" si="509"/>
        <v>446</v>
      </c>
      <c r="B3434" s="403" t="s">
        <v>1550</v>
      </c>
      <c r="C3434" s="455" t="s">
        <v>218</v>
      </c>
      <c r="D3434" s="487">
        <v>12487</v>
      </c>
      <c r="E3434" s="391">
        <v>2192</v>
      </c>
      <c r="F3434" s="391" t="s">
        <v>223</v>
      </c>
      <c r="G3434" s="391">
        <v>1147</v>
      </c>
      <c r="H3434" s="528">
        <v>5</v>
      </c>
      <c r="I3434" s="528">
        <v>4</v>
      </c>
      <c r="J3434" s="528">
        <v>80</v>
      </c>
      <c r="K3434" s="458" t="s">
        <v>225</v>
      </c>
      <c r="L3434" s="519">
        <f t="shared" si="510"/>
        <v>1471209.07</v>
      </c>
      <c r="M3434" s="529">
        <v>1412900</v>
      </c>
      <c r="N3434" s="391">
        <v>43162.1</v>
      </c>
      <c r="O3434" s="530"/>
      <c r="P3434" s="391"/>
      <c r="Q3434" s="391">
        <v>15146.97</v>
      </c>
      <c r="R3434" s="528">
        <f t="shared" si="511"/>
        <v>17661.25</v>
      </c>
      <c r="S3434" s="383">
        <f t="shared" si="506"/>
        <v>6.730260793119669E-11</v>
      </c>
      <c r="T3434" s="398"/>
      <c r="U3434" s="390"/>
      <c r="V3434" s="390"/>
    </row>
    <row r="3435" spans="1:29" s="416" customFormat="1" ht="56.25" customHeight="1">
      <c r="A3435" s="506">
        <f t="shared" si="509"/>
        <v>447</v>
      </c>
      <c r="B3435" s="403" t="s">
        <v>1551</v>
      </c>
      <c r="C3435" s="455" t="s">
        <v>218</v>
      </c>
      <c r="D3435" s="487">
        <v>12236</v>
      </c>
      <c r="E3435" s="391">
        <v>2382</v>
      </c>
      <c r="F3435" s="391" t="s">
        <v>223</v>
      </c>
      <c r="G3435" s="391">
        <v>1144</v>
      </c>
      <c r="H3435" s="528">
        <v>5</v>
      </c>
      <c r="I3435" s="528">
        <v>4</v>
      </c>
      <c r="J3435" s="528">
        <v>80</v>
      </c>
      <c r="K3435" s="458" t="s">
        <v>30</v>
      </c>
      <c r="L3435" s="519">
        <f t="shared" si="510"/>
        <v>2200971</v>
      </c>
      <c r="M3435" s="529">
        <v>2160000</v>
      </c>
      <c r="N3435" s="391"/>
      <c r="O3435" s="473">
        <v>6480</v>
      </c>
      <c r="P3435" s="391"/>
      <c r="Q3435" s="391">
        <v>34491</v>
      </c>
      <c r="R3435" s="528">
        <f t="shared" si="511"/>
        <v>27000</v>
      </c>
      <c r="S3435" s="383">
        <f t="shared" si="506"/>
        <v>0</v>
      </c>
      <c r="T3435" s="398"/>
      <c r="U3435" s="390"/>
      <c r="V3435" s="390"/>
    </row>
    <row r="3436" spans="1:29" s="416" customFormat="1" ht="37.5" customHeight="1">
      <c r="A3436" s="506">
        <f t="shared" si="509"/>
        <v>448</v>
      </c>
      <c r="B3436" s="403" t="s">
        <v>1553</v>
      </c>
      <c r="C3436" s="455" t="s">
        <v>218</v>
      </c>
      <c r="D3436" s="487">
        <v>12270</v>
      </c>
      <c r="E3436" s="391">
        <v>1600</v>
      </c>
      <c r="F3436" s="391" t="s">
        <v>223</v>
      </c>
      <c r="G3436" s="391">
        <v>1148</v>
      </c>
      <c r="H3436" s="528">
        <v>5</v>
      </c>
      <c r="I3436" s="528">
        <v>4</v>
      </c>
      <c r="J3436" s="528">
        <v>80</v>
      </c>
      <c r="K3436" s="458" t="s">
        <v>225</v>
      </c>
      <c r="L3436" s="519">
        <f t="shared" si="510"/>
        <v>1471104.94</v>
      </c>
      <c r="M3436" s="529">
        <v>1412900</v>
      </c>
      <c r="N3436" s="391">
        <v>43055.64</v>
      </c>
      <c r="O3436" s="530"/>
      <c r="P3436" s="391"/>
      <c r="Q3436" s="391">
        <v>15149.3</v>
      </c>
      <c r="R3436" s="528">
        <f t="shared" si="511"/>
        <v>17661.25</v>
      </c>
      <c r="S3436" s="383">
        <f t="shared" si="506"/>
        <v>-5.4569682106375694E-11</v>
      </c>
      <c r="T3436" s="398"/>
      <c r="U3436" s="390"/>
      <c r="V3436" s="390"/>
    </row>
    <row r="3437" spans="1:29" s="416" customFormat="1" ht="37.5" customHeight="1">
      <c r="A3437" s="506">
        <f t="shared" si="509"/>
        <v>449</v>
      </c>
      <c r="B3437" s="403" t="s">
        <v>1555</v>
      </c>
      <c r="C3437" s="455" t="s">
        <v>218</v>
      </c>
      <c r="D3437" s="487">
        <v>14155</v>
      </c>
      <c r="E3437" s="391">
        <v>1700</v>
      </c>
      <c r="F3437" s="391" t="s">
        <v>223</v>
      </c>
      <c r="G3437" s="391">
        <v>1136</v>
      </c>
      <c r="H3437" s="528">
        <v>5</v>
      </c>
      <c r="I3437" s="528">
        <v>4</v>
      </c>
      <c r="J3437" s="528">
        <v>80</v>
      </c>
      <c r="K3437" s="458" t="s">
        <v>33</v>
      </c>
      <c r="L3437" s="519">
        <f t="shared" si="510"/>
        <v>3232528</v>
      </c>
      <c r="M3437" s="529">
        <v>3180800</v>
      </c>
      <c r="N3437" s="391"/>
      <c r="O3437" s="473">
        <v>11928</v>
      </c>
      <c r="P3437" s="391"/>
      <c r="Q3437" s="391">
        <v>39800</v>
      </c>
      <c r="R3437" s="528">
        <f>M3437/G3437</f>
        <v>2800</v>
      </c>
      <c r="S3437" s="383">
        <f t="shared" si="506"/>
        <v>0</v>
      </c>
      <c r="T3437" s="398">
        <f>M3437+N3437+O3437+Q3437</f>
        <v>3232528</v>
      </c>
      <c r="U3437" s="390"/>
      <c r="V3437" s="390"/>
    </row>
    <row r="3438" spans="1:29" s="416" customFormat="1" ht="56.25" customHeight="1">
      <c r="A3438" s="506">
        <f t="shared" si="509"/>
        <v>450</v>
      </c>
      <c r="B3438" s="403" t="s">
        <v>1568</v>
      </c>
      <c r="C3438" s="455" t="s">
        <v>218</v>
      </c>
      <c r="D3438" s="487">
        <v>9832</v>
      </c>
      <c r="E3438" s="391">
        <v>2350</v>
      </c>
      <c r="F3438" s="391" t="s">
        <v>234</v>
      </c>
      <c r="G3438" s="391">
        <v>692</v>
      </c>
      <c r="H3438" s="528">
        <v>5</v>
      </c>
      <c r="I3438" s="528">
        <v>4</v>
      </c>
      <c r="J3438" s="528">
        <v>60</v>
      </c>
      <c r="K3438" s="458" t="s">
        <v>30</v>
      </c>
      <c r="L3438" s="519">
        <f t="shared" si="510"/>
        <v>1662232.67</v>
      </c>
      <c r="M3438" s="529">
        <v>1620000</v>
      </c>
      <c r="N3438" s="391"/>
      <c r="O3438" s="473">
        <v>14870.27</v>
      </c>
      <c r="P3438" s="391"/>
      <c r="Q3438" s="391">
        <v>27362.400000000001</v>
      </c>
      <c r="R3438" s="528">
        <f>M3438/J3438</f>
        <v>27000</v>
      </c>
      <c r="S3438" s="383">
        <f t="shared" si="506"/>
        <v>-7.6397554948925972E-11</v>
      </c>
      <c r="T3438" s="398"/>
      <c r="U3438" s="390"/>
      <c r="V3438" s="390"/>
    </row>
    <row r="3439" spans="1:29" s="416" customFormat="1" ht="37.5" customHeight="1">
      <c r="A3439" s="506">
        <f t="shared" si="509"/>
        <v>451</v>
      </c>
      <c r="B3439" s="403" t="s">
        <v>1570</v>
      </c>
      <c r="C3439" s="455" t="s">
        <v>272</v>
      </c>
      <c r="D3439" s="487">
        <v>17828</v>
      </c>
      <c r="E3439" s="391">
        <v>548</v>
      </c>
      <c r="F3439" s="391" t="s">
        <v>223</v>
      </c>
      <c r="G3439" s="391">
        <v>1643</v>
      </c>
      <c r="H3439" s="528">
        <v>5</v>
      </c>
      <c r="I3439" s="528">
        <v>6</v>
      </c>
      <c r="J3439" s="528">
        <v>100</v>
      </c>
      <c r="K3439" s="458" t="s">
        <v>33</v>
      </c>
      <c r="L3439" s="519">
        <f t="shared" si="510"/>
        <v>4665000.38</v>
      </c>
      <c r="M3439" s="529">
        <v>4600400</v>
      </c>
      <c r="N3439" s="391"/>
      <c r="O3439" s="473">
        <v>24800.38</v>
      </c>
      <c r="P3439" s="391"/>
      <c r="Q3439" s="391">
        <v>39800</v>
      </c>
      <c r="R3439" s="528">
        <f>M3439/G3439</f>
        <v>2800</v>
      </c>
      <c r="S3439" s="383">
        <f t="shared" si="506"/>
        <v>-1.1641532182693481E-10</v>
      </c>
      <c r="T3439" s="398">
        <f>M3439+N3439+O3439+Q3439</f>
        <v>4665000.38</v>
      </c>
      <c r="U3439" s="390"/>
      <c r="V3439" s="390"/>
    </row>
    <row r="3440" spans="1:29" s="478" customFormat="1" ht="65.25" customHeight="1">
      <c r="A3440" s="506">
        <f>A3439+1</f>
        <v>452</v>
      </c>
      <c r="B3440" s="403" t="s">
        <v>3960</v>
      </c>
      <c r="C3440" s="455" t="s">
        <v>218</v>
      </c>
      <c r="D3440" s="487">
        <v>63873</v>
      </c>
      <c r="E3440" s="391">
        <v>10779</v>
      </c>
      <c r="F3440" s="539" t="s">
        <v>234</v>
      </c>
      <c r="G3440" s="391">
        <v>2423</v>
      </c>
      <c r="H3440" s="528">
        <v>10</v>
      </c>
      <c r="I3440" s="528">
        <v>7</v>
      </c>
      <c r="J3440" s="528">
        <v>280</v>
      </c>
      <c r="K3440" s="389" t="s">
        <v>33</v>
      </c>
      <c r="L3440" s="519">
        <f>M3440+N3440+O3440+P3440+Q3440</f>
        <v>4396664.9000000004</v>
      </c>
      <c r="M3440" s="529">
        <v>4361400</v>
      </c>
      <c r="N3440" s="391"/>
      <c r="O3440" s="530">
        <v>15264.9</v>
      </c>
      <c r="P3440" s="391"/>
      <c r="Q3440" s="391">
        <v>20000</v>
      </c>
      <c r="R3440" s="382">
        <f>M3440/G3440</f>
        <v>1800</v>
      </c>
      <c r="S3440" s="383">
        <f>L3440-M3440-N3440-O3440-P3440-Q3440</f>
        <v>3.7107383832335472E-10</v>
      </c>
      <c r="T3440" s="398">
        <f>M3440+N3440+O3440+Q3440</f>
        <v>4396664.9000000004</v>
      </c>
      <c r="U3440" s="390"/>
      <c r="W3440" s="461"/>
      <c r="X3440" s="461"/>
      <c r="Z3440" s="485"/>
      <c r="AA3440" s="994"/>
      <c r="AC3440" s="461"/>
    </row>
    <row r="3441" spans="1:29" s="478" customFormat="1" ht="65.25" customHeight="1">
      <c r="A3441" s="506">
        <f>A3440+1</f>
        <v>453</v>
      </c>
      <c r="B3441" s="403" t="s">
        <v>4299</v>
      </c>
      <c r="C3441" s="455" t="s">
        <v>222</v>
      </c>
      <c r="D3441" s="487">
        <v>15626</v>
      </c>
      <c r="E3441" s="391">
        <v>2234.8000000000002</v>
      </c>
      <c r="F3441" s="539" t="s">
        <v>223</v>
      </c>
      <c r="G3441" s="391">
        <v>1157.7</v>
      </c>
      <c r="H3441" s="528">
        <v>5</v>
      </c>
      <c r="I3441" s="528">
        <v>4</v>
      </c>
      <c r="J3441" s="528">
        <v>64</v>
      </c>
      <c r="K3441" s="389" t="s">
        <v>33</v>
      </c>
      <c r="L3441" s="1121">
        <f>M3441+N3441+O3441+Q3441+M3442+N3442+O3442+Q3442</f>
        <v>11173360</v>
      </c>
      <c r="M3441" s="391">
        <v>3241560</v>
      </c>
      <c r="N3441" s="391"/>
      <c r="O3441" s="391">
        <v>20000</v>
      </c>
      <c r="P3441" s="391"/>
      <c r="Q3441" s="391">
        <v>40000</v>
      </c>
      <c r="R3441" s="382"/>
      <c r="S3441" s="383"/>
      <c r="T3441" s="398">
        <f>M3441+N3441+O3441+Q3441</f>
        <v>3301560</v>
      </c>
      <c r="U3441" s="390"/>
      <c r="W3441" s="461"/>
      <c r="X3441" s="461"/>
      <c r="Z3441" s="485"/>
      <c r="AA3441" s="994"/>
      <c r="AC3441" s="461"/>
    </row>
    <row r="3442" spans="1:29" s="478" customFormat="1" ht="65.25" customHeight="1">
      <c r="A3442" s="506"/>
      <c r="B3442" s="403"/>
      <c r="C3442" s="455"/>
      <c r="D3442" s="487"/>
      <c r="E3442" s="391"/>
      <c r="F3442" s="539"/>
      <c r="G3442" s="391"/>
      <c r="H3442" s="528">
        <v>5</v>
      </c>
      <c r="I3442" s="528">
        <v>4</v>
      </c>
      <c r="J3442" s="528">
        <v>64</v>
      </c>
      <c r="K3442" s="389" t="s">
        <v>227</v>
      </c>
      <c r="L3442" s="1121"/>
      <c r="M3442" s="391">
        <v>7821800.0000000009</v>
      </c>
      <c r="N3442" s="391"/>
      <c r="O3442" s="391">
        <v>20000</v>
      </c>
      <c r="P3442" s="391"/>
      <c r="Q3442" s="391">
        <v>30000</v>
      </c>
      <c r="R3442" s="382"/>
      <c r="S3442" s="383"/>
      <c r="T3442" s="390"/>
      <c r="U3442" s="390"/>
      <c r="W3442" s="461"/>
      <c r="X3442" s="461"/>
      <c r="Z3442" s="485"/>
      <c r="AA3442" s="994"/>
      <c r="AC3442" s="461"/>
    </row>
    <row r="3443" spans="1:29" s="478" customFormat="1" ht="65.25" customHeight="1">
      <c r="A3443" s="506">
        <f>A3441+1</f>
        <v>454</v>
      </c>
      <c r="B3443" s="403" t="s">
        <v>4300</v>
      </c>
      <c r="C3443" s="455" t="s">
        <v>4301</v>
      </c>
      <c r="D3443" s="487">
        <v>14467</v>
      </c>
      <c r="E3443" s="391">
        <v>3802.4</v>
      </c>
      <c r="F3443" s="539" t="s">
        <v>234</v>
      </c>
      <c r="G3443" s="391">
        <v>555</v>
      </c>
      <c r="H3443" s="528">
        <v>10</v>
      </c>
      <c r="I3443" s="528">
        <v>1</v>
      </c>
      <c r="J3443" s="528">
        <v>45</v>
      </c>
      <c r="K3443" s="389" t="s">
        <v>33</v>
      </c>
      <c r="L3443" s="391">
        <f>M3443+N3443+O3443+P3443+Q3443</f>
        <v>1052005</v>
      </c>
      <c r="M3443" s="388">
        <v>1041997</v>
      </c>
      <c r="N3443" s="388"/>
      <c r="O3443" s="388">
        <v>10008</v>
      </c>
      <c r="P3443" s="391"/>
      <c r="Q3443" s="391"/>
      <c r="R3443" s="382"/>
      <c r="S3443" s="383"/>
      <c r="T3443" s="398">
        <f>M3443+N3443+O3443+Q3443</f>
        <v>1052005</v>
      </c>
      <c r="U3443" s="390"/>
      <c r="W3443" s="461"/>
      <c r="X3443" s="461"/>
      <c r="Z3443" s="485"/>
      <c r="AA3443" s="994"/>
      <c r="AC3443" s="461"/>
    </row>
    <row r="3444" spans="1:29" s="478" customFormat="1" ht="65.25" customHeight="1">
      <c r="A3444" s="506">
        <v>455</v>
      </c>
      <c r="B3444" s="403" t="s">
        <v>1460</v>
      </c>
      <c r="C3444" s="455" t="s">
        <v>272</v>
      </c>
      <c r="D3444" s="487">
        <v>18880</v>
      </c>
      <c r="E3444" s="391">
        <v>5130</v>
      </c>
      <c r="F3444" s="539" t="s">
        <v>223</v>
      </c>
      <c r="G3444" s="391">
        <v>2565</v>
      </c>
      <c r="H3444" s="528">
        <v>5</v>
      </c>
      <c r="I3444" s="528">
        <v>6</v>
      </c>
      <c r="J3444" s="528">
        <v>104</v>
      </c>
      <c r="K3444" s="389" t="s">
        <v>38</v>
      </c>
      <c r="L3444" s="1121">
        <f>M3444+N3444+O3444+Q3444+M3445+N3445+O3445+Q3445</f>
        <v>12224980</v>
      </c>
      <c r="M3444" s="388">
        <v>6000000</v>
      </c>
      <c r="N3444" s="388"/>
      <c r="O3444" s="388">
        <v>14478</v>
      </c>
      <c r="P3444" s="391"/>
      <c r="Q3444" s="391"/>
      <c r="R3444" s="382"/>
      <c r="S3444" s="383"/>
      <c r="T3444" s="390"/>
      <c r="U3444" s="390"/>
      <c r="W3444" s="461"/>
      <c r="X3444" s="461"/>
      <c r="Z3444" s="485"/>
      <c r="AA3444" s="994"/>
      <c r="AC3444" s="461"/>
    </row>
    <row r="3445" spans="1:29" s="478" customFormat="1" ht="65.25" customHeight="1">
      <c r="A3445" s="506"/>
      <c r="B3445" s="403"/>
      <c r="C3445" s="455"/>
      <c r="D3445" s="487"/>
      <c r="E3445" s="391"/>
      <c r="F3445" s="539"/>
      <c r="G3445" s="391"/>
      <c r="H3445" s="528">
        <v>5</v>
      </c>
      <c r="I3445" s="528">
        <v>6</v>
      </c>
      <c r="J3445" s="528">
        <v>104</v>
      </c>
      <c r="K3445" s="389" t="s">
        <v>33</v>
      </c>
      <c r="L3445" s="1121"/>
      <c r="M3445" s="388">
        <v>6200000</v>
      </c>
      <c r="N3445" s="388"/>
      <c r="O3445" s="388">
        <v>10502</v>
      </c>
      <c r="P3445" s="391"/>
      <c r="Q3445" s="391"/>
      <c r="R3445" s="382"/>
      <c r="S3445" s="383"/>
      <c r="T3445" s="398">
        <f>M3445+N3445+O3445+Q3445</f>
        <v>6210502</v>
      </c>
      <c r="U3445" s="390"/>
      <c r="W3445" s="461"/>
      <c r="X3445" s="461"/>
      <c r="Z3445" s="485"/>
      <c r="AA3445" s="994"/>
      <c r="AC3445" s="461"/>
    </row>
    <row r="3446" spans="1:29" s="478" customFormat="1" ht="65.25" customHeight="1">
      <c r="A3446" s="506">
        <f>A3444+1</f>
        <v>456</v>
      </c>
      <c r="B3446" s="403" t="s">
        <v>3273</v>
      </c>
      <c r="C3446" s="455" t="s">
        <v>272</v>
      </c>
      <c r="D3446" s="487">
        <v>14039</v>
      </c>
      <c r="E3446" s="391">
        <v>2800</v>
      </c>
      <c r="F3446" s="539" t="s">
        <v>223</v>
      </c>
      <c r="G3446" s="391">
        <v>1415</v>
      </c>
      <c r="H3446" s="528">
        <v>3</v>
      </c>
      <c r="I3446" s="528">
        <v>4</v>
      </c>
      <c r="J3446" s="528">
        <v>30</v>
      </c>
      <c r="K3446" s="389" t="s">
        <v>38</v>
      </c>
      <c r="L3446" s="1121">
        <f>M3446+N3446+O3446+Q3446+M3447+N3447+O3447+Q3447</f>
        <v>9480437</v>
      </c>
      <c r="M3446" s="388">
        <v>4659899</v>
      </c>
      <c r="N3446" s="388"/>
      <c r="O3446" s="388">
        <v>10269</v>
      </c>
      <c r="P3446" s="391"/>
      <c r="Q3446" s="391"/>
      <c r="R3446" s="382"/>
      <c r="S3446" s="383"/>
      <c r="T3446" s="390"/>
      <c r="U3446" s="390"/>
      <c r="W3446" s="461"/>
      <c r="X3446" s="461"/>
      <c r="Z3446" s="485"/>
      <c r="AA3446" s="994"/>
      <c r="AC3446" s="461"/>
    </row>
    <row r="3447" spans="1:29" s="478" customFormat="1" ht="65.25" customHeight="1">
      <c r="A3447" s="506"/>
      <c r="B3447" s="403"/>
      <c r="C3447" s="455"/>
      <c r="D3447" s="487"/>
      <c r="E3447" s="391"/>
      <c r="F3447" s="539"/>
      <c r="G3447" s="391"/>
      <c r="H3447" s="528">
        <v>3</v>
      </c>
      <c r="I3447" s="528">
        <v>4</v>
      </c>
      <c r="J3447" s="528">
        <v>30</v>
      </c>
      <c r="K3447" s="389" t="s">
        <v>33</v>
      </c>
      <c r="L3447" s="1121"/>
      <c r="M3447" s="388">
        <v>4800000</v>
      </c>
      <c r="N3447" s="388"/>
      <c r="O3447" s="388">
        <v>10269</v>
      </c>
      <c r="P3447" s="391"/>
      <c r="Q3447" s="391"/>
      <c r="R3447" s="382"/>
      <c r="S3447" s="383"/>
      <c r="T3447" s="398">
        <f>M3447+N3447+O3447+Q3447</f>
        <v>4810269</v>
      </c>
      <c r="U3447" s="390"/>
      <c r="W3447" s="461"/>
      <c r="X3447" s="461"/>
      <c r="Z3447" s="485"/>
      <c r="AA3447" s="994"/>
      <c r="AC3447" s="461"/>
    </row>
    <row r="3448" spans="1:29" s="478" customFormat="1" ht="65.25" customHeight="1">
      <c r="A3448" s="506">
        <f>A3446+1</f>
        <v>457</v>
      </c>
      <c r="B3448" s="403" t="s">
        <v>616</v>
      </c>
      <c r="C3448" s="455" t="s">
        <v>218</v>
      </c>
      <c r="D3448" s="487">
        <v>38461.31</v>
      </c>
      <c r="E3448" s="391">
        <v>6688</v>
      </c>
      <c r="F3448" s="539" t="s">
        <v>234</v>
      </c>
      <c r="G3448" s="391">
        <v>1710</v>
      </c>
      <c r="H3448" s="528">
        <v>9</v>
      </c>
      <c r="I3448" s="528">
        <v>5</v>
      </c>
      <c r="J3448" s="528">
        <v>180</v>
      </c>
      <c r="K3448" s="389" t="s">
        <v>227</v>
      </c>
      <c r="L3448" s="391">
        <f t="shared" ref="L3448:L3454" si="512">M3448+N3448+O3448+P3448+Q3448</f>
        <v>12528557</v>
      </c>
      <c r="M3448" s="388">
        <v>12500000</v>
      </c>
      <c r="N3448" s="388">
        <v>28557</v>
      </c>
      <c r="O3448" s="388"/>
      <c r="P3448" s="391"/>
      <c r="Q3448" s="391"/>
      <c r="R3448" s="382"/>
      <c r="S3448" s="383"/>
      <c r="T3448" s="390"/>
      <c r="U3448" s="390"/>
      <c r="W3448" s="461"/>
      <c r="X3448" s="461"/>
      <c r="Z3448" s="485"/>
      <c r="AA3448" s="994"/>
      <c r="AC3448" s="461"/>
    </row>
    <row r="3449" spans="1:29" s="478" customFormat="1" ht="65.25" customHeight="1">
      <c r="A3449" s="506">
        <f>A3448+1</f>
        <v>458</v>
      </c>
      <c r="B3449" s="403" t="s">
        <v>4302</v>
      </c>
      <c r="C3449" s="455" t="s">
        <v>218</v>
      </c>
      <c r="D3449" s="487">
        <v>17537</v>
      </c>
      <c r="E3449" s="391">
        <v>5394.6</v>
      </c>
      <c r="F3449" s="539" t="s">
        <v>234</v>
      </c>
      <c r="G3449" s="391">
        <v>686</v>
      </c>
      <c r="H3449" s="528">
        <v>9</v>
      </c>
      <c r="I3449" s="528">
        <v>2</v>
      </c>
      <c r="J3449" s="528">
        <v>72</v>
      </c>
      <c r="K3449" s="389" t="s">
        <v>227</v>
      </c>
      <c r="L3449" s="391">
        <f t="shared" si="512"/>
        <v>8023291</v>
      </c>
      <c r="M3449" s="388">
        <v>8000000</v>
      </c>
      <c r="N3449" s="388">
        <v>23291</v>
      </c>
      <c r="O3449" s="388"/>
      <c r="P3449" s="391"/>
      <c r="Q3449" s="391"/>
      <c r="R3449" s="382"/>
      <c r="S3449" s="383"/>
      <c r="T3449" s="390"/>
      <c r="U3449" s="390"/>
      <c r="W3449" s="461"/>
      <c r="X3449" s="461"/>
      <c r="Z3449" s="485"/>
      <c r="AA3449" s="994"/>
      <c r="AC3449" s="461"/>
    </row>
    <row r="3450" spans="1:29" s="478" customFormat="1" ht="65.25" customHeight="1">
      <c r="A3450" s="506">
        <f t="shared" ref="A3450:A3455" si="513">A3449+1</f>
        <v>459</v>
      </c>
      <c r="B3450" s="403" t="s">
        <v>4303</v>
      </c>
      <c r="C3450" s="455" t="s">
        <v>218</v>
      </c>
      <c r="D3450" s="487">
        <v>16337</v>
      </c>
      <c r="E3450" s="391">
        <v>6074.3</v>
      </c>
      <c r="F3450" s="539" t="s">
        <v>234</v>
      </c>
      <c r="G3450" s="391">
        <v>757</v>
      </c>
      <c r="H3450" s="528">
        <v>9</v>
      </c>
      <c r="I3450" s="528">
        <v>2</v>
      </c>
      <c r="J3450" s="528">
        <v>71</v>
      </c>
      <c r="K3450" s="389" t="s">
        <v>227</v>
      </c>
      <c r="L3450" s="391">
        <f t="shared" si="512"/>
        <v>7816989</v>
      </c>
      <c r="M3450" s="388">
        <v>7794000</v>
      </c>
      <c r="N3450" s="388">
        <v>22989</v>
      </c>
      <c r="O3450" s="388"/>
      <c r="P3450" s="391"/>
      <c r="Q3450" s="391"/>
      <c r="R3450" s="382"/>
      <c r="S3450" s="383"/>
      <c r="T3450" s="390"/>
      <c r="U3450" s="390"/>
      <c r="W3450" s="461"/>
      <c r="X3450" s="461"/>
      <c r="Z3450" s="485"/>
      <c r="AA3450" s="994"/>
      <c r="AC3450" s="461"/>
    </row>
    <row r="3451" spans="1:29" s="478" customFormat="1" ht="65.25" customHeight="1">
      <c r="A3451" s="506">
        <f t="shared" si="513"/>
        <v>460</v>
      </c>
      <c r="B3451" s="403" t="s">
        <v>4304</v>
      </c>
      <c r="C3451" s="455" t="s">
        <v>218</v>
      </c>
      <c r="D3451" s="487">
        <v>11478</v>
      </c>
      <c r="E3451" s="391">
        <v>2280</v>
      </c>
      <c r="F3451" s="539" t="s">
        <v>234</v>
      </c>
      <c r="G3451" s="391">
        <v>426</v>
      </c>
      <c r="H3451" s="528">
        <v>12</v>
      </c>
      <c r="I3451" s="528">
        <v>1</v>
      </c>
      <c r="J3451" s="528">
        <v>46</v>
      </c>
      <c r="K3451" s="389" t="s">
        <v>227</v>
      </c>
      <c r="L3451" s="391">
        <f t="shared" si="512"/>
        <v>6521910</v>
      </c>
      <c r="M3451" s="388">
        <v>6500000</v>
      </c>
      <c r="N3451" s="388">
        <v>21910</v>
      </c>
      <c r="O3451" s="388"/>
      <c r="P3451" s="391"/>
      <c r="Q3451" s="391"/>
      <c r="R3451" s="382"/>
      <c r="S3451" s="383"/>
      <c r="T3451" s="390"/>
      <c r="U3451" s="390"/>
      <c r="W3451" s="461"/>
      <c r="X3451" s="461"/>
      <c r="Z3451" s="485"/>
      <c r="AA3451" s="994"/>
      <c r="AC3451" s="461"/>
    </row>
    <row r="3452" spans="1:29" s="478" customFormat="1" ht="65.25" customHeight="1">
      <c r="A3452" s="506">
        <f t="shared" si="513"/>
        <v>461</v>
      </c>
      <c r="B3452" s="403" t="s">
        <v>4305</v>
      </c>
      <c r="C3452" s="455" t="s">
        <v>218</v>
      </c>
      <c r="D3452" s="487">
        <v>14427</v>
      </c>
      <c r="E3452" s="391">
        <v>2784</v>
      </c>
      <c r="F3452" s="539" t="s">
        <v>223</v>
      </c>
      <c r="G3452" s="391">
        <v>1144</v>
      </c>
      <c r="H3452" s="528">
        <v>5</v>
      </c>
      <c r="I3452" s="528">
        <v>4</v>
      </c>
      <c r="J3452" s="528">
        <v>74</v>
      </c>
      <c r="K3452" s="389" t="s">
        <v>33</v>
      </c>
      <c r="L3452" s="391">
        <f t="shared" si="512"/>
        <v>3769632</v>
      </c>
      <c r="M3452" s="388">
        <v>3756150</v>
      </c>
      <c r="N3452" s="388"/>
      <c r="O3452" s="388">
        <v>13482</v>
      </c>
      <c r="P3452" s="391"/>
      <c r="Q3452" s="391"/>
      <c r="R3452" s="382"/>
      <c r="S3452" s="383"/>
      <c r="T3452" s="398">
        <f>M3452+N3452+O3452+Q3452</f>
        <v>3769632</v>
      </c>
      <c r="U3452" s="390"/>
      <c r="W3452" s="461"/>
      <c r="X3452" s="461"/>
      <c r="Z3452" s="485"/>
      <c r="AA3452" s="994"/>
      <c r="AC3452" s="461"/>
    </row>
    <row r="3453" spans="1:29" s="478" customFormat="1" ht="65.25" customHeight="1">
      <c r="A3453" s="506">
        <f t="shared" si="513"/>
        <v>462</v>
      </c>
      <c r="B3453" s="403" t="s">
        <v>575</v>
      </c>
      <c r="C3453" s="455" t="s">
        <v>218</v>
      </c>
      <c r="D3453" s="487">
        <v>9953</v>
      </c>
      <c r="E3453" s="391">
        <v>2104</v>
      </c>
      <c r="F3453" s="539" t="s">
        <v>234</v>
      </c>
      <c r="G3453" s="391">
        <v>755</v>
      </c>
      <c r="H3453" s="528">
        <v>5</v>
      </c>
      <c r="I3453" s="528">
        <v>4</v>
      </c>
      <c r="J3453" s="528">
        <v>60</v>
      </c>
      <c r="K3453" s="389" t="s">
        <v>3880</v>
      </c>
      <c r="L3453" s="391">
        <f t="shared" si="512"/>
        <v>3882154</v>
      </c>
      <c r="M3453" s="388">
        <v>3860000</v>
      </c>
      <c r="N3453" s="388">
        <v>22154</v>
      </c>
      <c r="O3453" s="388"/>
      <c r="P3453" s="391"/>
      <c r="Q3453" s="391"/>
      <c r="R3453" s="382"/>
      <c r="S3453" s="383"/>
      <c r="T3453" s="398">
        <f>M3453+N3453+O3453+Q3453</f>
        <v>3882154</v>
      </c>
      <c r="U3453" s="390"/>
      <c r="W3453" s="461"/>
      <c r="X3453" s="461"/>
      <c r="Z3453" s="485"/>
      <c r="AA3453" s="994"/>
      <c r="AC3453" s="461"/>
    </row>
    <row r="3454" spans="1:29" s="478" customFormat="1" ht="65.25" customHeight="1">
      <c r="A3454" s="506">
        <f t="shared" si="513"/>
        <v>463</v>
      </c>
      <c r="B3454" s="403" t="s">
        <v>3643</v>
      </c>
      <c r="C3454" s="455" t="s">
        <v>272</v>
      </c>
      <c r="D3454" s="487">
        <v>37150</v>
      </c>
      <c r="E3454" s="391">
        <v>6089</v>
      </c>
      <c r="F3454" s="539" t="s">
        <v>234</v>
      </c>
      <c r="G3454" s="391">
        <v>1769</v>
      </c>
      <c r="H3454" s="528">
        <v>9</v>
      </c>
      <c r="I3454" s="528">
        <v>4</v>
      </c>
      <c r="J3454" s="528">
        <v>128</v>
      </c>
      <c r="K3454" s="389" t="s">
        <v>38</v>
      </c>
      <c r="L3454" s="391">
        <f t="shared" si="512"/>
        <v>6528227</v>
      </c>
      <c r="M3454" s="388">
        <v>6500000</v>
      </c>
      <c r="N3454" s="388">
        <v>28227</v>
      </c>
      <c r="O3454" s="388"/>
      <c r="P3454" s="391"/>
      <c r="Q3454" s="391"/>
      <c r="R3454" s="382"/>
      <c r="S3454" s="383"/>
      <c r="T3454" s="390"/>
      <c r="U3454" s="390"/>
      <c r="W3454" s="461"/>
      <c r="X3454" s="461"/>
      <c r="Z3454" s="485"/>
      <c r="AA3454" s="994"/>
      <c r="AC3454" s="461"/>
    </row>
    <row r="3455" spans="1:29" s="478" customFormat="1" ht="65.25" customHeight="1">
      <c r="A3455" s="506">
        <f t="shared" si="513"/>
        <v>464</v>
      </c>
      <c r="B3455" s="403" t="s">
        <v>4306</v>
      </c>
      <c r="C3455" s="455" t="s">
        <v>272</v>
      </c>
      <c r="D3455" s="487">
        <v>12329</v>
      </c>
      <c r="E3455" s="391">
        <v>2800</v>
      </c>
      <c r="F3455" s="539" t="s">
        <v>223</v>
      </c>
      <c r="G3455" s="391">
        <v>1148</v>
      </c>
      <c r="H3455" s="528">
        <v>5</v>
      </c>
      <c r="I3455" s="528">
        <v>4</v>
      </c>
      <c r="J3455" s="528">
        <v>71</v>
      </c>
      <c r="K3455" s="389" t="s">
        <v>38</v>
      </c>
      <c r="L3455" s="1121">
        <f>M3455+N3455+O3455+Q3455+M3456+N3456+O3456+Q3456</f>
        <v>8030528</v>
      </c>
      <c r="M3455" s="388">
        <v>4510170</v>
      </c>
      <c r="N3455" s="388"/>
      <c r="O3455" s="388">
        <v>13013</v>
      </c>
      <c r="P3455" s="391"/>
      <c r="Q3455" s="391"/>
      <c r="R3455" s="382"/>
      <c r="S3455" s="383"/>
      <c r="T3455" s="390"/>
      <c r="U3455" s="390"/>
      <c r="W3455" s="461"/>
      <c r="X3455" s="461"/>
      <c r="Z3455" s="485"/>
      <c r="AA3455" s="994"/>
      <c r="AC3455" s="461"/>
    </row>
    <row r="3456" spans="1:29" s="478" customFormat="1" ht="65.25" customHeight="1">
      <c r="A3456" s="506"/>
      <c r="B3456" s="403"/>
      <c r="C3456" s="455"/>
      <c r="D3456" s="487"/>
      <c r="E3456" s="391"/>
      <c r="F3456" s="539"/>
      <c r="G3456" s="391"/>
      <c r="H3456" s="528">
        <v>5</v>
      </c>
      <c r="I3456" s="528">
        <v>4</v>
      </c>
      <c r="J3456" s="528">
        <v>71</v>
      </c>
      <c r="K3456" s="389" t="s">
        <v>33</v>
      </c>
      <c r="L3456" s="1121"/>
      <c r="M3456" s="388">
        <v>3494332</v>
      </c>
      <c r="N3456" s="388"/>
      <c r="O3456" s="388">
        <v>13013</v>
      </c>
      <c r="P3456" s="391"/>
      <c r="Q3456" s="391"/>
      <c r="R3456" s="382"/>
      <c r="S3456" s="383"/>
      <c r="T3456" s="398">
        <f>M3456+N3456+O3456+Q3456</f>
        <v>3507345</v>
      </c>
      <c r="U3456" s="390"/>
      <c r="W3456" s="461"/>
      <c r="X3456" s="461"/>
      <c r="Z3456" s="485"/>
      <c r="AA3456" s="994"/>
      <c r="AC3456" s="461"/>
    </row>
    <row r="3457" spans="1:219" s="478" customFormat="1" ht="65.25" customHeight="1">
      <c r="A3457" s="506">
        <f>A3455+1</f>
        <v>465</v>
      </c>
      <c r="B3457" s="403" t="s">
        <v>4307</v>
      </c>
      <c r="C3457" s="455" t="s">
        <v>272</v>
      </c>
      <c r="D3457" s="487">
        <v>26457</v>
      </c>
      <c r="E3457" s="391">
        <v>7000</v>
      </c>
      <c r="F3457" s="539" t="s">
        <v>396</v>
      </c>
      <c r="G3457" s="391">
        <v>376</v>
      </c>
      <c r="H3457" s="528">
        <v>17</v>
      </c>
      <c r="I3457" s="528">
        <v>1</v>
      </c>
      <c r="J3457" s="528">
        <v>44</v>
      </c>
      <c r="K3457" s="389" t="s">
        <v>38</v>
      </c>
      <c r="L3457" s="391">
        <f>M3457+N3457+O3457+P3457+Q3457</f>
        <v>11399976.4</v>
      </c>
      <c r="M3457" s="388">
        <v>11377992.4</v>
      </c>
      <c r="N3457" s="388"/>
      <c r="O3457" s="388">
        <v>21984</v>
      </c>
      <c r="P3457" s="391"/>
      <c r="Q3457" s="391"/>
      <c r="R3457" s="382"/>
      <c r="S3457" s="383"/>
      <c r="T3457" s="390"/>
      <c r="U3457" s="390"/>
      <c r="W3457" s="461"/>
      <c r="X3457" s="461"/>
      <c r="Z3457" s="485"/>
      <c r="AA3457" s="994"/>
      <c r="AC3457" s="461"/>
    </row>
    <row r="3458" spans="1:219" s="478" customFormat="1" ht="65.25" customHeight="1">
      <c r="A3458" s="506">
        <f>A3457+1</f>
        <v>466</v>
      </c>
      <c r="B3458" s="403" t="s">
        <v>4312</v>
      </c>
      <c r="C3458" s="455" t="s">
        <v>272</v>
      </c>
      <c r="D3458" s="487">
        <v>45322</v>
      </c>
      <c r="E3458" s="391">
        <v>6858</v>
      </c>
      <c r="F3458" s="539" t="s">
        <v>234</v>
      </c>
      <c r="G3458" s="391">
        <v>1510</v>
      </c>
      <c r="H3458" s="528">
        <v>9</v>
      </c>
      <c r="I3458" s="528">
        <v>5</v>
      </c>
      <c r="J3458" s="528">
        <v>74</v>
      </c>
      <c r="K3458" s="389" t="s">
        <v>38</v>
      </c>
      <c r="L3458" s="391">
        <f>M3458+N3458+O3458+P3458+Q3458</f>
        <v>6313460</v>
      </c>
      <c r="M3458" s="388">
        <v>6300000</v>
      </c>
      <c r="N3458" s="388"/>
      <c r="O3458" s="388">
        <v>13460</v>
      </c>
      <c r="P3458" s="391"/>
      <c r="Q3458" s="391"/>
      <c r="R3458" s="382"/>
      <c r="S3458" s="383"/>
      <c r="T3458" s="390"/>
      <c r="U3458" s="390"/>
      <c r="W3458" s="461"/>
      <c r="X3458" s="461"/>
      <c r="Z3458" s="485"/>
      <c r="AA3458" s="994"/>
      <c r="AC3458" s="461"/>
    </row>
    <row r="3459" spans="1:219" s="478" customFormat="1" ht="65.25" customHeight="1">
      <c r="A3459" s="506">
        <f>A3458+1</f>
        <v>467</v>
      </c>
      <c r="B3459" s="403" t="s">
        <v>4313</v>
      </c>
      <c r="C3459" s="455" t="s">
        <v>218</v>
      </c>
      <c r="D3459" s="487">
        <v>12476</v>
      </c>
      <c r="E3459" s="391">
        <v>2700</v>
      </c>
      <c r="F3459" s="539" t="s">
        <v>234</v>
      </c>
      <c r="G3459" s="391">
        <v>408</v>
      </c>
      <c r="H3459" s="528">
        <v>12</v>
      </c>
      <c r="I3459" s="528">
        <v>1</v>
      </c>
      <c r="J3459" s="528">
        <v>48</v>
      </c>
      <c r="K3459" s="389" t="s">
        <v>227</v>
      </c>
      <c r="L3459" s="391">
        <f>M3459+N3459</f>
        <v>7022174</v>
      </c>
      <c r="M3459" s="388">
        <v>7000000</v>
      </c>
      <c r="N3459" s="388">
        <v>22174</v>
      </c>
      <c r="O3459" s="388"/>
      <c r="P3459" s="391"/>
      <c r="Q3459" s="391"/>
      <c r="R3459" s="382"/>
      <c r="S3459" s="383"/>
      <c r="T3459" s="390"/>
      <c r="U3459" s="390"/>
      <c r="W3459" s="461"/>
      <c r="X3459" s="461"/>
      <c r="Z3459" s="485"/>
      <c r="AA3459" s="994"/>
      <c r="AC3459" s="461"/>
    </row>
    <row r="3460" spans="1:219" s="478" customFormat="1" ht="65.25" customHeight="1">
      <c r="A3460" s="506">
        <f>A3459+1</f>
        <v>468</v>
      </c>
      <c r="B3460" s="403" t="s">
        <v>4314</v>
      </c>
      <c r="C3460" s="455" t="s">
        <v>272</v>
      </c>
      <c r="D3460" s="487">
        <v>12228</v>
      </c>
      <c r="E3460" s="391">
        <v>2500</v>
      </c>
      <c r="F3460" s="539" t="s">
        <v>4236</v>
      </c>
      <c r="G3460" s="391">
        <v>1297</v>
      </c>
      <c r="H3460" s="528">
        <v>5</v>
      </c>
      <c r="I3460" s="528">
        <v>5</v>
      </c>
      <c r="J3460" s="528">
        <v>100</v>
      </c>
      <c r="K3460" s="389" t="s">
        <v>33</v>
      </c>
      <c r="L3460" s="391">
        <f>M3460+N3460+O3460+P3460+Q3460</f>
        <v>3644590</v>
      </c>
      <c r="M3460" s="391">
        <v>3631600</v>
      </c>
      <c r="N3460" s="391"/>
      <c r="O3460" s="391">
        <v>12990</v>
      </c>
      <c r="P3460" s="391"/>
      <c r="Q3460" s="391"/>
      <c r="R3460" s="382"/>
      <c r="S3460" s="383"/>
      <c r="T3460" s="398">
        <f>M3460+N3460+O3460+Q3460</f>
        <v>3644590</v>
      </c>
      <c r="U3460" s="390"/>
      <c r="W3460" s="461"/>
      <c r="X3460" s="461"/>
      <c r="Z3460" s="485"/>
      <c r="AA3460" s="994"/>
      <c r="AC3460" s="461"/>
    </row>
    <row r="3461" spans="1:219" s="478" customFormat="1" ht="65.25" customHeight="1">
      <c r="A3461" s="506">
        <f>A3460+1</f>
        <v>469</v>
      </c>
      <c r="B3461" s="403" t="s">
        <v>3887</v>
      </c>
      <c r="C3461" s="455" t="s">
        <v>218</v>
      </c>
      <c r="D3461" s="487">
        <v>17085</v>
      </c>
      <c r="E3461" s="391">
        <v>3050</v>
      </c>
      <c r="F3461" s="539" t="s">
        <v>223</v>
      </c>
      <c r="G3461" s="391">
        <v>1139</v>
      </c>
      <c r="H3461" s="528">
        <v>5</v>
      </c>
      <c r="I3461" s="528">
        <v>4</v>
      </c>
      <c r="J3461" s="528">
        <v>71</v>
      </c>
      <c r="K3461" s="389" t="s">
        <v>227</v>
      </c>
      <c r="L3461" s="388">
        <f>M3461+N3461+O3461+P3461+Q3461</f>
        <v>11147300</v>
      </c>
      <c r="M3461" s="391">
        <v>11082300</v>
      </c>
      <c r="N3461" s="391">
        <v>35000</v>
      </c>
      <c r="O3461" s="391"/>
      <c r="P3461" s="391"/>
      <c r="Q3461" s="391">
        <v>30000</v>
      </c>
      <c r="R3461" s="382"/>
      <c r="S3461" s="383"/>
      <c r="T3461" s="390"/>
      <c r="U3461" s="390"/>
      <c r="W3461" s="461"/>
      <c r="X3461" s="461"/>
      <c r="Z3461" s="485"/>
      <c r="AA3461" s="994"/>
      <c r="AC3461" s="461"/>
    </row>
    <row r="3462" spans="1:219" s="478" customFormat="1" ht="65.25" customHeight="1">
      <c r="A3462" s="506">
        <f>A3461+1</f>
        <v>470</v>
      </c>
      <c r="B3462" s="403" t="s">
        <v>4367</v>
      </c>
      <c r="C3462" s="455" t="s">
        <v>272</v>
      </c>
      <c r="D3462" s="487">
        <v>38262</v>
      </c>
      <c r="E3462" s="391">
        <v>3130</v>
      </c>
      <c r="F3462" s="539" t="s">
        <v>234</v>
      </c>
      <c r="G3462" s="391">
        <v>1289</v>
      </c>
      <c r="H3462" s="528">
        <v>9</v>
      </c>
      <c r="I3462" s="528">
        <v>3</v>
      </c>
      <c r="J3462" s="528">
        <v>101</v>
      </c>
      <c r="K3462" s="389" t="s">
        <v>227</v>
      </c>
      <c r="L3462" s="391">
        <f>M3462+N3462</f>
        <v>4535000</v>
      </c>
      <c r="M3462" s="388">
        <v>4500000</v>
      </c>
      <c r="N3462" s="388">
        <v>35000</v>
      </c>
      <c r="O3462" s="388"/>
      <c r="P3462" s="391"/>
      <c r="Q3462" s="391"/>
      <c r="R3462" s="382"/>
      <c r="S3462" s="383"/>
      <c r="T3462" s="390"/>
      <c r="U3462" s="390"/>
      <c r="W3462" s="461"/>
      <c r="X3462" s="461"/>
      <c r="Z3462" s="485"/>
      <c r="AA3462" s="994"/>
      <c r="AC3462" s="461"/>
    </row>
    <row r="3463" spans="1:219" s="431" customFormat="1" ht="42.75" customHeight="1">
      <c r="A3463" s="1112" t="s">
        <v>209</v>
      </c>
      <c r="B3463" s="1112"/>
      <c r="C3463" s="446" t="s">
        <v>28</v>
      </c>
      <c r="D3463" s="637">
        <f>SUM(D2968:D3462)</f>
        <v>7920703.2299999995</v>
      </c>
      <c r="E3463" s="637">
        <f>SUM(E2968:E3462)</f>
        <v>1362282.2400000002</v>
      </c>
      <c r="F3463" s="388" t="s">
        <v>28</v>
      </c>
      <c r="G3463" s="637">
        <f>SUM(G2968:G3462)</f>
        <v>455472.36999999965</v>
      </c>
      <c r="H3463" s="446" t="s">
        <v>28</v>
      </c>
      <c r="I3463" s="446" t="s">
        <v>28</v>
      </c>
      <c r="J3463" s="638">
        <f>SUM(J2968:J3462)</f>
        <v>35952</v>
      </c>
      <c r="K3463" s="458" t="s">
        <v>28</v>
      </c>
      <c r="L3463" s="637">
        <f t="shared" ref="L3463:Q3463" si="514">SUM(L2968:L3462)</f>
        <v>1540587854.5800011</v>
      </c>
      <c r="M3463" s="637">
        <f t="shared" si="514"/>
        <v>1513496770.6300001</v>
      </c>
      <c r="N3463" s="637">
        <f t="shared" si="514"/>
        <v>17654134.770000007</v>
      </c>
      <c r="O3463" s="637">
        <f t="shared" si="514"/>
        <v>2139646.2199999993</v>
      </c>
      <c r="P3463" s="637">
        <f t="shared" si="514"/>
        <v>0</v>
      </c>
      <c r="Q3463" s="637">
        <f t="shared" si="514"/>
        <v>7297302.9600000009</v>
      </c>
      <c r="R3463" s="382" t="s">
        <v>28</v>
      </c>
      <c r="S3463" s="388">
        <f t="shared" si="506"/>
        <v>9.9465250968933105E-7</v>
      </c>
      <c r="T3463" s="387" t="e">
        <f>'1.перечень МКД'!#REF!</f>
        <v>#REF!</v>
      </c>
      <c r="U3463" s="390" t="e">
        <f>L3463-T3463</f>
        <v>#REF!</v>
      </c>
      <c r="V3463" s="389"/>
      <c r="W3463" s="984"/>
      <c r="X3463" s="984"/>
      <c r="Y3463" s="502"/>
      <c r="Z3463" s="502"/>
      <c r="AA3463" s="502"/>
      <c r="AB3463" s="985"/>
      <c r="AC3463" s="499"/>
      <c r="AD3463" s="499"/>
      <c r="AE3463" s="499"/>
      <c r="AF3463" s="986"/>
      <c r="AG3463" s="986"/>
      <c r="AH3463" s="986"/>
      <c r="AI3463" s="987"/>
      <c r="AJ3463" s="500"/>
      <c r="AK3463" s="988"/>
      <c r="AL3463" s="989"/>
      <c r="AM3463" s="984"/>
      <c r="AN3463" s="984"/>
      <c r="AO3463" s="984"/>
      <c r="AP3463" s="502"/>
      <c r="AQ3463" s="502"/>
      <c r="AR3463" s="502"/>
      <c r="AS3463" s="502"/>
      <c r="AT3463" s="985"/>
      <c r="AU3463" s="499"/>
      <c r="AV3463" s="499"/>
      <c r="AW3463" s="499"/>
      <c r="AX3463" s="986"/>
      <c r="AY3463" s="986"/>
      <c r="AZ3463" s="986"/>
      <c r="BA3463" s="987"/>
      <c r="BB3463" s="500"/>
      <c r="BC3463" s="988"/>
      <c r="BD3463" s="989"/>
      <c r="BE3463" s="984"/>
      <c r="BF3463" s="984"/>
      <c r="BG3463" s="984"/>
      <c r="BH3463" s="502"/>
      <c r="BI3463" s="502"/>
      <c r="BJ3463" s="502"/>
      <c r="BK3463" s="502"/>
      <c r="BL3463" s="985"/>
      <c r="BM3463" s="499"/>
      <c r="BN3463" s="499"/>
      <c r="BO3463" s="499"/>
      <c r="BP3463" s="986"/>
      <c r="BQ3463" s="986"/>
      <c r="BR3463" s="986"/>
      <c r="BS3463" s="987"/>
      <c r="BT3463" s="500"/>
      <c r="BU3463" s="988"/>
      <c r="BV3463" s="989"/>
      <c r="BW3463" s="984"/>
      <c r="BX3463" s="984"/>
      <c r="BY3463" s="984"/>
      <c r="BZ3463" s="502"/>
      <c r="CA3463" s="502"/>
      <c r="CB3463" s="502"/>
      <c r="CC3463" s="502"/>
      <c r="CD3463" s="985"/>
      <c r="CE3463" s="499"/>
      <c r="CF3463" s="499"/>
      <c r="CG3463" s="499"/>
      <c r="CH3463" s="986"/>
      <c r="CI3463" s="986"/>
      <c r="CJ3463" s="986"/>
      <c r="CK3463" s="987"/>
      <c r="CL3463" s="500"/>
      <c r="CM3463" s="988"/>
      <c r="CN3463" s="989"/>
      <c r="CO3463" s="984"/>
      <c r="CP3463" s="984"/>
      <c r="CQ3463" s="984"/>
      <c r="CR3463" s="502"/>
      <c r="CS3463" s="502"/>
      <c r="CT3463" s="502"/>
      <c r="CU3463" s="502"/>
      <c r="CV3463" s="985"/>
      <c r="CW3463" s="499"/>
      <c r="CX3463" s="499"/>
      <c r="CY3463" s="499"/>
      <c r="CZ3463" s="986"/>
      <c r="DA3463" s="986"/>
      <c r="DB3463" s="986"/>
      <c r="DC3463" s="987"/>
      <c r="DD3463" s="500"/>
      <c r="DE3463" s="988"/>
      <c r="DF3463" s="989"/>
      <c r="DG3463" s="984"/>
      <c r="DH3463" s="984"/>
      <c r="DI3463" s="984"/>
      <c r="DJ3463" s="502"/>
      <c r="DK3463" s="502"/>
      <c r="DL3463" s="502"/>
      <c r="DM3463" s="502"/>
      <c r="DN3463" s="985"/>
      <c r="DO3463" s="499"/>
      <c r="DP3463" s="499"/>
      <c r="DQ3463" s="499"/>
      <c r="DR3463" s="986"/>
      <c r="DS3463" s="986"/>
      <c r="DT3463" s="986"/>
      <c r="DU3463" s="987"/>
      <c r="DV3463" s="500"/>
      <c r="DW3463" s="988"/>
      <c r="DX3463" s="989"/>
      <c r="DY3463" s="984"/>
      <c r="DZ3463" s="984"/>
      <c r="EA3463" s="984"/>
      <c r="EB3463" s="502"/>
      <c r="EC3463" s="502"/>
      <c r="ED3463" s="502"/>
      <c r="EE3463" s="502"/>
      <c r="EF3463" s="985"/>
      <c r="EG3463" s="499"/>
      <c r="EH3463" s="499"/>
      <c r="EI3463" s="499"/>
      <c r="EJ3463" s="986"/>
      <c r="EK3463" s="986"/>
      <c r="EL3463" s="986"/>
      <c r="EM3463" s="987"/>
      <c r="EN3463" s="500"/>
      <c r="EO3463" s="988"/>
      <c r="EP3463" s="989"/>
      <c r="EQ3463" s="984"/>
      <c r="ER3463" s="984"/>
      <c r="ES3463" s="984"/>
      <c r="ET3463" s="502"/>
      <c r="EU3463" s="502"/>
      <c r="EV3463" s="502"/>
      <c r="EW3463" s="502"/>
      <c r="EX3463" s="985"/>
      <c r="EY3463" s="499"/>
      <c r="EZ3463" s="499"/>
      <c r="FA3463" s="499"/>
      <c r="FB3463" s="986"/>
      <c r="FC3463" s="986"/>
      <c r="FD3463" s="986"/>
      <c r="FE3463" s="987"/>
      <c r="FF3463" s="500"/>
      <c r="FG3463" s="988"/>
      <c r="FH3463" s="989"/>
      <c r="FI3463" s="984"/>
      <c r="FJ3463" s="984"/>
      <c r="FK3463" s="984"/>
      <c r="FL3463" s="502"/>
      <c r="FM3463" s="502"/>
      <c r="FN3463" s="502"/>
      <c r="FO3463" s="502"/>
      <c r="FP3463" s="985"/>
      <c r="FQ3463" s="499"/>
      <c r="FR3463" s="499"/>
      <c r="FS3463" s="499"/>
      <c r="FT3463" s="986"/>
      <c r="FU3463" s="986"/>
      <c r="FV3463" s="986"/>
      <c r="FW3463" s="987"/>
      <c r="FX3463" s="500"/>
      <c r="FY3463" s="988"/>
      <c r="FZ3463" s="989"/>
      <c r="GA3463" s="984"/>
      <c r="GB3463" s="984"/>
      <c r="GC3463" s="984"/>
      <c r="GD3463" s="502"/>
      <c r="GE3463" s="502"/>
      <c r="GF3463" s="502"/>
      <c r="GG3463" s="502"/>
      <c r="GH3463" s="985"/>
      <c r="GI3463" s="499"/>
      <c r="GJ3463" s="499"/>
      <c r="GK3463" s="499"/>
      <c r="GL3463" s="986"/>
      <c r="GM3463" s="986"/>
      <c r="GN3463" s="986"/>
      <c r="GO3463" s="987"/>
      <c r="GP3463" s="500"/>
      <c r="GQ3463" s="988"/>
      <c r="GR3463" s="989"/>
      <c r="GS3463" s="984"/>
      <c r="GT3463" s="984"/>
      <c r="GU3463" s="984"/>
      <c r="GV3463" s="502"/>
      <c r="GW3463" s="502"/>
      <c r="GX3463" s="502"/>
      <c r="GY3463" s="502"/>
      <c r="GZ3463" s="985"/>
      <c r="HA3463" s="499"/>
      <c r="HB3463" s="499"/>
      <c r="HC3463" s="499"/>
      <c r="HD3463" s="986"/>
      <c r="HE3463" s="986"/>
      <c r="HF3463" s="986"/>
      <c r="HG3463" s="987"/>
      <c r="HH3463" s="500"/>
      <c r="HI3463" s="988"/>
      <c r="HJ3463" s="989"/>
      <c r="HK3463" s="984"/>
    </row>
    <row r="3464" spans="1:219" s="431" customFormat="1" ht="41.25" customHeight="1">
      <c r="A3464" s="1126" t="s">
        <v>138</v>
      </c>
      <c r="B3464" s="1126"/>
      <c r="C3464" s="1126"/>
      <c r="D3464" s="1126"/>
      <c r="E3464" s="1126"/>
      <c r="F3464" s="1126"/>
      <c r="G3464" s="1126"/>
      <c r="H3464" s="1126"/>
      <c r="I3464" s="1126"/>
      <c r="J3464" s="1126"/>
      <c r="K3464" s="1126"/>
      <c r="L3464" s="1126"/>
      <c r="M3464" s="1126"/>
      <c r="N3464" s="1126"/>
      <c r="O3464" s="1126"/>
      <c r="P3464" s="1126"/>
      <c r="Q3464" s="1126"/>
      <c r="R3464" s="818"/>
      <c r="S3464" s="388"/>
      <c r="T3464" s="387"/>
      <c r="U3464" s="404"/>
      <c r="V3464" s="389"/>
      <c r="W3464" s="984"/>
      <c r="X3464" s="984"/>
      <c r="Y3464" s="502"/>
      <c r="Z3464" s="499"/>
      <c r="AA3464" s="502"/>
      <c r="AB3464" s="985"/>
      <c r="AC3464" s="499"/>
      <c r="AD3464" s="499"/>
      <c r="AE3464" s="499"/>
      <c r="AF3464" s="986"/>
      <c r="AG3464" s="986"/>
      <c r="AH3464" s="986"/>
      <c r="AI3464" s="987"/>
      <c r="AJ3464" s="500"/>
      <c r="AK3464" s="988"/>
      <c r="AL3464" s="989"/>
      <c r="AM3464" s="984"/>
      <c r="AN3464" s="984"/>
      <c r="AO3464" s="984"/>
      <c r="AP3464" s="502"/>
      <c r="AQ3464" s="502"/>
      <c r="AR3464" s="502"/>
      <c r="AS3464" s="502"/>
      <c r="AT3464" s="985"/>
      <c r="AU3464" s="499"/>
      <c r="AV3464" s="499"/>
      <c r="AW3464" s="499"/>
      <c r="AX3464" s="986"/>
      <c r="AY3464" s="986"/>
      <c r="AZ3464" s="986"/>
      <c r="BA3464" s="987"/>
      <c r="BB3464" s="500"/>
      <c r="BC3464" s="988"/>
      <c r="BD3464" s="989"/>
      <c r="BE3464" s="984"/>
      <c r="BF3464" s="984"/>
      <c r="BG3464" s="984"/>
      <c r="BH3464" s="502"/>
      <c r="BI3464" s="502"/>
      <c r="BJ3464" s="502"/>
      <c r="BK3464" s="502"/>
      <c r="BL3464" s="985"/>
      <c r="BM3464" s="499"/>
      <c r="BN3464" s="499"/>
      <c r="BO3464" s="499"/>
      <c r="BP3464" s="986"/>
      <c r="BQ3464" s="986"/>
      <c r="BR3464" s="986"/>
      <c r="BS3464" s="987"/>
      <c r="BT3464" s="500"/>
      <c r="BU3464" s="988"/>
      <c r="BV3464" s="989"/>
      <c r="BW3464" s="984"/>
      <c r="BX3464" s="984"/>
      <c r="BY3464" s="984"/>
      <c r="BZ3464" s="502"/>
      <c r="CA3464" s="502"/>
      <c r="CB3464" s="502"/>
      <c r="CC3464" s="502"/>
      <c r="CD3464" s="985"/>
      <c r="CE3464" s="499"/>
      <c r="CF3464" s="499"/>
      <c r="CG3464" s="499"/>
      <c r="CH3464" s="986"/>
      <c r="CI3464" s="986"/>
      <c r="CJ3464" s="986"/>
      <c r="CK3464" s="987"/>
      <c r="CL3464" s="500"/>
      <c r="CM3464" s="988"/>
      <c r="CN3464" s="989"/>
      <c r="CO3464" s="984"/>
      <c r="CP3464" s="984"/>
      <c r="CQ3464" s="984"/>
      <c r="CR3464" s="502"/>
      <c r="CS3464" s="502"/>
      <c r="CT3464" s="502"/>
      <c r="CU3464" s="502"/>
      <c r="CV3464" s="985"/>
      <c r="CW3464" s="499"/>
      <c r="CX3464" s="499"/>
      <c r="CY3464" s="499"/>
      <c r="CZ3464" s="986"/>
      <c r="DA3464" s="986"/>
      <c r="DB3464" s="986"/>
      <c r="DC3464" s="987"/>
      <c r="DD3464" s="500"/>
      <c r="DE3464" s="988"/>
      <c r="DF3464" s="989"/>
      <c r="DG3464" s="984"/>
      <c r="DH3464" s="984"/>
      <c r="DI3464" s="984"/>
      <c r="DJ3464" s="502"/>
      <c r="DK3464" s="502"/>
      <c r="DL3464" s="502"/>
      <c r="DM3464" s="502"/>
      <c r="DN3464" s="985"/>
      <c r="DO3464" s="499"/>
      <c r="DP3464" s="499"/>
      <c r="DQ3464" s="499"/>
      <c r="DR3464" s="986"/>
      <c r="DS3464" s="986"/>
      <c r="DT3464" s="986"/>
      <c r="DU3464" s="987"/>
      <c r="DV3464" s="500"/>
      <c r="DW3464" s="988"/>
      <c r="DX3464" s="989"/>
      <c r="DY3464" s="984"/>
      <c r="DZ3464" s="984"/>
      <c r="EA3464" s="984"/>
      <c r="EB3464" s="502"/>
      <c r="EC3464" s="502"/>
      <c r="ED3464" s="502"/>
      <c r="EE3464" s="502"/>
      <c r="EF3464" s="985"/>
      <c r="EG3464" s="499"/>
      <c r="EH3464" s="499"/>
      <c r="EI3464" s="499"/>
      <c r="EJ3464" s="986"/>
      <c r="EK3464" s="986"/>
      <c r="EL3464" s="986"/>
      <c r="EM3464" s="987"/>
      <c r="EN3464" s="500"/>
      <c r="EO3464" s="988"/>
      <c r="EP3464" s="989"/>
      <c r="EQ3464" s="984"/>
      <c r="ER3464" s="984"/>
      <c r="ES3464" s="984"/>
      <c r="ET3464" s="502"/>
      <c r="EU3464" s="502"/>
      <c r="EV3464" s="502"/>
      <c r="EW3464" s="502"/>
      <c r="EX3464" s="985"/>
      <c r="EY3464" s="499"/>
      <c r="EZ3464" s="499"/>
      <c r="FA3464" s="499"/>
      <c r="FB3464" s="986"/>
      <c r="FC3464" s="986"/>
      <c r="FD3464" s="986"/>
      <c r="FE3464" s="987"/>
      <c r="FF3464" s="500"/>
      <c r="FG3464" s="988"/>
      <c r="FH3464" s="989"/>
      <c r="FI3464" s="984"/>
      <c r="FJ3464" s="984"/>
      <c r="FK3464" s="984"/>
      <c r="FL3464" s="502"/>
      <c r="FM3464" s="502"/>
      <c r="FN3464" s="502"/>
      <c r="FO3464" s="502"/>
      <c r="FP3464" s="985"/>
      <c r="FQ3464" s="499"/>
      <c r="FR3464" s="499"/>
      <c r="FS3464" s="499"/>
      <c r="FT3464" s="986"/>
      <c r="FU3464" s="986"/>
      <c r="FV3464" s="986"/>
      <c r="FW3464" s="987"/>
      <c r="FX3464" s="500"/>
      <c r="FY3464" s="988"/>
      <c r="FZ3464" s="989"/>
      <c r="GA3464" s="984"/>
      <c r="GB3464" s="984"/>
      <c r="GC3464" s="984"/>
      <c r="GD3464" s="502"/>
      <c r="GE3464" s="502"/>
      <c r="GF3464" s="502"/>
      <c r="GG3464" s="502"/>
      <c r="GH3464" s="985"/>
      <c r="GI3464" s="499"/>
      <c r="GJ3464" s="499"/>
      <c r="GK3464" s="499"/>
      <c r="GL3464" s="986"/>
      <c r="GM3464" s="986"/>
      <c r="GN3464" s="986"/>
      <c r="GO3464" s="987"/>
      <c r="GP3464" s="500"/>
      <c r="GQ3464" s="988"/>
      <c r="GR3464" s="989"/>
      <c r="GS3464" s="984"/>
      <c r="GT3464" s="984"/>
      <c r="GU3464" s="984"/>
      <c r="GV3464" s="502"/>
      <c r="GW3464" s="502"/>
      <c r="GX3464" s="502"/>
      <c r="GY3464" s="502"/>
      <c r="GZ3464" s="985"/>
      <c r="HA3464" s="499"/>
      <c r="HB3464" s="499"/>
      <c r="HC3464" s="499"/>
      <c r="HD3464" s="986"/>
      <c r="HE3464" s="986"/>
      <c r="HF3464" s="986"/>
      <c r="HG3464" s="987"/>
      <c r="HH3464" s="500"/>
      <c r="HI3464" s="988"/>
      <c r="HJ3464" s="989"/>
      <c r="HK3464" s="984"/>
    </row>
    <row r="3465" spans="1:219" s="431" customFormat="1" ht="33.75" customHeight="1">
      <c r="A3465" s="1133" t="s">
        <v>137</v>
      </c>
      <c r="B3465" s="1133"/>
      <c r="C3465" s="382" t="s">
        <v>28</v>
      </c>
      <c r="D3465" s="383">
        <f>D3472+D3525+D3595+D3601+D3606+D3611+D3615+D3638+D3641+D3644+D3666+D3670+D3686+D3692+D3695+D3703+D3707+D3728+D3731+D3736+D3742+D3747+D3750+D3754+D3758+D3762+D3767+D3770+D3773+D3777+D3780+D3783+D3822+D3838+D3845+D3856+D3861+D3870</f>
        <v>4083011.5200000009</v>
      </c>
      <c r="E3465" s="383">
        <f>E3472+E3525+E3595+E3601+E3606+E3611+E3615+E3638+E3641+E3644+E3666+E3670+E3686+E3692+E3695+E3703+E3707+E3728+E3731+E3736+E3742+E3747+E3750+E3754+E3758+E3762+E3767+E3770+E3773+E3777+E3780+E3783+E3822+E3838+E3845+E3856+E3861+E3870</f>
        <v>764318.60799999989</v>
      </c>
      <c r="F3465" s="383" t="s">
        <v>28</v>
      </c>
      <c r="G3465" s="383">
        <f>G3472+G3525+G3595+G3601+G3606+G3611+G3615+G3638+G3641+G3644+G3666+G3670+G3686+G3692+G3695+G3703+G3707+G3728+G3731+G3736+G3742+G3747+G3750+G3754+G3758+G3762+G3767+G3770+G3773+G3777+G3780+G3783+G3822+G3838+G3845+G3856+G3861+G3870</f>
        <v>316195.18200000003</v>
      </c>
      <c r="H3465" s="382" t="s">
        <v>28</v>
      </c>
      <c r="I3465" s="382" t="s">
        <v>28</v>
      </c>
      <c r="J3465" s="382">
        <f>J3472+J3525+J3595+J3601+J3606+J3611+J3615+J3638+J3641+J3644+J3666+J3670+J3686+J3692+J3695+J3703+J3707+J3728+J3731+J3736+J3742+J3747+J3750+J3754+J3758+J3762+J3767+J3770+J3773+J3777+J3780+J3783+J3822+J3838+J3845+J3856+J3861+J3870</f>
        <v>16551</v>
      </c>
      <c r="K3465" s="387" t="s">
        <v>28</v>
      </c>
      <c r="L3465" s="384">
        <f t="shared" ref="L3465:Q3465" si="515">L3472+L3525+L3595+L3601+L3606+L3611+L3615+L3638+L3641+L3644+L3666+L3670+L3686+L3692+L3695+L3703+L3707+L3728+L3731+L3736+L3742+L3747+L3750+L3754+L3758+L3762+L3767+L3770+L3773+L3777+L3780+L3783+L3822+L3838+L3845+L3856+L3861+L3870</f>
        <v>702616994.88</v>
      </c>
      <c r="M3465" s="384">
        <f t="shared" si="515"/>
        <v>688997201</v>
      </c>
      <c r="N3465" s="383">
        <f t="shared" si="515"/>
        <v>6614870.3499999996</v>
      </c>
      <c r="O3465" s="385">
        <f t="shared" si="515"/>
        <v>947079.95</v>
      </c>
      <c r="P3465" s="383">
        <f t="shared" si="515"/>
        <v>0</v>
      </c>
      <c r="Q3465" s="383">
        <f t="shared" si="515"/>
        <v>6057843.5800000001</v>
      </c>
      <c r="R3465" s="446" t="s">
        <v>28</v>
      </c>
      <c r="S3465" s="388">
        <f>L3465-M3465-N3465-O3465-P3465-Q3465</f>
        <v>0</v>
      </c>
      <c r="T3465" s="387" t="e">
        <f>'1.перечень МКД'!#REF!</f>
        <v>#REF!</v>
      </c>
      <c r="U3465" s="390" t="e">
        <f>L3465-T3465</f>
        <v>#REF!</v>
      </c>
      <c r="V3465" s="389"/>
      <c r="W3465" s="984"/>
      <c r="X3465" s="984"/>
      <c r="Y3465" s="502"/>
      <c r="Z3465" s="502"/>
      <c r="AA3465" s="502"/>
      <c r="AB3465" s="985"/>
      <c r="AC3465" s="499"/>
      <c r="AD3465" s="499"/>
      <c r="AE3465" s="499"/>
      <c r="AF3465" s="986"/>
      <c r="AG3465" s="986"/>
      <c r="AH3465" s="986"/>
      <c r="AI3465" s="987"/>
      <c r="AJ3465" s="500"/>
      <c r="AK3465" s="988"/>
      <c r="AL3465" s="989"/>
      <c r="AM3465" s="984"/>
      <c r="AN3465" s="984"/>
      <c r="AO3465" s="984"/>
      <c r="AP3465" s="502"/>
      <c r="AQ3465" s="502"/>
      <c r="AR3465" s="502"/>
      <c r="AS3465" s="502"/>
      <c r="AT3465" s="985"/>
      <c r="AU3465" s="499"/>
      <c r="AV3465" s="499"/>
      <c r="AW3465" s="499"/>
      <c r="AX3465" s="986"/>
      <c r="AY3465" s="986"/>
      <c r="AZ3465" s="986"/>
      <c r="BA3465" s="987"/>
      <c r="BB3465" s="500"/>
      <c r="BC3465" s="988"/>
      <c r="BD3465" s="989"/>
      <c r="BE3465" s="984"/>
      <c r="BF3465" s="984"/>
      <c r="BG3465" s="984"/>
      <c r="BH3465" s="502"/>
      <c r="BI3465" s="502"/>
      <c r="BJ3465" s="502"/>
      <c r="BK3465" s="502"/>
      <c r="BL3465" s="985"/>
      <c r="BM3465" s="499"/>
      <c r="BN3465" s="499"/>
      <c r="BO3465" s="499"/>
      <c r="BP3465" s="986"/>
      <c r="BQ3465" s="986"/>
      <c r="BR3465" s="986"/>
      <c r="BS3465" s="987"/>
      <c r="BT3465" s="500"/>
      <c r="BU3465" s="988"/>
      <c r="BV3465" s="989"/>
      <c r="BW3465" s="984"/>
      <c r="BX3465" s="984"/>
      <c r="BY3465" s="984"/>
      <c r="BZ3465" s="502"/>
      <c r="CA3465" s="502"/>
      <c r="CB3465" s="502"/>
      <c r="CC3465" s="502"/>
      <c r="CD3465" s="985"/>
      <c r="CE3465" s="499"/>
      <c r="CF3465" s="499"/>
      <c r="CG3465" s="499"/>
      <c r="CH3465" s="986"/>
      <c r="CI3465" s="986"/>
      <c r="CJ3465" s="986"/>
      <c r="CK3465" s="987"/>
      <c r="CL3465" s="500"/>
      <c r="CM3465" s="988"/>
      <c r="CN3465" s="989"/>
      <c r="CO3465" s="984"/>
      <c r="CP3465" s="984"/>
      <c r="CQ3465" s="984"/>
      <c r="CR3465" s="502"/>
      <c r="CS3465" s="502"/>
      <c r="CT3465" s="502"/>
      <c r="CU3465" s="502"/>
      <c r="CV3465" s="985"/>
      <c r="CW3465" s="499"/>
      <c r="CX3465" s="499"/>
      <c r="CY3465" s="499"/>
      <c r="CZ3465" s="986"/>
      <c r="DA3465" s="986"/>
      <c r="DB3465" s="986"/>
      <c r="DC3465" s="987"/>
      <c r="DD3465" s="500"/>
      <c r="DE3465" s="988"/>
      <c r="DF3465" s="989"/>
      <c r="DG3465" s="984"/>
      <c r="DH3465" s="984"/>
      <c r="DI3465" s="984"/>
      <c r="DJ3465" s="502"/>
      <c r="DK3465" s="502"/>
      <c r="DL3465" s="502"/>
      <c r="DM3465" s="502"/>
      <c r="DN3465" s="985"/>
      <c r="DO3465" s="499"/>
      <c r="DP3465" s="499"/>
      <c r="DQ3465" s="499"/>
      <c r="DR3465" s="986"/>
      <c r="DS3465" s="986"/>
      <c r="DT3465" s="986"/>
      <c r="DU3465" s="987"/>
      <c r="DV3465" s="500"/>
      <c r="DW3465" s="988"/>
      <c r="DX3465" s="989"/>
      <c r="DY3465" s="984"/>
      <c r="DZ3465" s="984"/>
      <c r="EA3465" s="984"/>
      <c r="EB3465" s="502"/>
      <c r="EC3465" s="502"/>
      <c r="ED3465" s="502"/>
      <c r="EE3465" s="502"/>
      <c r="EF3465" s="985"/>
      <c r="EG3465" s="499"/>
      <c r="EH3465" s="499"/>
      <c r="EI3465" s="499"/>
      <c r="EJ3465" s="986"/>
      <c r="EK3465" s="986"/>
      <c r="EL3465" s="986"/>
      <c r="EM3465" s="987"/>
      <c r="EN3465" s="500"/>
      <c r="EO3465" s="988"/>
      <c r="EP3465" s="989"/>
      <c r="EQ3465" s="984"/>
      <c r="ER3465" s="984"/>
      <c r="ES3465" s="984"/>
      <c r="ET3465" s="502"/>
      <c r="EU3465" s="502"/>
      <c r="EV3465" s="502"/>
      <c r="EW3465" s="502"/>
      <c r="EX3465" s="985"/>
      <c r="EY3465" s="499"/>
      <c r="EZ3465" s="499"/>
      <c r="FA3465" s="499"/>
      <c r="FB3465" s="986"/>
      <c r="FC3465" s="986"/>
      <c r="FD3465" s="986"/>
      <c r="FE3465" s="987"/>
      <c r="FF3465" s="500"/>
      <c r="FG3465" s="988"/>
      <c r="FH3465" s="989"/>
      <c r="FI3465" s="984"/>
      <c r="FJ3465" s="984"/>
      <c r="FK3465" s="984"/>
      <c r="FL3465" s="502"/>
      <c r="FM3465" s="502"/>
      <c r="FN3465" s="502"/>
      <c r="FO3465" s="502"/>
      <c r="FP3465" s="985"/>
      <c r="FQ3465" s="499"/>
      <c r="FR3465" s="499"/>
      <c r="FS3465" s="499"/>
      <c r="FT3465" s="986"/>
      <c r="FU3465" s="986"/>
      <c r="FV3465" s="986"/>
      <c r="FW3465" s="987"/>
      <c r="FX3465" s="500"/>
      <c r="FY3465" s="988"/>
      <c r="FZ3465" s="989"/>
      <c r="GA3465" s="984"/>
      <c r="GB3465" s="984"/>
      <c r="GC3465" s="984"/>
      <c r="GD3465" s="502"/>
      <c r="GE3465" s="502"/>
      <c r="GF3465" s="502"/>
      <c r="GG3465" s="502"/>
      <c r="GH3465" s="985"/>
      <c r="GI3465" s="499"/>
      <c r="GJ3465" s="499"/>
      <c r="GK3465" s="499"/>
      <c r="GL3465" s="986"/>
      <c r="GM3465" s="986"/>
      <c r="GN3465" s="986"/>
      <c r="GO3465" s="987"/>
      <c r="GP3465" s="500"/>
      <c r="GQ3465" s="988"/>
      <c r="GR3465" s="989"/>
      <c r="GS3465" s="984"/>
      <c r="GT3465" s="984"/>
      <c r="GU3465" s="984"/>
      <c r="GV3465" s="502"/>
      <c r="GW3465" s="502"/>
      <c r="GX3465" s="502"/>
      <c r="GY3465" s="502"/>
      <c r="GZ3465" s="985"/>
      <c r="HA3465" s="499"/>
      <c r="HB3465" s="499"/>
      <c r="HC3465" s="499"/>
      <c r="HD3465" s="986"/>
      <c r="HE3465" s="986"/>
      <c r="HF3465" s="986"/>
      <c r="HG3465" s="987"/>
      <c r="HH3465" s="500"/>
      <c r="HI3465" s="988"/>
      <c r="HJ3465" s="989"/>
      <c r="HK3465" s="984"/>
    </row>
    <row r="3466" spans="1:219" s="403" customFormat="1" ht="43.5" customHeight="1">
      <c r="A3466" s="1113" t="s">
        <v>29</v>
      </c>
      <c r="B3466" s="1113"/>
      <c r="C3466" s="1113"/>
      <c r="D3466" s="1113"/>
      <c r="E3466" s="1113"/>
      <c r="F3466" s="1113"/>
      <c r="G3466" s="1113"/>
      <c r="H3466" s="1113"/>
      <c r="I3466" s="1113"/>
      <c r="J3466" s="1113"/>
      <c r="K3466" s="1113"/>
      <c r="L3466" s="1113"/>
      <c r="M3466" s="1113"/>
      <c r="N3466" s="1113"/>
      <c r="O3466" s="1113"/>
      <c r="P3466" s="1113"/>
      <c r="Q3466" s="1113"/>
      <c r="R3466" s="458"/>
      <c r="T3466" s="393"/>
      <c r="U3466" s="404"/>
    </row>
    <row r="3467" spans="1:219" s="405" customFormat="1" ht="56.25" customHeight="1">
      <c r="A3467" s="682">
        <v>1</v>
      </c>
      <c r="B3467" s="403" t="s">
        <v>3831</v>
      </c>
      <c r="C3467" s="446" t="s">
        <v>218</v>
      </c>
      <c r="D3467" s="606">
        <v>7348</v>
      </c>
      <c r="E3467" s="391">
        <v>5612</v>
      </c>
      <c r="F3467" s="388" t="s">
        <v>234</v>
      </c>
      <c r="G3467" s="391">
        <v>975</v>
      </c>
      <c r="H3467" s="528">
        <v>9</v>
      </c>
      <c r="I3467" s="528">
        <v>3</v>
      </c>
      <c r="J3467" s="528">
        <v>107</v>
      </c>
      <c r="K3467" s="397" t="s">
        <v>220</v>
      </c>
      <c r="L3467" s="529">
        <f>M3467+N3467+O3467+P3467+Q3467</f>
        <v>6127500</v>
      </c>
      <c r="M3467" s="519">
        <v>6000000</v>
      </c>
      <c r="N3467" s="388">
        <v>127500</v>
      </c>
      <c r="O3467" s="643"/>
      <c r="P3467" s="388"/>
      <c r="Q3467" s="388"/>
      <c r="R3467" s="446">
        <f>M3467/I3467</f>
        <v>2000000</v>
      </c>
      <c r="S3467" s="897"/>
      <c r="V3467" s="390"/>
    </row>
    <row r="3468" spans="1:219" s="450" customFormat="1" ht="37.5" customHeight="1">
      <c r="A3468" s="682">
        <f>A3467+1</f>
        <v>2</v>
      </c>
      <c r="B3468" s="403" t="s">
        <v>3525</v>
      </c>
      <c r="C3468" s="446" t="s">
        <v>218</v>
      </c>
      <c r="D3468" s="641">
        <v>23553.599999999999</v>
      </c>
      <c r="E3468" s="388">
        <v>8412</v>
      </c>
      <c r="F3468" s="388" t="s">
        <v>234</v>
      </c>
      <c r="G3468" s="388">
        <v>3640</v>
      </c>
      <c r="H3468" s="446">
        <v>5</v>
      </c>
      <c r="I3468" s="446">
        <v>14</v>
      </c>
      <c r="J3468" s="446">
        <v>234</v>
      </c>
      <c r="K3468" s="458" t="s">
        <v>3526</v>
      </c>
      <c r="L3468" s="519">
        <f>M3468+N3468+O3468+P3468+Q3468</f>
        <v>7321840</v>
      </c>
      <c r="M3468" s="519">
        <v>7280000</v>
      </c>
      <c r="N3468" s="388"/>
      <c r="O3468" s="643">
        <v>21840</v>
      </c>
      <c r="P3468" s="790"/>
      <c r="Q3468" s="388">
        <v>20000</v>
      </c>
      <c r="R3468" s="446">
        <f>M3468/G3468</f>
        <v>2000</v>
      </c>
      <c r="T3468" s="496"/>
      <c r="U3468" s="464"/>
    </row>
    <row r="3469" spans="1:219" s="450" customFormat="1" ht="56.25" customHeight="1">
      <c r="A3469" s="682">
        <f>A3468+1</f>
        <v>3</v>
      </c>
      <c r="B3469" s="403" t="s">
        <v>3527</v>
      </c>
      <c r="C3469" s="455" t="s">
        <v>218</v>
      </c>
      <c r="D3469" s="641">
        <v>20627</v>
      </c>
      <c r="E3469" s="388">
        <v>4396</v>
      </c>
      <c r="F3469" s="388" t="s">
        <v>234</v>
      </c>
      <c r="G3469" s="388">
        <v>1799</v>
      </c>
      <c r="H3469" s="446">
        <v>5</v>
      </c>
      <c r="I3469" s="446">
        <v>9</v>
      </c>
      <c r="J3469" s="446">
        <v>135</v>
      </c>
      <c r="K3469" s="458" t="s">
        <v>30</v>
      </c>
      <c r="L3469" s="519">
        <f>M3469+N3469+O3469+P3469+Q3469</f>
        <v>3425125</v>
      </c>
      <c r="M3469" s="519">
        <v>3375000</v>
      </c>
      <c r="N3469" s="388"/>
      <c r="O3469" s="643">
        <v>10125</v>
      </c>
      <c r="P3469" s="388"/>
      <c r="Q3469" s="388">
        <v>40000</v>
      </c>
      <c r="R3469" s="446">
        <f>M3469/J3469</f>
        <v>25000</v>
      </c>
      <c r="T3469" s="496"/>
      <c r="U3469" s="464"/>
    </row>
    <row r="3470" spans="1:219" s="450" customFormat="1" ht="56.25" customHeight="1">
      <c r="A3470" s="682">
        <f>A3469+1</f>
        <v>4</v>
      </c>
      <c r="B3470" s="403" t="s">
        <v>3528</v>
      </c>
      <c r="C3470" s="455" t="s">
        <v>218</v>
      </c>
      <c r="D3470" s="641">
        <v>22155.71</v>
      </c>
      <c r="E3470" s="388">
        <v>7639.9</v>
      </c>
      <c r="F3470" s="388" t="s">
        <v>234</v>
      </c>
      <c r="G3470" s="388">
        <v>3096</v>
      </c>
      <c r="H3470" s="446">
        <v>5</v>
      </c>
      <c r="I3470" s="446">
        <v>12</v>
      </c>
      <c r="J3470" s="446">
        <v>170</v>
      </c>
      <c r="K3470" s="458" t="s">
        <v>30</v>
      </c>
      <c r="L3470" s="519">
        <f>M3470+N3470+O3470+P3470+Q3470</f>
        <v>4302750</v>
      </c>
      <c r="M3470" s="519">
        <v>4250000</v>
      </c>
      <c r="N3470" s="388"/>
      <c r="O3470" s="643">
        <v>12750</v>
      </c>
      <c r="P3470" s="388"/>
      <c r="Q3470" s="388">
        <v>40000</v>
      </c>
      <c r="R3470" s="446">
        <f>M3470/J3470</f>
        <v>25000</v>
      </c>
      <c r="T3470" s="496"/>
      <c r="U3470" s="464"/>
    </row>
    <row r="3471" spans="1:219" s="405" customFormat="1" ht="56.25" customHeight="1">
      <c r="A3471" s="682">
        <f>A3470+1</f>
        <v>5</v>
      </c>
      <c r="B3471" s="403" t="s">
        <v>2735</v>
      </c>
      <c r="C3471" s="446" t="s">
        <v>218</v>
      </c>
      <c r="D3471" s="606">
        <v>7560</v>
      </c>
      <c r="E3471" s="391">
        <v>1697.1</v>
      </c>
      <c r="F3471" s="388" t="s">
        <v>219</v>
      </c>
      <c r="G3471" s="391">
        <v>576.6</v>
      </c>
      <c r="H3471" s="528">
        <v>5</v>
      </c>
      <c r="I3471" s="528">
        <v>3</v>
      </c>
      <c r="J3471" s="528">
        <v>39</v>
      </c>
      <c r="K3471" s="397" t="s">
        <v>30</v>
      </c>
      <c r="L3471" s="529">
        <f>M3471+N3471+O3471+P3471+Q3471</f>
        <v>1011042.88</v>
      </c>
      <c r="M3471" s="519">
        <v>975000</v>
      </c>
      <c r="N3471" s="388"/>
      <c r="O3471" s="643">
        <v>14709.09</v>
      </c>
      <c r="P3471" s="388"/>
      <c r="Q3471" s="388">
        <v>21333.79</v>
      </c>
      <c r="R3471" s="446">
        <f>M3471/J3471</f>
        <v>25000</v>
      </c>
      <c r="S3471" s="383">
        <f>L3471-M3471-N3471-O3471-P3471-Q3471</f>
        <v>0</v>
      </c>
      <c r="V3471" s="390"/>
    </row>
    <row r="3472" spans="1:219" s="403" customFormat="1" ht="42.75" customHeight="1">
      <c r="A3472" s="1112" t="s">
        <v>116</v>
      </c>
      <c r="B3472" s="1112"/>
      <c r="C3472" s="388" t="s">
        <v>28</v>
      </c>
      <c r="D3472" s="641">
        <f>SUM(D3467:D3471)</f>
        <v>81244.31</v>
      </c>
      <c r="E3472" s="388">
        <f>SUM(E3467:E3471)</f>
        <v>27757</v>
      </c>
      <c r="F3472" s="388" t="s">
        <v>28</v>
      </c>
      <c r="G3472" s="388">
        <f>SUM(G3467:G3471)</f>
        <v>10086.6</v>
      </c>
      <c r="H3472" s="446" t="s">
        <v>28</v>
      </c>
      <c r="I3472" s="446" t="s">
        <v>28</v>
      </c>
      <c r="J3472" s="446">
        <f>SUM(J3467:J3471)</f>
        <v>685</v>
      </c>
      <c r="K3472" s="458" t="s">
        <v>28</v>
      </c>
      <c r="L3472" s="519">
        <f>SUM(L3467:L3471)</f>
        <v>22188257.879999999</v>
      </c>
      <c r="M3472" s="519">
        <f>SUM(M3467:M3471)</f>
        <v>21880000</v>
      </c>
      <c r="N3472" s="388">
        <f>SUM(N3467:N3471)</f>
        <v>127500</v>
      </c>
      <c r="O3472" s="473">
        <f>SUM(O3467:O3471)</f>
        <v>59424.09</v>
      </c>
      <c r="P3472" s="388"/>
      <c r="Q3472" s="388">
        <f>SUM(Q3467:Q3471)</f>
        <v>121333.79000000001</v>
      </c>
      <c r="R3472" s="446" t="s">
        <v>28</v>
      </c>
      <c r="S3472" s="1113"/>
      <c r="T3472" s="1113"/>
      <c r="U3472" s="464"/>
    </row>
    <row r="3473" spans="1:24" s="403" customFormat="1" ht="42.75" customHeight="1">
      <c r="A3473" s="1113" t="s">
        <v>35</v>
      </c>
      <c r="B3473" s="1113"/>
      <c r="C3473" s="1113"/>
      <c r="D3473" s="1113"/>
      <c r="E3473" s="1113"/>
      <c r="F3473" s="1113"/>
      <c r="G3473" s="1113"/>
      <c r="H3473" s="1113"/>
      <c r="I3473" s="1113"/>
      <c r="J3473" s="1113"/>
      <c r="K3473" s="1113"/>
      <c r="L3473" s="1113"/>
      <c r="M3473" s="1113"/>
      <c r="N3473" s="1113"/>
      <c r="O3473" s="1113"/>
      <c r="P3473" s="1113"/>
      <c r="Q3473" s="1113"/>
      <c r="R3473" s="458"/>
      <c r="T3473" s="393"/>
      <c r="U3473" s="464"/>
    </row>
    <row r="3474" spans="1:24" s="420" customFormat="1" ht="37.5" customHeight="1">
      <c r="A3474" s="682">
        <v>1</v>
      </c>
      <c r="B3474" s="403" t="s">
        <v>2764</v>
      </c>
      <c r="C3474" s="382" t="s">
        <v>218</v>
      </c>
      <c r="D3474" s="606">
        <v>13437</v>
      </c>
      <c r="E3474" s="391">
        <v>2800</v>
      </c>
      <c r="F3474" s="391" t="s">
        <v>224</v>
      </c>
      <c r="G3474" s="391">
        <v>594.6</v>
      </c>
      <c r="H3474" s="528">
        <v>9</v>
      </c>
      <c r="I3474" s="528">
        <v>2</v>
      </c>
      <c r="J3474" s="528">
        <v>54</v>
      </c>
      <c r="K3474" s="458" t="s">
        <v>220</v>
      </c>
      <c r="L3474" s="519">
        <f>M3474+N3474+O3474+P3474+Q3474</f>
        <v>4106250</v>
      </c>
      <c r="M3474" s="529">
        <v>4000000</v>
      </c>
      <c r="N3474" s="391">
        <v>106250</v>
      </c>
      <c r="O3474" s="473"/>
      <c r="P3474" s="388"/>
      <c r="Q3474" s="388"/>
      <c r="R3474" s="446">
        <f>M3474/I3474</f>
        <v>2000000</v>
      </c>
      <c r="S3474" s="383">
        <f t="shared" ref="S3474:S3513" si="516">L3474-M3474-N3474-O3474-P3474-Q3474</f>
        <v>0</v>
      </c>
      <c r="T3474" s="403"/>
      <c r="U3474" s="464"/>
    </row>
    <row r="3475" spans="1:24" s="420" customFormat="1" ht="37.5" customHeight="1">
      <c r="A3475" s="682">
        <f t="shared" ref="A3475:A3486" si="517">A3474+1</f>
        <v>2</v>
      </c>
      <c r="B3475" s="403" t="s">
        <v>2769</v>
      </c>
      <c r="C3475" s="382" t="s">
        <v>218</v>
      </c>
      <c r="D3475" s="606">
        <v>26108</v>
      </c>
      <c r="E3475" s="391">
        <v>2990</v>
      </c>
      <c r="F3475" s="391" t="s">
        <v>224</v>
      </c>
      <c r="G3475" s="391">
        <v>843.6</v>
      </c>
      <c r="H3475" s="528">
        <v>12</v>
      </c>
      <c r="I3475" s="528">
        <v>2</v>
      </c>
      <c r="J3475" s="528">
        <v>96</v>
      </c>
      <c r="K3475" s="458" t="s">
        <v>220</v>
      </c>
      <c r="L3475" s="519">
        <f>M3475+N3475+O3475+P3475+Q3475</f>
        <v>8948750</v>
      </c>
      <c r="M3475" s="529">
        <v>8800000</v>
      </c>
      <c r="N3475" s="388">
        <v>148750</v>
      </c>
      <c r="O3475" s="473"/>
      <c r="P3475" s="388"/>
      <c r="Q3475" s="388"/>
      <c r="R3475" s="446">
        <v>2200000</v>
      </c>
      <c r="S3475" s="383">
        <f t="shared" si="516"/>
        <v>0</v>
      </c>
      <c r="T3475" s="393"/>
      <c r="U3475" s="464"/>
      <c r="V3475" s="416"/>
      <c r="W3475" s="416"/>
      <c r="X3475" s="416"/>
    </row>
    <row r="3476" spans="1:24" s="416" customFormat="1" ht="56.25" customHeight="1">
      <c r="A3476" s="682">
        <f t="shared" si="517"/>
        <v>3</v>
      </c>
      <c r="B3476" s="403" t="s">
        <v>2737</v>
      </c>
      <c r="C3476" s="446" t="s">
        <v>222</v>
      </c>
      <c r="D3476" s="606">
        <v>13186</v>
      </c>
      <c r="E3476" s="391">
        <v>2297.4</v>
      </c>
      <c r="F3476" s="391" t="s">
        <v>224</v>
      </c>
      <c r="G3476" s="391">
        <v>745.63</v>
      </c>
      <c r="H3476" s="528">
        <v>9</v>
      </c>
      <c r="I3476" s="528">
        <v>1</v>
      </c>
      <c r="J3476" s="528">
        <v>32</v>
      </c>
      <c r="K3476" s="458" t="s">
        <v>30</v>
      </c>
      <c r="L3476" s="519">
        <f t="shared" ref="L3476:L3497" si="518">M3476+N3476+O3476+P3476+Q3476</f>
        <v>837241</v>
      </c>
      <c r="M3476" s="529">
        <v>800000</v>
      </c>
      <c r="N3476" s="391"/>
      <c r="O3476" s="643">
        <v>2400</v>
      </c>
      <c r="P3476" s="391"/>
      <c r="Q3476" s="388">
        <v>34841</v>
      </c>
      <c r="R3476" s="446">
        <f>M3476/J3476</f>
        <v>25000</v>
      </c>
      <c r="S3476" s="383">
        <f t="shared" si="516"/>
        <v>0</v>
      </c>
      <c r="T3476" s="393"/>
      <c r="U3476" s="464"/>
    </row>
    <row r="3477" spans="1:24" s="416" customFormat="1" ht="37.5" customHeight="1">
      <c r="A3477" s="682">
        <f t="shared" si="517"/>
        <v>4</v>
      </c>
      <c r="B3477" s="403" t="s">
        <v>2739</v>
      </c>
      <c r="C3477" s="382" t="s">
        <v>218</v>
      </c>
      <c r="D3477" s="606">
        <v>17037</v>
      </c>
      <c r="E3477" s="391">
        <v>3348.55</v>
      </c>
      <c r="F3477" s="391" t="s">
        <v>224</v>
      </c>
      <c r="G3477" s="391">
        <v>1383</v>
      </c>
      <c r="H3477" s="528">
        <v>5</v>
      </c>
      <c r="I3477" s="528">
        <v>6</v>
      </c>
      <c r="J3477" s="528">
        <v>90</v>
      </c>
      <c r="K3477" s="458" t="s">
        <v>33</v>
      </c>
      <c r="L3477" s="519">
        <f t="shared" si="518"/>
        <v>2794298</v>
      </c>
      <c r="M3477" s="519">
        <v>2766000</v>
      </c>
      <c r="N3477" s="388"/>
      <c r="O3477" s="643">
        <v>8298</v>
      </c>
      <c r="P3477" s="388"/>
      <c r="Q3477" s="388">
        <v>20000</v>
      </c>
      <c r="R3477" s="446">
        <f t="shared" ref="R3477:R3486" si="519">M3477/G3477</f>
        <v>2000</v>
      </c>
      <c r="S3477" s="383">
        <f t="shared" si="516"/>
        <v>0</v>
      </c>
      <c r="T3477" s="393"/>
      <c r="U3477" s="464"/>
    </row>
    <row r="3478" spans="1:24" s="416" customFormat="1" ht="37.5" customHeight="1">
      <c r="A3478" s="682">
        <f t="shared" si="517"/>
        <v>5</v>
      </c>
      <c r="B3478" s="403" t="s">
        <v>2740</v>
      </c>
      <c r="C3478" s="382" t="s">
        <v>218</v>
      </c>
      <c r="D3478" s="606">
        <v>11374</v>
      </c>
      <c r="E3478" s="391">
        <v>2399.02</v>
      </c>
      <c r="F3478" s="391" t="s">
        <v>224</v>
      </c>
      <c r="G3478" s="391">
        <v>923</v>
      </c>
      <c r="H3478" s="528">
        <v>5</v>
      </c>
      <c r="I3478" s="528">
        <v>4</v>
      </c>
      <c r="J3478" s="528">
        <v>60</v>
      </c>
      <c r="K3478" s="458" t="s">
        <v>33</v>
      </c>
      <c r="L3478" s="519">
        <f t="shared" si="518"/>
        <v>1871538</v>
      </c>
      <c r="M3478" s="519">
        <v>1846000</v>
      </c>
      <c r="N3478" s="388"/>
      <c r="O3478" s="643">
        <v>5538</v>
      </c>
      <c r="P3478" s="388"/>
      <c r="Q3478" s="388">
        <v>20000</v>
      </c>
      <c r="R3478" s="446">
        <f t="shared" si="519"/>
        <v>2000</v>
      </c>
      <c r="S3478" s="383">
        <f t="shared" si="516"/>
        <v>0</v>
      </c>
      <c r="T3478" s="393"/>
      <c r="U3478" s="464"/>
    </row>
    <row r="3479" spans="1:24" s="420" customFormat="1" ht="37.5" customHeight="1">
      <c r="A3479" s="682">
        <f t="shared" si="517"/>
        <v>6</v>
      </c>
      <c r="B3479" s="403" t="s">
        <v>2743</v>
      </c>
      <c r="C3479" s="446" t="s">
        <v>222</v>
      </c>
      <c r="D3479" s="606">
        <v>16795</v>
      </c>
      <c r="E3479" s="391">
        <v>3300.68</v>
      </c>
      <c r="F3479" s="391" t="s">
        <v>224</v>
      </c>
      <c r="G3479" s="391">
        <v>730</v>
      </c>
      <c r="H3479" s="528">
        <v>9</v>
      </c>
      <c r="I3479" s="528">
        <v>2</v>
      </c>
      <c r="J3479" s="528">
        <v>72</v>
      </c>
      <c r="K3479" s="458" t="s">
        <v>33</v>
      </c>
      <c r="L3479" s="519">
        <f t="shared" si="518"/>
        <v>1484380</v>
      </c>
      <c r="M3479" s="519">
        <v>1460000</v>
      </c>
      <c r="N3479" s="388"/>
      <c r="O3479" s="643">
        <v>4380</v>
      </c>
      <c r="P3479" s="388"/>
      <c r="Q3479" s="388">
        <v>20000</v>
      </c>
      <c r="R3479" s="446">
        <f t="shared" si="519"/>
        <v>2000</v>
      </c>
      <c r="S3479" s="383">
        <f t="shared" si="516"/>
        <v>0</v>
      </c>
      <c r="T3479" s="406">
        <f>L3479-M3479-N3479-O3479-Q3479</f>
        <v>0</v>
      </c>
      <c r="U3479" s="390"/>
    </row>
    <row r="3480" spans="1:24" s="416" customFormat="1" ht="39.75" customHeight="1">
      <c r="A3480" s="682">
        <f t="shared" si="517"/>
        <v>7</v>
      </c>
      <c r="B3480" s="403" t="s">
        <v>811</v>
      </c>
      <c r="C3480" s="382" t="s">
        <v>218</v>
      </c>
      <c r="D3480" s="606">
        <v>32333</v>
      </c>
      <c r="E3480" s="391">
        <v>3970</v>
      </c>
      <c r="F3480" s="391" t="s">
        <v>224</v>
      </c>
      <c r="G3480" s="391">
        <v>1518.8</v>
      </c>
      <c r="H3480" s="528">
        <v>9</v>
      </c>
      <c r="I3480" s="528">
        <v>4</v>
      </c>
      <c r="J3480" s="528">
        <v>144</v>
      </c>
      <c r="K3480" s="458" t="s">
        <v>33</v>
      </c>
      <c r="L3480" s="519">
        <f t="shared" si="518"/>
        <v>3066713</v>
      </c>
      <c r="M3480" s="519">
        <v>3037600</v>
      </c>
      <c r="N3480" s="388"/>
      <c r="O3480" s="643">
        <v>9113</v>
      </c>
      <c r="P3480" s="388"/>
      <c r="Q3480" s="388">
        <v>20000</v>
      </c>
      <c r="R3480" s="446">
        <f t="shared" si="519"/>
        <v>2000</v>
      </c>
      <c r="S3480" s="383">
        <f t="shared" si="516"/>
        <v>0</v>
      </c>
      <c r="T3480" s="393"/>
      <c r="U3480" s="464"/>
    </row>
    <row r="3481" spans="1:24" s="416" customFormat="1" ht="33.75" customHeight="1">
      <c r="A3481" s="682">
        <f t="shared" si="517"/>
        <v>8</v>
      </c>
      <c r="B3481" s="403" t="s">
        <v>2745</v>
      </c>
      <c r="C3481" s="382" t="s">
        <v>218</v>
      </c>
      <c r="D3481" s="606">
        <v>30916</v>
      </c>
      <c r="E3481" s="391">
        <v>3970</v>
      </c>
      <c r="F3481" s="391" t="s">
        <v>224</v>
      </c>
      <c r="G3481" s="391">
        <v>1392</v>
      </c>
      <c r="H3481" s="528">
        <v>9</v>
      </c>
      <c r="I3481" s="528">
        <v>4</v>
      </c>
      <c r="J3481" s="528">
        <v>144</v>
      </c>
      <c r="K3481" s="458" t="s">
        <v>33</v>
      </c>
      <c r="L3481" s="519">
        <f t="shared" si="518"/>
        <v>2812352</v>
      </c>
      <c r="M3481" s="519">
        <v>2784000</v>
      </c>
      <c r="N3481" s="388"/>
      <c r="O3481" s="643">
        <v>8352</v>
      </c>
      <c r="P3481" s="388"/>
      <c r="Q3481" s="388">
        <v>20000</v>
      </c>
      <c r="R3481" s="446">
        <f t="shared" si="519"/>
        <v>2000</v>
      </c>
      <c r="S3481" s="383">
        <f t="shared" si="516"/>
        <v>0</v>
      </c>
      <c r="T3481" s="393"/>
      <c r="U3481" s="464"/>
    </row>
    <row r="3482" spans="1:24" s="416" customFormat="1" ht="33.75" customHeight="1">
      <c r="A3482" s="682">
        <f t="shared" si="517"/>
        <v>9</v>
      </c>
      <c r="B3482" s="403" t="s">
        <v>2746</v>
      </c>
      <c r="C3482" s="446" t="s">
        <v>222</v>
      </c>
      <c r="D3482" s="641">
        <v>11492</v>
      </c>
      <c r="E3482" s="388">
        <v>2433.6</v>
      </c>
      <c r="F3482" s="388" t="s">
        <v>223</v>
      </c>
      <c r="G3482" s="388">
        <v>1018.9</v>
      </c>
      <c r="H3482" s="446">
        <v>5</v>
      </c>
      <c r="I3482" s="446">
        <v>4</v>
      </c>
      <c r="J3482" s="446">
        <v>80</v>
      </c>
      <c r="K3482" s="458" t="s">
        <v>33</v>
      </c>
      <c r="L3482" s="519">
        <f t="shared" si="518"/>
        <v>2299966</v>
      </c>
      <c r="M3482" s="519">
        <v>2241580</v>
      </c>
      <c r="N3482" s="388">
        <v>22416</v>
      </c>
      <c r="O3482" s="473"/>
      <c r="P3482" s="388"/>
      <c r="Q3482" s="388">
        <v>35970</v>
      </c>
      <c r="R3482" s="446">
        <f t="shared" si="519"/>
        <v>2200</v>
      </c>
      <c r="S3482" s="383">
        <f t="shared" si="516"/>
        <v>0</v>
      </c>
      <c r="T3482" s="393"/>
      <c r="U3482" s="464"/>
    </row>
    <row r="3483" spans="1:24" s="404" customFormat="1" ht="37.5" customHeight="1">
      <c r="A3483" s="682">
        <f t="shared" si="517"/>
        <v>10</v>
      </c>
      <c r="B3483" s="403" t="s">
        <v>2747</v>
      </c>
      <c r="C3483" s="446" t="s">
        <v>222</v>
      </c>
      <c r="D3483" s="641">
        <v>11466</v>
      </c>
      <c r="E3483" s="388">
        <v>1817.1</v>
      </c>
      <c r="F3483" s="388" t="s">
        <v>229</v>
      </c>
      <c r="G3483" s="388">
        <v>1104.0999999999999</v>
      </c>
      <c r="H3483" s="446">
        <v>3</v>
      </c>
      <c r="I3483" s="446">
        <v>4</v>
      </c>
      <c r="J3483" s="446">
        <v>24</v>
      </c>
      <c r="K3483" s="458" t="s">
        <v>33</v>
      </c>
      <c r="L3483" s="519">
        <f t="shared" si="518"/>
        <v>2489198</v>
      </c>
      <c r="M3483" s="519">
        <v>2429020</v>
      </c>
      <c r="N3483" s="388">
        <v>24290</v>
      </c>
      <c r="O3483" s="473"/>
      <c r="P3483" s="388"/>
      <c r="Q3483" s="388">
        <v>35888</v>
      </c>
      <c r="R3483" s="446">
        <f t="shared" si="519"/>
        <v>2200</v>
      </c>
      <c r="S3483" s="383">
        <f t="shared" si="516"/>
        <v>0</v>
      </c>
      <c r="T3483" s="393"/>
      <c r="U3483" s="464"/>
      <c r="V3483" s="416"/>
    </row>
    <row r="3484" spans="1:24" s="420" customFormat="1" ht="37.5" customHeight="1">
      <c r="A3484" s="682">
        <f t="shared" si="517"/>
        <v>11</v>
      </c>
      <c r="B3484" s="403" t="s">
        <v>2756</v>
      </c>
      <c r="C3484" s="382" t="s">
        <v>222</v>
      </c>
      <c r="D3484" s="606">
        <v>16675</v>
      </c>
      <c r="E3484" s="391">
        <v>3893.9</v>
      </c>
      <c r="F3484" s="391" t="s">
        <v>224</v>
      </c>
      <c r="G3484" s="391">
        <v>693</v>
      </c>
      <c r="H3484" s="528">
        <v>9</v>
      </c>
      <c r="I3484" s="528">
        <v>2</v>
      </c>
      <c r="J3484" s="528">
        <v>64</v>
      </c>
      <c r="K3484" s="458" t="s">
        <v>33</v>
      </c>
      <c r="L3484" s="519">
        <f t="shared" si="518"/>
        <v>1410158</v>
      </c>
      <c r="M3484" s="519">
        <v>1386000</v>
      </c>
      <c r="N3484" s="388"/>
      <c r="O3484" s="643">
        <v>4158</v>
      </c>
      <c r="P3484" s="388"/>
      <c r="Q3484" s="388">
        <v>20000</v>
      </c>
      <c r="R3484" s="446">
        <f t="shared" si="519"/>
        <v>2000</v>
      </c>
      <c r="S3484" s="383">
        <f t="shared" si="516"/>
        <v>0</v>
      </c>
      <c r="T3484" s="393"/>
      <c r="U3484" s="464"/>
    </row>
    <row r="3485" spans="1:24" s="416" customFormat="1" ht="37.5" customHeight="1">
      <c r="A3485" s="682">
        <f t="shared" si="517"/>
        <v>12</v>
      </c>
      <c r="B3485" s="403" t="s">
        <v>829</v>
      </c>
      <c r="C3485" s="446" t="s">
        <v>222</v>
      </c>
      <c r="D3485" s="606">
        <v>22601</v>
      </c>
      <c r="E3485" s="391">
        <v>3970</v>
      </c>
      <c r="F3485" s="391" t="s">
        <v>224</v>
      </c>
      <c r="G3485" s="391">
        <v>2304</v>
      </c>
      <c r="H3485" s="528">
        <v>5</v>
      </c>
      <c r="I3485" s="528">
        <v>8</v>
      </c>
      <c r="J3485" s="528">
        <v>125</v>
      </c>
      <c r="K3485" s="458" t="s">
        <v>33</v>
      </c>
      <c r="L3485" s="519">
        <f t="shared" si="518"/>
        <v>3940526</v>
      </c>
      <c r="M3485" s="519">
        <v>3908800</v>
      </c>
      <c r="N3485" s="388"/>
      <c r="O3485" s="643">
        <v>11726</v>
      </c>
      <c r="P3485" s="388"/>
      <c r="Q3485" s="388">
        <v>20000</v>
      </c>
      <c r="R3485" s="446">
        <f t="shared" si="519"/>
        <v>1696.5277777777778</v>
      </c>
      <c r="S3485" s="383">
        <f t="shared" si="516"/>
        <v>0</v>
      </c>
      <c r="T3485" s="393"/>
      <c r="U3485" s="464"/>
    </row>
    <row r="3486" spans="1:24" s="420" customFormat="1" ht="37.5" customHeight="1">
      <c r="A3486" s="682">
        <f t="shared" si="517"/>
        <v>13</v>
      </c>
      <c r="B3486" s="403" t="s">
        <v>2758</v>
      </c>
      <c r="C3486" s="382" t="s">
        <v>218</v>
      </c>
      <c r="D3486" s="606">
        <v>10317</v>
      </c>
      <c r="E3486" s="391">
        <v>2220</v>
      </c>
      <c r="F3486" s="391" t="s">
        <v>224</v>
      </c>
      <c r="G3486" s="391">
        <v>291.2</v>
      </c>
      <c r="H3486" s="528">
        <v>9</v>
      </c>
      <c r="I3486" s="528">
        <v>1</v>
      </c>
      <c r="J3486" s="528">
        <v>71</v>
      </c>
      <c r="K3486" s="458" t="s">
        <v>33</v>
      </c>
      <c r="L3486" s="519">
        <f t="shared" si="518"/>
        <v>602369</v>
      </c>
      <c r="M3486" s="519">
        <v>582400</v>
      </c>
      <c r="N3486" s="388"/>
      <c r="O3486" s="643">
        <v>1747</v>
      </c>
      <c r="P3486" s="388"/>
      <c r="Q3486" s="388">
        <v>18222</v>
      </c>
      <c r="R3486" s="446">
        <f t="shared" si="519"/>
        <v>2000</v>
      </c>
      <c r="S3486" s="383">
        <f t="shared" si="516"/>
        <v>0</v>
      </c>
      <c r="T3486" s="393"/>
      <c r="U3486" s="464"/>
    </row>
    <row r="3487" spans="1:24" s="420" customFormat="1" ht="37.5" customHeight="1">
      <c r="A3487" s="682">
        <f t="shared" ref="A3487:A3524" si="520">A3486+1</f>
        <v>14</v>
      </c>
      <c r="B3487" s="403" t="s">
        <v>2759</v>
      </c>
      <c r="C3487" s="382" t="s">
        <v>218</v>
      </c>
      <c r="D3487" s="606">
        <v>11288</v>
      </c>
      <c r="E3487" s="391">
        <v>1608</v>
      </c>
      <c r="F3487" s="391" t="s">
        <v>224</v>
      </c>
      <c r="G3487" s="391">
        <v>945</v>
      </c>
      <c r="H3487" s="528">
        <v>5</v>
      </c>
      <c r="I3487" s="528">
        <v>4</v>
      </c>
      <c r="J3487" s="528">
        <v>56</v>
      </c>
      <c r="K3487" s="458" t="s">
        <v>38</v>
      </c>
      <c r="L3487" s="650">
        <f t="shared" si="518"/>
        <v>2647830</v>
      </c>
      <c r="M3487" s="650">
        <v>2610000</v>
      </c>
      <c r="N3487" s="651"/>
      <c r="O3487" s="643">
        <v>7830</v>
      </c>
      <c r="P3487" s="651"/>
      <c r="Q3487" s="388">
        <v>30000</v>
      </c>
      <c r="R3487" s="528">
        <f>M3487/E3487</f>
        <v>1623.1343283582089</v>
      </c>
      <c r="S3487" s="383">
        <f t="shared" si="516"/>
        <v>0</v>
      </c>
      <c r="T3487" s="393"/>
      <c r="U3487" s="464"/>
    </row>
    <row r="3488" spans="1:24" s="420" customFormat="1" ht="56.25" customHeight="1">
      <c r="A3488" s="682">
        <f t="shared" si="520"/>
        <v>15</v>
      </c>
      <c r="B3488" s="403" t="s">
        <v>2760</v>
      </c>
      <c r="C3488" s="446" t="s">
        <v>222</v>
      </c>
      <c r="D3488" s="606">
        <v>3831</v>
      </c>
      <c r="E3488" s="391">
        <v>676.54</v>
      </c>
      <c r="F3488" s="388" t="s">
        <v>223</v>
      </c>
      <c r="G3488" s="391">
        <v>518.29999999999995</v>
      </c>
      <c r="H3488" s="528">
        <v>3</v>
      </c>
      <c r="I3488" s="528">
        <v>2</v>
      </c>
      <c r="J3488" s="528">
        <v>24</v>
      </c>
      <c r="K3488" s="458" t="s">
        <v>30</v>
      </c>
      <c r="L3488" s="519">
        <f t="shared" si="518"/>
        <v>613100</v>
      </c>
      <c r="M3488" s="529">
        <v>600000</v>
      </c>
      <c r="N3488" s="391"/>
      <c r="O3488" s="643">
        <v>1800</v>
      </c>
      <c r="P3488" s="391"/>
      <c r="Q3488" s="388">
        <v>11300</v>
      </c>
      <c r="R3488" s="446">
        <f>M3488/J3488</f>
        <v>25000</v>
      </c>
      <c r="S3488" s="383">
        <f t="shared" si="516"/>
        <v>0</v>
      </c>
      <c r="T3488" s="393"/>
      <c r="U3488" s="464"/>
    </row>
    <row r="3489" spans="1:22" s="420" customFormat="1" ht="56.25" customHeight="1">
      <c r="A3489" s="682">
        <f t="shared" si="520"/>
        <v>16</v>
      </c>
      <c r="B3489" s="403" t="s">
        <v>2761</v>
      </c>
      <c r="C3489" s="446" t="s">
        <v>222</v>
      </c>
      <c r="D3489" s="606">
        <v>3449</v>
      </c>
      <c r="E3489" s="391">
        <v>676.54</v>
      </c>
      <c r="F3489" s="388" t="s">
        <v>223</v>
      </c>
      <c r="G3489" s="391">
        <v>559.79999999999995</v>
      </c>
      <c r="H3489" s="528">
        <v>3</v>
      </c>
      <c r="I3489" s="528">
        <v>2</v>
      </c>
      <c r="J3489" s="528">
        <v>24</v>
      </c>
      <c r="K3489" s="458" t="s">
        <v>30</v>
      </c>
      <c r="L3489" s="519">
        <f t="shared" si="518"/>
        <v>613100</v>
      </c>
      <c r="M3489" s="529">
        <v>600000</v>
      </c>
      <c r="N3489" s="391"/>
      <c r="O3489" s="643">
        <v>1800</v>
      </c>
      <c r="P3489" s="391"/>
      <c r="Q3489" s="388">
        <v>11300</v>
      </c>
      <c r="R3489" s="446">
        <f>M3489/J3489</f>
        <v>25000</v>
      </c>
      <c r="S3489" s="383">
        <f t="shared" si="516"/>
        <v>0</v>
      </c>
      <c r="T3489" s="393"/>
      <c r="U3489" s="464"/>
    </row>
    <row r="3490" spans="1:22" s="420" customFormat="1" ht="37.5" customHeight="1">
      <c r="A3490" s="682">
        <f t="shared" si="520"/>
        <v>17</v>
      </c>
      <c r="B3490" s="403" t="s">
        <v>2762</v>
      </c>
      <c r="C3490" s="446" t="s">
        <v>222</v>
      </c>
      <c r="D3490" s="606">
        <v>7825</v>
      </c>
      <c r="E3490" s="391">
        <v>1188.33</v>
      </c>
      <c r="F3490" s="391" t="s">
        <v>229</v>
      </c>
      <c r="G3490" s="391">
        <v>873.4</v>
      </c>
      <c r="H3490" s="528">
        <v>4</v>
      </c>
      <c r="I3490" s="528">
        <v>3</v>
      </c>
      <c r="J3490" s="528">
        <v>48</v>
      </c>
      <c r="K3490" s="458" t="s">
        <v>38</v>
      </c>
      <c r="L3490" s="650">
        <f t="shared" si="518"/>
        <v>1982232.9999999998</v>
      </c>
      <c r="M3490" s="650">
        <v>1946393.9999999998</v>
      </c>
      <c r="N3490" s="651"/>
      <c r="O3490" s="643">
        <v>5839</v>
      </c>
      <c r="P3490" s="651"/>
      <c r="Q3490" s="388">
        <v>30000</v>
      </c>
      <c r="R3490" s="528">
        <f>M3490/E3490</f>
        <v>1637.9238090429426</v>
      </c>
      <c r="S3490" s="383">
        <f t="shared" si="516"/>
        <v>0</v>
      </c>
      <c r="T3490" s="393"/>
      <c r="U3490" s="464"/>
    </row>
    <row r="3491" spans="1:22" s="420" customFormat="1" ht="37.5" customHeight="1">
      <c r="A3491" s="682">
        <f t="shared" si="520"/>
        <v>18</v>
      </c>
      <c r="B3491" s="403" t="s">
        <v>2763</v>
      </c>
      <c r="C3491" s="382" t="s">
        <v>218</v>
      </c>
      <c r="D3491" s="606">
        <v>19753</v>
      </c>
      <c r="E3491" s="391">
        <v>2897.72</v>
      </c>
      <c r="F3491" s="391" t="s">
        <v>224</v>
      </c>
      <c r="G3491" s="391">
        <v>1586.3</v>
      </c>
      <c r="H3491" s="528">
        <v>5</v>
      </c>
      <c r="I3491" s="528">
        <v>8</v>
      </c>
      <c r="J3491" s="528">
        <v>116</v>
      </c>
      <c r="K3491" s="458" t="s">
        <v>33</v>
      </c>
      <c r="L3491" s="519">
        <f t="shared" si="518"/>
        <v>3997647</v>
      </c>
      <c r="M3491" s="519">
        <v>3965750</v>
      </c>
      <c r="N3491" s="391"/>
      <c r="O3491" s="643">
        <v>11897</v>
      </c>
      <c r="P3491" s="388"/>
      <c r="Q3491" s="388">
        <v>20000</v>
      </c>
      <c r="R3491" s="446">
        <f>M3491/G3491</f>
        <v>2500</v>
      </c>
      <c r="S3491" s="383">
        <f t="shared" si="516"/>
        <v>0</v>
      </c>
      <c r="T3491" s="393"/>
      <c r="U3491" s="464"/>
    </row>
    <row r="3492" spans="1:22" s="420" customFormat="1" ht="37.5" customHeight="1">
      <c r="A3492" s="682">
        <f t="shared" si="520"/>
        <v>19</v>
      </c>
      <c r="B3492" s="403" t="s">
        <v>2765</v>
      </c>
      <c r="C3492" s="382" t="s">
        <v>222</v>
      </c>
      <c r="D3492" s="606">
        <v>11986</v>
      </c>
      <c r="E3492" s="391">
        <v>2138</v>
      </c>
      <c r="F3492" s="391" t="s">
        <v>223</v>
      </c>
      <c r="G3492" s="391">
        <v>1014</v>
      </c>
      <c r="H3492" s="528">
        <v>5</v>
      </c>
      <c r="I3492" s="528">
        <v>3</v>
      </c>
      <c r="J3492" s="528">
        <v>69</v>
      </c>
      <c r="K3492" s="458" t="s">
        <v>33</v>
      </c>
      <c r="L3492" s="519">
        <f t="shared" si="518"/>
        <v>2610541</v>
      </c>
      <c r="M3492" s="519">
        <v>2535000</v>
      </c>
      <c r="N3492" s="388">
        <v>38025</v>
      </c>
      <c r="O3492" s="473"/>
      <c r="P3492" s="388"/>
      <c r="Q3492" s="388">
        <v>37516</v>
      </c>
      <c r="R3492" s="446">
        <f>M3492/G3492</f>
        <v>2500</v>
      </c>
      <c r="S3492" s="383">
        <f t="shared" si="516"/>
        <v>0</v>
      </c>
      <c r="T3492" s="393"/>
      <c r="U3492" s="464"/>
    </row>
    <row r="3493" spans="1:22" s="420" customFormat="1" ht="37.5" customHeight="1">
      <c r="A3493" s="682">
        <f t="shared" si="520"/>
        <v>20</v>
      </c>
      <c r="B3493" s="403" t="s">
        <v>2766</v>
      </c>
      <c r="C3493" s="446" t="s">
        <v>222</v>
      </c>
      <c r="D3493" s="641">
        <v>16870</v>
      </c>
      <c r="E3493" s="388">
        <v>3373.76</v>
      </c>
      <c r="F3493" s="388" t="s">
        <v>223</v>
      </c>
      <c r="G3493" s="388">
        <v>1490.3</v>
      </c>
      <c r="H3493" s="446">
        <v>5</v>
      </c>
      <c r="I3493" s="446">
        <v>6</v>
      </c>
      <c r="J3493" s="446">
        <v>120</v>
      </c>
      <c r="K3493" s="458" t="s">
        <v>33</v>
      </c>
      <c r="L3493" s="519">
        <f t="shared" si="518"/>
        <v>3803008</v>
      </c>
      <c r="M3493" s="519">
        <v>3725750</v>
      </c>
      <c r="N3493" s="388">
        <v>37258</v>
      </c>
      <c r="O3493" s="473"/>
      <c r="P3493" s="388"/>
      <c r="Q3493" s="388">
        <v>40000</v>
      </c>
      <c r="R3493" s="446">
        <f>M3493/G3493</f>
        <v>2500</v>
      </c>
      <c r="S3493" s="383">
        <f t="shared" si="516"/>
        <v>0</v>
      </c>
      <c r="T3493" s="393"/>
      <c r="U3493" s="464"/>
    </row>
    <row r="3494" spans="1:22" s="416" customFormat="1" ht="56.25" customHeight="1">
      <c r="A3494" s="682">
        <f t="shared" si="520"/>
        <v>21</v>
      </c>
      <c r="B3494" s="403" t="s">
        <v>2770</v>
      </c>
      <c r="C3494" s="382" t="s">
        <v>218</v>
      </c>
      <c r="D3494" s="606">
        <v>6895</v>
      </c>
      <c r="E3494" s="391">
        <v>850</v>
      </c>
      <c r="F3494" s="391" t="s">
        <v>224</v>
      </c>
      <c r="G3494" s="391">
        <v>551.1</v>
      </c>
      <c r="H3494" s="528">
        <v>5</v>
      </c>
      <c r="I3494" s="528">
        <v>2</v>
      </c>
      <c r="J3494" s="528">
        <v>30</v>
      </c>
      <c r="K3494" s="458" t="s">
        <v>30</v>
      </c>
      <c r="L3494" s="519">
        <f t="shared" si="518"/>
        <v>773908</v>
      </c>
      <c r="M3494" s="529">
        <v>750000</v>
      </c>
      <c r="N3494" s="391"/>
      <c r="O3494" s="643">
        <v>2250</v>
      </c>
      <c r="P3494" s="391"/>
      <c r="Q3494" s="388">
        <v>21658</v>
      </c>
      <c r="R3494" s="446">
        <f>M3494/J3494</f>
        <v>25000</v>
      </c>
      <c r="S3494" s="383">
        <f t="shared" si="516"/>
        <v>0</v>
      </c>
      <c r="T3494" s="393"/>
      <c r="U3494" s="464"/>
    </row>
    <row r="3495" spans="1:22" s="416" customFormat="1" ht="56.25" customHeight="1">
      <c r="A3495" s="682">
        <f t="shared" si="520"/>
        <v>22</v>
      </c>
      <c r="B3495" s="403" t="s">
        <v>1847</v>
      </c>
      <c r="C3495" s="382" t="s">
        <v>218</v>
      </c>
      <c r="D3495" s="606">
        <v>4992</v>
      </c>
      <c r="E3495" s="391">
        <v>808.5</v>
      </c>
      <c r="F3495" s="391" t="s">
        <v>223</v>
      </c>
      <c r="G3495" s="391">
        <v>990</v>
      </c>
      <c r="H3495" s="528">
        <v>2</v>
      </c>
      <c r="I3495" s="528">
        <v>3</v>
      </c>
      <c r="J3495" s="528">
        <v>22</v>
      </c>
      <c r="K3495" s="458" t="s">
        <v>30</v>
      </c>
      <c r="L3495" s="519">
        <f t="shared" si="518"/>
        <v>579428</v>
      </c>
      <c r="M3495" s="529">
        <v>550000</v>
      </c>
      <c r="N3495" s="391"/>
      <c r="O3495" s="643">
        <v>1650</v>
      </c>
      <c r="P3495" s="391"/>
      <c r="Q3495" s="388">
        <v>27778</v>
      </c>
      <c r="R3495" s="446">
        <f>M3495/J3495</f>
        <v>25000</v>
      </c>
      <c r="S3495" s="383">
        <f t="shared" si="516"/>
        <v>0</v>
      </c>
      <c r="T3495" s="393"/>
      <c r="U3495" s="464"/>
    </row>
    <row r="3496" spans="1:22" s="416" customFormat="1" ht="37.5" customHeight="1">
      <c r="A3496" s="682">
        <f t="shared" si="520"/>
        <v>23</v>
      </c>
      <c r="B3496" s="403" t="s">
        <v>2774</v>
      </c>
      <c r="C3496" s="446" t="s">
        <v>222</v>
      </c>
      <c r="D3496" s="606">
        <v>2016</v>
      </c>
      <c r="E3496" s="391">
        <v>456</v>
      </c>
      <c r="F3496" s="391" t="s">
        <v>223</v>
      </c>
      <c r="G3496" s="391">
        <v>204</v>
      </c>
      <c r="H3496" s="528">
        <v>2</v>
      </c>
      <c r="I3496" s="528">
        <v>1</v>
      </c>
      <c r="J3496" s="528">
        <v>8</v>
      </c>
      <c r="K3496" s="458" t="s">
        <v>33</v>
      </c>
      <c r="L3496" s="519">
        <f t="shared" si="518"/>
        <v>545472</v>
      </c>
      <c r="M3496" s="519">
        <v>510000</v>
      </c>
      <c r="N3496" s="388">
        <v>25500</v>
      </c>
      <c r="O3496" s="473"/>
      <c r="P3496" s="388"/>
      <c r="Q3496" s="388">
        <v>9972</v>
      </c>
      <c r="R3496" s="446">
        <f>M3496/G3496</f>
        <v>2500</v>
      </c>
      <c r="S3496" s="383">
        <f t="shared" si="516"/>
        <v>0</v>
      </c>
      <c r="T3496" s="403"/>
      <c r="U3496" s="464"/>
    </row>
    <row r="3497" spans="1:22" s="405" customFormat="1" ht="37.5" customHeight="1">
      <c r="A3497" s="682">
        <f t="shared" si="520"/>
        <v>24</v>
      </c>
      <c r="B3497" s="403" t="s">
        <v>3969</v>
      </c>
      <c r="C3497" s="455" t="s">
        <v>218</v>
      </c>
      <c r="D3497" s="641">
        <v>13363</v>
      </c>
      <c r="E3497" s="391">
        <v>1810</v>
      </c>
      <c r="F3497" s="391" t="s">
        <v>224</v>
      </c>
      <c r="G3497" s="644">
        <f>(20*I3497)*12*1.2</f>
        <v>864</v>
      </c>
      <c r="H3497" s="446">
        <v>5</v>
      </c>
      <c r="I3497" s="446">
        <v>3</v>
      </c>
      <c r="J3497" s="528">
        <v>44</v>
      </c>
      <c r="K3497" s="458" t="s">
        <v>225</v>
      </c>
      <c r="L3497" s="645">
        <f t="shared" si="518"/>
        <v>917153</v>
      </c>
      <c r="M3497" s="645">
        <v>880000</v>
      </c>
      <c r="N3497" s="646">
        <v>26400</v>
      </c>
      <c r="O3497" s="647"/>
      <c r="P3497" s="646"/>
      <c r="Q3497" s="388">
        <v>10753</v>
      </c>
      <c r="R3497" s="648">
        <f>M3497/J3497</f>
        <v>20000</v>
      </c>
      <c r="S3497" s="383">
        <f t="shared" si="516"/>
        <v>0</v>
      </c>
      <c r="T3497" s="393"/>
    </row>
    <row r="3498" spans="1:22" s="405" customFormat="1" ht="37.5" customHeight="1">
      <c r="A3498" s="682">
        <f t="shared" si="520"/>
        <v>25</v>
      </c>
      <c r="B3498" s="403" t="s">
        <v>3970</v>
      </c>
      <c r="C3498" s="455" t="s">
        <v>218</v>
      </c>
      <c r="D3498" s="641">
        <v>16547</v>
      </c>
      <c r="E3498" s="391">
        <v>1930</v>
      </c>
      <c r="F3498" s="391" t="s">
        <v>224</v>
      </c>
      <c r="G3498" s="644">
        <f>(20*I3498)*12*1.2</f>
        <v>864</v>
      </c>
      <c r="H3498" s="446">
        <v>5</v>
      </c>
      <c r="I3498" s="446">
        <v>3</v>
      </c>
      <c r="J3498" s="528">
        <v>76</v>
      </c>
      <c r="K3498" s="458" t="s">
        <v>225</v>
      </c>
      <c r="L3498" s="645">
        <f t="shared" ref="L3498:L3513" si="521">M3498+N3498+O3498+P3498+Q3498</f>
        <v>1561153</v>
      </c>
      <c r="M3498" s="645">
        <v>1520000</v>
      </c>
      <c r="N3498" s="646">
        <v>30400</v>
      </c>
      <c r="O3498" s="647"/>
      <c r="P3498" s="646"/>
      <c r="Q3498" s="388">
        <v>10753</v>
      </c>
      <c r="R3498" s="648">
        <f>M3498/J3498</f>
        <v>20000</v>
      </c>
      <c r="S3498" s="383">
        <f t="shared" si="516"/>
        <v>0</v>
      </c>
      <c r="T3498" s="393"/>
    </row>
    <row r="3499" spans="1:22" s="405" customFormat="1" ht="37.5" customHeight="1">
      <c r="A3499" s="682">
        <f t="shared" si="520"/>
        <v>26</v>
      </c>
      <c r="B3499" s="403" t="s">
        <v>3971</v>
      </c>
      <c r="C3499" s="455" t="s">
        <v>218</v>
      </c>
      <c r="D3499" s="641">
        <v>10743</v>
      </c>
      <c r="E3499" s="391">
        <v>1850</v>
      </c>
      <c r="F3499" s="391" t="s">
        <v>224</v>
      </c>
      <c r="G3499" s="644">
        <v>388</v>
      </c>
      <c r="H3499" s="446">
        <v>9</v>
      </c>
      <c r="I3499" s="446">
        <v>1</v>
      </c>
      <c r="J3499" s="528">
        <v>71</v>
      </c>
      <c r="K3499" s="458" t="s">
        <v>33</v>
      </c>
      <c r="L3499" s="519">
        <f t="shared" si="521"/>
        <v>875135</v>
      </c>
      <c r="M3499" s="519">
        <v>853600</v>
      </c>
      <c r="N3499" s="388"/>
      <c r="O3499" s="643">
        <v>2561</v>
      </c>
      <c r="P3499" s="388"/>
      <c r="Q3499" s="388">
        <v>18974</v>
      </c>
      <c r="R3499" s="446">
        <f>M3499/G3499</f>
        <v>2200</v>
      </c>
      <c r="S3499" s="383">
        <f t="shared" si="516"/>
        <v>0</v>
      </c>
      <c r="T3499" s="393"/>
    </row>
    <row r="3500" spans="1:22" s="405" customFormat="1" ht="37.5" customHeight="1">
      <c r="A3500" s="682">
        <f t="shared" si="520"/>
        <v>27</v>
      </c>
      <c r="B3500" s="403" t="s">
        <v>3530</v>
      </c>
      <c r="C3500" s="455" t="s">
        <v>218</v>
      </c>
      <c r="D3500" s="641">
        <v>16711</v>
      </c>
      <c r="E3500" s="391">
        <v>2695</v>
      </c>
      <c r="F3500" s="391" t="s">
        <v>224</v>
      </c>
      <c r="G3500" s="644">
        <v>1411.9</v>
      </c>
      <c r="H3500" s="446">
        <v>5</v>
      </c>
      <c r="I3500" s="446">
        <v>6</v>
      </c>
      <c r="J3500" s="528">
        <v>88</v>
      </c>
      <c r="K3500" s="458" t="s">
        <v>227</v>
      </c>
      <c r="L3500" s="519">
        <f t="shared" si="521"/>
        <v>9500230</v>
      </c>
      <c r="M3500" s="519">
        <v>9432500</v>
      </c>
      <c r="N3500" s="388">
        <v>37730</v>
      </c>
      <c r="O3500" s="643"/>
      <c r="P3500" s="388"/>
      <c r="Q3500" s="388">
        <v>30000</v>
      </c>
      <c r="R3500" s="446">
        <f>M3500/E3500</f>
        <v>3500</v>
      </c>
      <c r="S3500" s="383">
        <f t="shared" si="516"/>
        <v>0</v>
      </c>
      <c r="T3500" s="393"/>
    </row>
    <row r="3501" spans="1:22" s="405" customFormat="1" ht="37.5" customHeight="1">
      <c r="A3501" s="682">
        <f t="shared" si="520"/>
        <v>28</v>
      </c>
      <c r="B3501" s="403" t="s">
        <v>3531</v>
      </c>
      <c r="C3501" s="455" t="s">
        <v>222</v>
      </c>
      <c r="D3501" s="641">
        <v>9723</v>
      </c>
      <c r="E3501" s="391">
        <v>1505</v>
      </c>
      <c r="F3501" s="391" t="s">
        <v>223</v>
      </c>
      <c r="G3501" s="644">
        <v>868</v>
      </c>
      <c r="H3501" s="446">
        <v>5</v>
      </c>
      <c r="I3501" s="446">
        <v>3</v>
      </c>
      <c r="J3501" s="528">
        <v>58</v>
      </c>
      <c r="K3501" s="458" t="s">
        <v>33</v>
      </c>
      <c r="L3501" s="519">
        <f t="shared" si="521"/>
        <v>2232983</v>
      </c>
      <c r="M3501" s="519">
        <v>2170000</v>
      </c>
      <c r="N3501" s="388">
        <v>32550</v>
      </c>
      <c r="O3501" s="643"/>
      <c r="P3501" s="388"/>
      <c r="Q3501" s="388">
        <v>30433</v>
      </c>
      <c r="R3501" s="528">
        <f>M3501/G3501</f>
        <v>2500</v>
      </c>
      <c r="S3501" s="383">
        <f t="shared" si="516"/>
        <v>0</v>
      </c>
      <c r="T3501" s="393"/>
    </row>
    <row r="3502" spans="1:22" s="420" customFormat="1" ht="37.5" customHeight="1">
      <c r="A3502" s="682">
        <f t="shared" si="520"/>
        <v>29</v>
      </c>
      <c r="B3502" s="403" t="s">
        <v>3326</v>
      </c>
      <c r="C3502" s="820" t="s">
        <v>218</v>
      </c>
      <c r="D3502" s="606">
        <v>20533</v>
      </c>
      <c r="E3502" s="391">
        <v>3648</v>
      </c>
      <c r="F3502" s="391" t="s">
        <v>224</v>
      </c>
      <c r="G3502" s="391">
        <v>1639.8</v>
      </c>
      <c r="H3502" s="528">
        <v>5</v>
      </c>
      <c r="I3502" s="528">
        <v>6</v>
      </c>
      <c r="J3502" s="528">
        <v>90</v>
      </c>
      <c r="K3502" s="458" t="s">
        <v>227</v>
      </c>
      <c r="L3502" s="650">
        <f t="shared" si="521"/>
        <v>11017776</v>
      </c>
      <c r="M3502" s="650">
        <v>10944000</v>
      </c>
      <c r="N3502" s="651">
        <v>43776</v>
      </c>
      <c r="O3502" s="643"/>
      <c r="P3502" s="651"/>
      <c r="Q3502" s="388">
        <v>30000</v>
      </c>
      <c r="R3502" s="528">
        <f>M3502/E3502</f>
        <v>3000</v>
      </c>
      <c r="S3502" s="383">
        <f t="shared" si="516"/>
        <v>0</v>
      </c>
      <c r="T3502" s="406">
        <f>L3502-M3502-N3502-O3502-Q3502</f>
        <v>0</v>
      </c>
      <c r="U3502" s="390"/>
    </row>
    <row r="3503" spans="1:22" s="420" customFormat="1" ht="30" customHeight="1">
      <c r="A3503" s="682">
        <f t="shared" si="520"/>
        <v>30</v>
      </c>
      <c r="B3503" s="403" t="s">
        <v>812</v>
      </c>
      <c r="C3503" s="820" t="s">
        <v>218</v>
      </c>
      <c r="D3503" s="606">
        <v>10510</v>
      </c>
      <c r="E3503" s="391">
        <v>1950</v>
      </c>
      <c r="F3503" s="391" t="s">
        <v>224</v>
      </c>
      <c r="G3503" s="391">
        <v>1152</v>
      </c>
      <c r="H3503" s="528">
        <v>5</v>
      </c>
      <c r="I3503" s="528">
        <v>4</v>
      </c>
      <c r="J3503" s="528">
        <v>60</v>
      </c>
      <c r="K3503" s="458" t="s">
        <v>33</v>
      </c>
      <c r="L3503" s="519">
        <f t="shared" si="521"/>
        <v>1931221.86</v>
      </c>
      <c r="M3503" s="519">
        <v>1890000</v>
      </c>
      <c r="N3503" s="388"/>
      <c r="O3503" s="643">
        <v>21321.86</v>
      </c>
      <c r="P3503" s="388"/>
      <c r="Q3503" s="388">
        <v>19900</v>
      </c>
      <c r="R3503" s="446">
        <f>M3503/G3503</f>
        <v>1640.625</v>
      </c>
      <c r="S3503" s="383">
        <f t="shared" si="516"/>
        <v>1.0186340659856796E-10</v>
      </c>
      <c r="T3503" s="393"/>
      <c r="U3503" s="405"/>
      <c r="V3503" s="390"/>
    </row>
    <row r="3504" spans="1:22" s="420" customFormat="1" ht="37.5" customHeight="1">
      <c r="A3504" s="682">
        <f t="shared" si="520"/>
        <v>31</v>
      </c>
      <c r="B3504" s="403" t="s">
        <v>1826</v>
      </c>
      <c r="C3504" s="446" t="s">
        <v>222</v>
      </c>
      <c r="D3504" s="606">
        <v>13191</v>
      </c>
      <c r="E3504" s="391">
        <v>2021.76</v>
      </c>
      <c r="F3504" s="651" t="s">
        <v>223</v>
      </c>
      <c r="G3504" s="391">
        <v>1170.5999999999999</v>
      </c>
      <c r="H3504" s="528">
        <v>5</v>
      </c>
      <c r="I3504" s="528">
        <v>4</v>
      </c>
      <c r="J3504" s="528">
        <v>70</v>
      </c>
      <c r="K3504" s="458" t="s">
        <v>33</v>
      </c>
      <c r="L3504" s="519">
        <f t="shared" si="521"/>
        <v>2994286.36</v>
      </c>
      <c r="M3504" s="519">
        <v>2926500</v>
      </c>
      <c r="N3504" s="388">
        <v>27986.36</v>
      </c>
      <c r="O3504" s="473"/>
      <c r="P3504" s="388"/>
      <c r="Q3504" s="388">
        <v>39800</v>
      </c>
      <c r="R3504" s="446">
        <f>M3504/G3504</f>
        <v>2500</v>
      </c>
      <c r="S3504" s="383">
        <f t="shared" si="516"/>
        <v>-1.3096723705530167E-10</v>
      </c>
      <c r="T3504" s="393"/>
      <c r="U3504" s="405"/>
      <c r="V3504" s="390"/>
    </row>
    <row r="3505" spans="1:24" s="420" customFormat="1" ht="37.5" customHeight="1">
      <c r="A3505" s="682">
        <f t="shared" si="520"/>
        <v>32</v>
      </c>
      <c r="B3505" s="403" t="s">
        <v>1827</v>
      </c>
      <c r="C3505" s="446" t="s">
        <v>222</v>
      </c>
      <c r="D3505" s="606">
        <v>23924</v>
      </c>
      <c r="E3505" s="391">
        <v>3893.9</v>
      </c>
      <c r="F3505" s="391" t="s">
        <v>224</v>
      </c>
      <c r="G3505" s="391">
        <v>1126.5</v>
      </c>
      <c r="H3505" s="528">
        <v>9</v>
      </c>
      <c r="I3505" s="528">
        <v>2</v>
      </c>
      <c r="J3505" s="528">
        <v>103</v>
      </c>
      <c r="K3505" s="458" t="s">
        <v>225</v>
      </c>
      <c r="L3505" s="645">
        <f t="shared" si="521"/>
        <v>2320480.4699999997</v>
      </c>
      <c r="M3505" s="645">
        <v>2266000</v>
      </c>
      <c r="N3505" s="646">
        <v>34683.71</v>
      </c>
      <c r="O3505" s="647"/>
      <c r="P3505" s="646"/>
      <c r="Q3505" s="388">
        <v>19796.759999999998</v>
      </c>
      <c r="R3505" s="648">
        <f>M3505/J3505</f>
        <v>22000</v>
      </c>
      <c r="S3505" s="383">
        <f t="shared" si="516"/>
        <v>-2.5829649530351162E-10</v>
      </c>
      <c r="T3505" s="393"/>
      <c r="U3505" s="405"/>
      <c r="V3505" s="390"/>
    </row>
    <row r="3506" spans="1:24" s="420" customFormat="1" ht="37.5" customHeight="1">
      <c r="A3506" s="682">
        <f t="shared" si="520"/>
        <v>33</v>
      </c>
      <c r="B3506" s="403" t="s">
        <v>1838</v>
      </c>
      <c r="C3506" s="455" t="s">
        <v>218</v>
      </c>
      <c r="D3506" s="606">
        <v>17378</v>
      </c>
      <c r="E3506" s="391">
        <v>2540</v>
      </c>
      <c r="F3506" s="391" t="s">
        <v>224</v>
      </c>
      <c r="G3506" s="391">
        <v>1413.5</v>
      </c>
      <c r="H3506" s="528">
        <v>5</v>
      </c>
      <c r="I3506" s="528">
        <v>6</v>
      </c>
      <c r="J3506" s="528">
        <v>89</v>
      </c>
      <c r="K3506" s="458" t="s">
        <v>33</v>
      </c>
      <c r="L3506" s="519">
        <f t="shared" si="521"/>
        <v>2869413.86</v>
      </c>
      <c r="M3506" s="519">
        <v>2827000</v>
      </c>
      <c r="N3506" s="388"/>
      <c r="O3506" s="643">
        <v>22513.86</v>
      </c>
      <c r="P3506" s="388"/>
      <c r="Q3506" s="388">
        <v>19900</v>
      </c>
      <c r="R3506" s="446">
        <f>M3506/G3506</f>
        <v>2000</v>
      </c>
      <c r="S3506" s="383">
        <f t="shared" si="516"/>
        <v>-1.3096723705530167E-10</v>
      </c>
      <c r="T3506" s="393"/>
      <c r="U3506" s="414"/>
      <c r="V3506" s="390"/>
      <c r="W3506" s="416"/>
      <c r="X3506" s="416"/>
    </row>
    <row r="3507" spans="1:24" s="420" customFormat="1" ht="56.25" customHeight="1">
      <c r="A3507" s="682">
        <f t="shared" si="520"/>
        <v>34</v>
      </c>
      <c r="B3507" s="403" t="s">
        <v>1840</v>
      </c>
      <c r="C3507" s="820" t="s">
        <v>218</v>
      </c>
      <c r="D3507" s="606">
        <v>6809</v>
      </c>
      <c r="E3507" s="391">
        <v>850</v>
      </c>
      <c r="F3507" s="391" t="s">
        <v>224</v>
      </c>
      <c r="G3507" s="391">
        <v>551.1</v>
      </c>
      <c r="H3507" s="528">
        <v>5</v>
      </c>
      <c r="I3507" s="528">
        <v>2</v>
      </c>
      <c r="J3507" s="528">
        <v>30</v>
      </c>
      <c r="K3507" s="458" t="s">
        <v>238</v>
      </c>
      <c r="L3507" s="519">
        <f t="shared" si="521"/>
        <v>785395.73</v>
      </c>
      <c r="M3507" s="529">
        <v>750000</v>
      </c>
      <c r="N3507" s="391"/>
      <c r="O3507" s="643">
        <v>14062.33</v>
      </c>
      <c r="P3507" s="391"/>
      <c r="Q3507" s="388">
        <v>21333.4</v>
      </c>
      <c r="R3507" s="446">
        <f>M3507/J3507</f>
        <v>25000</v>
      </c>
      <c r="S3507" s="383">
        <f t="shared" si="516"/>
        <v>0</v>
      </c>
      <c r="T3507" s="393"/>
      <c r="U3507" s="414"/>
      <c r="V3507" s="390"/>
      <c r="W3507" s="416"/>
      <c r="X3507" s="416"/>
    </row>
    <row r="3508" spans="1:24" s="420" customFormat="1" ht="56.25" customHeight="1">
      <c r="A3508" s="682">
        <f t="shared" si="520"/>
        <v>35</v>
      </c>
      <c r="B3508" s="403" t="s">
        <v>1841</v>
      </c>
      <c r="C3508" s="820" t="s">
        <v>218</v>
      </c>
      <c r="D3508" s="606">
        <v>6842</v>
      </c>
      <c r="E3508" s="391">
        <v>850</v>
      </c>
      <c r="F3508" s="391" t="s">
        <v>224</v>
      </c>
      <c r="G3508" s="391">
        <v>551.1</v>
      </c>
      <c r="H3508" s="528">
        <v>5</v>
      </c>
      <c r="I3508" s="528">
        <v>2</v>
      </c>
      <c r="J3508" s="528">
        <v>30</v>
      </c>
      <c r="K3508" s="458" t="s">
        <v>238</v>
      </c>
      <c r="L3508" s="519">
        <f t="shared" si="521"/>
        <v>785844.48</v>
      </c>
      <c r="M3508" s="529">
        <v>750000</v>
      </c>
      <c r="N3508" s="391"/>
      <c r="O3508" s="643">
        <v>14511.08</v>
      </c>
      <c r="P3508" s="391"/>
      <c r="Q3508" s="388">
        <v>21333.4</v>
      </c>
      <c r="R3508" s="446">
        <f>M3508/J3508</f>
        <v>25000</v>
      </c>
      <c r="S3508" s="383">
        <f t="shared" si="516"/>
        <v>0</v>
      </c>
      <c r="T3508" s="393"/>
      <c r="U3508" s="414"/>
      <c r="V3508" s="390"/>
      <c r="W3508" s="416"/>
      <c r="X3508" s="416"/>
    </row>
    <row r="3509" spans="1:24" s="420" customFormat="1" ht="37.5" customHeight="1">
      <c r="A3509" s="682">
        <f t="shared" si="520"/>
        <v>36</v>
      </c>
      <c r="B3509" s="403" t="s">
        <v>1806</v>
      </c>
      <c r="C3509" s="446" t="s">
        <v>222</v>
      </c>
      <c r="D3509" s="606">
        <v>12009</v>
      </c>
      <c r="E3509" s="391">
        <v>1589.57</v>
      </c>
      <c r="F3509" s="391" t="s">
        <v>223</v>
      </c>
      <c r="G3509" s="391">
        <v>999.1</v>
      </c>
      <c r="H3509" s="528">
        <v>5</v>
      </c>
      <c r="I3509" s="528">
        <v>4</v>
      </c>
      <c r="J3509" s="528">
        <v>64</v>
      </c>
      <c r="K3509" s="458" t="s">
        <v>33</v>
      </c>
      <c r="L3509" s="519">
        <f t="shared" si="521"/>
        <v>2562201.21</v>
      </c>
      <c r="M3509" s="519">
        <v>2497750</v>
      </c>
      <c r="N3509" s="388">
        <v>27426.18</v>
      </c>
      <c r="O3509" s="473"/>
      <c r="P3509" s="388"/>
      <c r="Q3509" s="388">
        <v>37025.03</v>
      </c>
      <c r="R3509" s="446">
        <f>M3509/G3509</f>
        <v>2500</v>
      </c>
      <c r="S3509" s="383">
        <f t="shared" si="516"/>
        <v>0</v>
      </c>
      <c r="T3509" s="393"/>
      <c r="U3509" s="405"/>
      <c r="V3509" s="390"/>
    </row>
    <row r="3510" spans="1:24" s="420" customFormat="1" ht="37.5" customHeight="1">
      <c r="A3510" s="682">
        <f t="shared" si="520"/>
        <v>37</v>
      </c>
      <c r="B3510" s="403" t="s">
        <v>1807</v>
      </c>
      <c r="C3510" s="446" t="s">
        <v>222</v>
      </c>
      <c r="D3510" s="606">
        <v>7576</v>
      </c>
      <c r="E3510" s="391">
        <v>1266.42</v>
      </c>
      <c r="F3510" s="391" t="s">
        <v>223</v>
      </c>
      <c r="G3510" s="391">
        <v>833.9</v>
      </c>
      <c r="H3510" s="528">
        <v>4</v>
      </c>
      <c r="I3510" s="528">
        <v>3</v>
      </c>
      <c r="J3510" s="528">
        <v>47</v>
      </c>
      <c r="K3510" s="458" t="s">
        <v>33</v>
      </c>
      <c r="L3510" s="519">
        <f t="shared" si="521"/>
        <v>2134779.58</v>
      </c>
      <c r="M3510" s="519">
        <v>2084750</v>
      </c>
      <c r="N3510" s="388">
        <v>26671.97</v>
      </c>
      <c r="O3510" s="473"/>
      <c r="P3510" s="388"/>
      <c r="Q3510" s="388">
        <v>23357.61</v>
      </c>
      <c r="R3510" s="446">
        <f>M3510/G3510</f>
        <v>2500</v>
      </c>
      <c r="S3510" s="383">
        <f t="shared" si="516"/>
        <v>7.2759576141834259E-11</v>
      </c>
      <c r="T3510" s="393"/>
      <c r="U3510" s="405"/>
      <c r="V3510" s="390"/>
    </row>
    <row r="3511" spans="1:24" s="420" customFormat="1" ht="56.25" customHeight="1">
      <c r="A3511" s="682">
        <f t="shared" si="520"/>
        <v>38</v>
      </c>
      <c r="B3511" s="403" t="s">
        <v>1810</v>
      </c>
      <c r="C3511" s="820" t="s">
        <v>218</v>
      </c>
      <c r="D3511" s="606">
        <v>10063</v>
      </c>
      <c r="E3511" s="391">
        <v>2093.7800000000002</v>
      </c>
      <c r="F3511" s="391" t="s">
        <v>224</v>
      </c>
      <c r="G3511" s="391">
        <v>777.7</v>
      </c>
      <c r="H3511" s="528">
        <v>5</v>
      </c>
      <c r="I3511" s="528">
        <v>4</v>
      </c>
      <c r="J3511" s="528">
        <v>40</v>
      </c>
      <c r="K3511" s="458" t="s">
        <v>238</v>
      </c>
      <c r="L3511" s="519">
        <f t="shared" si="521"/>
        <v>1791827.71</v>
      </c>
      <c r="M3511" s="529">
        <v>1750000</v>
      </c>
      <c r="N3511" s="391"/>
      <c r="O3511" s="643">
        <v>14465.31</v>
      </c>
      <c r="P3511" s="391"/>
      <c r="Q3511" s="388">
        <v>27362.400000000001</v>
      </c>
      <c r="R3511" s="446">
        <f>M3511/J3511</f>
        <v>43750</v>
      </c>
      <c r="S3511" s="383">
        <f t="shared" si="516"/>
        <v>-3.637978807091713E-11</v>
      </c>
      <c r="T3511" s="383"/>
      <c r="U3511" s="405"/>
      <c r="V3511" s="390"/>
    </row>
    <row r="3512" spans="1:24" s="420" customFormat="1" ht="37.5" customHeight="1">
      <c r="A3512" s="682">
        <f t="shared" si="520"/>
        <v>39</v>
      </c>
      <c r="B3512" s="403" t="s">
        <v>1811</v>
      </c>
      <c r="C3512" s="382" t="s">
        <v>222</v>
      </c>
      <c r="D3512" s="606">
        <v>20442</v>
      </c>
      <c r="E3512" s="391">
        <v>7179</v>
      </c>
      <c r="F3512" s="391" t="s">
        <v>224</v>
      </c>
      <c r="G3512" s="391">
        <v>850</v>
      </c>
      <c r="H3512" s="528">
        <v>9</v>
      </c>
      <c r="I3512" s="528">
        <v>2</v>
      </c>
      <c r="J3512" s="528">
        <v>70</v>
      </c>
      <c r="K3512" s="458" t="s">
        <v>33</v>
      </c>
      <c r="L3512" s="519">
        <f t="shared" si="521"/>
        <v>1745395.88</v>
      </c>
      <c r="M3512" s="519">
        <v>1700000</v>
      </c>
      <c r="N3512" s="388"/>
      <c r="O3512" s="643">
        <v>25495.88</v>
      </c>
      <c r="P3512" s="388"/>
      <c r="Q3512" s="388">
        <v>19900</v>
      </c>
      <c r="R3512" s="446">
        <f>M3512/G3512</f>
        <v>2000</v>
      </c>
      <c r="S3512" s="383">
        <f>L3512-M3512-N3512-O3512-P3512-Q3512</f>
        <v>-1.127773430198431E-10</v>
      </c>
      <c r="T3512" s="393"/>
      <c r="U3512" s="414"/>
      <c r="V3512" s="390"/>
      <c r="W3512" s="416"/>
      <c r="X3512" s="416"/>
    </row>
    <row r="3513" spans="1:24" s="420" customFormat="1" ht="30" customHeight="1">
      <c r="A3513" s="682">
        <f t="shared" si="520"/>
        <v>40</v>
      </c>
      <c r="B3513" s="403" t="s">
        <v>1821</v>
      </c>
      <c r="C3513" s="820" t="s">
        <v>218</v>
      </c>
      <c r="D3513" s="606">
        <v>11245</v>
      </c>
      <c r="E3513" s="391">
        <v>1310</v>
      </c>
      <c r="F3513" s="391" t="s">
        <v>224</v>
      </c>
      <c r="G3513" s="391">
        <v>943.9</v>
      </c>
      <c r="H3513" s="528">
        <v>5</v>
      </c>
      <c r="I3513" s="528">
        <v>4</v>
      </c>
      <c r="J3513" s="528">
        <v>60</v>
      </c>
      <c r="K3513" s="458" t="s">
        <v>33</v>
      </c>
      <c r="L3513" s="519">
        <f t="shared" si="521"/>
        <v>1928665.65</v>
      </c>
      <c r="M3513" s="519">
        <v>1887800</v>
      </c>
      <c r="N3513" s="388"/>
      <c r="O3513" s="643">
        <v>20965.650000000001</v>
      </c>
      <c r="P3513" s="388"/>
      <c r="Q3513" s="388">
        <v>19900</v>
      </c>
      <c r="R3513" s="446">
        <f>M3513/G3513</f>
        <v>2000</v>
      </c>
      <c r="S3513" s="383">
        <f t="shared" si="516"/>
        <v>-9.4587448984384537E-11</v>
      </c>
      <c r="T3513" s="393"/>
      <c r="U3513" s="405"/>
      <c r="V3513" s="390"/>
    </row>
    <row r="3514" spans="1:24" s="405" customFormat="1" ht="48" customHeight="1">
      <c r="A3514" s="682">
        <f t="shared" si="520"/>
        <v>41</v>
      </c>
      <c r="B3514" s="403" t="s">
        <v>3973</v>
      </c>
      <c r="C3514" s="455" t="s">
        <v>218</v>
      </c>
      <c r="D3514" s="641">
        <v>13129</v>
      </c>
      <c r="E3514" s="391">
        <v>1760</v>
      </c>
      <c r="F3514" s="391" t="s">
        <v>224</v>
      </c>
      <c r="G3514" s="644">
        <f>(20*I3514)*12*1.2</f>
        <v>864</v>
      </c>
      <c r="H3514" s="446">
        <v>5</v>
      </c>
      <c r="I3514" s="446">
        <v>3</v>
      </c>
      <c r="J3514" s="528">
        <v>142</v>
      </c>
      <c r="K3514" s="458" t="s">
        <v>225</v>
      </c>
      <c r="L3514" s="645">
        <f t="shared" ref="L3514:L3524" si="522">M3514+N3514+O3514+P3514+Q3514</f>
        <v>2884763.77</v>
      </c>
      <c r="M3514" s="645">
        <v>2840000</v>
      </c>
      <c r="N3514" s="646">
        <v>32485.75</v>
      </c>
      <c r="O3514" s="647"/>
      <c r="P3514" s="646"/>
      <c r="Q3514" s="388">
        <v>12278.02</v>
      </c>
      <c r="R3514" s="648">
        <f>M3514/J3514</f>
        <v>20000</v>
      </c>
      <c r="S3514" s="383">
        <f>L3514-M3514-N3514-O3514-P3514-Q3514</f>
        <v>1.8189894035458565E-11</v>
      </c>
      <c r="T3514" s="393"/>
      <c r="V3514" s="390"/>
    </row>
    <row r="3515" spans="1:24" s="420" customFormat="1" ht="37.5" customHeight="1">
      <c r="A3515" s="682">
        <f t="shared" si="520"/>
        <v>42</v>
      </c>
      <c r="B3515" s="403" t="s">
        <v>1812</v>
      </c>
      <c r="C3515" s="446" t="s">
        <v>222</v>
      </c>
      <c r="D3515" s="606">
        <v>26639</v>
      </c>
      <c r="E3515" s="391">
        <v>3988.94</v>
      </c>
      <c r="F3515" s="391" t="s">
        <v>223</v>
      </c>
      <c r="G3515" s="391">
        <v>2328.6</v>
      </c>
      <c r="H3515" s="528">
        <v>5</v>
      </c>
      <c r="I3515" s="528">
        <v>8</v>
      </c>
      <c r="J3515" s="528">
        <v>140</v>
      </c>
      <c r="K3515" s="458" t="s">
        <v>33</v>
      </c>
      <c r="L3515" s="519">
        <f t="shared" si="522"/>
        <v>5872899.71</v>
      </c>
      <c r="M3515" s="519">
        <v>5821500</v>
      </c>
      <c r="N3515" s="388">
        <v>31499.71</v>
      </c>
      <c r="O3515" s="473"/>
      <c r="P3515" s="394"/>
      <c r="Q3515" s="388">
        <v>19900</v>
      </c>
      <c r="R3515" s="446">
        <f>M3515/G3515</f>
        <v>2500</v>
      </c>
      <c r="S3515" s="497">
        <f t="shared" ref="S3515:S3522" si="523">L3515-M3515-N3515-O3515-Q3515</f>
        <v>-3.637978807091713E-11</v>
      </c>
      <c r="T3515" s="393"/>
      <c r="U3515" s="405"/>
      <c r="V3515" s="390"/>
    </row>
    <row r="3516" spans="1:24" s="420" customFormat="1" ht="56.25" customHeight="1">
      <c r="A3516" s="682">
        <f t="shared" si="520"/>
        <v>43</v>
      </c>
      <c r="B3516" s="403" t="s">
        <v>1815</v>
      </c>
      <c r="C3516" s="446" t="s">
        <v>222</v>
      </c>
      <c r="D3516" s="606">
        <v>7140</v>
      </c>
      <c r="E3516" s="388">
        <v>1675.2</v>
      </c>
      <c r="F3516" s="388" t="s">
        <v>229</v>
      </c>
      <c r="G3516" s="388">
        <v>637.5</v>
      </c>
      <c r="H3516" s="528">
        <v>5</v>
      </c>
      <c r="I3516" s="528">
        <v>2</v>
      </c>
      <c r="J3516" s="528">
        <v>40</v>
      </c>
      <c r="K3516" s="898" t="s">
        <v>238</v>
      </c>
      <c r="L3516" s="519">
        <f t="shared" si="522"/>
        <v>1035484.29</v>
      </c>
      <c r="M3516" s="529">
        <v>1000000</v>
      </c>
      <c r="N3516" s="391"/>
      <c r="O3516" s="643">
        <v>14150.89</v>
      </c>
      <c r="P3516" s="396"/>
      <c r="Q3516" s="388">
        <v>21333.4</v>
      </c>
      <c r="R3516" s="446">
        <f>M3516/J3516</f>
        <v>25000</v>
      </c>
      <c r="S3516" s="497">
        <f t="shared" si="523"/>
        <v>3.637978807091713E-11</v>
      </c>
      <c r="T3516" s="393"/>
      <c r="U3516" s="405"/>
      <c r="V3516" s="390"/>
    </row>
    <row r="3517" spans="1:24" s="420" customFormat="1" ht="42.75" customHeight="1">
      <c r="A3517" s="682">
        <f t="shared" si="520"/>
        <v>44</v>
      </c>
      <c r="B3517" s="403" t="s">
        <v>3517</v>
      </c>
      <c r="C3517" s="382" t="s">
        <v>222</v>
      </c>
      <c r="D3517" s="606">
        <v>39194</v>
      </c>
      <c r="E3517" s="391">
        <v>2606</v>
      </c>
      <c r="F3517" s="391" t="s">
        <v>224</v>
      </c>
      <c r="G3517" s="391">
        <v>1564.1</v>
      </c>
      <c r="H3517" s="528">
        <v>9</v>
      </c>
      <c r="I3517" s="528">
        <v>2</v>
      </c>
      <c r="J3517" s="528">
        <v>148</v>
      </c>
      <c r="K3517" s="458" t="s">
        <v>260</v>
      </c>
      <c r="L3517" s="519">
        <f t="shared" si="522"/>
        <v>9191089</v>
      </c>
      <c r="M3517" s="650">
        <v>9121000</v>
      </c>
      <c r="N3517" s="651">
        <v>40239</v>
      </c>
      <c r="O3517" s="647"/>
      <c r="P3517" s="651"/>
      <c r="Q3517" s="388">
        <v>29850</v>
      </c>
      <c r="R3517" s="528">
        <f>M3517/E3517</f>
        <v>3500</v>
      </c>
      <c r="S3517" s="497">
        <f t="shared" si="523"/>
        <v>0</v>
      </c>
      <c r="T3517" s="406"/>
      <c r="U3517" s="405"/>
    </row>
    <row r="3518" spans="1:24" s="420" customFormat="1" ht="42.75" customHeight="1">
      <c r="A3518" s="682">
        <f t="shared" si="520"/>
        <v>45</v>
      </c>
      <c r="B3518" s="403" t="s">
        <v>3515</v>
      </c>
      <c r="C3518" s="820" t="s">
        <v>222</v>
      </c>
      <c r="D3518" s="606">
        <v>10044.960000000001</v>
      </c>
      <c r="E3518" s="391">
        <v>3348.32</v>
      </c>
      <c r="F3518" s="391" t="s">
        <v>223</v>
      </c>
      <c r="G3518" s="391">
        <v>2126</v>
      </c>
      <c r="H3518" s="528">
        <v>5</v>
      </c>
      <c r="I3518" s="528">
        <v>8</v>
      </c>
      <c r="J3518" s="528">
        <v>127</v>
      </c>
      <c r="K3518" s="458" t="s">
        <v>33</v>
      </c>
      <c r="L3518" s="519">
        <f t="shared" si="522"/>
        <v>5373568.9899999993</v>
      </c>
      <c r="M3518" s="529">
        <v>5315000</v>
      </c>
      <c r="N3518" s="646">
        <v>27599.31</v>
      </c>
      <c r="O3518" s="647"/>
      <c r="P3518" s="646"/>
      <c r="Q3518" s="388">
        <v>30969.68</v>
      </c>
      <c r="R3518" s="528">
        <f>M3518/G3518</f>
        <v>2500</v>
      </c>
      <c r="S3518" s="497">
        <f t="shared" si="523"/>
        <v>-7.0940586738288403E-10</v>
      </c>
      <c r="T3518" s="393"/>
      <c r="U3518" s="405"/>
      <c r="V3518" s="390"/>
    </row>
    <row r="3519" spans="1:24" s="420" customFormat="1" ht="42.75" customHeight="1">
      <c r="A3519" s="682">
        <f t="shared" si="520"/>
        <v>46</v>
      </c>
      <c r="B3519" s="403" t="s">
        <v>3518</v>
      </c>
      <c r="C3519" s="820" t="s">
        <v>222</v>
      </c>
      <c r="D3519" s="606">
        <v>9494</v>
      </c>
      <c r="E3519" s="391">
        <v>1505</v>
      </c>
      <c r="F3519" s="391" t="s">
        <v>223</v>
      </c>
      <c r="G3519" s="391">
        <v>848</v>
      </c>
      <c r="H3519" s="528">
        <v>5</v>
      </c>
      <c r="I3519" s="528">
        <v>3</v>
      </c>
      <c r="J3519" s="528">
        <v>57</v>
      </c>
      <c r="K3519" s="458" t="s">
        <v>33</v>
      </c>
      <c r="L3519" s="519">
        <f t="shared" si="522"/>
        <v>2176597.7000000002</v>
      </c>
      <c r="M3519" s="529">
        <v>2120000</v>
      </c>
      <c r="N3519" s="388">
        <v>27326.68</v>
      </c>
      <c r="O3519" s="473"/>
      <c r="P3519" s="388"/>
      <c r="Q3519" s="388">
        <v>29271.02</v>
      </c>
      <c r="R3519" s="528">
        <f>M3519/G3519</f>
        <v>2500</v>
      </c>
      <c r="S3519" s="497">
        <f t="shared" si="523"/>
        <v>1.8553691916167736E-10</v>
      </c>
      <c r="T3519" s="393"/>
      <c r="U3519" s="405"/>
      <c r="V3519" s="390"/>
    </row>
    <row r="3520" spans="1:24" s="420" customFormat="1" ht="37.5" customHeight="1">
      <c r="A3520" s="682">
        <f t="shared" si="520"/>
        <v>47</v>
      </c>
      <c r="B3520" s="403" t="s">
        <v>3810</v>
      </c>
      <c r="C3520" s="820" t="s">
        <v>222</v>
      </c>
      <c r="D3520" s="606">
        <v>16219</v>
      </c>
      <c r="E3520" s="391">
        <v>3840</v>
      </c>
      <c r="F3520" s="391" t="s">
        <v>231</v>
      </c>
      <c r="G3520" s="391">
        <v>2678.6</v>
      </c>
      <c r="H3520" s="528">
        <v>5</v>
      </c>
      <c r="I3520" s="528">
        <v>4</v>
      </c>
      <c r="J3520" s="528">
        <v>120</v>
      </c>
      <c r="K3520" s="458" t="s">
        <v>241</v>
      </c>
      <c r="L3520" s="519">
        <f t="shared" si="522"/>
        <v>6766070</v>
      </c>
      <c r="M3520" s="529">
        <v>6696500</v>
      </c>
      <c r="N3520" s="388">
        <v>29570</v>
      </c>
      <c r="O3520" s="473"/>
      <c r="P3520" s="388"/>
      <c r="Q3520" s="388">
        <v>40000</v>
      </c>
      <c r="R3520" s="528">
        <f>M3520/G3520</f>
        <v>2500</v>
      </c>
      <c r="S3520" s="497">
        <f t="shared" si="523"/>
        <v>0</v>
      </c>
      <c r="T3520" s="393"/>
      <c r="U3520" s="405"/>
      <c r="V3520" s="390"/>
    </row>
    <row r="3521" spans="1:24" s="420" customFormat="1" ht="37.5" customHeight="1">
      <c r="A3521" s="682">
        <f t="shared" si="520"/>
        <v>48</v>
      </c>
      <c r="B3521" s="403" t="s">
        <v>1839</v>
      </c>
      <c r="C3521" s="446" t="s">
        <v>222</v>
      </c>
      <c r="D3521" s="606">
        <v>1209</v>
      </c>
      <c r="E3521" s="391">
        <v>308.25</v>
      </c>
      <c r="F3521" s="391" t="s">
        <v>223</v>
      </c>
      <c r="G3521" s="391">
        <v>268.5</v>
      </c>
      <c r="H3521" s="528">
        <v>2</v>
      </c>
      <c r="I3521" s="528">
        <v>1</v>
      </c>
      <c r="J3521" s="528">
        <v>6</v>
      </c>
      <c r="K3521" s="458" t="s">
        <v>33</v>
      </c>
      <c r="L3521" s="519">
        <f t="shared" si="522"/>
        <v>704033.37</v>
      </c>
      <c r="M3521" s="519">
        <v>671250</v>
      </c>
      <c r="N3521" s="388">
        <v>26892.86</v>
      </c>
      <c r="O3521" s="473"/>
      <c r="P3521" s="388"/>
      <c r="Q3521" s="388">
        <v>5890.51</v>
      </c>
      <c r="R3521" s="446">
        <f>M3521/G3521</f>
        <v>2500</v>
      </c>
      <c r="S3521" s="497">
        <f t="shared" si="523"/>
        <v>0</v>
      </c>
      <c r="T3521" s="393"/>
      <c r="U3521" s="414"/>
      <c r="V3521" s="390"/>
      <c r="W3521" s="416"/>
      <c r="X3521" s="416"/>
    </row>
    <row r="3522" spans="1:24" s="420" customFormat="1" ht="58.5" customHeight="1">
      <c r="A3522" s="682">
        <f t="shared" si="520"/>
        <v>49</v>
      </c>
      <c r="B3522" s="403" t="s">
        <v>1830</v>
      </c>
      <c r="C3522" s="446" t="s">
        <v>222</v>
      </c>
      <c r="D3522" s="606">
        <v>22458</v>
      </c>
      <c r="E3522" s="391">
        <v>5997.68</v>
      </c>
      <c r="F3522" s="391" t="s">
        <v>224</v>
      </c>
      <c r="G3522" s="391">
        <v>1950</v>
      </c>
      <c r="H3522" s="528">
        <v>5</v>
      </c>
      <c r="I3522" s="528">
        <v>8</v>
      </c>
      <c r="J3522" s="528">
        <v>80</v>
      </c>
      <c r="K3522" s="458" t="s">
        <v>38</v>
      </c>
      <c r="L3522" s="650">
        <f t="shared" si="522"/>
        <v>7981244.0000000009</v>
      </c>
      <c r="M3522" s="650">
        <v>7933824.0000000009</v>
      </c>
      <c r="N3522" s="649"/>
      <c r="O3522" s="643">
        <v>17570</v>
      </c>
      <c r="P3522" s="649"/>
      <c r="Q3522" s="388">
        <v>29850</v>
      </c>
      <c r="R3522" s="528">
        <f>M3522/E3522</f>
        <v>1322.8154886556135</v>
      </c>
      <c r="S3522" s="497">
        <f t="shared" si="523"/>
        <v>0</v>
      </c>
      <c r="T3522" s="393"/>
      <c r="U3522" s="414"/>
      <c r="V3522" s="390"/>
      <c r="W3522" s="416"/>
      <c r="X3522" s="416"/>
    </row>
    <row r="3523" spans="1:24" s="405" customFormat="1" ht="37.5" customHeight="1">
      <c r="A3523" s="682">
        <f t="shared" si="520"/>
        <v>50</v>
      </c>
      <c r="B3523" s="493" t="s">
        <v>1820</v>
      </c>
      <c r="C3523" s="493" t="s">
        <v>222</v>
      </c>
      <c r="D3523" s="825">
        <v>19780</v>
      </c>
      <c r="E3523" s="391">
        <v>3690</v>
      </c>
      <c r="F3523" s="391" t="s">
        <v>224</v>
      </c>
      <c r="G3523" s="391">
        <v>731.86</v>
      </c>
      <c r="H3523" s="528">
        <v>9</v>
      </c>
      <c r="I3523" s="528">
        <v>1</v>
      </c>
      <c r="J3523" s="528">
        <v>152</v>
      </c>
      <c r="K3523" s="458" t="s">
        <v>225</v>
      </c>
      <c r="L3523" s="650">
        <f t="shared" si="522"/>
        <v>3394000</v>
      </c>
      <c r="M3523" s="645">
        <v>3344000</v>
      </c>
      <c r="N3523" s="646">
        <v>30000</v>
      </c>
      <c r="O3523" s="647"/>
      <c r="P3523" s="646"/>
      <c r="Q3523" s="388">
        <v>20000</v>
      </c>
      <c r="R3523" s="648"/>
      <c r="S3523" s="383"/>
      <c r="T3523" s="393"/>
      <c r="V3523" s="390"/>
    </row>
    <row r="3524" spans="1:24" s="405" customFormat="1" ht="37.5" customHeight="1">
      <c r="A3524" s="682">
        <f t="shared" si="520"/>
        <v>51</v>
      </c>
      <c r="B3524" s="493" t="s">
        <v>4289</v>
      </c>
      <c r="C3524" s="493" t="s">
        <v>222</v>
      </c>
      <c r="D3524" s="899">
        <f>19*32*29</f>
        <v>17632</v>
      </c>
      <c r="E3524" s="644">
        <f>(19+32)*2*27</f>
        <v>2754</v>
      </c>
      <c r="F3524" s="391" t="s">
        <v>224</v>
      </c>
      <c r="G3524" s="644">
        <f>19*32</f>
        <v>608</v>
      </c>
      <c r="H3524" s="446">
        <v>9</v>
      </c>
      <c r="I3524" s="446">
        <v>1</v>
      </c>
      <c r="J3524" s="528">
        <v>136</v>
      </c>
      <c r="K3524" s="458" t="s">
        <v>225</v>
      </c>
      <c r="L3524" s="650">
        <f t="shared" si="522"/>
        <v>3041422</v>
      </c>
      <c r="M3524" s="645">
        <v>2992000</v>
      </c>
      <c r="N3524" s="646">
        <v>30000</v>
      </c>
      <c r="O3524" s="647"/>
      <c r="P3524" s="646"/>
      <c r="Q3524" s="388">
        <v>19422</v>
      </c>
      <c r="R3524" s="648"/>
      <c r="S3524" s="383"/>
      <c r="T3524" s="393"/>
      <c r="V3524" s="390"/>
    </row>
    <row r="3525" spans="1:24" s="403" customFormat="1" ht="42.75" customHeight="1">
      <c r="A3525" s="1112" t="s">
        <v>36</v>
      </c>
      <c r="B3525" s="1112"/>
      <c r="C3525" s="455" t="s">
        <v>28</v>
      </c>
      <c r="D3525" s="900">
        <f>SUM(D3474:D3524)</f>
        <v>733189.96</v>
      </c>
      <c r="E3525" s="388">
        <f>SUM(E3474:E3524)</f>
        <v>124539.46000000002</v>
      </c>
      <c r="F3525" s="388" t="s">
        <v>28</v>
      </c>
      <c r="G3525" s="388">
        <f>SUM(G3474:G3524)</f>
        <v>53284.289999999994</v>
      </c>
      <c r="H3525" s="446" t="s">
        <v>28</v>
      </c>
      <c r="I3525" s="446" t="s">
        <v>28</v>
      </c>
      <c r="J3525" s="446">
        <f>SUM(J3474:J3524)</f>
        <v>3811</v>
      </c>
      <c r="K3525" s="458" t="s">
        <v>28</v>
      </c>
      <c r="L3525" s="519">
        <f t="shared" ref="L3525:Q3525" si="524">SUM(L3474:L3524)</f>
        <v>151205121.62</v>
      </c>
      <c r="M3525" s="519">
        <f t="shared" si="524"/>
        <v>148819268</v>
      </c>
      <c r="N3525" s="519">
        <f t="shared" si="524"/>
        <v>965726.53</v>
      </c>
      <c r="O3525" s="519">
        <f t="shared" si="524"/>
        <v>256395.86</v>
      </c>
      <c r="P3525" s="519">
        <f t="shared" si="524"/>
        <v>0</v>
      </c>
      <c r="Q3525" s="519">
        <f t="shared" si="524"/>
        <v>1163731.2300000002</v>
      </c>
      <c r="R3525" s="446" t="s">
        <v>28</v>
      </c>
      <c r="T3525" s="393"/>
      <c r="U3525" s="464"/>
    </row>
    <row r="3526" spans="1:24" s="403" customFormat="1" ht="35.25" customHeight="1">
      <c r="A3526" s="1113" t="s">
        <v>37</v>
      </c>
      <c r="B3526" s="1113"/>
      <c r="C3526" s="1113"/>
      <c r="D3526" s="1113"/>
      <c r="E3526" s="1113"/>
      <c r="F3526" s="1113"/>
      <c r="G3526" s="1113"/>
      <c r="H3526" s="1113"/>
      <c r="I3526" s="1113"/>
      <c r="J3526" s="1113"/>
      <c r="K3526" s="1113"/>
      <c r="L3526" s="1113"/>
      <c r="M3526" s="1113"/>
      <c r="N3526" s="1113"/>
      <c r="O3526" s="1113"/>
      <c r="P3526" s="1113"/>
      <c r="Q3526" s="1113"/>
      <c r="R3526" s="458"/>
      <c r="T3526" s="393"/>
      <c r="U3526" s="464"/>
    </row>
    <row r="3527" spans="1:24" s="431" customFormat="1" ht="37.5" customHeight="1">
      <c r="A3527" s="1125">
        <v>1</v>
      </c>
      <c r="B3527" s="1124" t="s">
        <v>1848</v>
      </c>
      <c r="C3527" s="455" t="s">
        <v>222</v>
      </c>
      <c r="D3527" s="606">
        <v>19474</v>
      </c>
      <c r="E3527" s="391">
        <v>2407</v>
      </c>
      <c r="F3527" s="391" t="s">
        <v>234</v>
      </c>
      <c r="G3527" s="391">
        <v>824</v>
      </c>
      <c r="H3527" s="528">
        <v>9</v>
      </c>
      <c r="I3527" s="528">
        <v>2</v>
      </c>
      <c r="J3527" s="528">
        <v>72</v>
      </c>
      <c r="K3527" s="458" t="s">
        <v>33</v>
      </c>
      <c r="L3527" s="1129">
        <f>M3527+N3527+O3527+P3527+Q3527+M3528+N3528+O3528+P3528+Q3528</f>
        <v>3923238</v>
      </c>
      <c r="M3527" s="519">
        <v>1812800</v>
      </c>
      <c r="N3527" s="388"/>
      <c r="O3527" s="643">
        <v>5438</v>
      </c>
      <c r="P3527" s="388"/>
      <c r="Q3527" s="388">
        <v>20000</v>
      </c>
      <c r="R3527" s="446">
        <f>M3527/G3527</f>
        <v>2200</v>
      </c>
      <c r="S3527" s="383">
        <f>L3527-M3527-N3527-O3527-P3527-Q3527</f>
        <v>2085000</v>
      </c>
      <c r="U3527" s="464"/>
    </row>
    <row r="3528" spans="1:24" s="431" customFormat="1" ht="37.5" customHeight="1">
      <c r="A3528" s="1125"/>
      <c r="B3528" s="1124"/>
      <c r="C3528" s="664"/>
      <c r="D3528" s="671"/>
      <c r="E3528" s="667"/>
      <c r="F3528" s="667"/>
      <c r="G3528" s="667"/>
      <c r="H3528" s="664"/>
      <c r="I3528" s="664"/>
      <c r="J3528" s="664"/>
      <c r="K3528" s="458" t="s">
        <v>220</v>
      </c>
      <c r="L3528" s="1129"/>
      <c r="M3528" s="529">
        <v>2000000</v>
      </c>
      <c r="N3528" s="391">
        <v>85000</v>
      </c>
      <c r="O3528" s="473"/>
      <c r="P3528" s="388"/>
      <c r="Q3528" s="388"/>
      <c r="R3528" s="446">
        <f>M3528</f>
        <v>2000000</v>
      </c>
      <c r="S3528" s="383">
        <f t="shared" ref="S3528:S3592" si="525">L3528-M3528-N3528-O3528-P3528-Q3528</f>
        <v>-2085000</v>
      </c>
      <c r="U3528" s="464"/>
    </row>
    <row r="3529" spans="1:24" s="431" customFormat="1" ht="37.5" customHeight="1">
      <c r="A3529" s="500">
        <v>2</v>
      </c>
      <c r="B3529" s="663" t="s">
        <v>2789</v>
      </c>
      <c r="C3529" s="664" t="s">
        <v>222</v>
      </c>
      <c r="D3529" s="671">
        <v>18318</v>
      </c>
      <c r="E3529" s="667">
        <v>3213</v>
      </c>
      <c r="F3529" s="667" t="s">
        <v>234</v>
      </c>
      <c r="G3529" s="667">
        <v>798</v>
      </c>
      <c r="H3529" s="664">
        <v>9</v>
      </c>
      <c r="I3529" s="664">
        <v>2</v>
      </c>
      <c r="J3529" s="664">
        <v>72</v>
      </c>
      <c r="K3529" s="458" t="s">
        <v>220</v>
      </c>
      <c r="L3529" s="519">
        <f t="shared" ref="L3529:L3535" si="526">M3529+N3529+O3529+P3529+Q3529</f>
        <v>4106250</v>
      </c>
      <c r="M3529" s="529">
        <v>4000000</v>
      </c>
      <c r="N3529" s="391">
        <v>106250</v>
      </c>
      <c r="O3529" s="473"/>
      <c r="P3529" s="388"/>
      <c r="Q3529" s="388"/>
      <c r="R3529" s="446">
        <f>M3529/I3529</f>
        <v>2000000</v>
      </c>
      <c r="S3529" s="383">
        <f>L3529-M3529-N3529-O3529-P3529-Q3529</f>
        <v>0</v>
      </c>
      <c r="U3529" s="464"/>
    </row>
    <row r="3530" spans="1:24" s="415" customFormat="1" ht="37.5" customHeight="1">
      <c r="A3530" s="500">
        <f>A3529+1</f>
        <v>3</v>
      </c>
      <c r="B3530" s="663" t="s">
        <v>2792</v>
      </c>
      <c r="C3530" s="672" t="s">
        <v>218</v>
      </c>
      <c r="D3530" s="671">
        <v>13912</v>
      </c>
      <c r="E3530" s="667">
        <v>3348</v>
      </c>
      <c r="F3530" s="667" t="s">
        <v>234</v>
      </c>
      <c r="G3530" s="667">
        <v>604</v>
      </c>
      <c r="H3530" s="664">
        <v>9</v>
      </c>
      <c r="I3530" s="664">
        <v>2</v>
      </c>
      <c r="J3530" s="664">
        <v>72</v>
      </c>
      <c r="K3530" s="458" t="s">
        <v>220</v>
      </c>
      <c r="L3530" s="519">
        <f t="shared" si="526"/>
        <v>4106250</v>
      </c>
      <c r="M3530" s="529">
        <v>4000000</v>
      </c>
      <c r="N3530" s="391">
        <v>106250</v>
      </c>
      <c r="O3530" s="473"/>
      <c r="P3530" s="388"/>
      <c r="Q3530" s="388"/>
      <c r="R3530" s="446">
        <f>M3530/I3530</f>
        <v>2000000</v>
      </c>
      <c r="S3530" s="383">
        <f t="shared" si="525"/>
        <v>0</v>
      </c>
      <c r="T3530" s="431"/>
      <c r="U3530" s="464"/>
      <c r="V3530" s="431"/>
    </row>
    <row r="3531" spans="1:24" s="431" customFormat="1" ht="37.5" customHeight="1">
      <c r="A3531" s="500">
        <f t="shared" ref="A3531:A3537" si="527">A3530+1</f>
        <v>4</v>
      </c>
      <c r="B3531" s="403" t="s">
        <v>2796</v>
      </c>
      <c r="C3531" s="455" t="s">
        <v>222</v>
      </c>
      <c r="D3531" s="606">
        <v>74088</v>
      </c>
      <c r="E3531" s="391">
        <v>10702</v>
      </c>
      <c r="F3531" s="391" t="s">
        <v>223</v>
      </c>
      <c r="G3531" s="391">
        <v>2744</v>
      </c>
      <c r="H3531" s="528">
        <v>9</v>
      </c>
      <c r="I3531" s="528">
        <v>8</v>
      </c>
      <c r="J3531" s="528">
        <v>256</v>
      </c>
      <c r="K3531" s="642" t="s">
        <v>220</v>
      </c>
      <c r="L3531" s="519">
        <f t="shared" si="526"/>
        <v>4106250</v>
      </c>
      <c r="M3531" s="529">
        <v>4000000</v>
      </c>
      <c r="N3531" s="391">
        <v>106250</v>
      </c>
      <c r="O3531" s="473"/>
      <c r="P3531" s="388"/>
      <c r="Q3531" s="388"/>
      <c r="R3531" s="446">
        <f>M3531/2</f>
        <v>2000000</v>
      </c>
      <c r="S3531" s="383">
        <f t="shared" si="525"/>
        <v>0</v>
      </c>
      <c r="T3531" s="406"/>
      <c r="U3531" s="464"/>
    </row>
    <row r="3532" spans="1:24" s="431" customFormat="1" ht="37.5" customHeight="1">
      <c r="A3532" s="500">
        <f t="shared" si="527"/>
        <v>5</v>
      </c>
      <c r="B3532" s="403" t="s">
        <v>1883</v>
      </c>
      <c r="C3532" s="455" t="s">
        <v>222</v>
      </c>
      <c r="D3532" s="606">
        <v>37799</v>
      </c>
      <c r="E3532" s="391">
        <v>10194.4</v>
      </c>
      <c r="F3532" s="391" t="s">
        <v>228</v>
      </c>
      <c r="G3532" s="391">
        <v>1521.3</v>
      </c>
      <c r="H3532" s="528">
        <v>9</v>
      </c>
      <c r="I3532" s="528">
        <v>2</v>
      </c>
      <c r="J3532" s="528">
        <v>170</v>
      </c>
      <c r="K3532" s="458" t="s">
        <v>220</v>
      </c>
      <c r="L3532" s="519">
        <f t="shared" si="526"/>
        <v>2085000</v>
      </c>
      <c r="M3532" s="529">
        <v>2000000</v>
      </c>
      <c r="N3532" s="391">
        <v>85000</v>
      </c>
      <c r="O3532" s="473"/>
      <c r="P3532" s="388"/>
      <c r="Q3532" s="388"/>
      <c r="R3532" s="446">
        <f>M3532</f>
        <v>2000000</v>
      </c>
      <c r="S3532" s="383">
        <f t="shared" si="525"/>
        <v>0</v>
      </c>
      <c r="U3532" s="464"/>
    </row>
    <row r="3533" spans="1:24" s="431" customFormat="1" ht="42" customHeight="1">
      <c r="A3533" s="500">
        <f t="shared" si="527"/>
        <v>6</v>
      </c>
      <c r="B3533" s="403" t="s">
        <v>4362</v>
      </c>
      <c r="C3533" s="455" t="s">
        <v>222</v>
      </c>
      <c r="D3533" s="606">
        <v>17903.159999999996</v>
      </c>
      <c r="E3533" s="391">
        <v>3353.3999999999996</v>
      </c>
      <c r="F3533" s="391" t="s">
        <v>228</v>
      </c>
      <c r="G3533" s="391">
        <v>663.07999999999993</v>
      </c>
      <c r="H3533" s="528">
        <v>9</v>
      </c>
      <c r="I3533" s="528">
        <v>2</v>
      </c>
      <c r="J3533" s="528">
        <v>84</v>
      </c>
      <c r="K3533" s="642" t="s">
        <v>220</v>
      </c>
      <c r="L3533" s="519">
        <f t="shared" si="526"/>
        <v>2085000</v>
      </c>
      <c r="M3533" s="529">
        <v>2000000</v>
      </c>
      <c r="N3533" s="391">
        <v>85000</v>
      </c>
      <c r="O3533" s="473"/>
      <c r="P3533" s="388"/>
      <c r="Q3533" s="388"/>
      <c r="R3533" s="446"/>
      <c r="S3533" s="383"/>
      <c r="U3533" s="464"/>
    </row>
    <row r="3534" spans="1:24" s="431" customFormat="1" ht="37.5" customHeight="1">
      <c r="A3534" s="500">
        <f t="shared" si="527"/>
        <v>7</v>
      </c>
      <c r="B3534" s="403" t="s">
        <v>2775</v>
      </c>
      <c r="C3534" s="455" t="s">
        <v>222</v>
      </c>
      <c r="D3534" s="606">
        <v>24998</v>
      </c>
      <c r="E3534" s="391">
        <v>2407</v>
      </c>
      <c r="F3534" s="391" t="s">
        <v>234</v>
      </c>
      <c r="G3534" s="391">
        <v>897</v>
      </c>
      <c r="H3534" s="528">
        <v>9</v>
      </c>
      <c r="I3534" s="528">
        <v>2</v>
      </c>
      <c r="J3534" s="528">
        <v>64</v>
      </c>
      <c r="K3534" s="458" t="s">
        <v>33</v>
      </c>
      <c r="L3534" s="519">
        <f t="shared" si="526"/>
        <v>1999320</v>
      </c>
      <c r="M3534" s="519">
        <v>1973400</v>
      </c>
      <c r="N3534" s="388"/>
      <c r="O3534" s="643">
        <v>5920</v>
      </c>
      <c r="P3534" s="388"/>
      <c r="Q3534" s="388">
        <v>20000</v>
      </c>
      <c r="R3534" s="446">
        <f>M3534/G3534</f>
        <v>2200</v>
      </c>
      <c r="S3534" s="383">
        <f t="shared" si="525"/>
        <v>0</v>
      </c>
      <c r="T3534" s="406"/>
      <c r="U3534" s="474"/>
      <c r="V3534" s="1002"/>
    </row>
    <row r="3535" spans="1:24" s="431" customFormat="1" ht="37.5" customHeight="1">
      <c r="A3535" s="500">
        <f t="shared" si="527"/>
        <v>8</v>
      </c>
      <c r="B3535" s="403" t="s">
        <v>2776</v>
      </c>
      <c r="C3535" s="455" t="s">
        <v>222</v>
      </c>
      <c r="D3535" s="606">
        <v>24285</v>
      </c>
      <c r="E3535" s="391">
        <v>4147</v>
      </c>
      <c r="F3535" s="391" t="s">
        <v>234</v>
      </c>
      <c r="G3535" s="391">
        <v>1619</v>
      </c>
      <c r="H3535" s="528">
        <v>5</v>
      </c>
      <c r="I3535" s="528">
        <v>8</v>
      </c>
      <c r="J3535" s="528">
        <v>119</v>
      </c>
      <c r="K3535" s="458" t="s">
        <v>33</v>
      </c>
      <c r="L3535" s="519">
        <f t="shared" si="526"/>
        <v>3592485</v>
      </c>
      <c r="M3535" s="519">
        <v>3561800</v>
      </c>
      <c r="N3535" s="388"/>
      <c r="O3535" s="643">
        <v>10685</v>
      </c>
      <c r="P3535" s="388"/>
      <c r="Q3535" s="388">
        <v>20000</v>
      </c>
      <c r="R3535" s="446">
        <f>M3535/G3535</f>
        <v>2200</v>
      </c>
      <c r="S3535" s="383">
        <f t="shared" si="525"/>
        <v>0</v>
      </c>
      <c r="U3535" s="464"/>
    </row>
    <row r="3536" spans="1:24" s="431" customFormat="1" ht="37.5" customHeight="1">
      <c r="A3536" s="500">
        <f t="shared" si="527"/>
        <v>9</v>
      </c>
      <c r="B3536" s="403" t="s">
        <v>2777</v>
      </c>
      <c r="C3536" s="455" t="s">
        <v>222</v>
      </c>
      <c r="D3536" s="606">
        <v>12817</v>
      </c>
      <c r="E3536" s="391">
        <v>2658</v>
      </c>
      <c r="F3536" s="391" t="s">
        <v>234</v>
      </c>
      <c r="G3536" s="391">
        <v>1022</v>
      </c>
      <c r="H3536" s="528">
        <v>5</v>
      </c>
      <c r="I3536" s="528">
        <v>4</v>
      </c>
      <c r="J3536" s="528">
        <v>69</v>
      </c>
      <c r="K3536" s="458" t="s">
        <v>33</v>
      </c>
      <c r="L3536" s="519">
        <f t="shared" ref="L3536:L3564" si="528">M3536+N3536+O3536+P3536+Q3536</f>
        <v>2275145</v>
      </c>
      <c r="M3536" s="519">
        <v>2248400</v>
      </c>
      <c r="N3536" s="388"/>
      <c r="O3536" s="643">
        <v>6745</v>
      </c>
      <c r="P3536" s="388"/>
      <c r="Q3536" s="388">
        <v>20000</v>
      </c>
      <c r="R3536" s="446">
        <f t="shared" ref="R3536:R3546" si="529">M3536/G3536</f>
        <v>2200</v>
      </c>
      <c r="S3536" s="383">
        <f t="shared" si="525"/>
        <v>0</v>
      </c>
      <c r="U3536" s="464"/>
    </row>
    <row r="3537" spans="1:22" s="431" customFormat="1" ht="37.5" customHeight="1">
      <c r="A3537" s="500">
        <f t="shared" si="527"/>
        <v>10</v>
      </c>
      <c r="B3537" s="403" t="s">
        <v>2778</v>
      </c>
      <c r="C3537" s="455" t="s">
        <v>222</v>
      </c>
      <c r="D3537" s="606">
        <v>17747</v>
      </c>
      <c r="E3537" s="391">
        <v>2428</v>
      </c>
      <c r="F3537" s="391" t="s">
        <v>234</v>
      </c>
      <c r="G3537" s="391">
        <v>1130</v>
      </c>
      <c r="H3537" s="528">
        <v>5</v>
      </c>
      <c r="I3537" s="528">
        <v>4</v>
      </c>
      <c r="J3537" s="528">
        <v>56</v>
      </c>
      <c r="K3537" s="458" t="s">
        <v>33</v>
      </c>
      <c r="L3537" s="519">
        <f t="shared" si="528"/>
        <v>2513458</v>
      </c>
      <c r="M3537" s="519">
        <v>2486000</v>
      </c>
      <c r="N3537" s="388"/>
      <c r="O3537" s="643">
        <v>7458</v>
      </c>
      <c r="P3537" s="388"/>
      <c r="Q3537" s="388">
        <v>20000</v>
      </c>
      <c r="R3537" s="446">
        <f t="shared" si="529"/>
        <v>2200</v>
      </c>
      <c r="S3537" s="383">
        <f t="shared" si="525"/>
        <v>0</v>
      </c>
      <c r="U3537" s="464"/>
    </row>
    <row r="3538" spans="1:22" s="431" customFormat="1" ht="37.5" customHeight="1">
      <c r="A3538" s="500">
        <f t="shared" ref="A3538:A3594" si="530">A3537+1</f>
        <v>11</v>
      </c>
      <c r="B3538" s="403" t="s">
        <v>2779</v>
      </c>
      <c r="C3538" s="455" t="s">
        <v>218</v>
      </c>
      <c r="D3538" s="606">
        <v>12009</v>
      </c>
      <c r="E3538" s="391">
        <v>3190</v>
      </c>
      <c r="F3538" s="391" t="s">
        <v>234</v>
      </c>
      <c r="G3538" s="391">
        <v>1114</v>
      </c>
      <c r="H3538" s="528">
        <v>5</v>
      </c>
      <c r="I3538" s="528">
        <v>4</v>
      </c>
      <c r="J3538" s="528">
        <v>60</v>
      </c>
      <c r="K3538" s="458" t="s">
        <v>236</v>
      </c>
      <c r="L3538" s="519">
        <f t="shared" si="528"/>
        <v>3395420</v>
      </c>
      <c r="M3538" s="519">
        <v>3342000</v>
      </c>
      <c r="N3538" s="388">
        <v>33420</v>
      </c>
      <c r="O3538" s="473"/>
      <c r="P3538" s="388"/>
      <c r="Q3538" s="388">
        <v>20000</v>
      </c>
      <c r="R3538" s="446">
        <f t="shared" si="529"/>
        <v>3000</v>
      </c>
      <c r="S3538" s="383">
        <f t="shared" si="525"/>
        <v>0</v>
      </c>
      <c r="U3538" s="464"/>
    </row>
    <row r="3539" spans="1:22" s="431" customFormat="1" ht="37.5" customHeight="1">
      <c r="A3539" s="500">
        <f t="shared" si="530"/>
        <v>12</v>
      </c>
      <c r="B3539" s="403" t="s">
        <v>2780</v>
      </c>
      <c r="C3539" s="455" t="s">
        <v>218</v>
      </c>
      <c r="D3539" s="606">
        <v>12180</v>
      </c>
      <c r="E3539" s="391">
        <v>1268</v>
      </c>
      <c r="F3539" s="391" t="s">
        <v>234</v>
      </c>
      <c r="G3539" s="391">
        <v>812</v>
      </c>
      <c r="H3539" s="528">
        <v>5</v>
      </c>
      <c r="I3539" s="528">
        <v>4</v>
      </c>
      <c r="J3539" s="528">
        <v>60</v>
      </c>
      <c r="K3539" s="458" t="s">
        <v>236</v>
      </c>
      <c r="L3539" s="519">
        <f t="shared" si="528"/>
        <v>2492540</v>
      </c>
      <c r="M3539" s="519">
        <v>2436000</v>
      </c>
      <c r="N3539" s="388">
        <v>36540</v>
      </c>
      <c r="O3539" s="473"/>
      <c r="P3539" s="388"/>
      <c r="Q3539" s="388">
        <v>20000</v>
      </c>
      <c r="R3539" s="446">
        <f t="shared" si="529"/>
        <v>3000</v>
      </c>
      <c r="S3539" s="383">
        <f t="shared" si="525"/>
        <v>0</v>
      </c>
      <c r="U3539" s="464"/>
    </row>
    <row r="3540" spans="1:22" s="431" customFormat="1" ht="37.5" customHeight="1">
      <c r="A3540" s="500">
        <f t="shared" si="530"/>
        <v>13</v>
      </c>
      <c r="B3540" s="403" t="s">
        <v>2781</v>
      </c>
      <c r="C3540" s="455" t="s">
        <v>222</v>
      </c>
      <c r="D3540" s="606">
        <v>92988</v>
      </c>
      <c r="E3540" s="391">
        <v>9438</v>
      </c>
      <c r="F3540" s="391" t="s">
        <v>234</v>
      </c>
      <c r="G3540" s="391">
        <v>3444</v>
      </c>
      <c r="H3540" s="528">
        <v>9</v>
      </c>
      <c r="I3540" s="528">
        <v>8</v>
      </c>
      <c r="J3540" s="528">
        <v>287</v>
      </c>
      <c r="K3540" s="458" t="s">
        <v>33</v>
      </c>
      <c r="L3540" s="519">
        <f t="shared" si="528"/>
        <v>7619530</v>
      </c>
      <c r="M3540" s="519">
        <v>7576800</v>
      </c>
      <c r="N3540" s="388"/>
      <c r="O3540" s="643">
        <v>22730</v>
      </c>
      <c r="P3540" s="388"/>
      <c r="Q3540" s="388">
        <v>20000</v>
      </c>
      <c r="R3540" s="446">
        <f t="shared" si="529"/>
        <v>2200</v>
      </c>
      <c r="S3540" s="383">
        <f t="shared" si="525"/>
        <v>0</v>
      </c>
      <c r="U3540" s="464"/>
    </row>
    <row r="3541" spans="1:22" s="431" customFormat="1" ht="41.25" customHeight="1">
      <c r="A3541" s="500">
        <f t="shared" si="530"/>
        <v>14</v>
      </c>
      <c r="B3541" s="403" t="s">
        <v>2782</v>
      </c>
      <c r="C3541" s="455" t="s">
        <v>218</v>
      </c>
      <c r="D3541" s="606">
        <v>10850</v>
      </c>
      <c r="E3541" s="391">
        <v>2020</v>
      </c>
      <c r="F3541" s="391" t="s">
        <v>234</v>
      </c>
      <c r="G3541" s="391">
        <v>850</v>
      </c>
      <c r="H3541" s="528">
        <v>5</v>
      </c>
      <c r="I3541" s="528">
        <v>4</v>
      </c>
      <c r="J3541" s="528">
        <v>60</v>
      </c>
      <c r="K3541" s="458" t="s">
        <v>33</v>
      </c>
      <c r="L3541" s="519">
        <f t="shared" si="528"/>
        <v>1895610</v>
      </c>
      <c r="M3541" s="519">
        <v>1870000</v>
      </c>
      <c r="N3541" s="388"/>
      <c r="O3541" s="643">
        <v>5610</v>
      </c>
      <c r="P3541" s="388"/>
      <c r="Q3541" s="388">
        <v>20000</v>
      </c>
      <c r="R3541" s="446">
        <f t="shared" si="529"/>
        <v>2200</v>
      </c>
      <c r="S3541" s="383">
        <f t="shared" si="525"/>
        <v>0</v>
      </c>
      <c r="U3541" s="464"/>
    </row>
    <row r="3542" spans="1:22" s="431" customFormat="1" ht="37.5" customHeight="1">
      <c r="A3542" s="500">
        <f t="shared" si="530"/>
        <v>15</v>
      </c>
      <c r="B3542" s="403" t="s">
        <v>2783</v>
      </c>
      <c r="C3542" s="455" t="s">
        <v>218</v>
      </c>
      <c r="D3542" s="606">
        <v>7950</v>
      </c>
      <c r="E3542" s="391">
        <v>834</v>
      </c>
      <c r="F3542" s="391" t="s">
        <v>228</v>
      </c>
      <c r="G3542" s="391">
        <v>530</v>
      </c>
      <c r="H3542" s="528">
        <v>5</v>
      </c>
      <c r="I3542" s="528">
        <v>2</v>
      </c>
      <c r="J3542" s="528">
        <v>40</v>
      </c>
      <c r="K3542" s="458" t="s">
        <v>236</v>
      </c>
      <c r="L3542" s="519">
        <f t="shared" si="528"/>
        <v>1649750</v>
      </c>
      <c r="M3542" s="519">
        <v>1590000</v>
      </c>
      <c r="N3542" s="388">
        <v>39750</v>
      </c>
      <c r="O3542" s="473"/>
      <c r="P3542" s="388"/>
      <c r="Q3542" s="388">
        <v>20000</v>
      </c>
      <c r="R3542" s="446">
        <f t="shared" si="529"/>
        <v>3000</v>
      </c>
      <c r="S3542" s="383">
        <f t="shared" si="525"/>
        <v>0</v>
      </c>
      <c r="U3542" s="464"/>
    </row>
    <row r="3543" spans="1:22" s="431" customFormat="1" ht="37.5" customHeight="1">
      <c r="A3543" s="500">
        <f t="shared" si="530"/>
        <v>16</v>
      </c>
      <c r="B3543" s="403" t="s">
        <v>2784</v>
      </c>
      <c r="C3543" s="455" t="s">
        <v>218</v>
      </c>
      <c r="D3543" s="606">
        <v>7258</v>
      </c>
      <c r="E3543" s="391">
        <v>801</v>
      </c>
      <c r="F3543" s="391" t="s">
        <v>234</v>
      </c>
      <c r="G3543" s="391">
        <v>430</v>
      </c>
      <c r="H3543" s="528">
        <v>6</v>
      </c>
      <c r="I3543" s="528">
        <v>1</v>
      </c>
      <c r="J3543" s="528">
        <v>48</v>
      </c>
      <c r="K3543" s="458" t="s">
        <v>236</v>
      </c>
      <c r="L3543" s="519">
        <f t="shared" si="528"/>
        <v>1341519</v>
      </c>
      <c r="M3543" s="519">
        <v>1290000</v>
      </c>
      <c r="N3543" s="388">
        <v>38700</v>
      </c>
      <c r="O3543" s="473"/>
      <c r="P3543" s="388"/>
      <c r="Q3543" s="388">
        <v>12819</v>
      </c>
      <c r="R3543" s="446">
        <f t="shared" si="529"/>
        <v>3000</v>
      </c>
      <c r="S3543" s="383">
        <f t="shared" si="525"/>
        <v>0</v>
      </c>
      <c r="U3543" s="464"/>
    </row>
    <row r="3544" spans="1:22" s="431" customFormat="1" ht="37.5" customHeight="1">
      <c r="A3544" s="500">
        <f t="shared" si="530"/>
        <v>17</v>
      </c>
      <c r="B3544" s="403" t="s">
        <v>2785</v>
      </c>
      <c r="C3544" s="455" t="s">
        <v>218</v>
      </c>
      <c r="D3544" s="606">
        <v>6660</v>
      </c>
      <c r="E3544" s="391">
        <v>1152</v>
      </c>
      <c r="F3544" s="391" t="s">
        <v>234</v>
      </c>
      <c r="G3544" s="391">
        <v>444</v>
      </c>
      <c r="H3544" s="528">
        <v>6</v>
      </c>
      <c r="I3544" s="528">
        <v>1</v>
      </c>
      <c r="J3544" s="528">
        <v>48</v>
      </c>
      <c r="K3544" s="458" t="s">
        <v>236</v>
      </c>
      <c r="L3544" s="519">
        <f t="shared" si="528"/>
        <v>1383723</v>
      </c>
      <c r="M3544" s="519">
        <v>1332000</v>
      </c>
      <c r="N3544" s="388">
        <v>39960</v>
      </c>
      <c r="O3544" s="473"/>
      <c r="P3544" s="388"/>
      <c r="Q3544" s="388">
        <v>11763</v>
      </c>
      <c r="R3544" s="446">
        <f t="shared" si="529"/>
        <v>3000</v>
      </c>
      <c r="S3544" s="383">
        <f t="shared" si="525"/>
        <v>0</v>
      </c>
      <c r="U3544" s="464"/>
    </row>
    <row r="3545" spans="1:22" s="431" customFormat="1" ht="37.5" customHeight="1">
      <c r="A3545" s="500">
        <f t="shared" si="530"/>
        <v>18</v>
      </c>
      <c r="B3545" s="403" t="s">
        <v>2786</v>
      </c>
      <c r="C3545" s="455" t="s">
        <v>222</v>
      </c>
      <c r="D3545" s="606">
        <v>13605</v>
      </c>
      <c r="E3545" s="391">
        <v>2020</v>
      </c>
      <c r="F3545" s="391" t="s">
        <v>234</v>
      </c>
      <c r="G3545" s="391">
        <v>907</v>
      </c>
      <c r="H3545" s="528">
        <v>5</v>
      </c>
      <c r="I3545" s="528">
        <v>4</v>
      </c>
      <c r="J3545" s="528">
        <v>59</v>
      </c>
      <c r="K3545" s="458" t="s">
        <v>33</v>
      </c>
      <c r="L3545" s="519">
        <f t="shared" si="528"/>
        <v>2021386</v>
      </c>
      <c r="M3545" s="519">
        <v>1995400</v>
      </c>
      <c r="N3545" s="388"/>
      <c r="O3545" s="643">
        <v>5986</v>
      </c>
      <c r="P3545" s="388"/>
      <c r="Q3545" s="388">
        <v>20000</v>
      </c>
      <c r="R3545" s="446">
        <f t="shared" si="529"/>
        <v>2200</v>
      </c>
      <c r="S3545" s="383">
        <f t="shared" si="525"/>
        <v>0</v>
      </c>
      <c r="U3545" s="464"/>
    </row>
    <row r="3546" spans="1:22" s="431" customFormat="1" ht="37.5" customHeight="1">
      <c r="A3546" s="500">
        <f t="shared" si="530"/>
        <v>19</v>
      </c>
      <c r="B3546" s="403" t="s">
        <v>2787</v>
      </c>
      <c r="C3546" s="455" t="s">
        <v>222</v>
      </c>
      <c r="D3546" s="606">
        <v>15120</v>
      </c>
      <c r="E3546" s="391">
        <v>2030</v>
      </c>
      <c r="F3546" s="391" t="s">
        <v>234</v>
      </c>
      <c r="G3546" s="391">
        <v>1008</v>
      </c>
      <c r="H3546" s="528">
        <v>5</v>
      </c>
      <c r="I3546" s="528">
        <v>4</v>
      </c>
      <c r="J3546" s="528">
        <v>56</v>
      </c>
      <c r="K3546" s="458" t="s">
        <v>33</v>
      </c>
      <c r="L3546" s="519">
        <f t="shared" si="528"/>
        <v>2244253</v>
      </c>
      <c r="M3546" s="519">
        <v>2217600</v>
      </c>
      <c r="N3546" s="388"/>
      <c r="O3546" s="643">
        <v>6653</v>
      </c>
      <c r="P3546" s="388"/>
      <c r="Q3546" s="388">
        <v>20000</v>
      </c>
      <c r="R3546" s="446">
        <f t="shared" si="529"/>
        <v>2200</v>
      </c>
      <c r="S3546" s="383">
        <f t="shared" si="525"/>
        <v>0</v>
      </c>
      <c r="U3546" s="464"/>
    </row>
    <row r="3547" spans="1:22" s="431" customFormat="1" ht="56.25" customHeight="1">
      <c r="A3547" s="500">
        <f t="shared" si="530"/>
        <v>20</v>
      </c>
      <c r="B3547" s="403" t="s">
        <v>2788</v>
      </c>
      <c r="C3547" s="455" t="s">
        <v>222</v>
      </c>
      <c r="D3547" s="606">
        <v>33030</v>
      </c>
      <c r="E3547" s="391">
        <v>3371</v>
      </c>
      <c r="F3547" s="391" t="s">
        <v>223</v>
      </c>
      <c r="G3547" s="391">
        <v>2202</v>
      </c>
      <c r="H3547" s="528">
        <v>5</v>
      </c>
      <c r="I3547" s="528">
        <v>8</v>
      </c>
      <c r="J3547" s="528">
        <v>129</v>
      </c>
      <c r="K3547" s="458" t="s">
        <v>30</v>
      </c>
      <c r="L3547" s="519">
        <f t="shared" si="528"/>
        <v>3274675</v>
      </c>
      <c r="M3547" s="529">
        <v>3225000</v>
      </c>
      <c r="N3547" s="391"/>
      <c r="O3547" s="643">
        <v>9675</v>
      </c>
      <c r="P3547" s="391"/>
      <c r="Q3547" s="388">
        <v>40000</v>
      </c>
      <c r="R3547" s="446">
        <f>M3547/J3547</f>
        <v>25000</v>
      </c>
      <c r="S3547" s="383">
        <f t="shared" si="525"/>
        <v>0</v>
      </c>
      <c r="U3547" s="464"/>
    </row>
    <row r="3548" spans="1:22" s="415" customFormat="1" ht="37.5" customHeight="1">
      <c r="A3548" s="500">
        <f t="shared" si="530"/>
        <v>21</v>
      </c>
      <c r="B3548" s="403" t="s">
        <v>2790</v>
      </c>
      <c r="C3548" s="455" t="s">
        <v>218</v>
      </c>
      <c r="D3548" s="606">
        <v>21646</v>
      </c>
      <c r="E3548" s="391">
        <v>1566</v>
      </c>
      <c r="F3548" s="391" t="s">
        <v>234</v>
      </c>
      <c r="G3548" s="391">
        <v>859</v>
      </c>
      <c r="H3548" s="528">
        <v>5</v>
      </c>
      <c r="I3548" s="528">
        <v>4</v>
      </c>
      <c r="J3548" s="528">
        <v>60</v>
      </c>
      <c r="K3548" s="458" t="s">
        <v>236</v>
      </c>
      <c r="L3548" s="519">
        <f t="shared" si="528"/>
        <v>2635655</v>
      </c>
      <c r="M3548" s="519">
        <v>2577000</v>
      </c>
      <c r="N3548" s="388">
        <v>38655</v>
      </c>
      <c r="O3548" s="473"/>
      <c r="P3548" s="388"/>
      <c r="Q3548" s="388">
        <v>20000</v>
      </c>
      <c r="R3548" s="446">
        <f>M3548/G3548</f>
        <v>3000</v>
      </c>
      <c r="S3548" s="383">
        <f t="shared" si="525"/>
        <v>0</v>
      </c>
      <c r="T3548" s="406"/>
      <c r="U3548" s="464"/>
      <c r="V3548" s="431"/>
    </row>
    <row r="3549" spans="1:22" s="431" customFormat="1" ht="37.5" customHeight="1">
      <c r="A3549" s="500">
        <f t="shared" si="530"/>
        <v>22</v>
      </c>
      <c r="B3549" s="403" t="s">
        <v>2791</v>
      </c>
      <c r="C3549" s="455" t="s">
        <v>218</v>
      </c>
      <c r="D3549" s="606">
        <v>13958</v>
      </c>
      <c r="E3549" s="391">
        <v>2200</v>
      </c>
      <c r="F3549" s="391" t="s">
        <v>234</v>
      </c>
      <c r="G3549" s="391">
        <v>603</v>
      </c>
      <c r="H3549" s="528">
        <v>9</v>
      </c>
      <c r="I3549" s="528">
        <v>2</v>
      </c>
      <c r="J3549" s="528">
        <v>72</v>
      </c>
      <c r="K3549" s="458" t="s">
        <v>236</v>
      </c>
      <c r="L3549" s="519">
        <f t="shared" si="528"/>
        <v>1865180</v>
      </c>
      <c r="M3549" s="519">
        <v>1809000</v>
      </c>
      <c r="N3549" s="388">
        <v>36180</v>
      </c>
      <c r="O3549" s="473"/>
      <c r="P3549" s="388"/>
      <c r="Q3549" s="388">
        <v>20000</v>
      </c>
      <c r="R3549" s="446">
        <f>M3549/G3549</f>
        <v>3000</v>
      </c>
      <c r="S3549" s="383">
        <f t="shared" si="525"/>
        <v>0</v>
      </c>
      <c r="U3549" s="464"/>
    </row>
    <row r="3550" spans="1:22" s="431" customFormat="1" ht="37.5" customHeight="1">
      <c r="A3550" s="500">
        <f t="shared" si="530"/>
        <v>23</v>
      </c>
      <c r="B3550" s="403" t="s">
        <v>868</v>
      </c>
      <c r="C3550" s="455" t="s">
        <v>222</v>
      </c>
      <c r="D3550" s="606">
        <v>20331</v>
      </c>
      <c r="E3550" s="391">
        <v>2610</v>
      </c>
      <c r="F3550" s="391" t="s">
        <v>234</v>
      </c>
      <c r="G3550" s="391">
        <v>753</v>
      </c>
      <c r="H3550" s="528">
        <v>9</v>
      </c>
      <c r="I3550" s="528">
        <v>2</v>
      </c>
      <c r="J3550" s="528">
        <v>72</v>
      </c>
      <c r="K3550" s="458" t="s">
        <v>33</v>
      </c>
      <c r="L3550" s="519">
        <f t="shared" si="528"/>
        <v>1681570</v>
      </c>
      <c r="M3550" s="519">
        <v>1656600</v>
      </c>
      <c r="N3550" s="388"/>
      <c r="O3550" s="643">
        <v>4970</v>
      </c>
      <c r="P3550" s="388"/>
      <c r="Q3550" s="388">
        <v>20000</v>
      </c>
      <c r="R3550" s="446">
        <f>M3550/G3550</f>
        <v>2200</v>
      </c>
      <c r="S3550" s="383">
        <f t="shared" si="525"/>
        <v>0</v>
      </c>
      <c r="U3550" s="464"/>
    </row>
    <row r="3551" spans="1:22" s="431" customFormat="1" ht="56.25" customHeight="1">
      <c r="A3551" s="500">
        <f t="shared" si="530"/>
        <v>24</v>
      </c>
      <c r="B3551" s="403" t="s">
        <v>2793</v>
      </c>
      <c r="C3551" s="455" t="s">
        <v>222</v>
      </c>
      <c r="D3551" s="606">
        <v>23280</v>
      </c>
      <c r="E3551" s="391">
        <v>4126</v>
      </c>
      <c r="F3551" s="391" t="s">
        <v>223</v>
      </c>
      <c r="G3551" s="391">
        <v>1825</v>
      </c>
      <c r="H3551" s="528">
        <v>5</v>
      </c>
      <c r="I3551" s="528">
        <v>4</v>
      </c>
      <c r="J3551" s="528">
        <v>69</v>
      </c>
      <c r="K3551" s="458" t="s">
        <v>238</v>
      </c>
      <c r="L3551" s="519">
        <f t="shared" si="528"/>
        <v>1770175</v>
      </c>
      <c r="M3551" s="529">
        <v>1725000</v>
      </c>
      <c r="N3551" s="391"/>
      <c r="O3551" s="643">
        <v>5175</v>
      </c>
      <c r="P3551" s="391"/>
      <c r="Q3551" s="388">
        <v>40000</v>
      </c>
      <c r="R3551" s="446">
        <f>M3551/J3551</f>
        <v>25000</v>
      </c>
      <c r="S3551" s="383">
        <f t="shared" si="525"/>
        <v>0</v>
      </c>
      <c r="U3551" s="464"/>
    </row>
    <row r="3552" spans="1:22" s="431" customFormat="1" ht="70.5" customHeight="1">
      <c r="A3552" s="500">
        <f t="shared" si="530"/>
        <v>25</v>
      </c>
      <c r="B3552" s="403" t="s">
        <v>2794</v>
      </c>
      <c r="C3552" s="455" t="s">
        <v>222</v>
      </c>
      <c r="D3552" s="606">
        <v>954792</v>
      </c>
      <c r="E3552" s="391">
        <v>1549.8</v>
      </c>
      <c r="F3552" s="391" t="s">
        <v>223</v>
      </c>
      <c r="G3552" s="391">
        <v>1379</v>
      </c>
      <c r="H3552" s="528">
        <v>3</v>
      </c>
      <c r="I3552" s="528">
        <v>3</v>
      </c>
      <c r="J3552" s="528">
        <v>28</v>
      </c>
      <c r="K3552" s="458" t="s">
        <v>33</v>
      </c>
      <c r="L3552" s="645">
        <f t="shared" si="528"/>
        <v>3481693</v>
      </c>
      <c r="M3552" s="645">
        <v>3447500</v>
      </c>
      <c r="N3552" s="646">
        <v>24640</v>
      </c>
      <c r="O3552" s="647"/>
      <c r="P3552" s="646"/>
      <c r="Q3552" s="388">
        <v>9553</v>
      </c>
      <c r="R3552" s="648">
        <f>M3552/J3552</f>
        <v>123125</v>
      </c>
      <c r="S3552" s="383">
        <f t="shared" si="525"/>
        <v>0</v>
      </c>
      <c r="U3552" s="464"/>
    </row>
    <row r="3553" spans="1:21" s="431" customFormat="1" ht="85.5" customHeight="1">
      <c r="A3553" s="500">
        <f t="shared" si="530"/>
        <v>26</v>
      </c>
      <c r="B3553" s="403" t="s">
        <v>2795</v>
      </c>
      <c r="C3553" s="455" t="s">
        <v>222</v>
      </c>
      <c r="D3553" s="606">
        <v>21294</v>
      </c>
      <c r="E3553" s="391">
        <v>2635</v>
      </c>
      <c r="F3553" s="391" t="s">
        <v>223</v>
      </c>
      <c r="G3553" s="391">
        <v>853</v>
      </c>
      <c r="H3553" s="528">
        <v>9</v>
      </c>
      <c r="I3553" s="528">
        <v>2</v>
      </c>
      <c r="J3553" s="528">
        <v>70</v>
      </c>
      <c r="K3553" s="458" t="s">
        <v>238</v>
      </c>
      <c r="L3553" s="645">
        <f t="shared" si="528"/>
        <v>1795250</v>
      </c>
      <c r="M3553" s="645">
        <v>1750000</v>
      </c>
      <c r="N3553" s="646"/>
      <c r="O3553" s="647">
        <v>5250</v>
      </c>
      <c r="P3553" s="646"/>
      <c r="Q3553" s="388">
        <v>40000</v>
      </c>
      <c r="R3553" s="648">
        <f>M3553/J3553</f>
        <v>25000</v>
      </c>
      <c r="S3553" s="383">
        <f t="shared" si="525"/>
        <v>0</v>
      </c>
      <c r="U3553" s="464"/>
    </row>
    <row r="3554" spans="1:21" s="431" customFormat="1" ht="37.5" customHeight="1">
      <c r="A3554" s="500">
        <f t="shared" si="530"/>
        <v>27</v>
      </c>
      <c r="B3554" s="403" t="s">
        <v>2797</v>
      </c>
      <c r="C3554" s="455" t="s">
        <v>222</v>
      </c>
      <c r="D3554" s="606">
        <v>21357</v>
      </c>
      <c r="E3554" s="391">
        <v>2164</v>
      </c>
      <c r="F3554" s="391" t="s">
        <v>234</v>
      </c>
      <c r="G3554" s="391">
        <v>791</v>
      </c>
      <c r="H3554" s="528">
        <v>5</v>
      </c>
      <c r="I3554" s="528">
        <v>1</v>
      </c>
      <c r="J3554" s="528">
        <v>69</v>
      </c>
      <c r="K3554" s="458" t="s">
        <v>33</v>
      </c>
      <c r="L3554" s="519">
        <f t="shared" si="528"/>
        <v>1765421</v>
      </c>
      <c r="M3554" s="519">
        <v>1740200</v>
      </c>
      <c r="N3554" s="388"/>
      <c r="O3554" s="643">
        <v>5221</v>
      </c>
      <c r="P3554" s="388"/>
      <c r="Q3554" s="388">
        <v>20000</v>
      </c>
      <c r="R3554" s="446">
        <f>M3554/G3554</f>
        <v>2200</v>
      </c>
      <c r="S3554" s="383">
        <f t="shared" si="525"/>
        <v>0</v>
      </c>
      <c r="U3554" s="464"/>
    </row>
    <row r="3555" spans="1:21" s="431" customFormat="1" ht="37.5" customHeight="1">
      <c r="A3555" s="500">
        <f t="shared" si="530"/>
        <v>28</v>
      </c>
      <c r="B3555" s="403" t="s">
        <v>2798</v>
      </c>
      <c r="C3555" s="455" t="s">
        <v>222</v>
      </c>
      <c r="D3555" s="606">
        <v>24030</v>
      </c>
      <c r="E3555" s="391">
        <v>3396</v>
      </c>
      <c r="F3555" s="391" t="s">
        <v>234</v>
      </c>
      <c r="G3555" s="391">
        <v>890</v>
      </c>
      <c r="H3555" s="528">
        <v>9</v>
      </c>
      <c r="I3555" s="528">
        <v>2</v>
      </c>
      <c r="J3555" s="528">
        <v>181</v>
      </c>
      <c r="K3555" s="458" t="s">
        <v>33</v>
      </c>
      <c r="L3555" s="519">
        <f t="shared" si="528"/>
        <v>1983874</v>
      </c>
      <c r="M3555" s="519">
        <v>1958000</v>
      </c>
      <c r="N3555" s="388"/>
      <c r="O3555" s="643">
        <v>5874</v>
      </c>
      <c r="P3555" s="388"/>
      <c r="Q3555" s="388">
        <v>20000</v>
      </c>
      <c r="R3555" s="446">
        <f>M3555/G3555</f>
        <v>2200</v>
      </c>
      <c r="S3555" s="383">
        <f t="shared" si="525"/>
        <v>0</v>
      </c>
      <c r="U3555" s="464"/>
    </row>
    <row r="3556" spans="1:21" s="431" customFormat="1" ht="56.25" customHeight="1">
      <c r="A3556" s="500">
        <f t="shared" si="530"/>
        <v>29</v>
      </c>
      <c r="B3556" s="403" t="s">
        <v>2799</v>
      </c>
      <c r="C3556" s="455" t="s">
        <v>222</v>
      </c>
      <c r="D3556" s="606">
        <v>11670</v>
      </c>
      <c r="E3556" s="391">
        <v>1792</v>
      </c>
      <c r="F3556" s="391" t="s">
        <v>223</v>
      </c>
      <c r="G3556" s="391">
        <v>778</v>
      </c>
      <c r="H3556" s="528">
        <v>5</v>
      </c>
      <c r="I3556" s="528">
        <v>1</v>
      </c>
      <c r="J3556" s="528">
        <v>64</v>
      </c>
      <c r="K3556" s="458" t="s">
        <v>30</v>
      </c>
      <c r="L3556" s="519">
        <f t="shared" si="528"/>
        <v>1632578</v>
      </c>
      <c r="M3556" s="529">
        <v>1600000</v>
      </c>
      <c r="N3556" s="391"/>
      <c r="O3556" s="643">
        <v>4800</v>
      </c>
      <c r="P3556" s="391"/>
      <c r="Q3556" s="388">
        <v>27778</v>
      </c>
      <c r="R3556" s="446">
        <f>M3556/J3556</f>
        <v>25000</v>
      </c>
      <c r="S3556" s="383">
        <f t="shared" si="525"/>
        <v>0</v>
      </c>
      <c r="U3556" s="464"/>
    </row>
    <row r="3557" spans="1:21" s="431" customFormat="1" ht="37.5" customHeight="1">
      <c r="A3557" s="500">
        <f t="shared" si="530"/>
        <v>30</v>
      </c>
      <c r="B3557" s="403" t="s">
        <v>2800</v>
      </c>
      <c r="C3557" s="455" t="s">
        <v>222</v>
      </c>
      <c r="D3557" s="606">
        <v>28350</v>
      </c>
      <c r="E3557" s="391">
        <v>2610</v>
      </c>
      <c r="F3557" s="391" t="s">
        <v>223</v>
      </c>
      <c r="G3557" s="391">
        <v>1050</v>
      </c>
      <c r="H3557" s="528">
        <v>9</v>
      </c>
      <c r="I3557" s="528">
        <v>1</v>
      </c>
      <c r="J3557" s="528">
        <v>48</v>
      </c>
      <c r="K3557" s="458" t="s">
        <v>225</v>
      </c>
      <c r="L3557" s="645">
        <f t="shared" si="528"/>
        <v>1099124</v>
      </c>
      <c r="M3557" s="645">
        <v>1056000</v>
      </c>
      <c r="N3557" s="646">
        <v>31680</v>
      </c>
      <c r="O3557" s="647"/>
      <c r="P3557" s="646"/>
      <c r="Q3557" s="388">
        <v>11444</v>
      </c>
      <c r="R3557" s="648">
        <f>M3557/J3557</f>
        <v>22000</v>
      </c>
      <c r="S3557" s="383">
        <f t="shared" si="525"/>
        <v>0</v>
      </c>
      <c r="U3557" s="464"/>
    </row>
    <row r="3558" spans="1:21" s="431" customFormat="1" ht="56.25" customHeight="1">
      <c r="A3558" s="500">
        <f t="shared" si="530"/>
        <v>31</v>
      </c>
      <c r="B3558" s="403" t="s">
        <v>2801</v>
      </c>
      <c r="C3558" s="455" t="s">
        <v>222</v>
      </c>
      <c r="D3558" s="606">
        <v>6124</v>
      </c>
      <c r="E3558" s="391">
        <v>1026</v>
      </c>
      <c r="F3558" s="391" t="s">
        <v>223</v>
      </c>
      <c r="G3558" s="391">
        <v>674</v>
      </c>
      <c r="H3558" s="528">
        <v>3</v>
      </c>
      <c r="I3558" s="528">
        <v>1</v>
      </c>
      <c r="J3558" s="528">
        <v>53</v>
      </c>
      <c r="K3558" s="458" t="s">
        <v>238</v>
      </c>
      <c r="L3558" s="519">
        <f t="shared" si="528"/>
        <v>1350633</v>
      </c>
      <c r="M3558" s="529">
        <v>1325000</v>
      </c>
      <c r="N3558" s="391"/>
      <c r="O3558" s="643">
        <v>3975</v>
      </c>
      <c r="P3558" s="391"/>
      <c r="Q3558" s="388">
        <v>21658</v>
      </c>
      <c r="R3558" s="446">
        <f>M3558/J3558</f>
        <v>25000</v>
      </c>
      <c r="S3558" s="383">
        <f t="shared" si="525"/>
        <v>0</v>
      </c>
      <c r="T3558" s="431" t="s">
        <v>46</v>
      </c>
      <c r="U3558" s="464"/>
    </row>
    <row r="3559" spans="1:21" s="431" customFormat="1" ht="56.25" customHeight="1">
      <c r="A3559" s="500">
        <f t="shared" si="530"/>
        <v>32</v>
      </c>
      <c r="B3559" s="403" t="s">
        <v>2802</v>
      </c>
      <c r="C3559" s="455" t="s">
        <v>222</v>
      </c>
      <c r="D3559" s="606">
        <v>13246</v>
      </c>
      <c r="E3559" s="391">
        <v>2570</v>
      </c>
      <c r="F3559" s="391" t="s">
        <v>223</v>
      </c>
      <c r="G3559" s="391">
        <v>1435</v>
      </c>
      <c r="H3559" s="528">
        <v>4</v>
      </c>
      <c r="I3559" s="528">
        <v>4</v>
      </c>
      <c r="J3559" s="528">
        <v>33</v>
      </c>
      <c r="K3559" s="458" t="s">
        <v>33</v>
      </c>
      <c r="L3559" s="519">
        <f t="shared" si="528"/>
        <v>4090144</v>
      </c>
      <c r="M3559" s="529">
        <v>4018000</v>
      </c>
      <c r="N3559" s="391">
        <v>32144</v>
      </c>
      <c r="O3559" s="643"/>
      <c r="P3559" s="391"/>
      <c r="Q3559" s="388">
        <v>40000</v>
      </c>
      <c r="R3559" s="446">
        <f>M3559/G3559</f>
        <v>2800</v>
      </c>
      <c r="S3559" s="383">
        <f t="shared" si="525"/>
        <v>0</v>
      </c>
      <c r="U3559" s="464"/>
    </row>
    <row r="3560" spans="1:21" s="431" customFormat="1" ht="56.25" customHeight="1">
      <c r="A3560" s="500">
        <f t="shared" si="530"/>
        <v>33</v>
      </c>
      <c r="B3560" s="403" t="s">
        <v>2803</v>
      </c>
      <c r="C3560" s="455" t="s">
        <v>222</v>
      </c>
      <c r="D3560" s="606">
        <v>6762</v>
      </c>
      <c r="E3560" s="391">
        <v>1450</v>
      </c>
      <c r="F3560" s="391" t="s">
        <v>234</v>
      </c>
      <c r="G3560" s="391">
        <v>586</v>
      </c>
      <c r="H3560" s="528">
        <v>5</v>
      </c>
      <c r="I3560" s="528">
        <v>2</v>
      </c>
      <c r="J3560" s="528">
        <v>38</v>
      </c>
      <c r="K3560" s="458" t="s">
        <v>30</v>
      </c>
      <c r="L3560" s="519">
        <f t="shared" si="528"/>
        <v>974508</v>
      </c>
      <c r="M3560" s="529">
        <v>950000</v>
      </c>
      <c r="N3560" s="391"/>
      <c r="O3560" s="643">
        <v>2850</v>
      </c>
      <c r="P3560" s="391"/>
      <c r="Q3560" s="388">
        <v>21658</v>
      </c>
      <c r="R3560" s="446">
        <f t="shared" ref="R3560:R3571" si="531">M3560/J3560</f>
        <v>25000</v>
      </c>
      <c r="S3560" s="383">
        <f t="shared" si="525"/>
        <v>0</v>
      </c>
      <c r="U3560" s="464"/>
    </row>
    <row r="3561" spans="1:21" s="431" customFormat="1" ht="56.25" customHeight="1">
      <c r="A3561" s="500">
        <f t="shared" si="530"/>
        <v>34</v>
      </c>
      <c r="B3561" s="403" t="s">
        <v>2804</v>
      </c>
      <c r="C3561" s="455" t="s">
        <v>222</v>
      </c>
      <c r="D3561" s="606">
        <v>21812</v>
      </c>
      <c r="E3561" s="391">
        <v>3364</v>
      </c>
      <c r="F3561" s="391" t="s">
        <v>223</v>
      </c>
      <c r="G3561" s="391">
        <v>1611</v>
      </c>
      <c r="H3561" s="528">
        <v>5</v>
      </c>
      <c r="I3561" s="528">
        <v>6</v>
      </c>
      <c r="J3561" s="528">
        <v>95</v>
      </c>
      <c r="K3561" s="458" t="s">
        <v>238</v>
      </c>
      <c r="L3561" s="519">
        <f t="shared" si="528"/>
        <v>2422125</v>
      </c>
      <c r="M3561" s="529">
        <v>2375000</v>
      </c>
      <c r="N3561" s="391"/>
      <c r="O3561" s="643">
        <v>7125</v>
      </c>
      <c r="P3561" s="391"/>
      <c r="Q3561" s="388">
        <v>40000</v>
      </c>
      <c r="R3561" s="446">
        <f t="shared" si="531"/>
        <v>25000</v>
      </c>
      <c r="S3561" s="383">
        <f t="shared" si="525"/>
        <v>0</v>
      </c>
      <c r="U3561" s="464"/>
    </row>
    <row r="3562" spans="1:21" s="431" customFormat="1" ht="37.5" customHeight="1">
      <c r="A3562" s="500">
        <f t="shared" si="530"/>
        <v>35</v>
      </c>
      <c r="B3562" s="403" t="s">
        <v>2805</v>
      </c>
      <c r="C3562" s="455" t="s">
        <v>222</v>
      </c>
      <c r="D3562" s="606">
        <v>10454</v>
      </c>
      <c r="E3562" s="391">
        <v>2050</v>
      </c>
      <c r="F3562" s="391" t="s">
        <v>223</v>
      </c>
      <c r="G3562" s="391">
        <v>906</v>
      </c>
      <c r="H3562" s="528">
        <v>5</v>
      </c>
      <c r="I3562" s="528">
        <v>3</v>
      </c>
      <c r="J3562" s="528">
        <v>60</v>
      </c>
      <c r="K3562" s="458" t="s">
        <v>225</v>
      </c>
      <c r="L3562" s="645">
        <f t="shared" si="528"/>
        <v>1366299</v>
      </c>
      <c r="M3562" s="645">
        <v>1320000</v>
      </c>
      <c r="N3562" s="646">
        <v>33000</v>
      </c>
      <c r="O3562" s="647"/>
      <c r="P3562" s="646"/>
      <c r="Q3562" s="388">
        <v>13299</v>
      </c>
      <c r="R3562" s="648">
        <f t="shared" si="531"/>
        <v>22000</v>
      </c>
      <c r="S3562" s="383">
        <f t="shared" si="525"/>
        <v>0</v>
      </c>
      <c r="U3562" s="464"/>
    </row>
    <row r="3563" spans="1:21" s="431" customFormat="1" ht="56.25" customHeight="1">
      <c r="A3563" s="500">
        <f t="shared" si="530"/>
        <v>36</v>
      </c>
      <c r="B3563" s="403" t="s">
        <v>2806</v>
      </c>
      <c r="C3563" s="455" t="s">
        <v>222</v>
      </c>
      <c r="D3563" s="606">
        <v>13200</v>
      </c>
      <c r="E3563" s="391">
        <v>2450</v>
      </c>
      <c r="F3563" s="391" t="s">
        <v>234</v>
      </c>
      <c r="G3563" s="391">
        <v>1144</v>
      </c>
      <c r="H3563" s="528">
        <v>5</v>
      </c>
      <c r="I3563" s="528">
        <v>4</v>
      </c>
      <c r="J3563" s="528">
        <v>72</v>
      </c>
      <c r="K3563" s="458" t="s">
        <v>30</v>
      </c>
      <c r="L3563" s="519">
        <f t="shared" si="528"/>
        <v>1840241</v>
      </c>
      <c r="M3563" s="529">
        <v>1800000</v>
      </c>
      <c r="N3563" s="391"/>
      <c r="O3563" s="643">
        <v>5400</v>
      </c>
      <c r="P3563" s="391"/>
      <c r="Q3563" s="388">
        <v>34841</v>
      </c>
      <c r="R3563" s="446">
        <f t="shared" si="531"/>
        <v>25000</v>
      </c>
      <c r="S3563" s="383">
        <f t="shared" si="525"/>
        <v>0</v>
      </c>
      <c r="U3563" s="464"/>
    </row>
    <row r="3564" spans="1:21" s="431" customFormat="1" ht="56.25" customHeight="1">
      <c r="A3564" s="500">
        <f t="shared" si="530"/>
        <v>37</v>
      </c>
      <c r="B3564" s="403" t="s">
        <v>2807</v>
      </c>
      <c r="C3564" s="455" t="s">
        <v>222</v>
      </c>
      <c r="D3564" s="606">
        <v>12430</v>
      </c>
      <c r="E3564" s="391">
        <v>2480</v>
      </c>
      <c r="F3564" s="391" t="s">
        <v>223</v>
      </c>
      <c r="G3564" s="391">
        <v>962</v>
      </c>
      <c r="H3564" s="528">
        <v>5</v>
      </c>
      <c r="I3564" s="528">
        <v>4</v>
      </c>
      <c r="J3564" s="528">
        <v>70</v>
      </c>
      <c r="K3564" s="458" t="s">
        <v>238</v>
      </c>
      <c r="L3564" s="519">
        <f t="shared" si="528"/>
        <v>1790091</v>
      </c>
      <c r="M3564" s="529">
        <v>1750000</v>
      </c>
      <c r="N3564" s="391"/>
      <c r="O3564" s="643">
        <v>5250</v>
      </c>
      <c r="P3564" s="391"/>
      <c r="Q3564" s="388">
        <v>34841</v>
      </c>
      <c r="R3564" s="446">
        <f t="shared" si="531"/>
        <v>25000</v>
      </c>
      <c r="S3564" s="383">
        <f t="shared" si="525"/>
        <v>0</v>
      </c>
      <c r="U3564" s="464"/>
    </row>
    <row r="3565" spans="1:21" s="431" customFormat="1" ht="56.25" customHeight="1">
      <c r="A3565" s="500">
        <f t="shared" si="530"/>
        <v>38</v>
      </c>
      <c r="B3565" s="403" t="s">
        <v>2808</v>
      </c>
      <c r="C3565" s="455" t="s">
        <v>222</v>
      </c>
      <c r="D3565" s="606">
        <v>22096</v>
      </c>
      <c r="E3565" s="391">
        <v>3930</v>
      </c>
      <c r="F3565" s="391" t="s">
        <v>234</v>
      </c>
      <c r="G3565" s="391">
        <v>1915</v>
      </c>
      <c r="H3565" s="528">
        <v>5</v>
      </c>
      <c r="I3565" s="528">
        <v>8</v>
      </c>
      <c r="J3565" s="528">
        <v>140</v>
      </c>
      <c r="K3565" s="458" t="s">
        <v>30</v>
      </c>
      <c r="L3565" s="519">
        <f t="shared" ref="L3565:L3594" si="532">M3565+N3565+O3565+P3565+Q3565</f>
        <v>3550500</v>
      </c>
      <c r="M3565" s="529">
        <v>3500000</v>
      </c>
      <c r="N3565" s="391"/>
      <c r="O3565" s="643">
        <v>10500</v>
      </c>
      <c r="P3565" s="391"/>
      <c r="Q3565" s="388">
        <v>40000</v>
      </c>
      <c r="R3565" s="446">
        <f t="shared" si="531"/>
        <v>25000</v>
      </c>
      <c r="S3565" s="383">
        <f t="shared" si="525"/>
        <v>0</v>
      </c>
      <c r="U3565" s="464"/>
    </row>
    <row r="3566" spans="1:21" s="431" customFormat="1" ht="56.25" customHeight="1">
      <c r="A3566" s="500">
        <f t="shared" si="530"/>
        <v>39</v>
      </c>
      <c r="B3566" s="403" t="s">
        <v>2809</v>
      </c>
      <c r="C3566" s="455" t="s">
        <v>222</v>
      </c>
      <c r="D3566" s="606">
        <v>18508</v>
      </c>
      <c r="E3566" s="391">
        <v>3388</v>
      </c>
      <c r="F3566" s="391" t="s">
        <v>234</v>
      </c>
      <c r="G3566" s="391">
        <v>1604</v>
      </c>
      <c r="H3566" s="528">
        <v>5</v>
      </c>
      <c r="I3566" s="528">
        <v>6</v>
      </c>
      <c r="J3566" s="528">
        <v>100</v>
      </c>
      <c r="K3566" s="458" t="s">
        <v>30</v>
      </c>
      <c r="L3566" s="519">
        <f t="shared" si="532"/>
        <v>2547500</v>
      </c>
      <c r="M3566" s="529">
        <v>2500000</v>
      </c>
      <c r="N3566" s="391"/>
      <c r="O3566" s="643">
        <v>7500</v>
      </c>
      <c r="P3566" s="391"/>
      <c r="Q3566" s="388">
        <v>40000</v>
      </c>
      <c r="R3566" s="446">
        <f t="shared" si="531"/>
        <v>25000</v>
      </c>
      <c r="S3566" s="383">
        <f t="shared" si="525"/>
        <v>0</v>
      </c>
      <c r="U3566" s="464"/>
    </row>
    <row r="3567" spans="1:21" s="431" customFormat="1" ht="56.25" customHeight="1">
      <c r="A3567" s="500">
        <f t="shared" si="530"/>
        <v>40</v>
      </c>
      <c r="B3567" s="403" t="s">
        <v>2810</v>
      </c>
      <c r="C3567" s="455" t="s">
        <v>222</v>
      </c>
      <c r="D3567" s="606">
        <v>17520</v>
      </c>
      <c r="E3567" s="391">
        <v>3364</v>
      </c>
      <c r="F3567" s="391" t="s">
        <v>223</v>
      </c>
      <c r="G3567" s="391">
        <v>1610</v>
      </c>
      <c r="H3567" s="528">
        <v>5</v>
      </c>
      <c r="I3567" s="528">
        <v>6</v>
      </c>
      <c r="J3567" s="528">
        <v>100</v>
      </c>
      <c r="K3567" s="458" t="s">
        <v>238</v>
      </c>
      <c r="L3567" s="519">
        <f t="shared" si="532"/>
        <v>2547500</v>
      </c>
      <c r="M3567" s="529">
        <v>2500000</v>
      </c>
      <c r="N3567" s="391"/>
      <c r="O3567" s="643">
        <v>7500</v>
      </c>
      <c r="P3567" s="391"/>
      <c r="Q3567" s="388">
        <v>40000</v>
      </c>
      <c r="R3567" s="446">
        <f t="shared" si="531"/>
        <v>25000</v>
      </c>
      <c r="S3567" s="383">
        <f t="shared" si="525"/>
        <v>0</v>
      </c>
      <c r="U3567" s="464"/>
    </row>
    <row r="3568" spans="1:21" s="431" customFormat="1" ht="37.5" customHeight="1">
      <c r="A3568" s="500">
        <f t="shared" si="530"/>
        <v>41</v>
      </c>
      <c r="B3568" s="403" t="s">
        <v>2811</v>
      </c>
      <c r="C3568" s="455" t="s">
        <v>240</v>
      </c>
      <c r="D3568" s="606">
        <v>2989</v>
      </c>
      <c r="E3568" s="391">
        <v>878</v>
      </c>
      <c r="F3568" s="391" t="s">
        <v>223</v>
      </c>
      <c r="G3568" s="391">
        <v>430</v>
      </c>
      <c r="H3568" s="528">
        <v>2</v>
      </c>
      <c r="I3568" s="528">
        <v>2</v>
      </c>
      <c r="J3568" s="528">
        <v>10</v>
      </c>
      <c r="K3568" s="458" t="s">
        <v>239</v>
      </c>
      <c r="L3568" s="529">
        <f t="shared" si="532"/>
        <v>331062</v>
      </c>
      <c r="M3568" s="529">
        <v>300000</v>
      </c>
      <c r="N3568" s="391">
        <v>24000</v>
      </c>
      <c r="O3568" s="530"/>
      <c r="P3568" s="391"/>
      <c r="Q3568" s="388">
        <v>7062</v>
      </c>
      <c r="R3568" s="528">
        <f t="shared" si="531"/>
        <v>30000</v>
      </c>
      <c r="S3568" s="383">
        <f t="shared" si="525"/>
        <v>0</v>
      </c>
      <c r="U3568" s="464"/>
    </row>
    <row r="3569" spans="1:21" s="431" customFormat="1" ht="56.25" customHeight="1">
      <c r="A3569" s="500">
        <f t="shared" si="530"/>
        <v>42</v>
      </c>
      <c r="B3569" s="403" t="s">
        <v>2812</v>
      </c>
      <c r="C3569" s="455" t="s">
        <v>240</v>
      </c>
      <c r="D3569" s="606">
        <v>2415</v>
      </c>
      <c r="E3569" s="391">
        <v>306</v>
      </c>
      <c r="F3569" s="391" t="s">
        <v>223</v>
      </c>
      <c r="G3569" s="391">
        <v>476</v>
      </c>
      <c r="H3569" s="528">
        <v>2</v>
      </c>
      <c r="I3569" s="528">
        <v>1</v>
      </c>
      <c r="J3569" s="528">
        <v>8</v>
      </c>
      <c r="K3569" s="458" t="s">
        <v>238</v>
      </c>
      <c r="L3569" s="519">
        <f t="shared" si="532"/>
        <v>211900</v>
      </c>
      <c r="M3569" s="529">
        <v>200000</v>
      </c>
      <c r="N3569" s="391"/>
      <c r="O3569" s="643">
        <v>600</v>
      </c>
      <c r="P3569" s="391"/>
      <c r="Q3569" s="388">
        <v>11300</v>
      </c>
      <c r="R3569" s="446">
        <f t="shared" si="531"/>
        <v>25000</v>
      </c>
      <c r="S3569" s="383">
        <f t="shared" si="525"/>
        <v>0</v>
      </c>
      <c r="U3569" s="464"/>
    </row>
    <row r="3570" spans="1:21" s="431" customFormat="1" ht="56.25" customHeight="1">
      <c r="A3570" s="500">
        <f t="shared" si="530"/>
        <v>43</v>
      </c>
      <c r="B3570" s="403" t="s">
        <v>2813</v>
      </c>
      <c r="C3570" s="455" t="s">
        <v>222</v>
      </c>
      <c r="D3570" s="606">
        <v>15758</v>
      </c>
      <c r="E3570" s="391">
        <v>2007</v>
      </c>
      <c r="F3570" s="391" t="s">
        <v>223</v>
      </c>
      <c r="G3570" s="391">
        <v>1217</v>
      </c>
      <c r="H3570" s="528">
        <v>5</v>
      </c>
      <c r="I3570" s="528">
        <v>4</v>
      </c>
      <c r="J3570" s="528">
        <v>70</v>
      </c>
      <c r="K3570" s="458" t="s">
        <v>30</v>
      </c>
      <c r="L3570" s="519">
        <f t="shared" si="532"/>
        <v>1790091</v>
      </c>
      <c r="M3570" s="529">
        <v>1750000</v>
      </c>
      <c r="N3570" s="391"/>
      <c r="O3570" s="643">
        <v>5250</v>
      </c>
      <c r="P3570" s="391"/>
      <c r="Q3570" s="388">
        <v>34841</v>
      </c>
      <c r="R3570" s="446">
        <f t="shared" si="531"/>
        <v>25000</v>
      </c>
      <c r="S3570" s="383">
        <f t="shared" si="525"/>
        <v>0</v>
      </c>
      <c r="U3570" s="464"/>
    </row>
    <row r="3571" spans="1:21" s="431" customFormat="1" ht="37.5" customHeight="1">
      <c r="A3571" s="500">
        <f t="shared" si="530"/>
        <v>44</v>
      </c>
      <c r="B3571" s="403" t="s">
        <v>2814</v>
      </c>
      <c r="C3571" s="455" t="s">
        <v>222</v>
      </c>
      <c r="D3571" s="606">
        <v>21812</v>
      </c>
      <c r="E3571" s="391">
        <v>3364</v>
      </c>
      <c r="F3571" s="391" t="s">
        <v>223</v>
      </c>
      <c r="G3571" s="391">
        <v>1636</v>
      </c>
      <c r="H3571" s="528">
        <v>5</v>
      </c>
      <c r="I3571" s="528">
        <v>6</v>
      </c>
      <c r="J3571" s="528">
        <v>94</v>
      </c>
      <c r="K3571" s="458" t="s">
        <v>225</v>
      </c>
      <c r="L3571" s="645">
        <f t="shared" si="532"/>
        <v>2119020</v>
      </c>
      <c r="M3571" s="645">
        <v>2068000</v>
      </c>
      <c r="N3571" s="646">
        <v>31020</v>
      </c>
      <c r="O3571" s="647"/>
      <c r="P3571" s="646"/>
      <c r="Q3571" s="388">
        <v>20000</v>
      </c>
      <c r="R3571" s="648">
        <f t="shared" si="531"/>
        <v>22000</v>
      </c>
      <c r="S3571" s="383">
        <f t="shared" si="525"/>
        <v>0</v>
      </c>
      <c r="U3571" s="464"/>
    </row>
    <row r="3572" spans="1:21" s="431" customFormat="1" ht="37.5" customHeight="1">
      <c r="A3572" s="500">
        <f t="shared" si="530"/>
        <v>45</v>
      </c>
      <c r="B3572" s="403" t="s">
        <v>2815</v>
      </c>
      <c r="C3572" s="455" t="s">
        <v>222</v>
      </c>
      <c r="D3572" s="606">
        <v>17898</v>
      </c>
      <c r="E3572" s="391">
        <v>7743</v>
      </c>
      <c r="F3572" s="391" t="s">
        <v>234</v>
      </c>
      <c r="G3572" s="391">
        <v>1667</v>
      </c>
      <c r="H3572" s="528">
        <v>9</v>
      </c>
      <c r="I3572" s="528">
        <v>4</v>
      </c>
      <c r="J3572" s="528">
        <v>98</v>
      </c>
      <c r="K3572" s="458" t="s">
        <v>237</v>
      </c>
      <c r="L3572" s="519">
        <f t="shared" si="532"/>
        <v>3698402</v>
      </c>
      <c r="M3572" s="519">
        <v>3667400</v>
      </c>
      <c r="N3572" s="388"/>
      <c r="O3572" s="643">
        <v>11002</v>
      </c>
      <c r="P3572" s="388"/>
      <c r="Q3572" s="388">
        <v>20000</v>
      </c>
      <c r="R3572" s="446">
        <f>M3572/G3572</f>
        <v>2200</v>
      </c>
      <c r="S3572" s="383">
        <f t="shared" si="525"/>
        <v>0</v>
      </c>
      <c r="U3572" s="464"/>
    </row>
    <row r="3573" spans="1:21" s="431" customFormat="1" ht="56.25" customHeight="1">
      <c r="A3573" s="500">
        <f t="shared" si="530"/>
        <v>46</v>
      </c>
      <c r="B3573" s="403" t="s">
        <v>2816</v>
      </c>
      <c r="C3573" s="455" t="s">
        <v>222</v>
      </c>
      <c r="D3573" s="606">
        <v>19098</v>
      </c>
      <c r="E3573" s="391">
        <v>1620</v>
      </c>
      <c r="F3573" s="391" t="s">
        <v>223</v>
      </c>
      <c r="G3573" s="391">
        <v>1932</v>
      </c>
      <c r="H3573" s="528">
        <v>5</v>
      </c>
      <c r="I3573" s="528">
        <v>6</v>
      </c>
      <c r="J3573" s="528">
        <v>97</v>
      </c>
      <c r="K3573" s="458" t="s">
        <v>238</v>
      </c>
      <c r="L3573" s="519">
        <f t="shared" si="532"/>
        <v>2472275</v>
      </c>
      <c r="M3573" s="529">
        <v>2425000</v>
      </c>
      <c r="N3573" s="391"/>
      <c r="O3573" s="643">
        <v>7275</v>
      </c>
      <c r="P3573" s="391"/>
      <c r="Q3573" s="388">
        <v>40000</v>
      </c>
      <c r="R3573" s="446">
        <f>M3573/J3573</f>
        <v>25000</v>
      </c>
      <c r="S3573" s="383">
        <f t="shared" si="525"/>
        <v>0</v>
      </c>
      <c r="U3573" s="464"/>
    </row>
    <row r="3574" spans="1:21" s="431" customFormat="1" ht="37.5" customHeight="1">
      <c r="A3574" s="500">
        <f t="shared" si="530"/>
        <v>47</v>
      </c>
      <c r="B3574" s="403" t="s">
        <v>2817</v>
      </c>
      <c r="C3574" s="455" t="s">
        <v>222</v>
      </c>
      <c r="D3574" s="606">
        <v>8274</v>
      </c>
      <c r="E3574" s="391">
        <v>1546</v>
      </c>
      <c r="F3574" s="391" t="s">
        <v>223</v>
      </c>
      <c r="G3574" s="391">
        <v>1152</v>
      </c>
      <c r="H3574" s="528">
        <v>4</v>
      </c>
      <c r="I3574" s="528">
        <v>3</v>
      </c>
      <c r="J3574" s="528">
        <v>60</v>
      </c>
      <c r="K3574" s="458" t="s">
        <v>239</v>
      </c>
      <c r="L3574" s="529">
        <f t="shared" si="532"/>
        <v>1842537</v>
      </c>
      <c r="M3574" s="529">
        <v>1800000</v>
      </c>
      <c r="N3574" s="391">
        <v>27000</v>
      </c>
      <c r="O3574" s="530"/>
      <c r="P3574" s="391"/>
      <c r="Q3574" s="388">
        <v>15537</v>
      </c>
      <c r="R3574" s="528">
        <f>M3574/J3574</f>
        <v>30000</v>
      </c>
      <c r="S3574" s="383">
        <f t="shared" si="525"/>
        <v>0</v>
      </c>
      <c r="U3574" s="464"/>
    </row>
    <row r="3575" spans="1:21" s="431" customFormat="1" ht="56.25" customHeight="1">
      <c r="A3575" s="500">
        <f t="shared" si="530"/>
        <v>48</v>
      </c>
      <c r="B3575" s="403" t="s">
        <v>2818</v>
      </c>
      <c r="C3575" s="455" t="s">
        <v>222</v>
      </c>
      <c r="D3575" s="606">
        <v>14688</v>
      </c>
      <c r="E3575" s="391">
        <v>1984</v>
      </c>
      <c r="F3575" s="391" t="s">
        <v>228</v>
      </c>
      <c r="G3575" s="391">
        <v>1273</v>
      </c>
      <c r="H3575" s="528">
        <v>5</v>
      </c>
      <c r="I3575" s="528">
        <v>4</v>
      </c>
      <c r="J3575" s="528">
        <v>56</v>
      </c>
      <c r="K3575" s="458" t="s">
        <v>30</v>
      </c>
      <c r="L3575" s="519">
        <f t="shared" si="532"/>
        <v>1439041</v>
      </c>
      <c r="M3575" s="529">
        <v>1400000</v>
      </c>
      <c r="N3575" s="391"/>
      <c r="O3575" s="643">
        <v>4200</v>
      </c>
      <c r="P3575" s="391"/>
      <c r="Q3575" s="388">
        <v>34841</v>
      </c>
      <c r="R3575" s="446">
        <f>M3575/J3575</f>
        <v>25000</v>
      </c>
      <c r="S3575" s="383">
        <f t="shared" si="525"/>
        <v>0</v>
      </c>
      <c r="U3575" s="464"/>
    </row>
    <row r="3576" spans="1:21" s="431" customFormat="1" ht="37.5" customHeight="1">
      <c r="A3576" s="500">
        <f t="shared" si="530"/>
        <v>49</v>
      </c>
      <c r="B3576" s="403" t="s">
        <v>2819</v>
      </c>
      <c r="C3576" s="455" t="s">
        <v>222</v>
      </c>
      <c r="D3576" s="606">
        <v>49842</v>
      </c>
      <c r="E3576" s="391">
        <v>5180</v>
      </c>
      <c r="F3576" s="391" t="s">
        <v>234</v>
      </c>
      <c r="G3576" s="391">
        <v>1846</v>
      </c>
      <c r="H3576" s="528">
        <v>9</v>
      </c>
      <c r="I3576" s="528">
        <v>4</v>
      </c>
      <c r="J3576" s="528">
        <v>111</v>
      </c>
      <c r="K3576" s="458" t="s">
        <v>33</v>
      </c>
      <c r="L3576" s="519">
        <f t="shared" si="532"/>
        <v>4093384</v>
      </c>
      <c r="M3576" s="519">
        <v>4061200</v>
      </c>
      <c r="N3576" s="388"/>
      <c r="O3576" s="643">
        <v>12184</v>
      </c>
      <c r="P3576" s="388"/>
      <c r="Q3576" s="388">
        <v>20000</v>
      </c>
      <c r="R3576" s="446">
        <f>M3576/G3576</f>
        <v>2200</v>
      </c>
      <c r="S3576" s="383">
        <f t="shared" si="525"/>
        <v>0</v>
      </c>
      <c r="U3576" s="464"/>
    </row>
    <row r="3577" spans="1:21" s="431" customFormat="1" ht="56.25" customHeight="1">
      <c r="A3577" s="500">
        <f t="shared" si="530"/>
        <v>50</v>
      </c>
      <c r="B3577" s="403" t="s">
        <v>2820</v>
      </c>
      <c r="C3577" s="455" t="s">
        <v>222</v>
      </c>
      <c r="D3577" s="606">
        <v>15927</v>
      </c>
      <c r="E3577" s="391">
        <v>2312</v>
      </c>
      <c r="F3577" s="391" t="s">
        <v>223</v>
      </c>
      <c r="G3577" s="391">
        <v>1445</v>
      </c>
      <c r="H3577" s="528">
        <v>4</v>
      </c>
      <c r="I3577" s="528">
        <v>4</v>
      </c>
      <c r="J3577" s="528">
        <v>40</v>
      </c>
      <c r="K3577" s="458" t="s">
        <v>30</v>
      </c>
      <c r="L3577" s="519">
        <f t="shared" si="532"/>
        <v>1037841</v>
      </c>
      <c r="M3577" s="529">
        <v>1000000</v>
      </c>
      <c r="N3577" s="391"/>
      <c r="O3577" s="643">
        <v>3000</v>
      </c>
      <c r="P3577" s="391"/>
      <c r="Q3577" s="388">
        <v>34841</v>
      </c>
      <c r="R3577" s="446">
        <f>M3577/J3577</f>
        <v>25000</v>
      </c>
      <c r="S3577" s="383">
        <f t="shared" si="525"/>
        <v>0</v>
      </c>
      <c r="U3577" s="464"/>
    </row>
    <row r="3578" spans="1:21" s="431" customFormat="1" ht="56.25" customHeight="1">
      <c r="A3578" s="500">
        <f t="shared" si="530"/>
        <v>51</v>
      </c>
      <c r="B3578" s="403" t="s">
        <v>2821</v>
      </c>
      <c r="C3578" s="455" t="s">
        <v>222</v>
      </c>
      <c r="D3578" s="606">
        <v>14101</v>
      </c>
      <c r="E3578" s="391">
        <v>1550</v>
      </c>
      <c r="F3578" s="391" t="s">
        <v>223</v>
      </c>
      <c r="G3578" s="391">
        <v>1096</v>
      </c>
      <c r="H3578" s="528">
        <v>3</v>
      </c>
      <c r="I3578" s="528">
        <v>4</v>
      </c>
      <c r="J3578" s="528">
        <v>20</v>
      </c>
      <c r="K3578" s="458" t="s">
        <v>238</v>
      </c>
      <c r="L3578" s="519">
        <f t="shared" si="532"/>
        <v>536341</v>
      </c>
      <c r="M3578" s="529">
        <v>500000</v>
      </c>
      <c r="N3578" s="391"/>
      <c r="O3578" s="643">
        <v>1500</v>
      </c>
      <c r="P3578" s="391"/>
      <c r="Q3578" s="388">
        <v>34841</v>
      </c>
      <c r="R3578" s="446">
        <f>M3578/J3578</f>
        <v>25000</v>
      </c>
      <c r="S3578" s="383">
        <f t="shared" si="525"/>
        <v>0</v>
      </c>
      <c r="U3578" s="464"/>
    </row>
    <row r="3579" spans="1:21" s="431" customFormat="1" ht="56.25" customHeight="1">
      <c r="A3579" s="500">
        <f t="shared" si="530"/>
        <v>52</v>
      </c>
      <c r="B3579" s="403" t="s">
        <v>2822</v>
      </c>
      <c r="C3579" s="455" t="s">
        <v>222</v>
      </c>
      <c r="D3579" s="606">
        <v>10601</v>
      </c>
      <c r="E3579" s="391">
        <v>1348</v>
      </c>
      <c r="F3579" s="391" t="s">
        <v>223</v>
      </c>
      <c r="G3579" s="391">
        <v>1453</v>
      </c>
      <c r="H3579" s="528">
        <v>4</v>
      </c>
      <c r="I3579" s="528">
        <v>4</v>
      </c>
      <c r="J3579" s="528">
        <v>64</v>
      </c>
      <c r="K3579" s="458" t="s">
        <v>238</v>
      </c>
      <c r="L3579" s="519">
        <f t="shared" si="532"/>
        <v>1632578</v>
      </c>
      <c r="M3579" s="529">
        <v>1600000</v>
      </c>
      <c r="N3579" s="391"/>
      <c r="O3579" s="643">
        <v>4800</v>
      </c>
      <c r="P3579" s="391"/>
      <c r="Q3579" s="388">
        <v>27778</v>
      </c>
      <c r="R3579" s="446">
        <f>M3579/J3579</f>
        <v>25000</v>
      </c>
      <c r="S3579" s="383">
        <f t="shared" si="525"/>
        <v>0</v>
      </c>
      <c r="U3579" s="464"/>
    </row>
    <row r="3580" spans="1:21" s="431" customFormat="1" ht="56.25" customHeight="1">
      <c r="A3580" s="500">
        <f t="shared" si="530"/>
        <v>53</v>
      </c>
      <c r="B3580" s="403" t="s">
        <v>2823</v>
      </c>
      <c r="C3580" s="455" t="s">
        <v>222</v>
      </c>
      <c r="D3580" s="606">
        <v>8276</v>
      </c>
      <c r="E3580" s="391">
        <v>1546</v>
      </c>
      <c r="F3580" s="391" t="s">
        <v>223</v>
      </c>
      <c r="G3580" s="391">
        <v>906</v>
      </c>
      <c r="H3580" s="528">
        <v>4</v>
      </c>
      <c r="I3580" s="528">
        <v>3</v>
      </c>
      <c r="J3580" s="528">
        <v>48</v>
      </c>
      <c r="K3580" s="458" t="s">
        <v>238</v>
      </c>
      <c r="L3580" s="519">
        <f t="shared" si="532"/>
        <v>1231378</v>
      </c>
      <c r="M3580" s="529">
        <v>1200000</v>
      </c>
      <c r="N3580" s="391"/>
      <c r="O3580" s="643">
        <v>3600</v>
      </c>
      <c r="P3580" s="391"/>
      <c r="Q3580" s="388">
        <v>27778</v>
      </c>
      <c r="R3580" s="446">
        <f>M3580/J3580</f>
        <v>25000</v>
      </c>
      <c r="S3580" s="383">
        <f t="shared" si="525"/>
        <v>0</v>
      </c>
      <c r="U3580" s="464"/>
    </row>
    <row r="3581" spans="1:21" s="431" customFormat="1" ht="37.5" customHeight="1">
      <c r="A3581" s="500">
        <f t="shared" si="530"/>
        <v>54</v>
      </c>
      <c r="B3581" s="403" t="s">
        <v>2824</v>
      </c>
      <c r="C3581" s="455" t="s">
        <v>222</v>
      </c>
      <c r="D3581" s="606">
        <v>6134</v>
      </c>
      <c r="E3581" s="391">
        <v>653</v>
      </c>
      <c r="F3581" s="391" t="s">
        <v>234</v>
      </c>
      <c r="G3581" s="391">
        <v>471</v>
      </c>
      <c r="H3581" s="528">
        <v>5</v>
      </c>
      <c r="I3581" s="528">
        <v>2</v>
      </c>
      <c r="J3581" s="528">
        <v>30</v>
      </c>
      <c r="K3581" s="458" t="s">
        <v>33</v>
      </c>
      <c r="L3581" s="519">
        <f t="shared" si="532"/>
        <v>1058509</v>
      </c>
      <c r="M3581" s="519">
        <v>1036200</v>
      </c>
      <c r="N3581" s="388"/>
      <c r="O3581" s="643">
        <v>3109</v>
      </c>
      <c r="P3581" s="388"/>
      <c r="Q3581" s="388">
        <v>19200</v>
      </c>
      <c r="R3581" s="446">
        <f>M3581/G3581</f>
        <v>2200</v>
      </c>
      <c r="S3581" s="383">
        <f t="shared" si="525"/>
        <v>0</v>
      </c>
      <c r="U3581" s="464"/>
    </row>
    <row r="3582" spans="1:21" s="431" customFormat="1" ht="56.25" customHeight="1">
      <c r="A3582" s="500">
        <f t="shared" si="530"/>
        <v>55</v>
      </c>
      <c r="B3582" s="403" t="s">
        <v>2825</v>
      </c>
      <c r="C3582" s="455" t="s">
        <v>222</v>
      </c>
      <c r="D3582" s="606">
        <v>9010</v>
      </c>
      <c r="E3582" s="391">
        <v>1390</v>
      </c>
      <c r="F3582" s="391" t="s">
        <v>223</v>
      </c>
      <c r="G3582" s="391">
        <v>976</v>
      </c>
      <c r="H3582" s="528">
        <v>4</v>
      </c>
      <c r="I3582" s="528">
        <v>3</v>
      </c>
      <c r="J3582" s="528">
        <v>30</v>
      </c>
      <c r="K3582" s="458" t="s">
        <v>30</v>
      </c>
      <c r="L3582" s="519">
        <f t="shared" si="532"/>
        <v>780028</v>
      </c>
      <c r="M3582" s="529">
        <v>750000</v>
      </c>
      <c r="N3582" s="391"/>
      <c r="O3582" s="643">
        <v>2250</v>
      </c>
      <c r="P3582" s="391"/>
      <c r="Q3582" s="388">
        <v>27778</v>
      </c>
      <c r="R3582" s="446">
        <f>M3582/J3582</f>
        <v>25000</v>
      </c>
      <c r="S3582" s="383">
        <f t="shared" si="525"/>
        <v>0</v>
      </c>
      <c r="U3582" s="432"/>
    </row>
    <row r="3583" spans="1:21" s="431" customFormat="1" ht="56.25" customHeight="1">
      <c r="A3583" s="500">
        <f t="shared" si="530"/>
        <v>56</v>
      </c>
      <c r="B3583" s="403" t="s">
        <v>2826</v>
      </c>
      <c r="C3583" s="455" t="s">
        <v>222</v>
      </c>
      <c r="D3583" s="606">
        <v>10126</v>
      </c>
      <c r="E3583" s="391">
        <v>1390</v>
      </c>
      <c r="F3583" s="391" t="s">
        <v>223</v>
      </c>
      <c r="G3583" s="391">
        <v>1097</v>
      </c>
      <c r="H3583" s="528">
        <v>4</v>
      </c>
      <c r="I3583" s="528">
        <v>3</v>
      </c>
      <c r="J3583" s="528">
        <v>23</v>
      </c>
      <c r="K3583" s="458" t="s">
        <v>30</v>
      </c>
      <c r="L3583" s="519">
        <f t="shared" si="532"/>
        <v>604503</v>
      </c>
      <c r="M3583" s="529">
        <v>575000</v>
      </c>
      <c r="N3583" s="391"/>
      <c r="O3583" s="643">
        <v>1725</v>
      </c>
      <c r="P3583" s="391"/>
      <c r="Q3583" s="388">
        <v>27778</v>
      </c>
      <c r="R3583" s="446">
        <f>M3583/J3583</f>
        <v>25000</v>
      </c>
      <c r="S3583" s="383">
        <f t="shared" si="525"/>
        <v>0</v>
      </c>
      <c r="U3583" s="432"/>
    </row>
    <row r="3584" spans="1:21" s="431" customFormat="1" ht="37.5" customHeight="1">
      <c r="A3584" s="500">
        <f t="shared" si="530"/>
        <v>57</v>
      </c>
      <c r="B3584" s="403" t="s">
        <v>2827</v>
      </c>
      <c r="C3584" s="455" t="s">
        <v>240</v>
      </c>
      <c r="D3584" s="606">
        <v>1744</v>
      </c>
      <c r="E3584" s="391">
        <v>501</v>
      </c>
      <c r="F3584" s="391" t="s">
        <v>223</v>
      </c>
      <c r="G3584" s="391">
        <v>378</v>
      </c>
      <c r="H3584" s="528">
        <v>2</v>
      </c>
      <c r="I3584" s="528">
        <v>1</v>
      </c>
      <c r="J3584" s="528">
        <v>8</v>
      </c>
      <c r="K3584" s="458" t="s">
        <v>33</v>
      </c>
      <c r="L3584" s="519">
        <f t="shared" si="532"/>
        <v>1104070</v>
      </c>
      <c r="M3584" s="519">
        <v>1058400</v>
      </c>
      <c r="N3584" s="388">
        <v>37044</v>
      </c>
      <c r="O3584" s="473"/>
      <c r="P3584" s="388"/>
      <c r="Q3584" s="388">
        <v>8626</v>
      </c>
      <c r="R3584" s="446">
        <f>M3584/G3584</f>
        <v>2800</v>
      </c>
      <c r="S3584" s="383">
        <f t="shared" si="525"/>
        <v>0</v>
      </c>
      <c r="U3584" s="464"/>
    </row>
    <row r="3585" spans="1:22" s="431" customFormat="1" ht="56.25" customHeight="1">
      <c r="A3585" s="500">
        <f t="shared" si="530"/>
        <v>58</v>
      </c>
      <c r="B3585" s="403" t="s">
        <v>1892</v>
      </c>
      <c r="C3585" s="455" t="s">
        <v>222</v>
      </c>
      <c r="D3585" s="606">
        <v>8010</v>
      </c>
      <c r="E3585" s="391">
        <v>1010</v>
      </c>
      <c r="F3585" s="391" t="s">
        <v>223</v>
      </c>
      <c r="G3585" s="391">
        <v>890</v>
      </c>
      <c r="H3585" s="528">
        <v>3</v>
      </c>
      <c r="I3585" s="528">
        <v>3</v>
      </c>
      <c r="J3585" s="528">
        <v>36</v>
      </c>
      <c r="K3585" s="458" t="s">
        <v>30</v>
      </c>
      <c r="L3585" s="519">
        <f t="shared" si="532"/>
        <v>939117.4</v>
      </c>
      <c r="M3585" s="529">
        <v>900000</v>
      </c>
      <c r="N3585" s="391"/>
      <c r="O3585" s="473">
        <v>11755</v>
      </c>
      <c r="P3585" s="391"/>
      <c r="Q3585" s="388">
        <v>27362.400000000001</v>
      </c>
      <c r="R3585" s="446">
        <f>M3585/J3585</f>
        <v>25000</v>
      </c>
      <c r="S3585" s="383">
        <f t="shared" si="525"/>
        <v>0</v>
      </c>
      <c r="T3585" s="465"/>
      <c r="U3585" s="466"/>
      <c r="V3585" s="390"/>
    </row>
    <row r="3586" spans="1:22" s="431" customFormat="1" ht="37.5" customHeight="1">
      <c r="A3586" s="500">
        <f t="shared" si="530"/>
        <v>59</v>
      </c>
      <c r="B3586" s="403" t="s">
        <v>1893</v>
      </c>
      <c r="C3586" s="455" t="s">
        <v>222</v>
      </c>
      <c r="D3586" s="606">
        <v>16400</v>
      </c>
      <c r="E3586" s="391">
        <v>1512</v>
      </c>
      <c r="F3586" s="391" t="s">
        <v>234</v>
      </c>
      <c r="G3586" s="391">
        <v>1339</v>
      </c>
      <c r="H3586" s="528">
        <v>9</v>
      </c>
      <c r="I3586" s="528">
        <v>1</v>
      </c>
      <c r="J3586" s="528">
        <v>48</v>
      </c>
      <c r="K3586" s="458" t="s">
        <v>33</v>
      </c>
      <c r="L3586" s="519">
        <f t="shared" si="532"/>
        <v>2991261</v>
      </c>
      <c r="M3586" s="519">
        <v>2945800</v>
      </c>
      <c r="N3586" s="388"/>
      <c r="O3586" s="473">
        <v>25561</v>
      </c>
      <c r="P3586" s="388"/>
      <c r="Q3586" s="388">
        <v>19900</v>
      </c>
      <c r="R3586" s="446">
        <f>M3586/G3586</f>
        <v>2200</v>
      </c>
      <c r="S3586" s="383">
        <f t="shared" si="525"/>
        <v>0</v>
      </c>
      <c r="T3586" s="465"/>
      <c r="U3586" s="466"/>
      <c r="V3586" s="390"/>
    </row>
    <row r="3587" spans="1:22" s="431" customFormat="1" ht="37.5" customHeight="1">
      <c r="A3587" s="500">
        <f t="shared" si="530"/>
        <v>60</v>
      </c>
      <c r="B3587" s="403" t="s">
        <v>1894</v>
      </c>
      <c r="C3587" s="455" t="s">
        <v>222</v>
      </c>
      <c r="D3587" s="606">
        <v>26202</v>
      </c>
      <c r="E3587" s="391">
        <v>3740</v>
      </c>
      <c r="F3587" s="391" t="s">
        <v>223</v>
      </c>
      <c r="G3587" s="391">
        <v>2433</v>
      </c>
      <c r="H3587" s="528">
        <v>5</v>
      </c>
      <c r="I3587" s="528">
        <v>8</v>
      </c>
      <c r="J3587" s="528">
        <v>112</v>
      </c>
      <c r="K3587" s="458" t="s">
        <v>225</v>
      </c>
      <c r="L3587" s="645">
        <f t="shared" si="532"/>
        <v>2526636.91</v>
      </c>
      <c r="M3587" s="645">
        <v>2464000</v>
      </c>
      <c r="N3587" s="646">
        <v>35661</v>
      </c>
      <c r="O3587" s="647"/>
      <c r="P3587" s="646"/>
      <c r="Q3587" s="388">
        <v>26975.91</v>
      </c>
      <c r="R3587" s="648">
        <f t="shared" ref="R3587:R3592" si="533">M3587/J3587</f>
        <v>22000</v>
      </c>
      <c r="S3587" s="383">
        <f t="shared" si="525"/>
        <v>1.4915713109076023E-10</v>
      </c>
      <c r="T3587" s="465"/>
      <c r="U3587" s="466"/>
      <c r="V3587" s="390"/>
    </row>
    <row r="3588" spans="1:22" s="431" customFormat="1" ht="56.25" customHeight="1">
      <c r="A3588" s="500">
        <f t="shared" si="530"/>
        <v>61</v>
      </c>
      <c r="B3588" s="403" t="s">
        <v>1895</v>
      </c>
      <c r="C3588" s="455" t="s">
        <v>222</v>
      </c>
      <c r="D3588" s="606">
        <v>2340</v>
      </c>
      <c r="E3588" s="391">
        <v>340</v>
      </c>
      <c r="F3588" s="391" t="s">
        <v>223</v>
      </c>
      <c r="G3588" s="391">
        <v>513</v>
      </c>
      <c r="H3588" s="528">
        <v>2</v>
      </c>
      <c r="I3588" s="528">
        <v>1</v>
      </c>
      <c r="J3588" s="528">
        <v>12</v>
      </c>
      <c r="K3588" s="458" t="s">
        <v>238</v>
      </c>
      <c r="L3588" s="519">
        <f t="shared" si="532"/>
        <v>335771.47</v>
      </c>
      <c r="M3588" s="529">
        <v>314070</v>
      </c>
      <c r="N3588" s="391"/>
      <c r="O3588" s="473">
        <v>10571</v>
      </c>
      <c r="P3588" s="391"/>
      <c r="Q3588" s="388">
        <v>11130.47</v>
      </c>
      <c r="R3588" s="446">
        <f t="shared" si="533"/>
        <v>26172.5</v>
      </c>
      <c r="S3588" s="383">
        <f t="shared" si="525"/>
        <v>-2.7284841053187847E-11</v>
      </c>
      <c r="T3588" s="465"/>
      <c r="U3588" s="466"/>
      <c r="V3588" s="390"/>
    </row>
    <row r="3589" spans="1:22" s="431" customFormat="1" ht="56.25" customHeight="1">
      <c r="A3589" s="500">
        <f t="shared" si="530"/>
        <v>62</v>
      </c>
      <c r="B3589" s="403" t="s">
        <v>1896</v>
      </c>
      <c r="C3589" s="455" t="s">
        <v>222</v>
      </c>
      <c r="D3589" s="606">
        <v>13256</v>
      </c>
      <c r="E3589" s="391">
        <v>2128</v>
      </c>
      <c r="F3589" s="391" t="s">
        <v>223</v>
      </c>
      <c r="G3589" s="391">
        <v>1196</v>
      </c>
      <c r="H3589" s="528">
        <v>5</v>
      </c>
      <c r="I3589" s="528">
        <v>4</v>
      </c>
      <c r="J3589" s="528">
        <v>70</v>
      </c>
      <c r="K3589" s="458" t="s">
        <v>30</v>
      </c>
      <c r="L3589" s="519">
        <f t="shared" si="532"/>
        <v>1799190.94</v>
      </c>
      <c r="M3589" s="529">
        <v>1750000</v>
      </c>
      <c r="N3589" s="391"/>
      <c r="O3589" s="473">
        <v>14872</v>
      </c>
      <c r="P3589" s="391"/>
      <c r="Q3589" s="388">
        <v>34318.94</v>
      </c>
      <c r="R3589" s="446">
        <f t="shared" si="533"/>
        <v>25000</v>
      </c>
      <c r="S3589" s="383">
        <f t="shared" si="525"/>
        <v>-5.8207660913467407E-11</v>
      </c>
      <c r="T3589" s="465"/>
      <c r="U3589" s="466"/>
      <c r="V3589" s="390"/>
    </row>
    <row r="3590" spans="1:22" s="431" customFormat="1" ht="56.25" customHeight="1">
      <c r="A3590" s="500">
        <f t="shared" si="530"/>
        <v>63</v>
      </c>
      <c r="B3590" s="403" t="s">
        <v>1897</v>
      </c>
      <c r="C3590" s="455" t="s">
        <v>222</v>
      </c>
      <c r="D3590" s="606">
        <v>16786</v>
      </c>
      <c r="E3590" s="391">
        <v>2136</v>
      </c>
      <c r="F3590" s="391" t="s">
        <v>223</v>
      </c>
      <c r="G3590" s="391">
        <v>1199</v>
      </c>
      <c r="H3590" s="528">
        <v>5</v>
      </c>
      <c r="I3590" s="528">
        <v>4</v>
      </c>
      <c r="J3590" s="528">
        <v>69</v>
      </c>
      <c r="K3590" s="458" t="s">
        <v>30</v>
      </c>
      <c r="L3590" s="519">
        <f t="shared" si="532"/>
        <v>1780036</v>
      </c>
      <c r="M3590" s="529">
        <v>1725000</v>
      </c>
      <c r="N3590" s="391"/>
      <c r="O3590" s="473">
        <v>15236</v>
      </c>
      <c r="P3590" s="391"/>
      <c r="Q3590" s="388">
        <v>39800</v>
      </c>
      <c r="R3590" s="446">
        <f t="shared" si="533"/>
        <v>25000</v>
      </c>
      <c r="S3590" s="383">
        <f t="shared" si="525"/>
        <v>0</v>
      </c>
      <c r="T3590" s="465"/>
      <c r="U3590" s="466"/>
      <c r="V3590" s="390"/>
    </row>
    <row r="3591" spans="1:22" s="431" customFormat="1" ht="37.5" customHeight="1">
      <c r="A3591" s="500">
        <f t="shared" si="530"/>
        <v>64</v>
      </c>
      <c r="B3591" s="403" t="s">
        <v>1898</v>
      </c>
      <c r="C3591" s="455" t="s">
        <v>222</v>
      </c>
      <c r="D3591" s="606">
        <v>13456</v>
      </c>
      <c r="E3591" s="391">
        <v>1700</v>
      </c>
      <c r="F3591" s="391" t="s">
        <v>223</v>
      </c>
      <c r="G3591" s="391">
        <v>897</v>
      </c>
      <c r="H3591" s="528">
        <v>5</v>
      </c>
      <c r="I3591" s="528">
        <v>3</v>
      </c>
      <c r="J3591" s="528">
        <v>60</v>
      </c>
      <c r="K3591" s="458" t="s">
        <v>225</v>
      </c>
      <c r="L3591" s="645">
        <f t="shared" si="532"/>
        <v>1362489.48</v>
      </c>
      <c r="M3591" s="645">
        <v>1320000</v>
      </c>
      <c r="N3591" s="646">
        <v>33396</v>
      </c>
      <c r="O3591" s="647"/>
      <c r="P3591" s="646"/>
      <c r="Q3591" s="388">
        <v>9093.48</v>
      </c>
      <c r="R3591" s="648">
        <f t="shared" si="533"/>
        <v>22000</v>
      </c>
      <c r="S3591" s="383">
        <f t="shared" si="525"/>
        <v>-1.8189894035458565E-11</v>
      </c>
      <c r="T3591" s="465"/>
      <c r="U3591" s="466"/>
      <c r="V3591" s="390"/>
    </row>
    <row r="3592" spans="1:22" s="431" customFormat="1" ht="37.5" customHeight="1">
      <c r="A3592" s="500">
        <f t="shared" si="530"/>
        <v>65</v>
      </c>
      <c r="B3592" s="403" t="s">
        <v>1899</v>
      </c>
      <c r="C3592" s="455" t="s">
        <v>222</v>
      </c>
      <c r="D3592" s="606">
        <v>14516</v>
      </c>
      <c r="E3592" s="391">
        <v>2638</v>
      </c>
      <c r="F3592" s="391" t="s">
        <v>223</v>
      </c>
      <c r="G3592" s="391">
        <v>1348</v>
      </c>
      <c r="H3592" s="528">
        <v>5</v>
      </c>
      <c r="I3592" s="528">
        <v>4</v>
      </c>
      <c r="J3592" s="528">
        <v>56</v>
      </c>
      <c r="K3592" s="642" t="s">
        <v>225</v>
      </c>
      <c r="L3592" s="645">
        <f t="shared" si="532"/>
        <v>1279609.3600000001</v>
      </c>
      <c r="M3592" s="645">
        <v>1232000</v>
      </c>
      <c r="N3592" s="646">
        <v>33796</v>
      </c>
      <c r="O3592" s="647"/>
      <c r="P3592" s="646"/>
      <c r="Q3592" s="388">
        <v>13813.36</v>
      </c>
      <c r="R3592" s="648">
        <f t="shared" si="533"/>
        <v>22000</v>
      </c>
      <c r="S3592" s="383">
        <f t="shared" si="525"/>
        <v>1.0186340659856796E-10</v>
      </c>
      <c r="T3592" s="465"/>
      <c r="U3592" s="466"/>
      <c r="V3592" s="390"/>
    </row>
    <row r="3593" spans="1:22" s="431" customFormat="1" ht="37.5" customHeight="1">
      <c r="A3593" s="500">
        <f t="shared" si="530"/>
        <v>66</v>
      </c>
      <c r="B3593" s="403" t="s">
        <v>3964</v>
      </c>
      <c r="C3593" s="455" t="s">
        <v>222</v>
      </c>
      <c r="D3593" s="606">
        <v>18178.560000000001</v>
      </c>
      <c r="E3593" s="391">
        <v>3531.6000000000004</v>
      </c>
      <c r="F3593" s="391" t="s">
        <v>228</v>
      </c>
      <c r="G3593" s="391">
        <v>673.28000000000009</v>
      </c>
      <c r="H3593" s="528">
        <v>9</v>
      </c>
      <c r="I3593" s="528">
        <v>2</v>
      </c>
      <c r="J3593" s="528">
        <v>72</v>
      </c>
      <c r="K3593" s="642" t="s">
        <v>33</v>
      </c>
      <c r="L3593" s="645">
        <f t="shared" si="532"/>
        <v>1926504</v>
      </c>
      <c r="M3593" s="645">
        <v>1880576</v>
      </c>
      <c r="N3593" s="646"/>
      <c r="O3593" s="647">
        <v>25928</v>
      </c>
      <c r="P3593" s="646"/>
      <c r="Q3593" s="388">
        <v>20000</v>
      </c>
      <c r="R3593" s="648">
        <f>M3593/G3593</f>
        <v>2793.1558935361213</v>
      </c>
      <c r="S3593" s="383">
        <f>L3593-M3593-N3593-O3593-P3593-Q3593</f>
        <v>0</v>
      </c>
      <c r="T3593" s="465"/>
      <c r="U3593" s="466"/>
      <c r="V3593" s="390"/>
    </row>
    <row r="3594" spans="1:22" s="431" customFormat="1" ht="37.5" customHeight="1">
      <c r="A3594" s="500">
        <f t="shared" si="530"/>
        <v>67</v>
      </c>
      <c r="B3594" s="403" t="s">
        <v>3965</v>
      </c>
      <c r="C3594" s="455" t="s">
        <v>222</v>
      </c>
      <c r="D3594" s="606">
        <v>13668</v>
      </c>
      <c r="E3594" s="391">
        <v>2418</v>
      </c>
      <c r="F3594" s="391" t="s">
        <v>223</v>
      </c>
      <c r="G3594" s="391">
        <v>1186.328</v>
      </c>
      <c r="H3594" s="528">
        <v>5</v>
      </c>
      <c r="I3594" s="528">
        <v>4</v>
      </c>
      <c r="J3594" s="528">
        <v>80</v>
      </c>
      <c r="K3594" s="642" t="s">
        <v>225</v>
      </c>
      <c r="L3594" s="645">
        <f t="shared" si="532"/>
        <v>1813476</v>
      </c>
      <c r="M3594" s="645">
        <v>1760000</v>
      </c>
      <c r="N3594" s="646">
        <v>33476</v>
      </c>
      <c r="O3594" s="647"/>
      <c r="P3594" s="646"/>
      <c r="Q3594" s="388">
        <v>20000</v>
      </c>
      <c r="R3594" s="648">
        <f>M3594/J3594</f>
        <v>22000</v>
      </c>
      <c r="S3594" s="383">
        <f>L3594-M3594-N3594-O3594-P3594-Q3594</f>
        <v>0</v>
      </c>
      <c r="T3594" s="465"/>
      <c r="U3594" s="466"/>
      <c r="V3594" s="390"/>
    </row>
    <row r="3595" spans="1:22" s="403" customFormat="1" ht="42.75" customHeight="1">
      <c r="A3595" s="1112" t="s">
        <v>39</v>
      </c>
      <c r="B3595" s="1112"/>
      <c r="C3595" s="455" t="s">
        <v>28</v>
      </c>
      <c r="D3595" s="641">
        <f>SUM(D3527:D3594)</f>
        <v>2127356.7200000002</v>
      </c>
      <c r="E3595" s="388">
        <f>SUM(E3527:E3594)</f>
        <v>178174.2</v>
      </c>
      <c r="F3595" s="388" t="s">
        <v>28</v>
      </c>
      <c r="G3595" s="388">
        <f>SUM(G3527:G3594)</f>
        <v>76916.987999999998</v>
      </c>
      <c r="H3595" s="446" t="s">
        <v>28</v>
      </c>
      <c r="I3595" s="446" t="s">
        <v>28</v>
      </c>
      <c r="J3595" s="446">
        <f>SUM(J3527:J3594)</f>
        <v>4857</v>
      </c>
      <c r="K3595" s="389" t="s">
        <v>28</v>
      </c>
      <c r="L3595" s="388">
        <f t="shared" ref="L3595:Q3595" si="534">SUM(L3527:L3594)</f>
        <v>143037915.56</v>
      </c>
      <c r="M3595" s="388">
        <f t="shared" si="534"/>
        <v>139997146</v>
      </c>
      <c r="N3595" s="388">
        <f t="shared" si="534"/>
        <v>1213812</v>
      </c>
      <c r="O3595" s="388">
        <f t="shared" si="534"/>
        <v>332708</v>
      </c>
      <c r="P3595" s="388">
        <f t="shared" si="534"/>
        <v>0</v>
      </c>
      <c r="Q3595" s="388">
        <f t="shared" si="534"/>
        <v>1494249.5599999998</v>
      </c>
      <c r="R3595" s="446" t="s">
        <v>28</v>
      </c>
      <c r="T3595" s="393"/>
      <c r="U3595" s="464"/>
    </row>
    <row r="3596" spans="1:22" s="403" customFormat="1" ht="42.75" customHeight="1">
      <c r="A3596" s="1113" t="s">
        <v>42</v>
      </c>
      <c r="B3596" s="1113"/>
      <c r="C3596" s="1113"/>
      <c r="D3596" s="1113"/>
      <c r="E3596" s="1113"/>
      <c r="F3596" s="1113"/>
      <c r="G3596" s="1113"/>
      <c r="H3596" s="1113"/>
      <c r="I3596" s="1113"/>
      <c r="J3596" s="1113"/>
      <c r="K3596" s="1113"/>
      <c r="L3596" s="1113"/>
      <c r="M3596" s="1113"/>
      <c r="N3596" s="1113"/>
      <c r="O3596" s="1113"/>
      <c r="P3596" s="1113"/>
      <c r="Q3596" s="1113"/>
      <c r="R3596" s="458"/>
      <c r="T3596" s="393"/>
      <c r="U3596" s="464"/>
    </row>
    <row r="3597" spans="1:22" s="405" customFormat="1" ht="93.75" customHeight="1">
      <c r="A3597" s="458">
        <v>1</v>
      </c>
      <c r="B3597" s="403" t="s">
        <v>2828</v>
      </c>
      <c r="C3597" s="455" t="s">
        <v>222</v>
      </c>
      <c r="D3597" s="641">
        <v>2628</v>
      </c>
      <c r="E3597" s="388">
        <v>876</v>
      </c>
      <c r="F3597" s="388" t="s">
        <v>223</v>
      </c>
      <c r="G3597" s="388">
        <v>1014</v>
      </c>
      <c r="H3597" s="446">
        <v>2</v>
      </c>
      <c r="I3597" s="446">
        <v>3</v>
      </c>
      <c r="J3597" s="446">
        <v>12</v>
      </c>
      <c r="K3597" s="458" t="s">
        <v>243</v>
      </c>
      <c r="L3597" s="519">
        <f>M3597+N3597+O3597+P3597+Q3597</f>
        <v>2368686</v>
      </c>
      <c r="M3597" s="645">
        <v>2327754</v>
      </c>
      <c r="N3597" s="646">
        <v>27933</v>
      </c>
      <c r="O3597" s="647"/>
      <c r="P3597" s="646"/>
      <c r="Q3597" s="388">
        <v>12999</v>
      </c>
      <c r="R3597" s="648">
        <f>M3597/G3597</f>
        <v>2295.6153846153848</v>
      </c>
      <c r="U3597" s="464"/>
    </row>
    <row r="3598" spans="1:22" s="405" customFormat="1" ht="93.75" customHeight="1">
      <c r="A3598" s="458">
        <f>A3597+1</f>
        <v>2</v>
      </c>
      <c r="B3598" s="403" t="s">
        <v>904</v>
      </c>
      <c r="C3598" s="455" t="s">
        <v>222</v>
      </c>
      <c r="D3598" s="641">
        <v>1188</v>
      </c>
      <c r="E3598" s="388">
        <v>396</v>
      </c>
      <c r="F3598" s="388" t="s">
        <v>223</v>
      </c>
      <c r="G3598" s="388">
        <v>428</v>
      </c>
      <c r="H3598" s="528">
        <v>2</v>
      </c>
      <c r="I3598" s="528">
        <v>1</v>
      </c>
      <c r="J3598" s="528">
        <v>8</v>
      </c>
      <c r="K3598" s="458" t="s">
        <v>243</v>
      </c>
      <c r="L3598" s="519">
        <f>M3598+N3598+O3598+P3598+Q3598</f>
        <v>1012836</v>
      </c>
      <c r="M3598" s="645">
        <f>G3598*2300-2000</f>
        <v>982400</v>
      </c>
      <c r="N3598" s="646">
        <f>M3598*0.025</f>
        <v>24560</v>
      </c>
      <c r="O3598" s="647"/>
      <c r="P3598" s="646"/>
      <c r="Q3598" s="388">
        <v>5876</v>
      </c>
      <c r="R3598" s="648">
        <f>M3598/G3598</f>
        <v>2295.3271028037384</v>
      </c>
      <c r="U3598" s="464"/>
    </row>
    <row r="3599" spans="1:22" s="405" customFormat="1" ht="93.75" customHeight="1">
      <c r="A3599" s="458">
        <f>A3598+1</f>
        <v>3</v>
      </c>
      <c r="B3599" s="403" t="s">
        <v>906</v>
      </c>
      <c r="C3599" s="455" t="s">
        <v>222</v>
      </c>
      <c r="D3599" s="641">
        <v>1188</v>
      </c>
      <c r="E3599" s="388">
        <v>396</v>
      </c>
      <c r="F3599" s="388" t="s">
        <v>223</v>
      </c>
      <c r="G3599" s="388">
        <v>428</v>
      </c>
      <c r="H3599" s="446">
        <v>2</v>
      </c>
      <c r="I3599" s="446">
        <v>1</v>
      </c>
      <c r="J3599" s="446">
        <v>8</v>
      </c>
      <c r="K3599" s="458" t="s">
        <v>243</v>
      </c>
      <c r="L3599" s="519">
        <f>M3599+N3599+O3599+P3599+Q3599</f>
        <v>1012836</v>
      </c>
      <c r="M3599" s="645">
        <f>G3599*2300-2000</f>
        <v>982400</v>
      </c>
      <c r="N3599" s="646">
        <f>M3599*0.025</f>
        <v>24560</v>
      </c>
      <c r="O3599" s="647"/>
      <c r="P3599" s="646"/>
      <c r="Q3599" s="388">
        <v>5876</v>
      </c>
      <c r="R3599" s="648">
        <f>M3599/G3599</f>
        <v>2295.3271028037384</v>
      </c>
      <c r="U3599" s="464"/>
    </row>
    <row r="3600" spans="1:22" s="405" customFormat="1" ht="93.75" customHeight="1">
      <c r="A3600" s="458">
        <f>A3599+1</f>
        <v>4</v>
      </c>
      <c r="B3600" s="403" t="s">
        <v>3538</v>
      </c>
      <c r="C3600" s="455" t="s">
        <v>222</v>
      </c>
      <c r="D3600" s="641">
        <v>4620</v>
      </c>
      <c r="E3600" s="388">
        <v>938</v>
      </c>
      <c r="F3600" s="388" t="s">
        <v>224</v>
      </c>
      <c r="G3600" s="388">
        <v>660</v>
      </c>
      <c r="H3600" s="446">
        <v>2</v>
      </c>
      <c r="I3600" s="446">
        <v>3</v>
      </c>
      <c r="J3600" s="446">
        <v>22</v>
      </c>
      <c r="K3600" s="458" t="s">
        <v>262</v>
      </c>
      <c r="L3600" s="519">
        <v>2684324</v>
      </c>
      <c r="M3600" s="645">
        <v>2640000</v>
      </c>
      <c r="N3600" s="646">
        <v>38448</v>
      </c>
      <c r="O3600" s="647"/>
      <c r="P3600" s="646"/>
      <c r="Q3600" s="388">
        <v>5876</v>
      </c>
      <c r="R3600" s="648">
        <v>4000</v>
      </c>
      <c r="U3600" s="464"/>
    </row>
    <row r="3601" spans="1:21" s="498" customFormat="1" ht="42.75" customHeight="1">
      <c r="A3601" s="1137" t="s">
        <v>43</v>
      </c>
      <c r="B3601" s="1137"/>
      <c r="C3601" s="455" t="s">
        <v>28</v>
      </c>
      <c r="D3601" s="674">
        <f>SUM(D3597:D3600)</f>
        <v>9624</v>
      </c>
      <c r="E3601" s="675">
        <f>SUM(E3597:E3600)</f>
        <v>2606</v>
      </c>
      <c r="F3601" s="388" t="s">
        <v>28</v>
      </c>
      <c r="G3601" s="675">
        <f>SUM(G3597:G3600)</f>
        <v>2530</v>
      </c>
      <c r="H3601" s="446" t="s">
        <v>28</v>
      </c>
      <c r="I3601" s="446" t="s">
        <v>28</v>
      </c>
      <c r="J3601" s="676">
        <f>SUM(J3597:J3600)</f>
        <v>50</v>
      </c>
      <c r="K3601" s="458" t="s">
        <v>28</v>
      </c>
      <c r="L3601" s="677">
        <f>SUM(L3597:L3600)</f>
        <v>7078682</v>
      </c>
      <c r="M3601" s="677">
        <f>SUM(M3597:M3600)</f>
        <v>6932554</v>
      </c>
      <c r="N3601" s="675">
        <f>SUM(N3597:N3600)</f>
        <v>115501</v>
      </c>
      <c r="O3601" s="678"/>
      <c r="P3601" s="675"/>
      <c r="Q3601" s="675">
        <f>SUM(Q3597:Q3600)</f>
        <v>30627</v>
      </c>
      <c r="R3601" s="446" t="s">
        <v>28</v>
      </c>
      <c r="T3601" s="393"/>
      <c r="U3601" s="464"/>
    </row>
    <row r="3602" spans="1:21" s="403" customFormat="1" ht="42.75" customHeight="1">
      <c r="A3602" s="1113" t="s">
        <v>44</v>
      </c>
      <c r="B3602" s="1113"/>
      <c r="C3602" s="1113"/>
      <c r="D3602" s="1113"/>
      <c r="E3602" s="1113"/>
      <c r="F3602" s="1113"/>
      <c r="G3602" s="1113"/>
      <c r="H3602" s="1113"/>
      <c r="I3602" s="1113"/>
      <c r="J3602" s="1113"/>
      <c r="K3602" s="1113"/>
      <c r="L3602" s="1113"/>
      <c r="M3602" s="1113"/>
      <c r="N3602" s="1113"/>
      <c r="O3602" s="1113"/>
      <c r="P3602" s="1113"/>
      <c r="Q3602" s="1113"/>
      <c r="R3602" s="458"/>
      <c r="T3602" s="393"/>
      <c r="U3602" s="464"/>
    </row>
    <row r="3603" spans="1:21" s="403" customFormat="1" ht="37.5" customHeight="1">
      <c r="A3603" s="458">
        <v>1</v>
      </c>
      <c r="B3603" s="403" t="s">
        <v>2830</v>
      </c>
      <c r="C3603" s="455" t="s">
        <v>222</v>
      </c>
      <c r="D3603" s="641">
        <v>3456</v>
      </c>
      <c r="E3603" s="388">
        <v>771.63</v>
      </c>
      <c r="F3603" s="388" t="s">
        <v>231</v>
      </c>
      <c r="G3603" s="388">
        <v>477</v>
      </c>
      <c r="H3603" s="446">
        <v>3</v>
      </c>
      <c r="I3603" s="446">
        <v>2</v>
      </c>
      <c r="J3603" s="446">
        <v>23</v>
      </c>
      <c r="K3603" s="458" t="s">
        <v>246</v>
      </c>
      <c r="L3603" s="519">
        <f>M3603+N3603+O3603+P3603+Q3603</f>
        <v>373460</v>
      </c>
      <c r="M3603" s="529">
        <v>361077</v>
      </c>
      <c r="N3603" s="391"/>
      <c r="O3603" s="643">
        <f>ROUND(M3603*0.3%,0)</f>
        <v>1083</v>
      </c>
      <c r="P3603" s="391"/>
      <c r="Q3603" s="388">
        <v>11300</v>
      </c>
      <c r="R3603" s="446">
        <f>M3603/J3603</f>
        <v>15699</v>
      </c>
      <c r="T3603" s="393"/>
      <c r="U3603" s="464"/>
    </row>
    <row r="3604" spans="1:21" s="403" customFormat="1" ht="37.5" customHeight="1">
      <c r="A3604" s="458">
        <f>A3603+1</f>
        <v>2</v>
      </c>
      <c r="B3604" s="403" t="s">
        <v>2831</v>
      </c>
      <c r="C3604" s="455" t="s">
        <v>222</v>
      </c>
      <c r="D3604" s="641">
        <v>1730</v>
      </c>
      <c r="E3604" s="388">
        <v>454.32</v>
      </c>
      <c r="F3604" s="388" t="s">
        <v>231</v>
      </c>
      <c r="G3604" s="388">
        <v>355</v>
      </c>
      <c r="H3604" s="446">
        <v>2</v>
      </c>
      <c r="I3604" s="446">
        <v>2</v>
      </c>
      <c r="J3604" s="446">
        <v>8</v>
      </c>
      <c r="K3604" s="458" t="s">
        <v>246</v>
      </c>
      <c r="L3604" s="519">
        <f>M3604+N3604+O3604+P3604+Q3604</f>
        <v>134923</v>
      </c>
      <c r="M3604" s="529">
        <f>J3604*15700</f>
        <v>125600</v>
      </c>
      <c r="N3604" s="391"/>
      <c r="O3604" s="643">
        <f>ROUND(M3604*0.3%,0)</f>
        <v>377</v>
      </c>
      <c r="P3604" s="391"/>
      <c r="Q3604" s="388">
        <v>8946</v>
      </c>
      <c r="R3604" s="446">
        <f>M3604/J3604</f>
        <v>15700</v>
      </c>
      <c r="S3604" s="403">
        <v>2014</v>
      </c>
      <c r="T3604" s="393"/>
      <c r="U3604" s="464"/>
    </row>
    <row r="3605" spans="1:21" s="403" customFormat="1" ht="37.5" customHeight="1">
      <c r="A3605" s="458">
        <f>A3604+1</f>
        <v>3</v>
      </c>
      <c r="B3605" s="403" t="s">
        <v>2832</v>
      </c>
      <c r="C3605" s="455" t="s">
        <v>222</v>
      </c>
      <c r="D3605" s="641">
        <v>2119</v>
      </c>
      <c r="E3605" s="388">
        <v>485.97</v>
      </c>
      <c r="F3605" s="388" t="s">
        <v>231</v>
      </c>
      <c r="G3605" s="388">
        <v>468</v>
      </c>
      <c r="H3605" s="446">
        <v>2</v>
      </c>
      <c r="I3605" s="446">
        <v>2</v>
      </c>
      <c r="J3605" s="446">
        <v>12</v>
      </c>
      <c r="K3605" s="458" t="s">
        <v>246</v>
      </c>
      <c r="L3605" s="519">
        <f>M3605+N3605+O3605+P3605+Q3605</f>
        <v>200265</v>
      </c>
      <c r="M3605" s="529">
        <f>J3605*15700</f>
        <v>188400</v>
      </c>
      <c r="N3605" s="391"/>
      <c r="O3605" s="643">
        <f>ROUND(M3605*0.3%,0)</f>
        <v>565</v>
      </c>
      <c r="P3605" s="391"/>
      <c r="Q3605" s="388">
        <v>11300</v>
      </c>
      <c r="R3605" s="446">
        <f>M3605/J3605</f>
        <v>15700</v>
      </c>
      <c r="T3605" s="393"/>
      <c r="U3605" s="464"/>
    </row>
    <row r="3606" spans="1:21" s="403" customFormat="1" ht="42.75" customHeight="1">
      <c r="A3606" s="1112" t="s">
        <v>118</v>
      </c>
      <c r="B3606" s="1112"/>
      <c r="C3606" s="455" t="s">
        <v>28</v>
      </c>
      <c r="D3606" s="641">
        <f>SUM(D3603:D3605)</f>
        <v>7305</v>
      </c>
      <c r="E3606" s="388">
        <f>SUM(E3603:E3605)</f>
        <v>1711.92</v>
      </c>
      <c r="F3606" s="388" t="s">
        <v>28</v>
      </c>
      <c r="G3606" s="388">
        <f>SUM(G3603:G3605)</f>
        <v>1300</v>
      </c>
      <c r="H3606" s="446" t="s">
        <v>28</v>
      </c>
      <c r="I3606" s="446" t="s">
        <v>28</v>
      </c>
      <c r="J3606" s="446">
        <f>SUM(J3603:J3605)</f>
        <v>43</v>
      </c>
      <c r="K3606" s="458" t="s">
        <v>28</v>
      </c>
      <c r="L3606" s="519">
        <f>SUM(L3603:L3605)</f>
        <v>708648</v>
      </c>
      <c r="M3606" s="519">
        <f>SUM(M3603:M3605)</f>
        <v>675077</v>
      </c>
      <c r="N3606" s="388"/>
      <c r="O3606" s="473">
        <f>SUM(O3603:O3605)</f>
        <v>2025</v>
      </c>
      <c r="P3606" s="388"/>
      <c r="Q3606" s="388">
        <f>SUM(Q3603:Q3605)</f>
        <v>31546</v>
      </c>
      <c r="R3606" s="446" t="s">
        <v>28</v>
      </c>
      <c r="T3606" s="393"/>
      <c r="U3606" s="464"/>
    </row>
    <row r="3607" spans="1:21" s="403" customFormat="1" ht="42.75" customHeight="1">
      <c r="A3607" s="1113" t="s">
        <v>45</v>
      </c>
      <c r="B3607" s="1113"/>
      <c r="C3607" s="1113"/>
      <c r="D3607" s="1113"/>
      <c r="E3607" s="1113"/>
      <c r="F3607" s="1113"/>
      <c r="G3607" s="1113"/>
      <c r="H3607" s="1113"/>
      <c r="I3607" s="1113"/>
      <c r="J3607" s="1113"/>
      <c r="K3607" s="1113"/>
      <c r="L3607" s="1113"/>
      <c r="M3607" s="1113"/>
      <c r="N3607" s="1113"/>
      <c r="O3607" s="1113"/>
      <c r="P3607" s="1113"/>
      <c r="Q3607" s="1113"/>
      <c r="R3607" s="458"/>
      <c r="T3607" s="393"/>
      <c r="U3607" s="464"/>
    </row>
    <row r="3608" spans="1:21" s="403" customFormat="1" ht="56.25" customHeight="1">
      <c r="A3608" s="458">
        <v>1</v>
      </c>
      <c r="B3608" s="403" t="s">
        <v>2833</v>
      </c>
      <c r="C3608" s="455" t="s">
        <v>222</v>
      </c>
      <c r="D3608" s="641">
        <f>E3608*3</f>
        <v>1688.58</v>
      </c>
      <c r="E3608" s="388">
        <v>562.86</v>
      </c>
      <c r="F3608" s="388" t="s">
        <v>223</v>
      </c>
      <c r="G3608" s="388">
        <v>604.5</v>
      </c>
      <c r="H3608" s="528">
        <v>2</v>
      </c>
      <c r="I3608" s="528">
        <v>2</v>
      </c>
      <c r="J3608" s="446">
        <v>16</v>
      </c>
      <c r="K3608" s="458" t="s">
        <v>30</v>
      </c>
      <c r="L3608" s="529">
        <f>M3608+N3608+O3608+P3608+Q3608</f>
        <v>410146</v>
      </c>
      <c r="M3608" s="519">
        <v>400000</v>
      </c>
      <c r="N3608" s="388"/>
      <c r="O3608" s="643">
        <v>1200</v>
      </c>
      <c r="P3608" s="388"/>
      <c r="Q3608" s="388">
        <v>8946</v>
      </c>
      <c r="R3608" s="446">
        <f>M3608/J3608</f>
        <v>25000</v>
      </c>
      <c r="T3608" s="393"/>
      <c r="U3608" s="464"/>
    </row>
    <row r="3609" spans="1:21" s="403" customFormat="1" ht="37.5" customHeight="1">
      <c r="A3609" s="458">
        <f>A3608+1</f>
        <v>2</v>
      </c>
      <c r="B3609" s="403" t="s">
        <v>2834</v>
      </c>
      <c r="C3609" s="455" t="s">
        <v>222</v>
      </c>
      <c r="D3609" s="641">
        <f>E3609*3</f>
        <v>2463.0299999999997</v>
      </c>
      <c r="E3609" s="388">
        <v>821.01</v>
      </c>
      <c r="F3609" s="388" t="s">
        <v>223</v>
      </c>
      <c r="G3609" s="388">
        <v>1014</v>
      </c>
      <c r="H3609" s="528">
        <v>2</v>
      </c>
      <c r="I3609" s="528">
        <v>3</v>
      </c>
      <c r="J3609" s="446">
        <v>18</v>
      </c>
      <c r="K3609" s="500" t="s">
        <v>33</v>
      </c>
      <c r="L3609" s="529">
        <f>M3609+N3609+O3609+P3609+Q3609</f>
        <v>2567063</v>
      </c>
      <c r="M3609" s="519">
        <v>2517123</v>
      </c>
      <c r="N3609" s="388">
        <v>37757</v>
      </c>
      <c r="O3609" s="473"/>
      <c r="P3609" s="388"/>
      <c r="Q3609" s="388">
        <v>12183</v>
      </c>
      <c r="R3609" s="446">
        <f>M3609/G3609</f>
        <v>2482.3698224852069</v>
      </c>
      <c r="T3609" s="393"/>
      <c r="U3609" s="464"/>
    </row>
    <row r="3610" spans="1:21" s="403" customFormat="1" ht="56.25" customHeight="1">
      <c r="A3610" s="458">
        <f>A3609+1</f>
        <v>3</v>
      </c>
      <c r="B3610" s="403" t="s">
        <v>2835</v>
      </c>
      <c r="C3610" s="455" t="s">
        <v>222</v>
      </c>
      <c r="D3610" s="641">
        <f>E3610*3</f>
        <v>2295.69</v>
      </c>
      <c r="E3610" s="388">
        <v>765.23</v>
      </c>
      <c r="F3610" s="388" t="s">
        <v>223</v>
      </c>
      <c r="G3610" s="388">
        <v>842.4</v>
      </c>
      <c r="H3610" s="528">
        <v>2</v>
      </c>
      <c r="I3610" s="528">
        <v>3</v>
      </c>
      <c r="J3610" s="446">
        <v>22</v>
      </c>
      <c r="K3610" s="458" t="s">
        <v>30</v>
      </c>
      <c r="L3610" s="529">
        <f>M3610+N3610+O3610+P3610+Q3610</f>
        <v>562950</v>
      </c>
      <c r="M3610" s="519">
        <v>550000</v>
      </c>
      <c r="N3610" s="388"/>
      <c r="O3610" s="643">
        <v>1650</v>
      </c>
      <c r="P3610" s="388"/>
      <c r="Q3610" s="388">
        <v>11300</v>
      </c>
      <c r="R3610" s="446">
        <f>M3610/J3610</f>
        <v>25000</v>
      </c>
      <c r="T3610" s="393"/>
      <c r="U3610" s="464"/>
    </row>
    <row r="3611" spans="1:21" s="403" customFormat="1" ht="42.75" customHeight="1">
      <c r="A3611" s="1112" t="s">
        <v>47</v>
      </c>
      <c r="B3611" s="1112"/>
      <c r="C3611" s="679" t="s">
        <v>28</v>
      </c>
      <c r="D3611" s="641">
        <f>SUM(D3608:D3610)</f>
        <v>6447.2999999999993</v>
      </c>
      <c r="E3611" s="388">
        <f>SUM(E3608:E3610)</f>
        <v>2149.1</v>
      </c>
      <c r="F3611" s="388" t="s">
        <v>28</v>
      </c>
      <c r="G3611" s="388">
        <f>SUM(G3608:G3610)</f>
        <v>2460.9</v>
      </c>
      <c r="H3611" s="446" t="s">
        <v>28</v>
      </c>
      <c r="I3611" s="446" t="s">
        <v>28</v>
      </c>
      <c r="J3611" s="446">
        <f>SUM(J3608:J3610)</f>
        <v>56</v>
      </c>
      <c r="K3611" s="680" t="s">
        <v>28</v>
      </c>
      <c r="L3611" s="519">
        <f>SUM(L3608:L3610)</f>
        <v>3540159</v>
      </c>
      <c r="M3611" s="519">
        <f>SUM(M3608:M3610)</f>
        <v>3467123</v>
      </c>
      <c r="N3611" s="388">
        <f>SUM(N3608:N3610)</f>
        <v>37757</v>
      </c>
      <c r="O3611" s="473">
        <f>SUM(O3608:O3610)</f>
        <v>2850</v>
      </c>
      <c r="P3611" s="388"/>
      <c r="Q3611" s="388">
        <f>SUM(Q3608:Q3610)</f>
        <v>32429</v>
      </c>
      <c r="R3611" s="446" t="s">
        <v>28</v>
      </c>
      <c r="T3611" s="393"/>
      <c r="U3611" s="464"/>
    </row>
    <row r="3612" spans="1:21" s="403" customFormat="1" ht="42.75" customHeight="1">
      <c r="A3612" s="1113" t="s">
        <v>48</v>
      </c>
      <c r="B3612" s="1113"/>
      <c r="C3612" s="1113"/>
      <c r="D3612" s="1113"/>
      <c r="E3612" s="1113"/>
      <c r="F3612" s="1113"/>
      <c r="G3612" s="1113"/>
      <c r="H3612" s="1113"/>
      <c r="I3612" s="1113"/>
      <c r="J3612" s="1113"/>
      <c r="K3612" s="1113"/>
      <c r="L3612" s="1113"/>
      <c r="M3612" s="1113"/>
      <c r="N3612" s="1113"/>
      <c r="O3612" s="1113"/>
      <c r="P3612" s="1113"/>
      <c r="Q3612" s="1113"/>
      <c r="R3612" s="458"/>
      <c r="T3612" s="393"/>
      <c r="U3612" s="464"/>
    </row>
    <row r="3613" spans="1:21" s="403" customFormat="1" ht="56.25" customHeight="1">
      <c r="A3613" s="458">
        <v>1</v>
      </c>
      <c r="B3613" s="403" t="s">
        <v>912</v>
      </c>
      <c r="C3613" s="455" t="s">
        <v>222</v>
      </c>
      <c r="D3613" s="641">
        <v>3591</v>
      </c>
      <c r="E3613" s="388">
        <v>707</v>
      </c>
      <c r="F3613" s="388" t="s">
        <v>231</v>
      </c>
      <c r="G3613" s="388">
        <v>619</v>
      </c>
      <c r="H3613" s="446">
        <v>2</v>
      </c>
      <c r="I3613" s="446">
        <v>3</v>
      </c>
      <c r="J3613" s="446">
        <v>18</v>
      </c>
      <c r="K3613" s="458" t="s">
        <v>4177</v>
      </c>
      <c r="L3613" s="529">
        <f>M3613+N3613+O3613+P3613+Q3613</f>
        <v>372380</v>
      </c>
      <c r="M3613" s="519">
        <v>360000</v>
      </c>
      <c r="N3613" s="388"/>
      <c r="O3613" s="643">
        <v>1080</v>
      </c>
      <c r="P3613" s="388"/>
      <c r="Q3613" s="388">
        <v>11300</v>
      </c>
      <c r="R3613" s="446">
        <f>M3613/J3613</f>
        <v>20000</v>
      </c>
      <c r="T3613" s="393"/>
      <c r="U3613" s="464"/>
    </row>
    <row r="3614" spans="1:21" s="403" customFormat="1" ht="56.25" customHeight="1">
      <c r="A3614" s="458">
        <f>A3613+1</f>
        <v>2</v>
      </c>
      <c r="B3614" s="403" t="s">
        <v>3340</v>
      </c>
      <c r="C3614" s="455" t="s">
        <v>222</v>
      </c>
      <c r="D3614" s="641">
        <v>3780</v>
      </c>
      <c r="E3614" s="388">
        <v>746.5</v>
      </c>
      <c r="F3614" s="388" t="s">
        <v>231</v>
      </c>
      <c r="G3614" s="388">
        <v>626</v>
      </c>
      <c r="H3614" s="446">
        <v>2</v>
      </c>
      <c r="I3614" s="446">
        <v>3</v>
      </c>
      <c r="J3614" s="446">
        <v>23</v>
      </c>
      <c r="K3614" s="458" t="s">
        <v>4177</v>
      </c>
      <c r="L3614" s="529">
        <f>M3614+N3614+O3614+P3614+Q3614</f>
        <v>472680</v>
      </c>
      <c r="M3614" s="519">
        <v>460000</v>
      </c>
      <c r="N3614" s="388"/>
      <c r="O3614" s="643">
        <v>1380</v>
      </c>
      <c r="P3614" s="388"/>
      <c r="Q3614" s="388">
        <v>11300</v>
      </c>
      <c r="R3614" s="446">
        <f>M3614/J3614</f>
        <v>20000</v>
      </c>
      <c r="S3614" s="404"/>
      <c r="T3614" s="393"/>
      <c r="U3614" s="464"/>
    </row>
    <row r="3615" spans="1:21" s="403" customFormat="1" ht="42.75" customHeight="1">
      <c r="A3615" s="1112" t="s">
        <v>119</v>
      </c>
      <c r="B3615" s="1112"/>
      <c r="C3615" s="679" t="s">
        <v>28</v>
      </c>
      <c r="D3615" s="641">
        <f>SUM(D3613:D3614)</f>
        <v>7371</v>
      </c>
      <c r="E3615" s="388">
        <f>SUM(E3613:E3614)</f>
        <v>1453.5</v>
      </c>
      <c r="F3615" s="388" t="s">
        <v>28</v>
      </c>
      <c r="G3615" s="388">
        <f>SUM(G3613:G3614)</f>
        <v>1245</v>
      </c>
      <c r="H3615" s="446" t="s">
        <v>28</v>
      </c>
      <c r="I3615" s="446" t="s">
        <v>28</v>
      </c>
      <c r="J3615" s="446">
        <f>SUM(J3613:J3614)</f>
        <v>41</v>
      </c>
      <c r="K3615" s="680" t="s">
        <v>28</v>
      </c>
      <c r="L3615" s="519">
        <f>SUM(L3613:L3614)</f>
        <v>845060</v>
      </c>
      <c r="M3615" s="519">
        <f>SUM(M3613:M3614)</f>
        <v>820000</v>
      </c>
      <c r="N3615" s="388"/>
      <c r="O3615" s="473">
        <f>SUM(O3613:O3614)</f>
        <v>2460</v>
      </c>
      <c r="P3615" s="388"/>
      <c r="Q3615" s="388">
        <f>SUM(Q3613:Q3614)</f>
        <v>22600</v>
      </c>
      <c r="R3615" s="446" t="s">
        <v>28</v>
      </c>
      <c r="T3615" s="393"/>
      <c r="U3615" s="464"/>
    </row>
    <row r="3616" spans="1:21" s="403" customFormat="1" ht="42.75" customHeight="1">
      <c r="A3616" s="1113" t="s">
        <v>49</v>
      </c>
      <c r="B3616" s="1113"/>
      <c r="C3616" s="1113"/>
      <c r="D3616" s="1113"/>
      <c r="E3616" s="1113"/>
      <c r="F3616" s="1113"/>
      <c r="G3616" s="1113"/>
      <c r="H3616" s="1113"/>
      <c r="I3616" s="1113"/>
      <c r="J3616" s="1113"/>
      <c r="K3616" s="1113"/>
      <c r="L3616" s="1113"/>
      <c r="M3616" s="1113"/>
      <c r="N3616" s="1113"/>
      <c r="O3616" s="1113"/>
      <c r="P3616" s="1113"/>
      <c r="Q3616" s="1113"/>
      <c r="R3616" s="458"/>
      <c r="T3616" s="393"/>
      <c r="U3616" s="464"/>
    </row>
    <row r="3617" spans="1:22" s="404" customFormat="1" ht="75" customHeight="1">
      <c r="A3617" s="504">
        <v>1</v>
      </c>
      <c r="B3617" s="403" t="s">
        <v>2836</v>
      </c>
      <c r="C3617" s="455" t="s">
        <v>222</v>
      </c>
      <c r="D3617" s="641">
        <v>12381</v>
      </c>
      <c r="E3617" s="388">
        <v>4851.3999999999996</v>
      </c>
      <c r="F3617" s="388" t="s">
        <v>223</v>
      </c>
      <c r="G3617" s="388">
        <v>1184</v>
      </c>
      <c r="H3617" s="446">
        <v>5</v>
      </c>
      <c r="I3617" s="446">
        <v>4</v>
      </c>
      <c r="J3617" s="446">
        <v>80</v>
      </c>
      <c r="K3617" s="458" t="s">
        <v>249</v>
      </c>
      <c r="L3617" s="519">
        <f t="shared" ref="L3617:L3629" si="535">M3617+N3617+O3617+Q3617</f>
        <v>3865441</v>
      </c>
      <c r="M3617" s="519">
        <v>3788800</v>
      </c>
      <c r="N3617" s="388">
        <v>37888</v>
      </c>
      <c r="O3617" s="473"/>
      <c r="P3617" s="388"/>
      <c r="Q3617" s="388">
        <v>38753</v>
      </c>
      <c r="R3617" s="446">
        <f t="shared" ref="R3617:R3622" si="536">M3617/G3617</f>
        <v>3200</v>
      </c>
      <c r="T3617" s="427"/>
      <c r="U3617" s="464"/>
      <c r="V3617" s="389"/>
    </row>
    <row r="3618" spans="1:22" s="404" customFormat="1" ht="75" customHeight="1">
      <c r="A3618" s="458">
        <f t="shared" ref="A3618:A3637" si="537">A3617+1</f>
        <v>2</v>
      </c>
      <c r="B3618" s="403" t="s">
        <v>2837</v>
      </c>
      <c r="C3618" s="455" t="s">
        <v>222</v>
      </c>
      <c r="D3618" s="641">
        <v>12945</v>
      </c>
      <c r="E3618" s="388">
        <v>2413.1999999999998</v>
      </c>
      <c r="F3618" s="388" t="s">
        <v>223</v>
      </c>
      <c r="G3618" s="388">
        <v>1230</v>
      </c>
      <c r="H3618" s="446">
        <v>5</v>
      </c>
      <c r="I3618" s="446">
        <v>4</v>
      </c>
      <c r="J3618" s="446">
        <v>80</v>
      </c>
      <c r="K3618" s="458" t="s">
        <v>249</v>
      </c>
      <c r="L3618" s="519">
        <f t="shared" si="535"/>
        <v>3766900</v>
      </c>
      <c r="M3618" s="519">
        <v>3690000</v>
      </c>
      <c r="N3618" s="388">
        <v>36900</v>
      </c>
      <c r="O3618" s="473"/>
      <c r="P3618" s="388"/>
      <c r="Q3618" s="388">
        <v>40000</v>
      </c>
      <c r="R3618" s="446">
        <f t="shared" si="536"/>
        <v>3000</v>
      </c>
      <c r="T3618" s="427"/>
      <c r="U3618" s="464"/>
      <c r="V3618" s="389"/>
    </row>
    <row r="3619" spans="1:22" s="404" customFormat="1" ht="75" customHeight="1">
      <c r="A3619" s="458">
        <f t="shared" si="537"/>
        <v>3</v>
      </c>
      <c r="B3619" s="403" t="s">
        <v>2838</v>
      </c>
      <c r="C3619" s="455" t="s">
        <v>222</v>
      </c>
      <c r="D3619" s="641">
        <v>12339</v>
      </c>
      <c r="E3619" s="388">
        <v>2416.5</v>
      </c>
      <c r="F3619" s="388" t="s">
        <v>223</v>
      </c>
      <c r="G3619" s="388">
        <v>1183</v>
      </c>
      <c r="H3619" s="446">
        <v>5</v>
      </c>
      <c r="I3619" s="446">
        <v>4</v>
      </c>
      <c r="J3619" s="446">
        <v>65</v>
      </c>
      <c r="K3619" s="458" t="s">
        <v>249</v>
      </c>
      <c r="L3619" s="519">
        <f t="shared" si="535"/>
        <v>3623111</v>
      </c>
      <c r="M3619" s="519">
        <v>3549000</v>
      </c>
      <c r="N3619" s="388">
        <v>35490</v>
      </c>
      <c r="O3619" s="473"/>
      <c r="P3619" s="388"/>
      <c r="Q3619" s="388">
        <v>38621</v>
      </c>
      <c r="R3619" s="446">
        <f t="shared" si="536"/>
        <v>3000</v>
      </c>
      <c r="T3619" s="427"/>
      <c r="U3619" s="464"/>
      <c r="V3619" s="389"/>
    </row>
    <row r="3620" spans="1:22" s="403" customFormat="1" ht="75" customHeight="1">
      <c r="A3620" s="458">
        <f t="shared" si="537"/>
        <v>4</v>
      </c>
      <c r="B3620" s="403" t="s">
        <v>2839</v>
      </c>
      <c r="C3620" s="455" t="s">
        <v>222</v>
      </c>
      <c r="D3620" s="641">
        <v>19133</v>
      </c>
      <c r="E3620" s="388">
        <v>3410.8</v>
      </c>
      <c r="F3620" s="388" t="s">
        <v>223</v>
      </c>
      <c r="G3620" s="388">
        <v>1710</v>
      </c>
      <c r="H3620" s="446">
        <v>5</v>
      </c>
      <c r="I3620" s="446">
        <v>6</v>
      </c>
      <c r="J3620" s="446">
        <v>99</v>
      </c>
      <c r="K3620" s="458" t="s">
        <v>249</v>
      </c>
      <c r="L3620" s="519">
        <f t="shared" si="535"/>
        <v>5205910</v>
      </c>
      <c r="M3620" s="519">
        <v>5130000</v>
      </c>
      <c r="N3620" s="388">
        <v>35910</v>
      </c>
      <c r="O3620" s="473"/>
      <c r="P3620" s="388"/>
      <c r="Q3620" s="388">
        <v>40000</v>
      </c>
      <c r="R3620" s="446">
        <f t="shared" si="536"/>
        <v>3000</v>
      </c>
      <c r="T3620" s="427"/>
      <c r="U3620" s="464"/>
      <c r="V3620" s="389"/>
    </row>
    <row r="3621" spans="1:22" s="404" customFormat="1" ht="75" customHeight="1">
      <c r="A3621" s="458">
        <f t="shared" si="537"/>
        <v>5</v>
      </c>
      <c r="B3621" s="403" t="s">
        <v>2840</v>
      </c>
      <c r="C3621" s="684" t="s">
        <v>222</v>
      </c>
      <c r="D3621" s="681">
        <v>1354</v>
      </c>
      <c r="E3621" s="646">
        <v>491.3</v>
      </c>
      <c r="F3621" s="388" t="s">
        <v>223</v>
      </c>
      <c r="G3621" s="646">
        <v>713.3</v>
      </c>
      <c r="H3621" s="446">
        <v>2</v>
      </c>
      <c r="I3621" s="446">
        <v>2</v>
      </c>
      <c r="J3621" s="648">
        <v>8</v>
      </c>
      <c r="K3621" s="458" t="s">
        <v>249</v>
      </c>
      <c r="L3621" s="519">
        <f t="shared" si="535"/>
        <v>2178696</v>
      </c>
      <c r="M3621" s="519">
        <v>2139900</v>
      </c>
      <c r="N3621" s="388">
        <v>32099</v>
      </c>
      <c r="O3621" s="473"/>
      <c r="P3621" s="388"/>
      <c r="Q3621" s="388">
        <v>6697</v>
      </c>
      <c r="R3621" s="446">
        <f t="shared" si="536"/>
        <v>3000</v>
      </c>
      <c r="T3621" s="427"/>
      <c r="U3621" s="464"/>
      <c r="V3621" s="389"/>
    </row>
    <row r="3622" spans="1:22" s="404" customFormat="1" ht="75" customHeight="1">
      <c r="A3622" s="458">
        <f t="shared" si="537"/>
        <v>6</v>
      </c>
      <c r="B3622" s="543" t="s">
        <v>2841</v>
      </c>
      <c r="C3622" s="455" t="s">
        <v>222</v>
      </c>
      <c r="D3622" s="681">
        <v>24804</v>
      </c>
      <c r="E3622" s="646">
        <v>4364.92</v>
      </c>
      <c r="F3622" s="388" t="s">
        <v>223</v>
      </c>
      <c r="G3622" s="646">
        <v>1787.64</v>
      </c>
      <c r="H3622" s="446">
        <v>5</v>
      </c>
      <c r="I3622" s="446">
        <v>8</v>
      </c>
      <c r="J3622" s="648">
        <v>130</v>
      </c>
      <c r="K3622" s="458" t="s">
        <v>249</v>
      </c>
      <c r="L3622" s="519">
        <f t="shared" si="535"/>
        <v>5440460</v>
      </c>
      <c r="M3622" s="519">
        <v>5362920</v>
      </c>
      <c r="N3622" s="388">
        <v>37540</v>
      </c>
      <c r="O3622" s="473"/>
      <c r="P3622" s="388"/>
      <c r="Q3622" s="388">
        <v>40000</v>
      </c>
      <c r="R3622" s="446">
        <f t="shared" si="536"/>
        <v>3000</v>
      </c>
      <c r="T3622" s="427"/>
      <c r="U3622" s="464"/>
      <c r="V3622" s="389"/>
    </row>
    <row r="3623" spans="1:22" s="404" customFormat="1" ht="75" customHeight="1">
      <c r="A3623" s="458">
        <f t="shared" si="537"/>
        <v>7</v>
      </c>
      <c r="B3623" s="403" t="s">
        <v>2842</v>
      </c>
      <c r="C3623" s="455" t="s">
        <v>222</v>
      </c>
      <c r="D3623" s="681">
        <v>4853</v>
      </c>
      <c r="E3623" s="646">
        <v>985.9</v>
      </c>
      <c r="F3623" s="388" t="s">
        <v>223</v>
      </c>
      <c r="G3623" s="646">
        <v>869.9</v>
      </c>
      <c r="H3623" s="648">
        <v>2</v>
      </c>
      <c r="I3623" s="648">
        <v>3</v>
      </c>
      <c r="J3623" s="648">
        <v>22</v>
      </c>
      <c r="K3623" s="683" t="s">
        <v>418</v>
      </c>
      <c r="L3623" s="519">
        <f t="shared" si="535"/>
        <v>507110</v>
      </c>
      <c r="M3623" s="519">
        <v>484000</v>
      </c>
      <c r="N3623" s="388"/>
      <c r="O3623" s="643">
        <v>1452</v>
      </c>
      <c r="P3623" s="388"/>
      <c r="Q3623" s="388">
        <v>21658</v>
      </c>
      <c r="R3623" s="446">
        <f>M3623/J3623</f>
        <v>22000</v>
      </c>
      <c r="T3623" s="427"/>
      <c r="U3623" s="464"/>
      <c r="V3623" s="389"/>
    </row>
    <row r="3624" spans="1:22" s="404" customFormat="1" ht="93.75" customHeight="1">
      <c r="A3624" s="458">
        <f t="shared" si="537"/>
        <v>8</v>
      </c>
      <c r="B3624" s="403" t="s">
        <v>2843</v>
      </c>
      <c r="C3624" s="455" t="s">
        <v>222</v>
      </c>
      <c r="D3624" s="681">
        <v>23515</v>
      </c>
      <c r="E3624" s="646">
        <v>5160</v>
      </c>
      <c r="F3624" s="388" t="s">
        <v>224</v>
      </c>
      <c r="G3624" s="646">
        <v>1389</v>
      </c>
      <c r="H3624" s="446">
        <v>5</v>
      </c>
      <c r="I3624" s="446">
        <v>8</v>
      </c>
      <c r="J3624" s="648">
        <v>130</v>
      </c>
      <c r="K3624" s="682" t="s">
        <v>241</v>
      </c>
      <c r="L3624" s="519">
        <f t="shared" si="535"/>
        <v>4948800</v>
      </c>
      <c r="M3624" s="519">
        <v>4880000</v>
      </c>
      <c r="N3624" s="388">
        <v>48800</v>
      </c>
      <c r="O3624" s="473"/>
      <c r="P3624" s="388"/>
      <c r="Q3624" s="388">
        <v>20000</v>
      </c>
      <c r="R3624" s="446">
        <f t="shared" ref="R3624:R3632" si="538">M3624/G3624</f>
        <v>3513.3189344852412</v>
      </c>
      <c r="T3624" s="427"/>
      <c r="U3624" s="464"/>
      <c r="V3624" s="389"/>
    </row>
    <row r="3625" spans="1:22" s="404" customFormat="1" ht="93.75" customHeight="1">
      <c r="A3625" s="458">
        <f t="shared" si="537"/>
        <v>9</v>
      </c>
      <c r="B3625" s="403" t="s">
        <v>2844</v>
      </c>
      <c r="C3625" s="455" t="s">
        <v>222</v>
      </c>
      <c r="D3625" s="681">
        <v>17411</v>
      </c>
      <c r="E3625" s="646">
        <v>3098</v>
      </c>
      <c r="F3625" s="388" t="s">
        <v>224</v>
      </c>
      <c r="G3625" s="646">
        <v>1395</v>
      </c>
      <c r="H3625" s="446">
        <v>5</v>
      </c>
      <c r="I3625" s="446">
        <v>6</v>
      </c>
      <c r="J3625" s="648">
        <v>100</v>
      </c>
      <c r="K3625" s="682" t="s">
        <v>241</v>
      </c>
      <c r="L3625" s="519">
        <f t="shared" si="535"/>
        <v>4969000</v>
      </c>
      <c r="M3625" s="519">
        <v>4900000</v>
      </c>
      <c r="N3625" s="388">
        <v>49000</v>
      </c>
      <c r="O3625" s="473"/>
      <c r="P3625" s="388"/>
      <c r="Q3625" s="388">
        <v>20000</v>
      </c>
      <c r="R3625" s="446">
        <f t="shared" si="538"/>
        <v>3512.5448028673836</v>
      </c>
      <c r="T3625" s="403"/>
      <c r="U3625" s="464"/>
      <c r="V3625" s="389"/>
    </row>
    <row r="3626" spans="1:22" s="404" customFormat="1" ht="75" customHeight="1">
      <c r="A3626" s="458">
        <f t="shared" si="537"/>
        <v>10</v>
      </c>
      <c r="B3626" s="403" t="s">
        <v>2845</v>
      </c>
      <c r="C3626" s="455" t="s">
        <v>222</v>
      </c>
      <c r="D3626" s="641">
        <v>6877</v>
      </c>
      <c r="E3626" s="388">
        <v>1103.0999999999999</v>
      </c>
      <c r="F3626" s="388" t="s">
        <v>223</v>
      </c>
      <c r="G3626" s="388">
        <v>690</v>
      </c>
      <c r="H3626" s="446">
        <v>4</v>
      </c>
      <c r="I3626" s="446">
        <v>2</v>
      </c>
      <c r="J3626" s="446">
        <v>24</v>
      </c>
      <c r="K3626" s="458" t="s">
        <v>249</v>
      </c>
      <c r="L3626" s="519">
        <f t="shared" si="535"/>
        <v>2112225</v>
      </c>
      <c r="M3626" s="519">
        <v>2070000</v>
      </c>
      <c r="N3626" s="388">
        <v>20700</v>
      </c>
      <c r="O3626" s="473"/>
      <c r="P3626" s="388"/>
      <c r="Q3626" s="388">
        <v>21525</v>
      </c>
      <c r="R3626" s="446">
        <f t="shared" si="538"/>
        <v>3000</v>
      </c>
      <c r="T3626" s="427"/>
      <c r="U3626" s="464"/>
      <c r="V3626" s="389"/>
    </row>
    <row r="3627" spans="1:22" s="404" customFormat="1" ht="75" customHeight="1">
      <c r="A3627" s="458">
        <f t="shared" si="537"/>
        <v>11</v>
      </c>
      <c r="B3627" s="424" t="s">
        <v>4010</v>
      </c>
      <c r="C3627" s="455" t="s">
        <v>222</v>
      </c>
      <c r="D3627" s="681">
        <v>14776.2</v>
      </c>
      <c r="E3627" s="646">
        <v>3124</v>
      </c>
      <c r="F3627" s="388" t="s">
        <v>223</v>
      </c>
      <c r="G3627" s="646">
        <v>1390</v>
      </c>
      <c r="H3627" s="648">
        <v>5</v>
      </c>
      <c r="I3627" s="648">
        <v>4</v>
      </c>
      <c r="J3627" s="648">
        <v>70</v>
      </c>
      <c r="K3627" s="458" t="s">
        <v>249</v>
      </c>
      <c r="L3627" s="519">
        <f t="shared" si="535"/>
        <v>4251700</v>
      </c>
      <c r="M3627" s="519">
        <v>4170000</v>
      </c>
      <c r="N3627" s="388">
        <v>41700</v>
      </c>
      <c r="O3627" s="473"/>
      <c r="P3627" s="388"/>
      <c r="Q3627" s="388">
        <v>40000</v>
      </c>
      <c r="R3627" s="446">
        <f t="shared" si="538"/>
        <v>3000</v>
      </c>
      <c r="T3627" s="427"/>
      <c r="U3627" s="464"/>
      <c r="V3627" s="389"/>
    </row>
    <row r="3628" spans="1:22" s="404" customFormat="1" ht="75" customHeight="1">
      <c r="A3628" s="458">
        <f t="shared" si="537"/>
        <v>12</v>
      </c>
      <c r="B3628" s="424" t="s">
        <v>4011</v>
      </c>
      <c r="C3628" s="455" t="s">
        <v>222</v>
      </c>
      <c r="D3628" s="606">
        <v>4743</v>
      </c>
      <c r="E3628" s="391">
        <v>984</v>
      </c>
      <c r="F3628" s="388" t="s">
        <v>223</v>
      </c>
      <c r="G3628" s="391">
        <v>920.4</v>
      </c>
      <c r="H3628" s="528">
        <v>2</v>
      </c>
      <c r="I3628" s="528">
        <v>3</v>
      </c>
      <c r="J3628" s="528">
        <v>18</v>
      </c>
      <c r="K3628" s="458" t="s">
        <v>249</v>
      </c>
      <c r="L3628" s="519">
        <f t="shared" si="535"/>
        <v>2812272</v>
      </c>
      <c r="M3628" s="519">
        <v>2761200</v>
      </c>
      <c r="N3628" s="388">
        <v>27612</v>
      </c>
      <c r="O3628" s="473"/>
      <c r="P3628" s="388"/>
      <c r="Q3628" s="388">
        <v>23460</v>
      </c>
      <c r="R3628" s="446">
        <f t="shared" si="538"/>
        <v>3000</v>
      </c>
      <c r="T3628" s="416"/>
      <c r="U3628" s="464"/>
      <c r="V3628" s="389"/>
    </row>
    <row r="3629" spans="1:22" s="404" customFormat="1" ht="75" customHeight="1">
      <c r="A3629" s="458">
        <f t="shared" si="537"/>
        <v>13</v>
      </c>
      <c r="B3629" s="424" t="s">
        <v>4012</v>
      </c>
      <c r="C3629" s="455" t="s">
        <v>222</v>
      </c>
      <c r="D3629" s="681">
        <v>2052</v>
      </c>
      <c r="E3629" s="646">
        <v>529.20000000000005</v>
      </c>
      <c r="F3629" s="388" t="s">
        <v>223</v>
      </c>
      <c r="G3629" s="646">
        <v>681.2</v>
      </c>
      <c r="H3629" s="648">
        <v>2</v>
      </c>
      <c r="I3629" s="648">
        <v>2</v>
      </c>
      <c r="J3629" s="648">
        <v>8</v>
      </c>
      <c r="K3629" s="458" t="s">
        <v>249</v>
      </c>
      <c r="L3629" s="519">
        <f t="shared" si="535"/>
        <v>2074186.0000000002</v>
      </c>
      <c r="M3629" s="519">
        <v>2043600.0000000002</v>
      </c>
      <c r="N3629" s="388">
        <v>20436.000000000004</v>
      </c>
      <c r="O3629" s="473"/>
      <c r="P3629" s="388"/>
      <c r="Q3629" s="388">
        <v>10150</v>
      </c>
      <c r="R3629" s="446">
        <f t="shared" si="538"/>
        <v>3000</v>
      </c>
      <c r="T3629" s="416"/>
      <c r="U3629" s="464"/>
      <c r="V3629" s="389"/>
    </row>
    <row r="3630" spans="1:22" s="404" customFormat="1" ht="56.25" customHeight="1">
      <c r="A3630" s="458">
        <f t="shared" si="537"/>
        <v>14</v>
      </c>
      <c r="B3630" s="424" t="s">
        <v>4013</v>
      </c>
      <c r="C3630" s="455" t="s">
        <v>222</v>
      </c>
      <c r="D3630" s="641">
        <v>37188</v>
      </c>
      <c r="E3630" s="388">
        <v>8458.7999999999993</v>
      </c>
      <c r="F3630" s="388" t="s">
        <v>224</v>
      </c>
      <c r="G3630" s="388">
        <v>2960.1</v>
      </c>
      <c r="H3630" s="446">
        <v>5</v>
      </c>
      <c r="I3630" s="446">
        <v>13</v>
      </c>
      <c r="J3630" s="446">
        <v>186</v>
      </c>
      <c r="K3630" s="458" t="s">
        <v>248</v>
      </c>
      <c r="L3630" s="519">
        <f>M3630+N3630+O3630+P3630+Q3630</f>
        <v>6848655</v>
      </c>
      <c r="M3630" s="519">
        <v>6808230</v>
      </c>
      <c r="N3630" s="388"/>
      <c r="O3630" s="643">
        <v>20425</v>
      </c>
      <c r="P3630" s="646"/>
      <c r="Q3630" s="388">
        <v>20000</v>
      </c>
      <c r="R3630" s="446">
        <f t="shared" si="538"/>
        <v>2300</v>
      </c>
      <c r="T3630" s="416"/>
      <c r="U3630" s="464"/>
      <c r="V3630" s="389"/>
    </row>
    <row r="3631" spans="1:22" s="404" customFormat="1" ht="56.25" customHeight="1">
      <c r="A3631" s="458">
        <f t="shared" si="537"/>
        <v>15</v>
      </c>
      <c r="B3631" s="424" t="s">
        <v>4014</v>
      </c>
      <c r="C3631" s="455" t="s">
        <v>222</v>
      </c>
      <c r="D3631" s="681">
        <v>7821</v>
      </c>
      <c r="E3631" s="646">
        <v>1680.4</v>
      </c>
      <c r="F3631" s="646" t="s">
        <v>224</v>
      </c>
      <c r="G3631" s="646">
        <v>931</v>
      </c>
      <c r="H3631" s="648">
        <v>3</v>
      </c>
      <c r="I3631" s="648">
        <v>3</v>
      </c>
      <c r="J3631" s="648">
        <v>36</v>
      </c>
      <c r="K3631" s="458" t="s">
        <v>248</v>
      </c>
      <c r="L3631" s="519">
        <f>M3631+N3631+O3631+P3631+Q3631</f>
        <v>2167724</v>
      </c>
      <c r="M3631" s="519">
        <v>2141300</v>
      </c>
      <c r="N3631" s="388"/>
      <c r="O3631" s="643">
        <v>6424</v>
      </c>
      <c r="P3631" s="646"/>
      <c r="Q3631" s="388">
        <v>20000</v>
      </c>
      <c r="R3631" s="446">
        <f t="shared" si="538"/>
        <v>2300</v>
      </c>
      <c r="T3631" s="416"/>
      <c r="U3631" s="464"/>
      <c r="V3631" s="389"/>
    </row>
    <row r="3632" spans="1:22" s="404" customFormat="1" ht="75" customHeight="1">
      <c r="A3632" s="458">
        <f t="shared" si="537"/>
        <v>16</v>
      </c>
      <c r="B3632" s="424" t="s">
        <v>4015</v>
      </c>
      <c r="C3632" s="455" t="s">
        <v>222</v>
      </c>
      <c r="D3632" s="681">
        <v>2342</v>
      </c>
      <c r="E3632" s="646">
        <v>568.1</v>
      </c>
      <c r="F3632" s="388" t="s">
        <v>223</v>
      </c>
      <c r="G3632" s="646">
        <v>615.9</v>
      </c>
      <c r="H3632" s="648">
        <v>2</v>
      </c>
      <c r="I3632" s="648">
        <v>2</v>
      </c>
      <c r="J3632" s="648">
        <v>8</v>
      </c>
      <c r="K3632" s="458" t="s">
        <v>249</v>
      </c>
      <c r="L3632" s="519">
        <f>M3632+N3632+O3632+Q3632</f>
        <v>1877761</v>
      </c>
      <c r="M3632" s="519">
        <v>1847700</v>
      </c>
      <c r="N3632" s="388">
        <v>18477</v>
      </c>
      <c r="O3632" s="473"/>
      <c r="P3632" s="388"/>
      <c r="Q3632" s="388">
        <v>11584</v>
      </c>
      <c r="R3632" s="446">
        <f t="shared" si="538"/>
        <v>3000</v>
      </c>
      <c r="T3632" s="416"/>
      <c r="U3632" s="464"/>
      <c r="V3632" s="389"/>
    </row>
    <row r="3633" spans="1:22" s="404" customFormat="1" ht="75" customHeight="1">
      <c r="A3633" s="458">
        <f t="shared" si="537"/>
        <v>17</v>
      </c>
      <c r="B3633" s="403" t="s">
        <v>4016</v>
      </c>
      <c r="C3633" s="455" t="s">
        <v>222</v>
      </c>
      <c r="D3633" s="606">
        <v>4789</v>
      </c>
      <c r="E3633" s="391">
        <v>1051</v>
      </c>
      <c r="F3633" s="388" t="s">
        <v>223</v>
      </c>
      <c r="G3633" s="391">
        <v>904</v>
      </c>
      <c r="H3633" s="528">
        <v>2</v>
      </c>
      <c r="I3633" s="528">
        <v>3</v>
      </c>
      <c r="J3633" s="528">
        <v>19</v>
      </c>
      <c r="K3633" s="683" t="s">
        <v>418</v>
      </c>
      <c r="L3633" s="519">
        <f>M3633+N3633+O3633+P3633+Q3633</f>
        <v>440912</v>
      </c>
      <c r="M3633" s="529">
        <v>418000</v>
      </c>
      <c r="N3633" s="391"/>
      <c r="O3633" s="643">
        <v>1254</v>
      </c>
      <c r="P3633" s="391"/>
      <c r="Q3633" s="388">
        <v>21658</v>
      </c>
      <c r="R3633" s="528">
        <f>M3633/J3633</f>
        <v>22000</v>
      </c>
      <c r="T3633" s="416"/>
      <c r="U3633" s="464"/>
      <c r="V3633" s="389"/>
    </row>
    <row r="3634" spans="1:22" s="404" customFormat="1" ht="56.25" customHeight="1">
      <c r="A3634" s="458">
        <f t="shared" si="537"/>
        <v>18</v>
      </c>
      <c r="B3634" s="424" t="s">
        <v>4017</v>
      </c>
      <c r="C3634" s="455" t="s">
        <v>222</v>
      </c>
      <c r="D3634" s="606">
        <v>10596</v>
      </c>
      <c r="E3634" s="391">
        <v>1617.2</v>
      </c>
      <c r="F3634" s="391" t="s">
        <v>224</v>
      </c>
      <c r="G3634" s="391">
        <v>834</v>
      </c>
      <c r="H3634" s="528">
        <v>5</v>
      </c>
      <c r="I3634" s="528">
        <v>4</v>
      </c>
      <c r="J3634" s="528">
        <v>61</v>
      </c>
      <c r="K3634" s="458" t="s">
        <v>248</v>
      </c>
      <c r="L3634" s="519">
        <f>M3634+N3634+O3634+Q3634</f>
        <v>1943955</v>
      </c>
      <c r="M3634" s="519">
        <v>1918200</v>
      </c>
      <c r="N3634" s="388"/>
      <c r="O3634" s="643">
        <v>5755</v>
      </c>
      <c r="P3634" s="646"/>
      <c r="Q3634" s="388">
        <v>20000</v>
      </c>
      <c r="R3634" s="446">
        <f>M3634/G3634</f>
        <v>2300</v>
      </c>
      <c r="T3634" s="416"/>
      <c r="U3634" s="464"/>
      <c r="V3634" s="389"/>
    </row>
    <row r="3635" spans="1:22" s="404" customFormat="1" ht="75" customHeight="1">
      <c r="A3635" s="458">
        <f t="shared" si="537"/>
        <v>19</v>
      </c>
      <c r="B3635" s="427" t="s">
        <v>2847</v>
      </c>
      <c r="C3635" s="455" t="s">
        <v>222</v>
      </c>
      <c r="D3635" s="681">
        <v>2274</v>
      </c>
      <c r="E3635" s="646">
        <v>558.79999999999995</v>
      </c>
      <c r="F3635" s="388" t="s">
        <v>223</v>
      </c>
      <c r="G3635" s="646">
        <v>613.9</v>
      </c>
      <c r="H3635" s="648">
        <v>2</v>
      </c>
      <c r="I3635" s="648">
        <v>2</v>
      </c>
      <c r="J3635" s="648">
        <v>7</v>
      </c>
      <c r="K3635" s="458" t="s">
        <v>249</v>
      </c>
      <c r="L3635" s="519">
        <f>M3635+N3635+O3635+Q3635</f>
        <v>1871365</v>
      </c>
      <c r="M3635" s="519">
        <v>1841700</v>
      </c>
      <c r="N3635" s="388">
        <v>18417</v>
      </c>
      <c r="O3635" s="473"/>
      <c r="P3635" s="388"/>
      <c r="Q3635" s="388">
        <v>11248</v>
      </c>
      <c r="R3635" s="446">
        <f>M3635/G3635</f>
        <v>3000</v>
      </c>
      <c r="T3635" s="416"/>
      <c r="U3635" s="464"/>
      <c r="V3635" s="389"/>
    </row>
    <row r="3636" spans="1:22" s="404" customFormat="1" ht="75" customHeight="1">
      <c r="A3636" s="458">
        <f t="shared" si="537"/>
        <v>20</v>
      </c>
      <c r="B3636" s="733" t="s">
        <v>2848</v>
      </c>
      <c r="C3636" s="455" t="s">
        <v>222</v>
      </c>
      <c r="D3636" s="681">
        <v>2852</v>
      </c>
      <c r="E3636" s="646">
        <v>530</v>
      </c>
      <c r="F3636" s="388" t="s">
        <v>223</v>
      </c>
      <c r="G3636" s="646">
        <v>650</v>
      </c>
      <c r="H3636" s="648">
        <v>2</v>
      </c>
      <c r="I3636" s="648">
        <v>2</v>
      </c>
      <c r="J3636" s="648">
        <v>16</v>
      </c>
      <c r="K3636" s="458" t="s">
        <v>249</v>
      </c>
      <c r="L3636" s="519">
        <f>M3636+N3636+O3636+Q3636</f>
        <v>2052888</v>
      </c>
      <c r="M3636" s="519">
        <v>2018595</v>
      </c>
      <c r="N3636" s="388">
        <v>20186</v>
      </c>
      <c r="O3636" s="473"/>
      <c r="P3636" s="388"/>
      <c r="Q3636" s="388">
        <v>14107</v>
      </c>
      <c r="R3636" s="446">
        <f>M3636/G3636</f>
        <v>3105.5307692307692</v>
      </c>
      <c r="T3636" s="416"/>
      <c r="U3636" s="464"/>
      <c r="V3636" s="389"/>
    </row>
    <row r="3637" spans="1:22" s="404" customFormat="1" ht="75" customHeight="1">
      <c r="A3637" s="458">
        <f t="shared" si="537"/>
        <v>21</v>
      </c>
      <c r="B3637" s="403" t="s">
        <v>2849</v>
      </c>
      <c r="C3637" s="455" t="s">
        <v>222</v>
      </c>
      <c r="D3637" s="641">
        <v>2610</v>
      </c>
      <c r="E3637" s="388">
        <v>442.4</v>
      </c>
      <c r="F3637" s="388" t="s">
        <v>223</v>
      </c>
      <c r="G3637" s="388">
        <v>773.5</v>
      </c>
      <c r="H3637" s="446">
        <v>2</v>
      </c>
      <c r="I3637" s="446">
        <v>2</v>
      </c>
      <c r="J3637" s="446">
        <v>16</v>
      </c>
      <c r="K3637" s="458" t="s">
        <v>249</v>
      </c>
      <c r="L3637" s="519">
        <f>M3637+N3637+O3637+Q3637</f>
        <v>2439426</v>
      </c>
      <c r="M3637" s="519">
        <v>2402491</v>
      </c>
      <c r="N3637" s="388">
        <v>24025</v>
      </c>
      <c r="O3637" s="473"/>
      <c r="P3637" s="388"/>
      <c r="Q3637" s="388">
        <v>12910</v>
      </c>
      <c r="R3637" s="446">
        <f>M3637/G3637</f>
        <v>3106</v>
      </c>
      <c r="T3637" s="416"/>
      <c r="U3637" s="464"/>
      <c r="V3637" s="389"/>
    </row>
    <row r="3638" spans="1:22" s="403" customFormat="1" ht="42.75" customHeight="1">
      <c r="A3638" s="1115" t="s">
        <v>50</v>
      </c>
      <c r="B3638" s="1115"/>
      <c r="C3638" s="531" t="s">
        <v>28</v>
      </c>
      <c r="D3638" s="641">
        <f>SUM(D3617:D3637)</f>
        <v>227655.2</v>
      </c>
      <c r="E3638" s="388">
        <f>SUM(E3617:E3637)</f>
        <v>47839.02</v>
      </c>
      <c r="F3638" s="388" t="s">
        <v>28</v>
      </c>
      <c r="G3638" s="388">
        <f>SUM(G3617:G3637)</f>
        <v>23425.840000000004</v>
      </c>
      <c r="H3638" s="446" t="s">
        <v>28</v>
      </c>
      <c r="I3638" s="446" t="s">
        <v>28</v>
      </c>
      <c r="J3638" s="446">
        <f>SUM(J3617:J3637)</f>
        <v>1183</v>
      </c>
      <c r="K3638" s="504" t="s">
        <v>28</v>
      </c>
      <c r="L3638" s="519">
        <f>SUM(L3617:L3637)</f>
        <v>65398497</v>
      </c>
      <c r="M3638" s="519">
        <f>SUM(M3617:M3637)</f>
        <v>64365636</v>
      </c>
      <c r="N3638" s="388">
        <f>SUM(N3617:N3637)</f>
        <v>505180</v>
      </c>
      <c r="O3638" s="473">
        <f>SUM(O3617:O3637)</f>
        <v>35310</v>
      </c>
      <c r="P3638" s="388"/>
      <c r="Q3638" s="388">
        <f>SUM(Q3617:Q3637)</f>
        <v>492371</v>
      </c>
      <c r="R3638" s="446" t="s">
        <v>28</v>
      </c>
      <c r="T3638" s="393"/>
      <c r="U3638" s="464"/>
    </row>
    <row r="3639" spans="1:22" s="403" customFormat="1" ht="42.75" customHeight="1">
      <c r="A3639" s="1113" t="s">
        <v>51</v>
      </c>
      <c r="B3639" s="1113"/>
      <c r="C3639" s="1113"/>
      <c r="D3639" s="1113"/>
      <c r="E3639" s="1113"/>
      <c r="F3639" s="1113"/>
      <c r="G3639" s="1113"/>
      <c r="H3639" s="1113"/>
      <c r="I3639" s="1113"/>
      <c r="J3639" s="1113"/>
      <c r="K3639" s="1113"/>
      <c r="L3639" s="1113"/>
      <c r="M3639" s="1113"/>
      <c r="N3639" s="1113"/>
      <c r="O3639" s="1113"/>
      <c r="P3639" s="1113"/>
      <c r="Q3639" s="1113"/>
      <c r="R3639" s="458"/>
      <c r="T3639" s="393"/>
      <c r="U3639" s="464"/>
    </row>
    <row r="3640" spans="1:22" s="403" customFormat="1" ht="37.5" customHeight="1">
      <c r="A3640" s="458">
        <v>1</v>
      </c>
      <c r="B3640" s="403" t="s">
        <v>2850</v>
      </c>
      <c r="C3640" s="455" t="s">
        <v>222</v>
      </c>
      <c r="D3640" s="641">
        <v>2317.5</v>
      </c>
      <c r="E3640" s="388">
        <v>520</v>
      </c>
      <c r="F3640" s="388" t="s">
        <v>223</v>
      </c>
      <c r="G3640" s="388">
        <v>465</v>
      </c>
      <c r="H3640" s="446">
        <v>2</v>
      </c>
      <c r="I3640" s="446">
        <v>1</v>
      </c>
      <c r="J3640" s="446">
        <v>17</v>
      </c>
      <c r="K3640" s="458" t="s">
        <v>33</v>
      </c>
      <c r="L3640" s="529">
        <f>M3640+N3640+O3640+P3640+Q3640</f>
        <v>1316533</v>
      </c>
      <c r="M3640" s="519">
        <v>1279480</v>
      </c>
      <c r="N3640" s="388">
        <v>25590</v>
      </c>
      <c r="O3640" s="473"/>
      <c r="P3640" s="388"/>
      <c r="Q3640" s="388">
        <v>11463</v>
      </c>
      <c r="R3640" s="446">
        <f>M3640/G3640</f>
        <v>2751.5698924731182</v>
      </c>
      <c r="T3640" s="393"/>
      <c r="U3640" s="464"/>
    </row>
    <row r="3641" spans="1:22" s="403" customFormat="1" ht="42.75" customHeight="1">
      <c r="A3641" s="1112" t="s">
        <v>120</v>
      </c>
      <c r="B3641" s="1112"/>
      <c r="C3641" s="531" t="s">
        <v>28</v>
      </c>
      <c r="D3641" s="641">
        <f>SUM(D3640:D3640)</f>
        <v>2317.5</v>
      </c>
      <c r="E3641" s="388">
        <f>SUM(E3640:E3640)</f>
        <v>520</v>
      </c>
      <c r="F3641" s="388" t="s">
        <v>28</v>
      </c>
      <c r="G3641" s="388">
        <f>SUM(G3640:G3640)</f>
        <v>465</v>
      </c>
      <c r="H3641" s="446" t="s">
        <v>28</v>
      </c>
      <c r="I3641" s="446" t="s">
        <v>28</v>
      </c>
      <c r="J3641" s="446">
        <f>SUM(J3640:J3640)</f>
        <v>17</v>
      </c>
      <c r="K3641" s="504" t="s">
        <v>28</v>
      </c>
      <c r="L3641" s="519">
        <f>SUM(L3640:L3640)</f>
        <v>1316533</v>
      </c>
      <c r="M3641" s="519">
        <f>SUM(M3640:M3640)</f>
        <v>1279480</v>
      </c>
      <c r="N3641" s="388">
        <f>SUM(N3640:N3640)</f>
        <v>25590</v>
      </c>
      <c r="O3641" s="473"/>
      <c r="P3641" s="388"/>
      <c r="Q3641" s="388">
        <f>SUM(Q3640:Q3640)</f>
        <v>11463</v>
      </c>
      <c r="R3641" s="446" t="s">
        <v>28</v>
      </c>
      <c r="T3641" s="393"/>
      <c r="U3641" s="464"/>
    </row>
    <row r="3642" spans="1:22" s="403" customFormat="1" ht="42.75" customHeight="1">
      <c r="A3642" s="1113" t="s">
        <v>52</v>
      </c>
      <c r="B3642" s="1113"/>
      <c r="C3642" s="1113"/>
      <c r="D3642" s="1113"/>
      <c r="E3642" s="1113"/>
      <c r="F3642" s="1113"/>
      <c r="G3642" s="1113"/>
      <c r="H3642" s="1113"/>
      <c r="I3642" s="1113"/>
      <c r="J3642" s="1113"/>
      <c r="K3642" s="1113"/>
      <c r="L3642" s="1113"/>
      <c r="M3642" s="1113"/>
      <c r="N3642" s="1113"/>
      <c r="O3642" s="1113"/>
      <c r="P3642" s="1113"/>
      <c r="Q3642" s="1113"/>
      <c r="R3642" s="458"/>
      <c r="T3642" s="393"/>
      <c r="U3642" s="464"/>
    </row>
    <row r="3643" spans="1:22" s="431" customFormat="1" ht="75" customHeight="1">
      <c r="A3643" s="458">
        <v>1</v>
      </c>
      <c r="B3643" s="403" t="s">
        <v>2851</v>
      </c>
      <c r="C3643" s="455" t="s">
        <v>222</v>
      </c>
      <c r="D3643" s="606">
        <v>2883</v>
      </c>
      <c r="E3643" s="391">
        <v>940.8</v>
      </c>
      <c r="F3643" s="383" t="s">
        <v>223</v>
      </c>
      <c r="G3643" s="391">
        <v>1012.3</v>
      </c>
      <c r="H3643" s="528">
        <v>2</v>
      </c>
      <c r="I3643" s="528">
        <v>2</v>
      </c>
      <c r="J3643" s="528">
        <v>16</v>
      </c>
      <c r="K3643" s="458" t="s">
        <v>275</v>
      </c>
      <c r="L3643" s="519">
        <f>M3643+N3643+O3643+P3643+Q3643</f>
        <v>2237090</v>
      </c>
      <c r="M3643" s="645">
        <v>2198374</v>
      </c>
      <c r="N3643" s="646">
        <v>21984</v>
      </c>
      <c r="O3643" s="647"/>
      <c r="P3643" s="646"/>
      <c r="Q3643" s="388">
        <v>16732</v>
      </c>
      <c r="R3643" s="648">
        <f>M3643/G3643</f>
        <v>2171.6625506272844</v>
      </c>
      <c r="U3643" s="464"/>
    </row>
    <row r="3644" spans="1:22" s="403" customFormat="1" ht="42.75" customHeight="1">
      <c r="A3644" s="1112" t="s">
        <v>53</v>
      </c>
      <c r="B3644" s="1112"/>
      <c r="C3644" s="531" t="s">
        <v>28</v>
      </c>
      <c r="D3644" s="641">
        <f>SUM(D3643:D3643)</f>
        <v>2883</v>
      </c>
      <c r="E3644" s="388">
        <f>SUM(E3643:E3643)</f>
        <v>940.8</v>
      </c>
      <c r="F3644" s="388" t="s">
        <v>28</v>
      </c>
      <c r="G3644" s="388">
        <f>SUM(G3643:G3643)</f>
        <v>1012.3</v>
      </c>
      <c r="H3644" s="446" t="s">
        <v>28</v>
      </c>
      <c r="I3644" s="446" t="s">
        <v>28</v>
      </c>
      <c r="J3644" s="446">
        <f>SUM(J3643:J3643)</f>
        <v>16</v>
      </c>
      <c r="K3644" s="504" t="s">
        <v>28</v>
      </c>
      <c r="L3644" s="519">
        <f>SUM(L3643:L3643)</f>
        <v>2237090</v>
      </c>
      <c r="M3644" s="519">
        <f>SUM(M3643:M3643)</f>
        <v>2198374</v>
      </c>
      <c r="N3644" s="388">
        <f>SUM(N3643:N3643)</f>
        <v>21984</v>
      </c>
      <c r="O3644" s="473"/>
      <c r="P3644" s="388"/>
      <c r="Q3644" s="388">
        <f>SUM(Q3643:Q3643)</f>
        <v>16732</v>
      </c>
      <c r="R3644" s="446" t="s">
        <v>28</v>
      </c>
      <c r="S3644" s="431"/>
      <c r="T3644" s="393"/>
      <c r="U3644" s="464"/>
    </row>
    <row r="3645" spans="1:22" s="403" customFormat="1" ht="42.75" customHeight="1">
      <c r="A3645" s="1113" t="s">
        <v>54</v>
      </c>
      <c r="B3645" s="1113"/>
      <c r="C3645" s="1113"/>
      <c r="D3645" s="1113"/>
      <c r="E3645" s="1113"/>
      <c r="F3645" s="1113"/>
      <c r="G3645" s="1113"/>
      <c r="H3645" s="1113"/>
      <c r="I3645" s="1113"/>
      <c r="J3645" s="1113"/>
      <c r="K3645" s="1113"/>
      <c r="L3645" s="1113"/>
      <c r="M3645" s="1113"/>
      <c r="N3645" s="1113"/>
      <c r="O3645" s="1113"/>
      <c r="P3645" s="1113"/>
      <c r="Q3645" s="1113"/>
      <c r="R3645" s="458"/>
      <c r="T3645" s="393"/>
      <c r="U3645" s="464"/>
    </row>
    <row r="3646" spans="1:22" s="405" customFormat="1" ht="37.5" customHeight="1">
      <c r="A3646" s="458">
        <v>1</v>
      </c>
      <c r="B3646" s="403" t="s">
        <v>2852</v>
      </c>
      <c r="C3646" s="455" t="s">
        <v>222</v>
      </c>
      <c r="D3646" s="641">
        <v>1560</v>
      </c>
      <c r="E3646" s="388">
        <v>562</v>
      </c>
      <c r="F3646" s="388" t="s">
        <v>231</v>
      </c>
      <c r="G3646" s="388">
        <v>440</v>
      </c>
      <c r="H3646" s="446">
        <v>2</v>
      </c>
      <c r="I3646" s="446">
        <v>2</v>
      </c>
      <c r="J3646" s="446">
        <v>8</v>
      </c>
      <c r="K3646" s="458" t="s">
        <v>239</v>
      </c>
      <c r="L3646" s="519">
        <f>M3646+N3646+O3646+Q3646</f>
        <v>268662</v>
      </c>
      <c r="M3646" s="519">
        <v>240000</v>
      </c>
      <c r="N3646" s="388">
        <v>21600</v>
      </c>
      <c r="O3646" s="473"/>
      <c r="P3646" s="388"/>
      <c r="Q3646" s="388">
        <v>7062</v>
      </c>
      <c r="R3646" s="446">
        <f>M3646/J3646</f>
        <v>30000</v>
      </c>
      <c r="S3646" s="404"/>
      <c r="U3646" s="464"/>
    </row>
    <row r="3647" spans="1:22" s="405" customFormat="1" ht="37.5" customHeight="1">
      <c r="A3647" s="458">
        <f t="shared" ref="A3647:A3665" si="539">A3646+1</f>
        <v>2</v>
      </c>
      <c r="B3647" s="543" t="s">
        <v>3567</v>
      </c>
      <c r="C3647" s="455" t="s">
        <v>230</v>
      </c>
      <c r="D3647" s="641">
        <v>672</v>
      </c>
      <c r="E3647" s="388">
        <v>140</v>
      </c>
      <c r="F3647" s="388" t="s">
        <v>223</v>
      </c>
      <c r="G3647" s="388">
        <v>320</v>
      </c>
      <c r="H3647" s="446">
        <v>1</v>
      </c>
      <c r="I3647" s="446">
        <v>3</v>
      </c>
      <c r="J3647" s="446">
        <v>5</v>
      </c>
      <c r="K3647" s="458" t="s">
        <v>33</v>
      </c>
      <c r="L3647" s="529">
        <f>M3647+N3647+O3647+P3647+Q3647</f>
        <v>663119</v>
      </c>
      <c r="M3647" s="519">
        <v>640000</v>
      </c>
      <c r="N3647" s="388">
        <v>19200</v>
      </c>
      <c r="O3647" s="473"/>
      <c r="P3647" s="388"/>
      <c r="Q3647" s="388">
        <v>3919</v>
      </c>
      <c r="R3647" s="446">
        <f>M3647/G3647</f>
        <v>2000</v>
      </c>
      <c r="S3647" s="404"/>
      <c r="U3647" s="464"/>
    </row>
    <row r="3648" spans="1:22" s="405" customFormat="1" ht="37.5" customHeight="1">
      <c r="A3648" s="458">
        <f t="shared" si="539"/>
        <v>3</v>
      </c>
      <c r="B3648" s="403" t="s">
        <v>2853</v>
      </c>
      <c r="C3648" s="455" t="s">
        <v>222</v>
      </c>
      <c r="D3648" s="641">
        <v>2044</v>
      </c>
      <c r="E3648" s="388">
        <v>576</v>
      </c>
      <c r="F3648" s="388" t="s">
        <v>223</v>
      </c>
      <c r="G3648" s="388">
        <v>650</v>
      </c>
      <c r="H3648" s="446">
        <v>2</v>
      </c>
      <c r="I3648" s="446">
        <v>2</v>
      </c>
      <c r="J3648" s="446">
        <v>8</v>
      </c>
      <c r="K3648" s="458" t="s">
        <v>33</v>
      </c>
      <c r="L3648" s="529">
        <f>M3648+N3648+O3648+P3648+Q3648</f>
        <v>1336110</v>
      </c>
      <c r="M3648" s="519">
        <v>1300000</v>
      </c>
      <c r="N3648" s="388">
        <v>26000</v>
      </c>
      <c r="O3648" s="473"/>
      <c r="P3648" s="388"/>
      <c r="Q3648" s="388">
        <v>10110</v>
      </c>
      <c r="R3648" s="446">
        <f>M3648/G3648</f>
        <v>2000</v>
      </c>
      <c r="S3648" s="404"/>
      <c r="U3648" s="464"/>
    </row>
    <row r="3649" spans="1:22" s="405" customFormat="1" ht="37.5" customHeight="1">
      <c r="A3649" s="458">
        <f t="shared" si="539"/>
        <v>4</v>
      </c>
      <c r="B3649" s="403" t="s">
        <v>2854</v>
      </c>
      <c r="C3649" s="455" t="s">
        <v>222</v>
      </c>
      <c r="D3649" s="641">
        <v>1532</v>
      </c>
      <c r="E3649" s="388">
        <v>500</v>
      </c>
      <c r="F3649" s="388" t="s">
        <v>223</v>
      </c>
      <c r="G3649" s="388">
        <v>660</v>
      </c>
      <c r="H3649" s="446">
        <v>2</v>
      </c>
      <c r="I3649" s="446">
        <v>2</v>
      </c>
      <c r="J3649" s="446">
        <v>8</v>
      </c>
      <c r="K3649" s="458" t="s">
        <v>33</v>
      </c>
      <c r="L3649" s="529">
        <f>M3649+N3649+O3649+P3649+Q3649</f>
        <v>1495878</v>
      </c>
      <c r="M3649" s="519">
        <v>1452000</v>
      </c>
      <c r="N3649" s="388">
        <v>36300</v>
      </c>
      <c r="O3649" s="473"/>
      <c r="P3649" s="388"/>
      <c r="Q3649" s="388">
        <v>7578</v>
      </c>
      <c r="R3649" s="446">
        <f>M3649/G3649</f>
        <v>2200</v>
      </c>
      <c r="S3649" s="403"/>
      <c r="T3649" s="406"/>
      <c r="U3649" s="404"/>
      <c r="V3649" s="403"/>
    </row>
    <row r="3650" spans="1:22" s="405" customFormat="1" ht="37.5" customHeight="1">
      <c r="A3650" s="458">
        <f t="shared" si="539"/>
        <v>5</v>
      </c>
      <c r="B3650" s="543" t="s">
        <v>2855</v>
      </c>
      <c r="C3650" s="455" t="s">
        <v>222</v>
      </c>
      <c r="D3650" s="641">
        <v>3646</v>
      </c>
      <c r="E3650" s="388">
        <v>713</v>
      </c>
      <c r="F3650" s="388" t="s">
        <v>231</v>
      </c>
      <c r="G3650" s="388">
        <v>845</v>
      </c>
      <c r="H3650" s="446">
        <v>2</v>
      </c>
      <c r="I3650" s="446">
        <v>3</v>
      </c>
      <c r="J3650" s="446">
        <v>18</v>
      </c>
      <c r="K3650" s="458" t="s">
        <v>225</v>
      </c>
      <c r="L3650" s="645">
        <f>M3650+N3650+O3650+P3650+Q3650</f>
        <v>424130</v>
      </c>
      <c r="M3650" s="645">
        <v>396000</v>
      </c>
      <c r="N3650" s="646">
        <v>23760</v>
      </c>
      <c r="O3650" s="647"/>
      <c r="P3650" s="646"/>
      <c r="Q3650" s="388">
        <v>4370</v>
      </c>
      <c r="R3650" s="648">
        <f>M3650/J3650</f>
        <v>22000</v>
      </c>
      <c r="S3650" s="404"/>
      <c r="U3650" s="464"/>
    </row>
    <row r="3651" spans="1:22" s="405" customFormat="1" ht="37.5" customHeight="1">
      <c r="A3651" s="458">
        <f t="shared" si="539"/>
        <v>6</v>
      </c>
      <c r="B3651" s="403" t="s">
        <v>2856</v>
      </c>
      <c r="C3651" s="455" t="s">
        <v>222</v>
      </c>
      <c r="D3651" s="641">
        <v>4630</v>
      </c>
      <c r="E3651" s="388">
        <v>877</v>
      </c>
      <c r="F3651" s="388" t="s">
        <v>223</v>
      </c>
      <c r="G3651" s="388">
        <v>1134.46</v>
      </c>
      <c r="H3651" s="446">
        <v>2</v>
      </c>
      <c r="I3651" s="446">
        <v>3</v>
      </c>
      <c r="J3651" s="446">
        <v>24</v>
      </c>
      <c r="K3651" s="458" t="s">
        <v>33</v>
      </c>
      <c r="L3651" s="529">
        <f>M3651+N3651+O3651+P3651+Q3651</f>
        <v>2543660</v>
      </c>
      <c r="M3651" s="519">
        <v>2495801</v>
      </c>
      <c r="N3651" s="388">
        <v>24958</v>
      </c>
      <c r="O3651" s="473"/>
      <c r="P3651" s="388"/>
      <c r="Q3651" s="388">
        <v>22901</v>
      </c>
      <c r="R3651" s="446">
        <f>M3651/G3651</f>
        <v>2199.9903037568533</v>
      </c>
      <c r="S3651" s="403"/>
      <c r="T3651" s="406"/>
      <c r="U3651" s="404"/>
    </row>
    <row r="3652" spans="1:22" s="405" customFormat="1" ht="37.5" customHeight="1">
      <c r="A3652" s="458">
        <f t="shared" si="539"/>
        <v>7</v>
      </c>
      <c r="B3652" s="403" t="s">
        <v>2857</v>
      </c>
      <c r="C3652" s="455" t="s">
        <v>222</v>
      </c>
      <c r="D3652" s="641">
        <v>3669</v>
      </c>
      <c r="E3652" s="388">
        <v>713</v>
      </c>
      <c r="F3652" s="388" t="s">
        <v>223</v>
      </c>
      <c r="G3652" s="388">
        <v>845</v>
      </c>
      <c r="H3652" s="446">
        <v>2</v>
      </c>
      <c r="I3652" s="446">
        <v>3</v>
      </c>
      <c r="J3652" s="446">
        <v>18</v>
      </c>
      <c r="K3652" s="458" t="s">
        <v>239</v>
      </c>
      <c r="L3652" s="519">
        <f>M3652+N3652+O3652+Q3652</f>
        <v>573370</v>
      </c>
      <c r="M3652" s="519">
        <v>540000</v>
      </c>
      <c r="N3652" s="388">
        <v>21600</v>
      </c>
      <c r="O3652" s="473"/>
      <c r="P3652" s="388"/>
      <c r="Q3652" s="388">
        <v>11770</v>
      </c>
      <c r="R3652" s="446">
        <f>M3652/J3652</f>
        <v>30000</v>
      </c>
      <c r="S3652" s="404"/>
      <c r="U3652" s="464"/>
    </row>
    <row r="3653" spans="1:22" s="405" customFormat="1" ht="37.5" customHeight="1">
      <c r="A3653" s="458">
        <f t="shared" si="539"/>
        <v>8</v>
      </c>
      <c r="B3653" s="403" t="s">
        <v>2858</v>
      </c>
      <c r="C3653" s="455" t="s">
        <v>222</v>
      </c>
      <c r="D3653" s="641">
        <v>4967</v>
      </c>
      <c r="E3653" s="388">
        <v>686</v>
      </c>
      <c r="F3653" s="388" t="s">
        <v>223</v>
      </c>
      <c r="G3653" s="388">
        <v>845</v>
      </c>
      <c r="H3653" s="446">
        <v>2</v>
      </c>
      <c r="I3653" s="446">
        <v>3</v>
      </c>
      <c r="J3653" s="446">
        <v>18</v>
      </c>
      <c r="K3653" s="458" t="s">
        <v>239</v>
      </c>
      <c r="L3653" s="519">
        <f>M3653+N3653+O3653+Q3653</f>
        <v>573370</v>
      </c>
      <c r="M3653" s="519">
        <v>540000</v>
      </c>
      <c r="N3653" s="388">
        <v>21600</v>
      </c>
      <c r="O3653" s="473"/>
      <c r="P3653" s="388"/>
      <c r="Q3653" s="388">
        <v>11770</v>
      </c>
      <c r="R3653" s="446">
        <f>M3653/J3653</f>
        <v>30000</v>
      </c>
      <c r="S3653" s="404"/>
      <c r="U3653" s="464"/>
    </row>
    <row r="3654" spans="1:22" s="405" customFormat="1" ht="37.5" customHeight="1">
      <c r="A3654" s="458">
        <f t="shared" si="539"/>
        <v>9</v>
      </c>
      <c r="B3654" s="543" t="s">
        <v>2859</v>
      </c>
      <c r="C3654" s="455" t="s">
        <v>222</v>
      </c>
      <c r="D3654" s="641">
        <v>12300</v>
      </c>
      <c r="E3654" s="388">
        <v>2163</v>
      </c>
      <c r="F3654" s="388" t="s">
        <v>228</v>
      </c>
      <c r="G3654" s="388">
        <v>860</v>
      </c>
      <c r="H3654" s="446">
        <v>5</v>
      </c>
      <c r="I3654" s="446">
        <v>4</v>
      </c>
      <c r="J3654" s="446">
        <v>60</v>
      </c>
      <c r="K3654" s="458" t="s">
        <v>33</v>
      </c>
      <c r="L3654" s="650">
        <f>M3654+N3654+O3654+P3654+Q3654</f>
        <v>1745160</v>
      </c>
      <c r="M3654" s="650">
        <v>1720000</v>
      </c>
      <c r="N3654" s="688"/>
      <c r="O3654" s="643">
        <f>ROUND(M3654*0.3%,0)</f>
        <v>5160</v>
      </c>
      <c r="P3654" s="688"/>
      <c r="Q3654" s="388">
        <v>20000</v>
      </c>
      <c r="R3654" s="689">
        <f>M3654/G3654</f>
        <v>2000</v>
      </c>
      <c r="S3654" s="404"/>
      <c r="U3654" s="464"/>
    </row>
    <row r="3655" spans="1:22" s="405" customFormat="1" ht="37.5" customHeight="1">
      <c r="A3655" s="458">
        <f t="shared" si="539"/>
        <v>10</v>
      </c>
      <c r="B3655" s="543" t="s">
        <v>2860</v>
      </c>
      <c r="C3655" s="531" t="s">
        <v>218</v>
      </c>
      <c r="D3655" s="641">
        <v>3343</v>
      </c>
      <c r="E3655" s="388">
        <v>673</v>
      </c>
      <c r="F3655" s="388" t="s">
        <v>228</v>
      </c>
      <c r="G3655" s="388">
        <v>644</v>
      </c>
      <c r="H3655" s="446">
        <v>2</v>
      </c>
      <c r="I3655" s="446">
        <v>2</v>
      </c>
      <c r="J3655" s="446">
        <v>16</v>
      </c>
      <c r="K3655" s="458" t="s">
        <v>239</v>
      </c>
      <c r="L3655" s="519">
        <f>M3655+N3655+O3655+Q3655</f>
        <v>513370</v>
      </c>
      <c r="M3655" s="519">
        <v>480000</v>
      </c>
      <c r="N3655" s="388">
        <v>21600</v>
      </c>
      <c r="O3655" s="473"/>
      <c r="P3655" s="388"/>
      <c r="Q3655" s="388">
        <v>11770</v>
      </c>
      <c r="R3655" s="446">
        <f>M3655/J3655</f>
        <v>30000</v>
      </c>
      <c r="S3655" s="404"/>
      <c r="U3655" s="464"/>
    </row>
    <row r="3656" spans="1:22" s="405" customFormat="1" ht="37.5" customHeight="1">
      <c r="A3656" s="458">
        <f t="shared" si="539"/>
        <v>11</v>
      </c>
      <c r="B3656" s="403" t="s">
        <v>2861</v>
      </c>
      <c r="C3656" s="455" t="s">
        <v>222</v>
      </c>
      <c r="D3656" s="641">
        <v>12204</v>
      </c>
      <c r="E3656" s="388">
        <v>2280</v>
      </c>
      <c r="F3656" s="388" t="s">
        <v>223</v>
      </c>
      <c r="G3656" s="388">
        <v>1064</v>
      </c>
      <c r="H3656" s="446">
        <v>5</v>
      </c>
      <c r="I3656" s="446">
        <v>4</v>
      </c>
      <c r="J3656" s="446">
        <v>80</v>
      </c>
      <c r="K3656" s="458" t="s">
        <v>225</v>
      </c>
      <c r="L3656" s="645">
        <f>M3656+N3656+O3656+P3656+Q3656</f>
        <v>1803399</v>
      </c>
      <c r="M3656" s="645">
        <v>1760000</v>
      </c>
      <c r="N3656" s="646">
        <v>26400</v>
      </c>
      <c r="O3656" s="647"/>
      <c r="P3656" s="646"/>
      <c r="Q3656" s="388">
        <v>16999</v>
      </c>
      <c r="R3656" s="648">
        <f>M3656/J3656</f>
        <v>22000</v>
      </c>
      <c r="S3656" s="404"/>
      <c r="U3656" s="464"/>
    </row>
    <row r="3657" spans="1:22" s="403" customFormat="1" ht="37.5" customHeight="1">
      <c r="A3657" s="458">
        <f t="shared" si="539"/>
        <v>12</v>
      </c>
      <c r="B3657" s="543" t="s">
        <v>2862</v>
      </c>
      <c r="C3657" s="455" t="s">
        <v>222</v>
      </c>
      <c r="D3657" s="641">
        <v>1746</v>
      </c>
      <c r="E3657" s="388">
        <v>419</v>
      </c>
      <c r="F3657" s="388" t="s">
        <v>223</v>
      </c>
      <c r="G3657" s="388">
        <v>410</v>
      </c>
      <c r="H3657" s="446">
        <v>2</v>
      </c>
      <c r="I3657" s="446">
        <v>1</v>
      </c>
      <c r="J3657" s="446">
        <v>8</v>
      </c>
      <c r="K3657" s="458" t="s">
        <v>33</v>
      </c>
      <c r="L3657" s="529">
        <f>M3657+N3657+O3657+P3657+Q3657</f>
        <v>849436</v>
      </c>
      <c r="M3657" s="519">
        <v>820000</v>
      </c>
      <c r="N3657" s="388">
        <v>20500</v>
      </c>
      <c r="O3657" s="473"/>
      <c r="P3657" s="388"/>
      <c r="Q3657" s="388">
        <v>8936</v>
      </c>
      <c r="R3657" s="446">
        <f>M3657/G3657</f>
        <v>2000</v>
      </c>
      <c r="T3657" s="406"/>
      <c r="U3657" s="404"/>
    </row>
    <row r="3658" spans="1:22" s="405" customFormat="1" ht="37.5" customHeight="1">
      <c r="A3658" s="458">
        <f t="shared" si="539"/>
        <v>13</v>
      </c>
      <c r="B3658" s="403" t="s">
        <v>2863</v>
      </c>
      <c r="C3658" s="455" t="s">
        <v>222</v>
      </c>
      <c r="D3658" s="641">
        <v>13028</v>
      </c>
      <c r="E3658" s="388">
        <v>2310</v>
      </c>
      <c r="F3658" s="388" t="s">
        <v>228</v>
      </c>
      <c r="G3658" s="388">
        <v>860</v>
      </c>
      <c r="H3658" s="446">
        <v>5</v>
      </c>
      <c r="I3658" s="446">
        <v>4</v>
      </c>
      <c r="J3658" s="446">
        <v>52</v>
      </c>
      <c r="K3658" s="458" t="s">
        <v>33</v>
      </c>
      <c r="L3658" s="529">
        <f>M3658+N3658+O3658+P3658+Q3658</f>
        <v>1745160</v>
      </c>
      <c r="M3658" s="650">
        <v>1720000</v>
      </c>
      <c r="N3658" s="688"/>
      <c r="O3658" s="643">
        <f>ROUND(M3658*0.3%,0)</f>
        <v>5160</v>
      </c>
      <c r="P3658" s="688"/>
      <c r="Q3658" s="388">
        <v>20000</v>
      </c>
      <c r="R3658" s="689">
        <f>M3658/G3658</f>
        <v>2000</v>
      </c>
      <c r="S3658" s="403"/>
      <c r="T3658" s="406"/>
      <c r="U3658" s="404"/>
    </row>
    <row r="3659" spans="1:22" s="403" customFormat="1" ht="37.5" customHeight="1">
      <c r="A3659" s="458">
        <f t="shared" si="539"/>
        <v>14</v>
      </c>
      <c r="B3659" s="403" t="s">
        <v>2864</v>
      </c>
      <c r="C3659" s="455" t="s">
        <v>222</v>
      </c>
      <c r="D3659" s="641">
        <v>2696</v>
      </c>
      <c r="E3659" s="388">
        <v>574</v>
      </c>
      <c r="F3659" s="388" t="s">
        <v>223</v>
      </c>
      <c r="G3659" s="388">
        <v>690</v>
      </c>
      <c r="H3659" s="446">
        <v>2</v>
      </c>
      <c r="I3659" s="446">
        <v>2</v>
      </c>
      <c r="J3659" s="446">
        <v>16</v>
      </c>
      <c r="K3659" s="458" t="s">
        <v>33</v>
      </c>
      <c r="L3659" s="529">
        <f>M3659+N3659+O3659+P3659+Q3659</f>
        <v>1420935</v>
      </c>
      <c r="M3659" s="519">
        <v>1380000</v>
      </c>
      <c r="N3659" s="388">
        <v>27600</v>
      </c>
      <c r="O3659" s="473"/>
      <c r="P3659" s="388"/>
      <c r="Q3659" s="388">
        <v>13335</v>
      </c>
      <c r="R3659" s="446">
        <f>M3659/G3659</f>
        <v>2000</v>
      </c>
      <c r="T3659" s="406"/>
      <c r="U3659" s="404"/>
    </row>
    <row r="3660" spans="1:22" s="405" customFormat="1" ht="37.5" customHeight="1">
      <c r="A3660" s="458">
        <f t="shared" si="539"/>
        <v>15</v>
      </c>
      <c r="B3660" s="403" t="s">
        <v>2866</v>
      </c>
      <c r="C3660" s="455" t="s">
        <v>222</v>
      </c>
      <c r="D3660" s="641">
        <v>1584</v>
      </c>
      <c r="E3660" s="388">
        <v>408</v>
      </c>
      <c r="F3660" s="388" t="s">
        <v>223</v>
      </c>
      <c r="G3660" s="388">
        <v>410</v>
      </c>
      <c r="H3660" s="446">
        <v>2</v>
      </c>
      <c r="I3660" s="446">
        <v>4</v>
      </c>
      <c r="J3660" s="446">
        <v>12</v>
      </c>
      <c r="K3660" s="458" t="s">
        <v>33</v>
      </c>
      <c r="L3660" s="529">
        <f>M3660+N3660+O3660+P3660+Q3660</f>
        <v>932384</v>
      </c>
      <c r="M3660" s="519">
        <v>902000</v>
      </c>
      <c r="N3660" s="388">
        <v>22550</v>
      </c>
      <c r="O3660" s="473"/>
      <c r="P3660" s="388"/>
      <c r="Q3660" s="388">
        <v>7834</v>
      </c>
      <c r="R3660" s="446">
        <f>M3660/G3660</f>
        <v>2200</v>
      </c>
      <c r="S3660" s="404"/>
      <c r="U3660" s="464"/>
    </row>
    <row r="3661" spans="1:22" s="405" customFormat="1" ht="37.5" customHeight="1">
      <c r="A3661" s="458">
        <f t="shared" si="539"/>
        <v>16</v>
      </c>
      <c r="B3661" s="403" t="s">
        <v>2867</v>
      </c>
      <c r="C3661" s="455" t="s">
        <v>222</v>
      </c>
      <c r="D3661" s="641">
        <v>26480</v>
      </c>
      <c r="E3661" s="388">
        <v>2793</v>
      </c>
      <c r="F3661" s="388" t="s">
        <v>228</v>
      </c>
      <c r="G3661" s="388">
        <v>1471</v>
      </c>
      <c r="H3661" s="446">
        <v>5</v>
      </c>
      <c r="I3661" s="446">
        <v>7</v>
      </c>
      <c r="J3661" s="446">
        <v>65</v>
      </c>
      <c r="K3661" s="458" t="s">
        <v>239</v>
      </c>
      <c r="L3661" s="519">
        <f>M3661+N3661+O3661+Q3661</f>
        <v>2008912</v>
      </c>
      <c r="M3661" s="519">
        <v>1950000</v>
      </c>
      <c r="N3661" s="388">
        <v>29250</v>
      </c>
      <c r="O3661" s="473"/>
      <c r="P3661" s="388"/>
      <c r="Q3661" s="388">
        <v>29662</v>
      </c>
      <c r="R3661" s="446">
        <f>M3661/J3661</f>
        <v>30000</v>
      </c>
      <c r="S3661" s="404"/>
      <c r="U3661" s="464"/>
    </row>
    <row r="3662" spans="1:22" s="405" customFormat="1" ht="37.5" customHeight="1">
      <c r="A3662" s="458">
        <f t="shared" si="539"/>
        <v>17</v>
      </c>
      <c r="B3662" s="543" t="s">
        <v>2868</v>
      </c>
      <c r="C3662" s="455" t="s">
        <v>222</v>
      </c>
      <c r="D3662" s="641">
        <v>3241</v>
      </c>
      <c r="E3662" s="388">
        <v>614</v>
      </c>
      <c r="F3662" s="388" t="s">
        <v>223</v>
      </c>
      <c r="G3662" s="388">
        <v>845</v>
      </c>
      <c r="H3662" s="446">
        <v>2</v>
      </c>
      <c r="I3662" s="446">
        <v>2</v>
      </c>
      <c r="J3662" s="446">
        <v>16</v>
      </c>
      <c r="K3662" s="458" t="s">
        <v>33</v>
      </c>
      <c r="L3662" s="529">
        <f>M3662+N3662+O3662+P3662+Q3662</f>
        <v>1902916</v>
      </c>
      <c r="M3662" s="519">
        <v>1859000</v>
      </c>
      <c r="N3662" s="388">
        <v>27885</v>
      </c>
      <c r="O3662" s="473"/>
      <c r="P3662" s="388"/>
      <c r="Q3662" s="388">
        <v>16031</v>
      </c>
      <c r="R3662" s="446">
        <f>M3662/G3662</f>
        <v>2200</v>
      </c>
      <c r="S3662" s="404"/>
      <c r="U3662" s="464"/>
    </row>
    <row r="3663" spans="1:22" s="405" customFormat="1" ht="59.25" customHeight="1">
      <c r="A3663" s="458">
        <f t="shared" si="539"/>
        <v>18</v>
      </c>
      <c r="B3663" s="543" t="s">
        <v>2869</v>
      </c>
      <c r="C3663" s="455" t="s">
        <v>218</v>
      </c>
      <c r="D3663" s="641">
        <v>3200</v>
      </c>
      <c r="E3663" s="388">
        <v>963</v>
      </c>
      <c r="F3663" s="388" t="s">
        <v>223</v>
      </c>
      <c r="G3663" s="388">
        <v>860</v>
      </c>
      <c r="H3663" s="446">
        <v>2</v>
      </c>
      <c r="I3663" s="446">
        <v>2</v>
      </c>
      <c r="J3663" s="446">
        <v>16</v>
      </c>
      <c r="K3663" s="458" t="s">
        <v>33</v>
      </c>
      <c r="L3663" s="529">
        <f>M3663+N3663+O3663+P3663+Q3663</f>
        <v>2193511</v>
      </c>
      <c r="M3663" s="519">
        <v>2145500</v>
      </c>
      <c r="N3663" s="388">
        <v>32183</v>
      </c>
      <c r="O3663" s="473"/>
      <c r="P3663" s="388"/>
      <c r="Q3663" s="388">
        <v>15828</v>
      </c>
      <c r="R3663" s="446">
        <f>M3663/G3663</f>
        <v>2494.7674418604652</v>
      </c>
      <c r="S3663" s="404"/>
      <c r="U3663" s="464"/>
    </row>
    <row r="3664" spans="1:22" s="405" customFormat="1" ht="37.5" customHeight="1">
      <c r="A3664" s="458">
        <f t="shared" si="539"/>
        <v>19</v>
      </c>
      <c r="B3664" s="543" t="s">
        <v>2870</v>
      </c>
      <c r="C3664" s="455" t="s">
        <v>222</v>
      </c>
      <c r="D3664" s="641">
        <v>3200</v>
      </c>
      <c r="E3664" s="388">
        <v>929</v>
      </c>
      <c r="F3664" s="388" t="s">
        <v>223</v>
      </c>
      <c r="G3664" s="388">
        <v>860</v>
      </c>
      <c r="H3664" s="446">
        <v>2</v>
      </c>
      <c r="I3664" s="446">
        <v>2</v>
      </c>
      <c r="J3664" s="446">
        <v>16</v>
      </c>
      <c r="K3664" s="458" t="s">
        <v>33</v>
      </c>
      <c r="L3664" s="529">
        <f>M3664+N3664+O3664+P3664+Q3664</f>
        <v>2198160</v>
      </c>
      <c r="M3664" s="519">
        <v>2150081</v>
      </c>
      <c r="N3664" s="388">
        <v>32251</v>
      </c>
      <c r="O3664" s="473"/>
      <c r="P3664" s="388"/>
      <c r="Q3664" s="388">
        <v>15828</v>
      </c>
      <c r="R3664" s="446">
        <f>M3664/G3664</f>
        <v>2500.0941860465118</v>
      </c>
      <c r="S3664" s="404"/>
      <c r="U3664" s="464"/>
    </row>
    <row r="3665" spans="1:221" s="405" customFormat="1" ht="37.5" customHeight="1">
      <c r="A3665" s="458">
        <f t="shared" si="539"/>
        <v>20</v>
      </c>
      <c r="B3665" s="543" t="s">
        <v>4183</v>
      </c>
      <c r="C3665" s="455" t="s">
        <v>222</v>
      </c>
      <c r="D3665" s="641">
        <v>14673</v>
      </c>
      <c r="E3665" s="388">
        <v>2592</v>
      </c>
      <c r="F3665" s="388" t="s">
        <v>223</v>
      </c>
      <c r="G3665" s="388">
        <v>1271.6600000000001</v>
      </c>
      <c r="H3665" s="446">
        <v>5</v>
      </c>
      <c r="I3665" s="446">
        <v>4</v>
      </c>
      <c r="J3665" s="446">
        <v>67</v>
      </c>
      <c r="K3665" s="458" t="s">
        <v>33</v>
      </c>
      <c r="L3665" s="529">
        <f>M3665+N3665+O3665+P3665+Q3665</f>
        <v>3507816.82</v>
      </c>
      <c r="M3665" s="519">
        <v>3433482</v>
      </c>
      <c r="N3665" s="388">
        <v>34334.82</v>
      </c>
      <c r="O3665" s="473"/>
      <c r="P3665" s="388"/>
      <c r="Q3665" s="388">
        <v>40000</v>
      </c>
      <c r="R3665" s="446">
        <f>M3665/G3665</f>
        <v>2700</v>
      </c>
      <c r="S3665" s="404"/>
      <c r="U3665" s="464"/>
    </row>
    <row r="3666" spans="1:221" s="403" customFormat="1" ht="42.75" customHeight="1">
      <c r="A3666" s="1123" t="s">
        <v>121</v>
      </c>
      <c r="B3666" s="1123"/>
      <c r="C3666" s="388" t="s">
        <v>28</v>
      </c>
      <c r="D3666" s="641">
        <f>SUM(D3646:D3665)</f>
        <v>120415</v>
      </c>
      <c r="E3666" s="388">
        <f>SUM(E3646:E3665)</f>
        <v>21485</v>
      </c>
      <c r="F3666" s="388" t="s">
        <v>28</v>
      </c>
      <c r="G3666" s="388">
        <f>SUM(G3646:G3665)</f>
        <v>15985.119999999999</v>
      </c>
      <c r="H3666" s="446" t="s">
        <v>28</v>
      </c>
      <c r="I3666" s="446" t="s">
        <v>28</v>
      </c>
      <c r="J3666" s="446">
        <f>SUM(J3646:J3665)</f>
        <v>531</v>
      </c>
      <c r="K3666" s="389" t="s">
        <v>28</v>
      </c>
      <c r="L3666" s="519">
        <f>SUM(L3646:L3665)</f>
        <v>28699458.82</v>
      </c>
      <c r="M3666" s="519">
        <f>SUM(M3646:M3665)</f>
        <v>27923864</v>
      </c>
      <c r="N3666" s="388">
        <f>SUM(N3646:N3665)</f>
        <v>469571.82</v>
      </c>
      <c r="O3666" s="473">
        <f>SUM(O3646:O3665)</f>
        <v>10320</v>
      </c>
      <c r="P3666" s="388"/>
      <c r="Q3666" s="388">
        <f>SUM(Q3646:Q3665)</f>
        <v>295703</v>
      </c>
      <c r="R3666" s="446" t="s">
        <v>28</v>
      </c>
      <c r="T3666" s="393"/>
      <c r="U3666" s="464"/>
    </row>
    <row r="3667" spans="1:221" s="403" customFormat="1" ht="42.75" customHeight="1">
      <c r="A3667" s="1113" t="s">
        <v>55</v>
      </c>
      <c r="B3667" s="1113"/>
      <c r="C3667" s="1113"/>
      <c r="D3667" s="1113"/>
      <c r="E3667" s="1113"/>
      <c r="F3667" s="1113"/>
      <c r="G3667" s="1113"/>
      <c r="H3667" s="1113"/>
      <c r="I3667" s="1113"/>
      <c r="J3667" s="1113"/>
      <c r="K3667" s="1113"/>
      <c r="L3667" s="1113"/>
      <c r="M3667" s="1113"/>
      <c r="N3667" s="1113"/>
      <c r="O3667" s="1113"/>
      <c r="P3667" s="1113"/>
      <c r="Q3667" s="1113"/>
      <c r="R3667" s="458"/>
      <c r="T3667" s="393"/>
      <c r="U3667" s="464"/>
    </row>
    <row r="3668" spans="1:221" s="471" customFormat="1" ht="75" customHeight="1">
      <c r="A3668" s="458">
        <v>1</v>
      </c>
      <c r="B3668" s="546" t="s">
        <v>4322</v>
      </c>
      <c r="C3668" s="455" t="s">
        <v>222</v>
      </c>
      <c r="D3668" s="833">
        <v>2392</v>
      </c>
      <c r="E3668" s="575">
        <v>460</v>
      </c>
      <c r="F3668" s="575" t="s">
        <v>223</v>
      </c>
      <c r="G3668" s="575">
        <v>660</v>
      </c>
      <c r="H3668" s="576">
        <v>2</v>
      </c>
      <c r="I3668" s="576">
        <v>2</v>
      </c>
      <c r="J3668" s="576">
        <v>12</v>
      </c>
      <c r="K3668" s="834" t="s">
        <v>4323</v>
      </c>
      <c r="L3668" s="650">
        <f>SUM(M3668:Q3668)</f>
        <v>1418214</v>
      </c>
      <c r="M3668" s="650">
        <v>1386000</v>
      </c>
      <c r="N3668" s="688">
        <v>20382</v>
      </c>
      <c r="O3668" s="703"/>
      <c r="P3668" s="688"/>
      <c r="Q3668" s="388">
        <v>11832</v>
      </c>
      <c r="R3668" s="689">
        <f>M3668/G3668</f>
        <v>2100</v>
      </c>
      <c r="U3668" s="464"/>
    </row>
    <row r="3669" spans="1:221" s="471" customFormat="1" ht="75" customHeight="1">
      <c r="A3669" s="458">
        <v>2</v>
      </c>
      <c r="B3669" s="546" t="s">
        <v>2872</v>
      </c>
      <c r="C3669" s="455" t="s">
        <v>222</v>
      </c>
      <c r="D3669" s="833">
        <v>2954</v>
      </c>
      <c r="E3669" s="575">
        <v>547</v>
      </c>
      <c r="F3669" s="575" t="s">
        <v>223</v>
      </c>
      <c r="G3669" s="575">
        <v>680</v>
      </c>
      <c r="H3669" s="576">
        <v>2</v>
      </c>
      <c r="I3669" s="576">
        <v>2</v>
      </c>
      <c r="J3669" s="576">
        <v>16</v>
      </c>
      <c r="K3669" s="834" t="s">
        <v>275</v>
      </c>
      <c r="L3669" s="650">
        <f>SUM(M3669:Q3669)</f>
        <v>1464031</v>
      </c>
      <c r="M3669" s="650">
        <v>1428000</v>
      </c>
      <c r="N3669" s="688">
        <v>21420</v>
      </c>
      <c r="O3669" s="703"/>
      <c r="P3669" s="688"/>
      <c r="Q3669" s="388">
        <v>14611</v>
      </c>
      <c r="R3669" s="689">
        <f>M3669/G3669</f>
        <v>2100</v>
      </c>
      <c r="U3669" s="464"/>
    </row>
    <row r="3670" spans="1:221" s="403" customFormat="1" ht="42.75" customHeight="1">
      <c r="A3670" s="1112" t="s">
        <v>56</v>
      </c>
      <c r="B3670" s="1112"/>
      <c r="C3670" s="388" t="s">
        <v>28</v>
      </c>
      <c r="D3670" s="641">
        <f>SUM(D3668:D3669)</f>
        <v>5346</v>
      </c>
      <c r="E3670" s="388">
        <f>SUM(E3668:E3669)</f>
        <v>1007</v>
      </c>
      <c r="F3670" s="388" t="s">
        <v>28</v>
      </c>
      <c r="G3670" s="388">
        <f>SUM(G3668:G3669)</f>
        <v>1340</v>
      </c>
      <c r="H3670" s="446" t="s">
        <v>28</v>
      </c>
      <c r="I3670" s="446" t="s">
        <v>28</v>
      </c>
      <c r="J3670" s="446">
        <f>SUM(J3668:J3669)</f>
        <v>28</v>
      </c>
      <c r="K3670" s="389" t="s">
        <v>28</v>
      </c>
      <c r="L3670" s="519">
        <f>SUM(L3668:L3669)</f>
        <v>2882245</v>
      </c>
      <c r="M3670" s="519">
        <f>SUM(M3668:M3669)</f>
        <v>2814000</v>
      </c>
      <c r="N3670" s="388">
        <f>SUM(N3668:N3669)</f>
        <v>41802</v>
      </c>
      <c r="O3670" s="473"/>
      <c r="P3670" s="388"/>
      <c r="Q3670" s="388">
        <f>SUM(Q3668:Q3669)</f>
        <v>26443</v>
      </c>
      <c r="R3670" s="446" t="s">
        <v>28</v>
      </c>
      <c r="T3670" s="393"/>
      <c r="U3670" s="464"/>
    </row>
    <row r="3671" spans="1:221" s="403" customFormat="1" ht="42.75" customHeight="1">
      <c r="A3671" s="1113" t="s">
        <v>32</v>
      </c>
      <c r="B3671" s="1113"/>
      <c r="C3671" s="1113"/>
      <c r="D3671" s="1113"/>
      <c r="E3671" s="1113"/>
      <c r="F3671" s="1113"/>
      <c r="G3671" s="1113"/>
      <c r="H3671" s="1113"/>
      <c r="I3671" s="1113"/>
      <c r="J3671" s="1113"/>
      <c r="K3671" s="1113"/>
      <c r="L3671" s="1113"/>
      <c r="M3671" s="1113"/>
      <c r="N3671" s="1113"/>
      <c r="O3671" s="1113"/>
      <c r="P3671" s="1113"/>
      <c r="Q3671" s="1113"/>
      <c r="R3671" s="458"/>
      <c r="T3671" s="393"/>
      <c r="U3671" s="464"/>
    </row>
    <row r="3672" spans="1:221" s="996" customFormat="1" ht="37.5" customHeight="1">
      <c r="A3672" s="901">
        <v>1</v>
      </c>
      <c r="B3672" s="698" t="s">
        <v>3568</v>
      </c>
      <c r="C3672" s="617" t="s">
        <v>222</v>
      </c>
      <c r="D3672" s="700">
        <v>3276</v>
      </c>
      <c r="E3672" s="688">
        <v>1310.4000000000001</v>
      </c>
      <c r="F3672" s="651" t="s">
        <v>228</v>
      </c>
      <c r="G3672" s="688">
        <v>766.8</v>
      </c>
      <c r="H3672" s="701">
        <v>9</v>
      </c>
      <c r="I3672" s="701">
        <v>2</v>
      </c>
      <c r="J3672" s="689">
        <v>108</v>
      </c>
      <c r="K3672" s="697" t="s">
        <v>220</v>
      </c>
      <c r="L3672" s="650">
        <f>SUM(M3672:Q3672)</f>
        <v>4106250</v>
      </c>
      <c r="M3672" s="650">
        <v>4000000</v>
      </c>
      <c r="N3672" s="688">
        <v>106250</v>
      </c>
      <c r="O3672" s="643"/>
      <c r="P3672" s="688"/>
      <c r="Q3672" s="388"/>
      <c r="R3672" s="446">
        <f>M3672/I3672</f>
        <v>2000000</v>
      </c>
      <c r="S3672" s="435"/>
      <c r="T3672" s="435"/>
      <c r="U3672" s="464"/>
      <c r="V3672" s="995"/>
      <c r="W3672" s="995"/>
      <c r="X3672" s="995"/>
      <c r="Y3672" s="995"/>
      <c r="Z3672" s="995"/>
      <c r="AA3672" s="995"/>
      <c r="AB3672" s="995"/>
      <c r="AC3672" s="995"/>
      <c r="AD3672" s="995"/>
      <c r="AE3672" s="995"/>
      <c r="AF3672" s="995"/>
      <c r="AG3672" s="995"/>
      <c r="AH3672" s="995"/>
      <c r="AI3672" s="995"/>
      <c r="AJ3672" s="995"/>
      <c r="AK3672" s="995"/>
      <c r="AL3672" s="995"/>
      <c r="AM3672" s="995"/>
      <c r="AN3672" s="995"/>
      <c r="AO3672" s="995"/>
      <c r="AP3672" s="995"/>
      <c r="AQ3672" s="995"/>
      <c r="AR3672" s="995"/>
      <c r="AS3672" s="995"/>
      <c r="AT3672" s="995"/>
      <c r="AU3672" s="995"/>
      <c r="AV3672" s="995"/>
      <c r="AW3672" s="995"/>
      <c r="AX3672" s="995"/>
      <c r="AY3672" s="995"/>
      <c r="AZ3672" s="995"/>
      <c r="BA3672" s="995"/>
      <c r="BB3672" s="995"/>
      <c r="BC3672" s="995"/>
      <c r="BD3672" s="995"/>
      <c r="BE3672" s="995"/>
      <c r="BF3672" s="995"/>
      <c r="BG3672" s="995"/>
      <c r="BH3672" s="995"/>
      <c r="BI3672" s="995"/>
      <c r="BJ3672" s="995"/>
      <c r="BK3672" s="995"/>
      <c r="BL3672" s="995"/>
      <c r="BM3672" s="995"/>
      <c r="BN3672" s="995"/>
      <c r="BO3672" s="995"/>
      <c r="BP3672" s="995"/>
      <c r="BQ3672" s="995"/>
      <c r="BR3672" s="995"/>
      <c r="BS3672" s="995"/>
      <c r="BT3672" s="995"/>
      <c r="BU3672" s="995"/>
      <c r="BV3672" s="995"/>
      <c r="BW3672" s="995"/>
      <c r="BX3672" s="995"/>
      <c r="BY3672" s="995"/>
      <c r="BZ3672" s="995"/>
      <c r="CA3672" s="995"/>
      <c r="CB3672" s="995"/>
      <c r="CC3672" s="995"/>
      <c r="CD3672" s="995"/>
      <c r="CE3672" s="995"/>
      <c r="CF3672" s="995"/>
      <c r="CG3672" s="995"/>
      <c r="CH3672" s="995"/>
      <c r="CI3672" s="995"/>
      <c r="CJ3672" s="995"/>
      <c r="CK3672" s="995"/>
      <c r="CL3672" s="995"/>
      <c r="CM3672" s="995"/>
      <c r="CN3672" s="995"/>
      <c r="CO3672" s="995"/>
      <c r="CP3672" s="995"/>
      <c r="CQ3672" s="995"/>
      <c r="CR3672" s="995"/>
      <c r="CS3672" s="995"/>
      <c r="CT3672" s="995"/>
      <c r="CU3672" s="995"/>
      <c r="CV3672" s="995"/>
      <c r="CW3672" s="995"/>
      <c r="CX3672" s="995"/>
      <c r="CY3672" s="995"/>
      <c r="CZ3672" s="995"/>
      <c r="DA3672" s="995"/>
      <c r="DB3672" s="995"/>
      <c r="DC3672" s="995"/>
      <c r="DD3672" s="995"/>
      <c r="DE3672" s="995"/>
      <c r="DF3672" s="995"/>
      <c r="DG3672" s="995"/>
      <c r="DH3672" s="995"/>
      <c r="DI3672" s="995"/>
      <c r="DJ3672" s="995"/>
      <c r="DK3672" s="995"/>
      <c r="DL3672" s="995"/>
      <c r="DM3672" s="995"/>
      <c r="DN3672" s="995"/>
      <c r="DO3672" s="995"/>
      <c r="DP3672" s="995"/>
      <c r="DQ3672" s="995"/>
      <c r="DR3672" s="995"/>
      <c r="DS3672" s="995"/>
      <c r="DT3672" s="995"/>
      <c r="DU3672" s="995"/>
      <c r="DV3672" s="995"/>
      <c r="DW3672" s="995"/>
      <c r="DX3672" s="995"/>
      <c r="DY3672" s="995"/>
      <c r="DZ3672" s="995"/>
      <c r="EA3672" s="995"/>
      <c r="EB3672" s="995"/>
      <c r="EC3672" s="995"/>
      <c r="ED3672" s="995"/>
      <c r="EE3672" s="995"/>
      <c r="EF3672" s="995"/>
      <c r="EG3672" s="995"/>
      <c r="EH3672" s="995"/>
      <c r="EI3672" s="995"/>
      <c r="EJ3672" s="995"/>
      <c r="EK3672" s="995"/>
      <c r="EL3672" s="995"/>
      <c r="EM3672" s="995"/>
      <c r="EN3672" s="995"/>
      <c r="EO3672" s="995"/>
      <c r="EP3672" s="995"/>
      <c r="EQ3672" s="995"/>
      <c r="ER3672" s="995"/>
      <c r="ES3672" s="995"/>
      <c r="ET3672" s="995"/>
      <c r="EU3672" s="995"/>
      <c r="EV3672" s="995"/>
      <c r="EW3672" s="995"/>
      <c r="EX3672" s="995"/>
      <c r="EY3672" s="995"/>
      <c r="EZ3672" s="995"/>
      <c r="FA3672" s="995"/>
      <c r="FB3672" s="995"/>
      <c r="FC3672" s="995"/>
      <c r="FD3672" s="995"/>
      <c r="FE3672" s="995"/>
      <c r="FF3672" s="995"/>
      <c r="FG3672" s="995"/>
      <c r="FH3672" s="995"/>
      <c r="FI3672" s="995"/>
      <c r="FJ3672" s="995"/>
      <c r="FK3672" s="995"/>
      <c r="FL3672" s="995"/>
      <c r="FM3672" s="995"/>
      <c r="FN3672" s="995"/>
      <c r="FO3672" s="995"/>
      <c r="FP3672" s="995"/>
      <c r="FQ3672" s="995"/>
      <c r="FR3672" s="995"/>
      <c r="FS3672" s="995"/>
      <c r="FT3672" s="995"/>
      <c r="FU3672" s="995"/>
      <c r="FV3672" s="995"/>
      <c r="FW3672" s="995"/>
      <c r="FX3672" s="995"/>
      <c r="FY3672" s="995"/>
      <c r="FZ3672" s="995"/>
      <c r="GA3672" s="995"/>
      <c r="GB3672" s="995"/>
      <c r="GC3672" s="995"/>
      <c r="GD3672" s="995"/>
      <c r="GE3672" s="995"/>
      <c r="GF3672" s="995"/>
      <c r="GG3672" s="995"/>
      <c r="GH3672" s="995"/>
      <c r="GI3672" s="995"/>
      <c r="GJ3672" s="995"/>
      <c r="GK3672" s="995"/>
      <c r="GL3672" s="995"/>
      <c r="GM3672" s="995"/>
      <c r="GN3672" s="995"/>
      <c r="GO3672" s="995"/>
      <c r="GP3672" s="995"/>
      <c r="GQ3672" s="995"/>
      <c r="GR3672" s="995"/>
      <c r="GS3672" s="995"/>
      <c r="GT3672" s="995"/>
      <c r="GU3672" s="995"/>
      <c r="GV3672" s="995"/>
      <c r="GW3672" s="995"/>
      <c r="GX3672" s="995"/>
      <c r="GY3672" s="995"/>
      <c r="GZ3672" s="995"/>
      <c r="HA3672" s="995"/>
      <c r="HB3672" s="995"/>
      <c r="HC3672" s="995"/>
      <c r="HD3672" s="995"/>
      <c r="HE3672" s="995"/>
      <c r="HF3672" s="995"/>
      <c r="HG3672" s="995"/>
      <c r="HH3672" s="995"/>
      <c r="HI3672" s="995"/>
      <c r="HJ3672" s="995"/>
      <c r="HK3672" s="995"/>
      <c r="HL3672" s="995"/>
      <c r="HM3672" s="995"/>
    </row>
    <row r="3673" spans="1:221" s="420" customFormat="1" ht="37.5" customHeight="1">
      <c r="A3673" s="901">
        <f>A3672+1</f>
        <v>2</v>
      </c>
      <c r="B3673" s="743" t="s">
        <v>2873</v>
      </c>
      <c r="C3673" s="648" t="s">
        <v>222</v>
      </c>
      <c r="D3673" s="700">
        <f t="shared" ref="D3673:D3683" si="540">E3673*2.5</f>
        <v>1335</v>
      </c>
      <c r="E3673" s="688">
        <v>534</v>
      </c>
      <c r="F3673" s="651" t="s">
        <v>223</v>
      </c>
      <c r="G3673" s="688">
        <v>849</v>
      </c>
      <c r="H3673" s="689">
        <v>2</v>
      </c>
      <c r="I3673" s="689">
        <v>2</v>
      </c>
      <c r="J3673" s="689">
        <v>16</v>
      </c>
      <c r="K3673" s="697" t="s">
        <v>33</v>
      </c>
      <c r="L3673" s="650">
        <f t="shared" ref="L3673:L3684" si="541">SUM(M3673:Q3673)</f>
        <v>1902420</v>
      </c>
      <c r="M3673" s="650">
        <f t="shared" ref="M3673:M3679" si="542">G3673*2200</f>
        <v>1867800</v>
      </c>
      <c r="N3673" s="688">
        <v>28017</v>
      </c>
      <c r="O3673" s="703"/>
      <c r="P3673" s="688"/>
      <c r="Q3673" s="388">
        <v>6603</v>
      </c>
      <c r="R3673" s="689">
        <f t="shared" ref="R3673:R3684" si="543">M3673/G3673</f>
        <v>2200</v>
      </c>
      <c r="U3673" s="464"/>
    </row>
    <row r="3674" spans="1:221" s="420" customFormat="1" ht="37.5" customHeight="1">
      <c r="A3674" s="901">
        <f t="shared" ref="A3674:A3685" si="544">A3673+1</f>
        <v>3</v>
      </c>
      <c r="B3674" s="743" t="s">
        <v>2874</v>
      </c>
      <c r="C3674" s="617" t="s">
        <v>218</v>
      </c>
      <c r="D3674" s="700">
        <f t="shared" si="540"/>
        <v>1335</v>
      </c>
      <c r="E3674" s="688">
        <v>534</v>
      </c>
      <c r="F3674" s="651" t="s">
        <v>223</v>
      </c>
      <c r="G3674" s="688">
        <v>860</v>
      </c>
      <c r="H3674" s="689">
        <v>2</v>
      </c>
      <c r="I3674" s="689">
        <v>3</v>
      </c>
      <c r="J3674" s="689">
        <v>22</v>
      </c>
      <c r="K3674" s="697" t="s">
        <v>33</v>
      </c>
      <c r="L3674" s="650">
        <f t="shared" si="541"/>
        <v>1926983</v>
      </c>
      <c r="M3674" s="650">
        <f t="shared" si="542"/>
        <v>1892000</v>
      </c>
      <c r="N3674" s="688">
        <v>28380</v>
      </c>
      <c r="O3674" s="703"/>
      <c r="P3674" s="688"/>
      <c r="Q3674" s="388">
        <v>6603</v>
      </c>
      <c r="R3674" s="689">
        <f t="shared" si="543"/>
        <v>2200</v>
      </c>
      <c r="U3674" s="464"/>
    </row>
    <row r="3675" spans="1:221" s="420" customFormat="1" ht="37.5" customHeight="1">
      <c r="A3675" s="901">
        <f t="shared" si="544"/>
        <v>4</v>
      </c>
      <c r="B3675" s="698" t="s">
        <v>2875</v>
      </c>
      <c r="C3675" s="648" t="s">
        <v>222</v>
      </c>
      <c r="D3675" s="700">
        <f t="shared" si="540"/>
        <v>1200</v>
      </c>
      <c r="E3675" s="688">
        <v>480</v>
      </c>
      <c r="F3675" s="651" t="s">
        <v>223</v>
      </c>
      <c r="G3675" s="688">
        <v>670</v>
      </c>
      <c r="H3675" s="701">
        <v>2</v>
      </c>
      <c r="I3675" s="701">
        <v>1</v>
      </c>
      <c r="J3675" s="689">
        <v>9</v>
      </c>
      <c r="K3675" s="697" t="s">
        <v>33</v>
      </c>
      <c r="L3675" s="650">
        <f t="shared" si="541"/>
        <v>1509416</v>
      </c>
      <c r="M3675" s="650">
        <f t="shared" si="542"/>
        <v>1474000</v>
      </c>
      <c r="N3675" s="688">
        <v>29480</v>
      </c>
      <c r="O3675" s="703"/>
      <c r="P3675" s="688"/>
      <c r="Q3675" s="388">
        <v>5936</v>
      </c>
      <c r="R3675" s="689">
        <f t="shared" si="543"/>
        <v>2200</v>
      </c>
      <c r="U3675" s="464"/>
      <c r="V3675" s="435"/>
      <c r="W3675" s="435"/>
      <c r="X3675" s="435"/>
      <c r="Y3675" s="435"/>
      <c r="Z3675" s="435"/>
      <c r="AA3675" s="435"/>
      <c r="AB3675" s="435"/>
      <c r="AC3675" s="435"/>
      <c r="AD3675" s="435"/>
      <c r="AE3675" s="435"/>
      <c r="AF3675" s="435"/>
      <c r="AG3675" s="435"/>
      <c r="AH3675" s="435"/>
      <c r="AI3675" s="435"/>
      <c r="AJ3675" s="435"/>
      <c r="AK3675" s="435"/>
      <c r="AL3675" s="435"/>
      <c r="AM3675" s="435"/>
      <c r="AN3675" s="435"/>
      <c r="AO3675" s="435"/>
      <c r="AP3675" s="435"/>
      <c r="AQ3675" s="435"/>
      <c r="AR3675" s="435"/>
      <c r="AS3675" s="435"/>
      <c r="AT3675" s="435"/>
      <c r="AU3675" s="435"/>
      <c r="AV3675" s="435"/>
      <c r="AW3675" s="435"/>
      <c r="AX3675" s="435"/>
      <c r="AY3675" s="435"/>
      <c r="AZ3675" s="435"/>
      <c r="BA3675" s="435"/>
      <c r="BB3675" s="435"/>
      <c r="BC3675" s="435"/>
      <c r="BD3675" s="435"/>
      <c r="BE3675" s="435"/>
      <c r="BF3675" s="435"/>
      <c r="BG3675" s="435"/>
      <c r="BH3675" s="435"/>
      <c r="BI3675" s="435"/>
      <c r="BJ3675" s="435"/>
      <c r="BK3675" s="435"/>
      <c r="BL3675" s="435"/>
      <c r="BM3675" s="435"/>
      <c r="BN3675" s="435"/>
      <c r="BO3675" s="435"/>
      <c r="BP3675" s="435"/>
      <c r="BQ3675" s="435"/>
      <c r="BR3675" s="435"/>
      <c r="BS3675" s="435"/>
      <c r="BT3675" s="435"/>
      <c r="BU3675" s="435"/>
      <c r="BV3675" s="435"/>
      <c r="BW3675" s="435"/>
      <c r="BX3675" s="435"/>
      <c r="BY3675" s="435"/>
      <c r="BZ3675" s="435"/>
      <c r="CA3675" s="435"/>
      <c r="CB3675" s="435"/>
      <c r="CC3675" s="435"/>
      <c r="CD3675" s="435"/>
      <c r="CE3675" s="435"/>
      <c r="CF3675" s="435"/>
      <c r="CG3675" s="435"/>
      <c r="CH3675" s="435"/>
      <c r="CI3675" s="435"/>
      <c r="CJ3675" s="435"/>
      <c r="CK3675" s="435"/>
      <c r="CL3675" s="435"/>
      <c r="CM3675" s="435"/>
      <c r="CN3675" s="435"/>
      <c r="CO3675" s="435"/>
      <c r="CP3675" s="435"/>
      <c r="CQ3675" s="435"/>
      <c r="CR3675" s="435"/>
      <c r="CS3675" s="435"/>
      <c r="CT3675" s="435"/>
      <c r="CU3675" s="435"/>
      <c r="CV3675" s="435"/>
      <c r="CW3675" s="435"/>
      <c r="CX3675" s="435"/>
      <c r="CY3675" s="435"/>
      <c r="CZ3675" s="435"/>
      <c r="DA3675" s="435"/>
      <c r="DB3675" s="435"/>
      <c r="DC3675" s="435"/>
      <c r="DD3675" s="435"/>
      <c r="DE3675" s="435"/>
      <c r="DF3675" s="435"/>
      <c r="DG3675" s="435"/>
      <c r="DH3675" s="435"/>
      <c r="DI3675" s="435"/>
      <c r="DJ3675" s="435"/>
      <c r="DK3675" s="435"/>
      <c r="DL3675" s="435"/>
      <c r="DM3675" s="435"/>
      <c r="DN3675" s="435"/>
      <c r="DO3675" s="435"/>
      <c r="DP3675" s="435"/>
      <c r="DQ3675" s="435"/>
      <c r="DR3675" s="435"/>
      <c r="DS3675" s="435"/>
      <c r="DT3675" s="435"/>
      <c r="DU3675" s="435"/>
      <c r="DV3675" s="435"/>
      <c r="DW3675" s="435"/>
      <c r="DX3675" s="435"/>
      <c r="DY3675" s="435"/>
      <c r="DZ3675" s="435"/>
      <c r="EA3675" s="435"/>
      <c r="EB3675" s="435"/>
      <c r="EC3675" s="435"/>
      <c r="ED3675" s="435"/>
      <c r="EE3675" s="435"/>
      <c r="EF3675" s="435"/>
      <c r="EG3675" s="435"/>
      <c r="EH3675" s="435"/>
      <c r="EI3675" s="435"/>
      <c r="EJ3675" s="435"/>
      <c r="EK3675" s="435"/>
      <c r="EL3675" s="435"/>
      <c r="EM3675" s="435"/>
      <c r="EN3675" s="435"/>
      <c r="EO3675" s="435"/>
      <c r="EP3675" s="435"/>
      <c r="EQ3675" s="435"/>
      <c r="ER3675" s="435"/>
      <c r="ES3675" s="435"/>
      <c r="ET3675" s="435"/>
      <c r="EU3675" s="435"/>
      <c r="EV3675" s="435"/>
      <c r="EW3675" s="435"/>
      <c r="EX3675" s="435"/>
      <c r="EY3675" s="435"/>
      <c r="EZ3675" s="435"/>
      <c r="FA3675" s="435"/>
      <c r="FB3675" s="435"/>
      <c r="FC3675" s="435"/>
      <c r="FD3675" s="435"/>
      <c r="FE3675" s="435"/>
      <c r="FF3675" s="435"/>
      <c r="FG3675" s="435"/>
      <c r="FH3675" s="435"/>
      <c r="FI3675" s="435"/>
      <c r="FJ3675" s="435"/>
      <c r="FK3675" s="435"/>
      <c r="FL3675" s="435"/>
      <c r="FM3675" s="435"/>
      <c r="FN3675" s="435"/>
      <c r="FO3675" s="435"/>
      <c r="FP3675" s="435"/>
      <c r="FQ3675" s="435"/>
      <c r="FR3675" s="435"/>
      <c r="FS3675" s="435"/>
      <c r="FT3675" s="435"/>
      <c r="FU3675" s="435"/>
      <c r="FV3675" s="435"/>
      <c r="FW3675" s="435"/>
      <c r="FX3675" s="435"/>
      <c r="FY3675" s="435"/>
      <c r="FZ3675" s="435"/>
      <c r="GA3675" s="435"/>
      <c r="GB3675" s="435"/>
      <c r="GC3675" s="435"/>
      <c r="GD3675" s="435"/>
      <c r="GE3675" s="435"/>
      <c r="GF3675" s="435"/>
      <c r="GG3675" s="435"/>
      <c r="GH3675" s="435"/>
      <c r="GI3675" s="435"/>
      <c r="GJ3675" s="435"/>
      <c r="GK3675" s="435"/>
      <c r="GL3675" s="435"/>
      <c r="GM3675" s="435"/>
      <c r="GN3675" s="435"/>
      <c r="GO3675" s="435"/>
      <c r="GP3675" s="435"/>
      <c r="GQ3675" s="435"/>
      <c r="GR3675" s="435"/>
      <c r="GS3675" s="435"/>
      <c r="GT3675" s="435"/>
      <c r="GU3675" s="435"/>
      <c r="GV3675" s="435"/>
      <c r="GW3675" s="435"/>
      <c r="GX3675" s="435"/>
      <c r="GY3675" s="435"/>
      <c r="GZ3675" s="435"/>
      <c r="HA3675" s="435"/>
      <c r="HB3675" s="435"/>
    </row>
    <row r="3676" spans="1:221" s="420" customFormat="1" ht="37.5" customHeight="1">
      <c r="A3676" s="901">
        <f t="shared" si="544"/>
        <v>5</v>
      </c>
      <c r="B3676" s="698" t="s">
        <v>2876</v>
      </c>
      <c r="C3676" s="648" t="s">
        <v>222</v>
      </c>
      <c r="D3676" s="700">
        <f t="shared" si="540"/>
        <v>1650</v>
      </c>
      <c r="E3676" s="688">
        <v>660</v>
      </c>
      <c r="F3676" s="651" t="s">
        <v>223</v>
      </c>
      <c r="G3676" s="688">
        <v>750</v>
      </c>
      <c r="H3676" s="701">
        <v>2</v>
      </c>
      <c r="I3676" s="701">
        <v>2</v>
      </c>
      <c r="J3676" s="689">
        <v>16</v>
      </c>
      <c r="K3676" s="697" t="s">
        <v>33</v>
      </c>
      <c r="L3676" s="650">
        <f t="shared" si="541"/>
        <v>1682911</v>
      </c>
      <c r="M3676" s="650">
        <f t="shared" si="542"/>
        <v>1650000</v>
      </c>
      <c r="N3676" s="688">
        <v>24750</v>
      </c>
      <c r="O3676" s="703"/>
      <c r="P3676" s="688"/>
      <c r="Q3676" s="388">
        <v>8161</v>
      </c>
      <c r="R3676" s="689">
        <f t="shared" si="543"/>
        <v>2200</v>
      </c>
      <c r="S3676" s="435"/>
      <c r="T3676" s="435"/>
      <c r="U3676" s="464"/>
      <c r="V3676" s="435"/>
      <c r="W3676" s="435"/>
      <c r="X3676" s="435"/>
      <c r="Y3676" s="435"/>
      <c r="Z3676" s="435"/>
      <c r="AA3676" s="435"/>
      <c r="AB3676" s="435"/>
      <c r="AC3676" s="435"/>
      <c r="AD3676" s="435"/>
      <c r="AE3676" s="435"/>
      <c r="AF3676" s="435"/>
      <c r="AG3676" s="435"/>
      <c r="AH3676" s="435"/>
      <c r="AI3676" s="435"/>
      <c r="AJ3676" s="435"/>
      <c r="AK3676" s="435"/>
      <c r="AL3676" s="435"/>
      <c r="AM3676" s="435"/>
      <c r="AN3676" s="435"/>
      <c r="AO3676" s="435"/>
      <c r="AP3676" s="435"/>
      <c r="AQ3676" s="435"/>
      <c r="AR3676" s="435"/>
      <c r="AS3676" s="435"/>
      <c r="AT3676" s="435"/>
      <c r="AU3676" s="435"/>
      <c r="AV3676" s="435"/>
      <c r="AW3676" s="435"/>
      <c r="AX3676" s="435"/>
      <c r="AY3676" s="435"/>
      <c r="AZ3676" s="435"/>
      <c r="BA3676" s="435"/>
      <c r="BB3676" s="435"/>
      <c r="BC3676" s="435"/>
      <c r="BD3676" s="435"/>
      <c r="BE3676" s="435"/>
      <c r="BF3676" s="435"/>
      <c r="BG3676" s="435"/>
      <c r="BH3676" s="435"/>
      <c r="BI3676" s="435"/>
      <c r="BJ3676" s="435"/>
      <c r="BK3676" s="435"/>
      <c r="BL3676" s="435"/>
      <c r="BM3676" s="435"/>
      <c r="BN3676" s="435"/>
      <c r="BO3676" s="435"/>
      <c r="BP3676" s="435"/>
      <c r="BQ3676" s="435"/>
      <c r="BR3676" s="435"/>
      <c r="BS3676" s="435"/>
      <c r="BT3676" s="435"/>
      <c r="BU3676" s="435"/>
      <c r="BV3676" s="435"/>
      <c r="BW3676" s="435"/>
      <c r="BX3676" s="435"/>
      <c r="BY3676" s="435"/>
      <c r="BZ3676" s="435"/>
      <c r="CA3676" s="435"/>
      <c r="CB3676" s="435"/>
      <c r="CC3676" s="435"/>
      <c r="CD3676" s="435"/>
      <c r="CE3676" s="435"/>
      <c r="CF3676" s="435"/>
      <c r="CG3676" s="435"/>
      <c r="CH3676" s="435"/>
      <c r="CI3676" s="435"/>
      <c r="CJ3676" s="435"/>
      <c r="CK3676" s="435"/>
      <c r="CL3676" s="435"/>
      <c r="CM3676" s="435"/>
      <c r="CN3676" s="435"/>
      <c r="CO3676" s="435"/>
      <c r="CP3676" s="435"/>
      <c r="CQ3676" s="435"/>
      <c r="CR3676" s="435"/>
      <c r="CS3676" s="435"/>
      <c r="CT3676" s="435"/>
      <c r="CU3676" s="435"/>
      <c r="CV3676" s="435"/>
      <c r="CW3676" s="435"/>
      <c r="CX3676" s="435"/>
      <c r="CY3676" s="435"/>
      <c r="CZ3676" s="435"/>
      <c r="DA3676" s="435"/>
      <c r="DB3676" s="435"/>
      <c r="DC3676" s="435"/>
      <c r="DD3676" s="435"/>
      <c r="DE3676" s="435"/>
      <c r="DF3676" s="435"/>
      <c r="DG3676" s="435"/>
      <c r="DH3676" s="435"/>
      <c r="DI3676" s="435"/>
      <c r="DJ3676" s="435"/>
      <c r="DK3676" s="435"/>
      <c r="DL3676" s="435"/>
      <c r="DM3676" s="435"/>
      <c r="DN3676" s="435"/>
      <c r="DO3676" s="435"/>
      <c r="DP3676" s="435"/>
      <c r="DQ3676" s="435"/>
      <c r="DR3676" s="435"/>
      <c r="DS3676" s="435"/>
      <c r="DT3676" s="435"/>
      <c r="DU3676" s="435"/>
      <c r="DV3676" s="435"/>
      <c r="DW3676" s="435"/>
      <c r="DX3676" s="435"/>
      <c r="DY3676" s="435"/>
      <c r="DZ3676" s="435"/>
      <c r="EA3676" s="435"/>
      <c r="EB3676" s="435"/>
      <c r="EC3676" s="435"/>
      <c r="ED3676" s="435"/>
      <c r="EE3676" s="435"/>
      <c r="EF3676" s="435"/>
      <c r="EG3676" s="435"/>
      <c r="EH3676" s="435"/>
      <c r="EI3676" s="435"/>
      <c r="EJ3676" s="435"/>
      <c r="EK3676" s="435"/>
      <c r="EL3676" s="435"/>
      <c r="EM3676" s="435"/>
      <c r="EN3676" s="435"/>
      <c r="EO3676" s="435"/>
      <c r="EP3676" s="435"/>
      <c r="EQ3676" s="435"/>
      <c r="ER3676" s="435"/>
      <c r="ES3676" s="435"/>
      <c r="ET3676" s="435"/>
      <c r="EU3676" s="435"/>
      <c r="EV3676" s="435"/>
      <c r="EW3676" s="435"/>
      <c r="EX3676" s="435"/>
      <c r="EY3676" s="435"/>
      <c r="EZ3676" s="435"/>
      <c r="FA3676" s="435"/>
      <c r="FB3676" s="435"/>
      <c r="FC3676" s="435"/>
      <c r="FD3676" s="435"/>
      <c r="FE3676" s="435"/>
      <c r="FF3676" s="435"/>
      <c r="FG3676" s="435"/>
      <c r="FH3676" s="435"/>
      <c r="FI3676" s="435"/>
      <c r="FJ3676" s="435"/>
      <c r="FK3676" s="435"/>
      <c r="FL3676" s="435"/>
      <c r="FM3676" s="435"/>
      <c r="FN3676" s="435"/>
      <c r="FO3676" s="435"/>
      <c r="FP3676" s="435"/>
      <c r="FQ3676" s="435"/>
      <c r="FR3676" s="435"/>
      <c r="FS3676" s="435"/>
      <c r="FT3676" s="435"/>
      <c r="FU3676" s="435"/>
      <c r="FV3676" s="435"/>
      <c r="FW3676" s="435"/>
      <c r="FX3676" s="435"/>
      <c r="FY3676" s="435"/>
      <c r="FZ3676" s="435"/>
      <c r="GA3676" s="435"/>
      <c r="GB3676" s="435"/>
      <c r="GC3676" s="435"/>
      <c r="GD3676" s="435"/>
      <c r="GE3676" s="435"/>
      <c r="GF3676" s="435"/>
      <c r="GG3676" s="435"/>
      <c r="GH3676" s="435"/>
      <c r="GI3676" s="435"/>
      <c r="GJ3676" s="435"/>
      <c r="GK3676" s="435"/>
      <c r="GL3676" s="435"/>
      <c r="GM3676" s="435"/>
      <c r="GN3676" s="435"/>
      <c r="GO3676" s="435"/>
      <c r="GP3676" s="435"/>
      <c r="GQ3676" s="435"/>
      <c r="GR3676" s="435"/>
      <c r="GS3676" s="435"/>
      <c r="GT3676" s="435"/>
      <c r="GU3676" s="435"/>
      <c r="GV3676" s="435"/>
      <c r="GW3676" s="435"/>
      <c r="GX3676" s="435"/>
      <c r="GY3676" s="435"/>
      <c r="GZ3676" s="435"/>
      <c r="HA3676" s="435"/>
      <c r="HB3676" s="435"/>
    </row>
    <row r="3677" spans="1:221" s="420" customFormat="1" ht="37.5" customHeight="1">
      <c r="A3677" s="901">
        <f t="shared" si="544"/>
        <v>6</v>
      </c>
      <c r="B3677" s="698" t="s">
        <v>2877</v>
      </c>
      <c r="C3677" s="648" t="s">
        <v>222</v>
      </c>
      <c r="D3677" s="700">
        <f t="shared" si="540"/>
        <v>1650</v>
      </c>
      <c r="E3677" s="688">
        <v>660</v>
      </c>
      <c r="F3677" s="651" t="s">
        <v>223</v>
      </c>
      <c r="G3677" s="688">
        <v>750</v>
      </c>
      <c r="H3677" s="701">
        <v>2</v>
      </c>
      <c r="I3677" s="701">
        <v>2</v>
      </c>
      <c r="J3677" s="689">
        <v>18</v>
      </c>
      <c r="K3677" s="697" t="s">
        <v>33</v>
      </c>
      <c r="L3677" s="650">
        <f t="shared" si="541"/>
        <v>1682911</v>
      </c>
      <c r="M3677" s="650">
        <f t="shared" si="542"/>
        <v>1650000</v>
      </c>
      <c r="N3677" s="688">
        <v>24750</v>
      </c>
      <c r="O3677" s="703"/>
      <c r="P3677" s="688"/>
      <c r="Q3677" s="388">
        <v>8161</v>
      </c>
      <c r="R3677" s="689">
        <f t="shared" si="543"/>
        <v>2200</v>
      </c>
      <c r="S3677" s="435"/>
      <c r="T3677" s="435"/>
      <c r="U3677" s="464"/>
      <c r="V3677" s="435"/>
      <c r="W3677" s="435"/>
      <c r="X3677" s="435"/>
      <c r="Y3677" s="435"/>
      <c r="Z3677" s="435"/>
      <c r="AA3677" s="435"/>
      <c r="AB3677" s="435"/>
      <c r="AC3677" s="435"/>
      <c r="AD3677" s="435"/>
      <c r="AE3677" s="435"/>
      <c r="AF3677" s="435"/>
      <c r="AG3677" s="435"/>
      <c r="AH3677" s="435"/>
      <c r="AI3677" s="435"/>
      <c r="AJ3677" s="435"/>
      <c r="AK3677" s="435"/>
      <c r="AL3677" s="435"/>
      <c r="AM3677" s="435"/>
      <c r="AN3677" s="435"/>
      <c r="AO3677" s="435"/>
      <c r="AP3677" s="435"/>
      <c r="AQ3677" s="435"/>
      <c r="AR3677" s="435"/>
      <c r="AS3677" s="435"/>
      <c r="AT3677" s="435"/>
      <c r="AU3677" s="435"/>
      <c r="AV3677" s="435"/>
      <c r="AW3677" s="435"/>
      <c r="AX3677" s="435"/>
      <c r="AY3677" s="435"/>
      <c r="AZ3677" s="435"/>
      <c r="BA3677" s="435"/>
      <c r="BB3677" s="435"/>
      <c r="BC3677" s="435"/>
      <c r="BD3677" s="435"/>
      <c r="BE3677" s="435"/>
      <c r="BF3677" s="435"/>
      <c r="BG3677" s="435"/>
      <c r="BH3677" s="435"/>
      <c r="BI3677" s="435"/>
      <c r="BJ3677" s="435"/>
      <c r="BK3677" s="435"/>
      <c r="BL3677" s="435"/>
      <c r="BM3677" s="435"/>
      <c r="BN3677" s="435"/>
      <c r="BO3677" s="435"/>
      <c r="BP3677" s="435"/>
      <c r="BQ3677" s="435"/>
      <c r="BR3677" s="435"/>
      <c r="BS3677" s="435"/>
      <c r="BT3677" s="435"/>
      <c r="BU3677" s="435"/>
      <c r="BV3677" s="435"/>
      <c r="BW3677" s="435"/>
      <c r="BX3677" s="435"/>
      <c r="BY3677" s="435"/>
      <c r="BZ3677" s="435"/>
      <c r="CA3677" s="435"/>
      <c r="CB3677" s="435"/>
      <c r="CC3677" s="435"/>
      <c r="CD3677" s="435"/>
      <c r="CE3677" s="435"/>
      <c r="CF3677" s="435"/>
      <c r="CG3677" s="435"/>
      <c r="CH3677" s="435"/>
      <c r="CI3677" s="435"/>
      <c r="CJ3677" s="435"/>
      <c r="CK3677" s="435"/>
      <c r="CL3677" s="435"/>
      <c r="CM3677" s="435"/>
      <c r="CN3677" s="435"/>
      <c r="CO3677" s="435"/>
      <c r="CP3677" s="435"/>
      <c r="CQ3677" s="435"/>
      <c r="CR3677" s="435"/>
      <c r="CS3677" s="435"/>
      <c r="CT3677" s="435"/>
      <c r="CU3677" s="435"/>
      <c r="CV3677" s="435"/>
      <c r="CW3677" s="435"/>
      <c r="CX3677" s="435"/>
      <c r="CY3677" s="435"/>
      <c r="CZ3677" s="435"/>
      <c r="DA3677" s="435"/>
      <c r="DB3677" s="435"/>
      <c r="DC3677" s="435"/>
      <c r="DD3677" s="435"/>
      <c r="DE3677" s="435"/>
      <c r="DF3677" s="435"/>
      <c r="DG3677" s="435"/>
      <c r="DH3677" s="435"/>
      <c r="DI3677" s="435"/>
      <c r="DJ3677" s="435"/>
      <c r="DK3677" s="435"/>
      <c r="DL3677" s="435"/>
      <c r="DM3677" s="435"/>
      <c r="DN3677" s="435"/>
      <c r="DO3677" s="435"/>
      <c r="DP3677" s="435"/>
      <c r="DQ3677" s="435"/>
      <c r="DR3677" s="435"/>
      <c r="DS3677" s="435"/>
      <c r="DT3677" s="435"/>
      <c r="DU3677" s="435"/>
      <c r="DV3677" s="435"/>
      <c r="DW3677" s="435"/>
      <c r="DX3677" s="435"/>
      <c r="DY3677" s="435"/>
      <c r="DZ3677" s="435"/>
      <c r="EA3677" s="435"/>
      <c r="EB3677" s="435"/>
      <c r="EC3677" s="435"/>
      <c r="ED3677" s="435"/>
      <c r="EE3677" s="435"/>
      <c r="EF3677" s="435"/>
      <c r="EG3677" s="435"/>
      <c r="EH3677" s="435"/>
      <c r="EI3677" s="435"/>
      <c r="EJ3677" s="435"/>
      <c r="EK3677" s="435"/>
      <c r="EL3677" s="435"/>
      <c r="EM3677" s="435"/>
      <c r="EN3677" s="435"/>
      <c r="EO3677" s="435"/>
      <c r="EP3677" s="435"/>
      <c r="EQ3677" s="435"/>
      <c r="ER3677" s="435"/>
      <c r="ES3677" s="435"/>
      <c r="ET3677" s="435"/>
      <c r="EU3677" s="435"/>
      <c r="EV3677" s="435"/>
      <c r="EW3677" s="435"/>
      <c r="EX3677" s="435"/>
      <c r="EY3677" s="435"/>
      <c r="EZ3677" s="435"/>
      <c r="FA3677" s="435"/>
      <c r="FB3677" s="435"/>
      <c r="FC3677" s="435"/>
      <c r="FD3677" s="435"/>
      <c r="FE3677" s="435"/>
      <c r="FF3677" s="435"/>
      <c r="FG3677" s="435"/>
      <c r="FH3677" s="435"/>
      <c r="FI3677" s="435"/>
      <c r="FJ3677" s="435"/>
      <c r="FK3677" s="435"/>
      <c r="FL3677" s="435"/>
      <c r="FM3677" s="435"/>
      <c r="FN3677" s="435"/>
      <c r="FO3677" s="435"/>
      <c r="FP3677" s="435"/>
      <c r="FQ3677" s="435"/>
      <c r="FR3677" s="435"/>
      <c r="FS3677" s="435"/>
      <c r="FT3677" s="435"/>
      <c r="FU3677" s="435"/>
      <c r="FV3677" s="435"/>
      <c r="FW3677" s="435"/>
      <c r="FX3677" s="435"/>
      <c r="FY3677" s="435"/>
      <c r="FZ3677" s="435"/>
      <c r="GA3677" s="435"/>
      <c r="GB3677" s="435"/>
      <c r="GC3677" s="435"/>
      <c r="GD3677" s="435"/>
      <c r="GE3677" s="435"/>
      <c r="GF3677" s="435"/>
      <c r="GG3677" s="435"/>
      <c r="GH3677" s="435"/>
      <c r="GI3677" s="435"/>
      <c r="GJ3677" s="435"/>
      <c r="GK3677" s="435"/>
      <c r="GL3677" s="435"/>
      <c r="GM3677" s="435"/>
      <c r="GN3677" s="435"/>
      <c r="GO3677" s="435"/>
      <c r="GP3677" s="435"/>
      <c r="GQ3677" s="435"/>
      <c r="GR3677" s="435"/>
      <c r="GS3677" s="435"/>
      <c r="GT3677" s="435"/>
      <c r="GU3677" s="435"/>
      <c r="GV3677" s="435"/>
      <c r="GW3677" s="435"/>
      <c r="GX3677" s="435"/>
      <c r="GY3677" s="435"/>
      <c r="GZ3677" s="435"/>
      <c r="HA3677" s="435"/>
      <c r="HB3677" s="435"/>
    </row>
    <row r="3678" spans="1:221" s="420" customFormat="1" ht="37.5" customHeight="1">
      <c r="A3678" s="901">
        <f t="shared" si="544"/>
        <v>7</v>
      </c>
      <c r="B3678" s="698" t="s">
        <v>2878</v>
      </c>
      <c r="C3678" s="648" t="s">
        <v>222</v>
      </c>
      <c r="D3678" s="700">
        <f t="shared" si="540"/>
        <v>1395</v>
      </c>
      <c r="E3678" s="688">
        <v>558</v>
      </c>
      <c r="F3678" s="651" t="s">
        <v>223</v>
      </c>
      <c r="G3678" s="688">
        <v>802</v>
      </c>
      <c r="H3678" s="689">
        <v>2</v>
      </c>
      <c r="I3678" s="689">
        <v>2</v>
      </c>
      <c r="J3678" s="689">
        <v>16</v>
      </c>
      <c r="K3678" s="697" t="s">
        <v>33</v>
      </c>
      <c r="L3678" s="650">
        <f t="shared" si="541"/>
        <v>1797766</v>
      </c>
      <c r="M3678" s="650">
        <f t="shared" si="542"/>
        <v>1764400</v>
      </c>
      <c r="N3678" s="688">
        <v>26466</v>
      </c>
      <c r="O3678" s="703"/>
      <c r="P3678" s="688"/>
      <c r="Q3678" s="388">
        <v>6900</v>
      </c>
      <c r="R3678" s="689">
        <f t="shared" si="543"/>
        <v>2200</v>
      </c>
      <c r="S3678" s="435"/>
      <c r="T3678" s="435"/>
      <c r="U3678" s="464"/>
      <c r="V3678" s="435"/>
      <c r="W3678" s="435"/>
      <c r="X3678" s="435"/>
      <c r="Y3678" s="435"/>
      <c r="Z3678" s="435"/>
      <c r="AA3678" s="435"/>
      <c r="AB3678" s="435"/>
      <c r="AC3678" s="435"/>
      <c r="AD3678" s="435"/>
      <c r="AE3678" s="435"/>
      <c r="AF3678" s="435"/>
      <c r="AG3678" s="435"/>
      <c r="AH3678" s="435"/>
      <c r="AI3678" s="435"/>
      <c r="AJ3678" s="435"/>
      <c r="AK3678" s="435"/>
      <c r="AL3678" s="435"/>
      <c r="AM3678" s="435"/>
      <c r="AN3678" s="435"/>
      <c r="AO3678" s="435"/>
      <c r="AP3678" s="435"/>
      <c r="AQ3678" s="435"/>
      <c r="AR3678" s="435"/>
      <c r="AS3678" s="435"/>
      <c r="AT3678" s="435"/>
      <c r="AU3678" s="435"/>
      <c r="AV3678" s="435"/>
      <c r="AW3678" s="435"/>
      <c r="AX3678" s="435"/>
      <c r="AY3678" s="435"/>
      <c r="AZ3678" s="435"/>
      <c r="BA3678" s="435"/>
      <c r="BB3678" s="435"/>
      <c r="BC3678" s="435"/>
      <c r="BD3678" s="435"/>
      <c r="BE3678" s="435"/>
      <c r="BF3678" s="435"/>
      <c r="BG3678" s="435"/>
      <c r="BH3678" s="435"/>
      <c r="BI3678" s="435"/>
      <c r="BJ3678" s="435"/>
      <c r="BK3678" s="435"/>
      <c r="BL3678" s="435"/>
      <c r="BM3678" s="435"/>
      <c r="BN3678" s="435"/>
      <c r="BO3678" s="435"/>
      <c r="BP3678" s="435"/>
      <c r="BQ3678" s="435"/>
      <c r="BR3678" s="435"/>
      <c r="BS3678" s="435"/>
      <c r="BT3678" s="435"/>
      <c r="BU3678" s="435"/>
      <c r="BV3678" s="435"/>
      <c r="BW3678" s="435"/>
      <c r="BX3678" s="435"/>
      <c r="BY3678" s="435"/>
      <c r="BZ3678" s="435"/>
      <c r="CA3678" s="435"/>
      <c r="CB3678" s="435"/>
      <c r="CC3678" s="435"/>
      <c r="CD3678" s="435"/>
      <c r="CE3678" s="435"/>
      <c r="CF3678" s="435"/>
      <c r="CG3678" s="435"/>
      <c r="CH3678" s="435"/>
      <c r="CI3678" s="435"/>
      <c r="CJ3678" s="435"/>
      <c r="CK3678" s="435"/>
      <c r="CL3678" s="435"/>
      <c r="CM3678" s="435"/>
      <c r="CN3678" s="435"/>
      <c r="CO3678" s="435"/>
      <c r="CP3678" s="435"/>
      <c r="CQ3678" s="435"/>
      <c r="CR3678" s="435"/>
      <c r="CS3678" s="435"/>
      <c r="CT3678" s="435"/>
      <c r="CU3678" s="435"/>
      <c r="CV3678" s="435"/>
      <c r="CW3678" s="435"/>
      <c r="CX3678" s="435"/>
      <c r="CY3678" s="435"/>
      <c r="CZ3678" s="435"/>
      <c r="DA3678" s="435"/>
      <c r="DB3678" s="435"/>
      <c r="DC3678" s="435"/>
      <c r="DD3678" s="435"/>
      <c r="DE3678" s="435"/>
      <c r="DF3678" s="435"/>
      <c r="DG3678" s="435"/>
      <c r="DH3678" s="435"/>
      <c r="DI3678" s="435"/>
      <c r="DJ3678" s="435"/>
      <c r="DK3678" s="435"/>
      <c r="DL3678" s="435"/>
      <c r="DM3678" s="435"/>
      <c r="DN3678" s="435"/>
      <c r="DO3678" s="435"/>
      <c r="DP3678" s="435"/>
      <c r="DQ3678" s="435"/>
      <c r="DR3678" s="435"/>
      <c r="DS3678" s="435"/>
      <c r="DT3678" s="435"/>
      <c r="DU3678" s="435"/>
      <c r="DV3678" s="435"/>
      <c r="DW3678" s="435"/>
      <c r="DX3678" s="435"/>
      <c r="DY3678" s="435"/>
      <c r="DZ3678" s="435"/>
      <c r="EA3678" s="435"/>
      <c r="EB3678" s="435"/>
      <c r="EC3678" s="435"/>
      <c r="ED3678" s="435"/>
      <c r="EE3678" s="435"/>
      <c r="EF3678" s="435"/>
      <c r="EG3678" s="435"/>
      <c r="EH3678" s="435"/>
      <c r="EI3678" s="435"/>
      <c r="EJ3678" s="435"/>
      <c r="EK3678" s="435"/>
      <c r="EL3678" s="435"/>
      <c r="EM3678" s="435"/>
      <c r="EN3678" s="435"/>
      <c r="EO3678" s="435"/>
      <c r="EP3678" s="435"/>
      <c r="EQ3678" s="435"/>
      <c r="ER3678" s="435"/>
      <c r="ES3678" s="435"/>
      <c r="ET3678" s="435"/>
      <c r="EU3678" s="435"/>
      <c r="EV3678" s="435"/>
      <c r="EW3678" s="435"/>
      <c r="EX3678" s="435"/>
      <c r="EY3678" s="435"/>
      <c r="EZ3678" s="435"/>
      <c r="FA3678" s="435"/>
      <c r="FB3678" s="435"/>
      <c r="FC3678" s="435"/>
      <c r="FD3678" s="435"/>
      <c r="FE3678" s="435"/>
      <c r="FF3678" s="435"/>
      <c r="FG3678" s="435"/>
      <c r="FH3678" s="435"/>
      <c r="FI3678" s="435"/>
      <c r="FJ3678" s="435"/>
      <c r="FK3678" s="435"/>
      <c r="FL3678" s="435"/>
      <c r="FM3678" s="435"/>
      <c r="FN3678" s="435"/>
      <c r="FO3678" s="435"/>
      <c r="FP3678" s="435"/>
      <c r="FQ3678" s="435"/>
      <c r="FR3678" s="435"/>
      <c r="FS3678" s="435"/>
      <c r="FT3678" s="435"/>
      <c r="FU3678" s="435"/>
      <c r="FV3678" s="435"/>
      <c r="FW3678" s="435"/>
      <c r="FX3678" s="435"/>
      <c r="FY3678" s="435"/>
      <c r="FZ3678" s="435"/>
      <c r="GA3678" s="435"/>
      <c r="GB3678" s="435"/>
      <c r="GC3678" s="435"/>
      <c r="GD3678" s="435"/>
      <c r="GE3678" s="435"/>
      <c r="GF3678" s="435"/>
      <c r="GG3678" s="435"/>
      <c r="GH3678" s="435"/>
      <c r="GI3678" s="435"/>
      <c r="GJ3678" s="435"/>
      <c r="GK3678" s="435"/>
      <c r="GL3678" s="435"/>
      <c r="GM3678" s="435"/>
      <c r="GN3678" s="435"/>
      <c r="GO3678" s="435"/>
      <c r="GP3678" s="435"/>
      <c r="GQ3678" s="435"/>
      <c r="GR3678" s="435"/>
      <c r="GS3678" s="435"/>
      <c r="GT3678" s="435"/>
      <c r="GU3678" s="435"/>
      <c r="GV3678" s="435"/>
      <c r="GW3678" s="435"/>
      <c r="GX3678" s="435"/>
      <c r="GY3678" s="435"/>
      <c r="GZ3678" s="435"/>
      <c r="HA3678" s="435"/>
      <c r="HB3678" s="435"/>
    </row>
    <row r="3679" spans="1:221" s="420" customFormat="1" ht="37.5" customHeight="1">
      <c r="A3679" s="901">
        <f t="shared" si="544"/>
        <v>8</v>
      </c>
      <c r="B3679" s="698" t="s">
        <v>2879</v>
      </c>
      <c r="C3679" s="648" t="s">
        <v>222</v>
      </c>
      <c r="D3679" s="700">
        <f t="shared" si="540"/>
        <v>1228.5</v>
      </c>
      <c r="E3679" s="688">
        <v>491.4</v>
      </c>
      <c r="F3679" s="651" t="s">
        <v>223</v>
      </c>
      <c r="G3679" s="688">
        <v>521.1</v>
      </c>
      <c r="H3679" s="701">
        <v>2</v>
      </c>
      <c r="I3679" s="701">
        <v>2</v>
      </c>
      <c r="J3679" s="689">
        <v>12</v>
      </c>
      <c r="K3679" s="697" t="s">
        <v>33</v>
      </c>
      <c r="L3679" s="650">
        <f t="shared" si="541"/>
        <v>1181158</v>
      </c>
      <c r="M3679" s="650">
        <f t="shared" si="542"/>
        <v>1146420</v>
      </c>
      <c r="N3679" s="688">
        <v>28661</v>
      </c>
      <c r="O3679" s="703"/>
      <c r="P3679" s="688"/>
      <c r="Q3679" s="388">
        <v>6077</v>
      </c>
      <c r="R3679" s="689">
        <f t="shared" si="543"/>
        <v>2200</v>
      </c>
      <c r="S3679" s="435"/>
      <c r="T3679" s="435"/>
      <c r="U3679" s="464"/>
      <c r="V3679" s="435"/>
      <c r="W3679" s="435"/>
      <c r="X3679" s="435"/>
      <c r="Y3679" s="435"/>
      <c r="Z3679" s="435"/>
      <c r="AA3679" s="435"/>
      <c r="AB3679" s="435"/>
      <c r="AC3679" s="435"/>
      <c r="AD3679" s="435"/>
      <c r="AE3679" s="435"/>
      <c r="AF3679" s="435"/>
      <c r="AG3679" s="435"/>
      <c r="AH3679" s="435"/>
      <c r="AI3679" s="435"/>
      <c r="AJ3679" s="435"/>
      <c r="AK3679" s="435"/>
      <c r="AL3679" s="435"/>
      <c r="AM3679" s="435"/>
      <c r="AN3679" s="435"/>
      <c r="AO3679" s="435"/>
      <c r="AP3679" s="435"/>
      <c r="AQ3679" s="435"/>
      <c r="AR3679" s="435"/>
      <c r="AS3679" s="435"/>
      <c r="AT3679" s="435"/>
      <c r="AU3679" s="435"/>
      <c r="AV3679" s="435"/>
      <c r="AW3679" s="435"/>
      <c r="AX3679" s="435"/>
      <c r="AY3679" s="435"/>
      <c r="AZ3679" s="435"/>
      <c r="BA3679" s="435"/>
      <c r="BB3679" s="435"/>
      <c r="BC3679" s="435"/>
      <c r="BD3679" s="435"/>
      <c r="BE3679" s="435"/>
      <c r="BF3679" s="435"/>
      <c r="BG3679" s="435"/>
      <c r="BH3679" s="435"/>
      <c r="BI3679" s="435"/>
      <c r="BJ3679" s="435"/>
      <c r="BK3679" s="435"/>
      <c r="BL3679" s="435"/>
      <c r="BM3679" s="435"/>
      <c r="BN3679" s="435"/>
      <c r="BO3679" s="435"/>
      <c r="BP3679" s="435"/>
      <c r="BQ3679" s="435"/>
      <c r="BR3679" s="435"/>
      <c r="BS3679" s="435"/>
      <c r="BT3679" s="435"/>
      <c r="BU3679" s="435"/>
      <c r="BV3679" s="435"/>
      <c r="BW3679" s="435"/>
      <c r="BX3679" s="435"/>
      <c r="BY3679" s="435"/>
      <c r="BZ3679" s="435"/>
      <c r="CA3679" s="435"/>
      <c r="CB3679" s="435"/>
      <c r="CC3679" s="435"/>
      <c r="CD3679" s="435"/>
      <c r="CE3679" s="435"/>
      <c r="CF3679" s="435"/>
      <c r="CG3679" s="435"/>
      <c r="CH3679" s="435"/>
      <c r="CI3679" s="435"/>
      <c r="CJ3679" s="435"/>
      <c r="CK3679" s="435"/>
      <c r="CL3679" s="435"/>
      <c r="CM3679" s="435"/>
      <c r="CN3679" s="435"/>
      <c r="CO3679" s="435"/>
      <c r="CP3679" s="435"/>
      <c r="CQ3679" s="435"/>
      <c r="CR3679" s="435"/>
      <c r="CS3679" s="435"/>
      <c r="CT3679" s="435"/>
      <c r="CU3679" s="435"/>
      <c r="CV3679" s="435"/>
      <c r="CW3679" s="435"/>
      <c r="CX3679" s="435"/>
      <c r="CY3679" s="435"/>
      <c r="CZ3679" s="435"/>
      <c r="DA3679" s="435"/>
      <c r="DB3679" s="435"/>
      <c r="DC3679" s="435"/>
      <c r="DD3679" s="435"/>
      <c r="DE3679" s="435"/>
      <c r="DF3679" s="435"/>
      <c r="DG3679" s="435"/>
      <c r="DH3679" s="435"/>
      <c r="DI3679" s="435"/>
      <c r="DJ3679" s="435"/>
      <c r="DK3679" s="435"/>
      <c r="DL3679" s="435"/>
      <c r="DM3679" s="435"/>
      <c r="DN3679" s="435"/>
      <c r="DO3679" s="435"/>
      <c r="DP3679" s="435"/>
      <c r="DQ3679" s="435"/>
      <c r="DR3679" s="435"/>
      <c r="DS3679" s="435"/>
      <c r="DT3679" s="435"/>
      <c r="DU3679" s="435"/>
      <c r="DV3679" s="435"/>
      <c r="DW3679" s="435"/>
      <c r="DX3679" s="435"/>
      <c r="DY3679" s="435"/>
      <c r="DZ3679" s="435"/>
      <c r="EA3679" s="435"/>
      <c r="EB3679" s="435"/>
      <c r="EC3679" s="435"/>
      <c r="ED3679" s="435"/>
      <c r="EE3679" s="435"/>
      <c r="EF3679" s="435"/>
      <c r="EG3679" s="435"/>
      <c r="EH3679" s="435"/>
      <c r="EI3679" s="435"/>
      <c r="EJ3679" s="435"/>
      <c r="EK3679" s="435"/>
      <c r="EL3679" s="435"/>
      <c r="EM3679" s="435"/>
      <c r="EN3679" s="435"/>
      <c r="EO3679" s="435"/>
      <c r="EP3679" s="435"/>
      <c r="EQ3679" s="435"/>
      <c r="ER3679" s="435"/>
      <c r="ES3679" s="435"/>
      <c r="ET3679" s="435"/>
      <c r="EU3679" s="435"/>
      <c r="EV3679" s="435"/>
      <c r="EW3679" s="435"/>
      <c r="EX3679" s="435"/>
      <c r="EY3679" s="435"/>
      <c r="EZ3679" s="435"/>
      <c r="FA3679" s="435"/>
      <c r="FB3679" s="435"/>
      <c r="FC3679" s="435"/>
      <c r="FD3679" s="435"/>
      <c r="FE3679" s="435"/>
      <c r="FF3679" s="435"/>
      <c r="FG3679" s="435"/>
      <c r="FH3679" s="435"/>
      <c r="FI3679" s="435"/>
      <c r="FJ3679" s="435"/>
      <c r="FK3679" s="435"/>
      <c r="FL3679" s="435"/>
      <c r="FM3679" s="435"/>
      <c r="FN3679" s="435"/>
      <c r="FO3679" s="435"/>
      <c r="FP3679" s="435"/>
      <c r="FQ3679" s="435"/>
      <c r="FR3679" s="435"/>
      <c r="FS3679" s="435"/>
      <c r="FT3679" s="435"/>
      <c r="FU3679" s="435"/>
      <c r="FV3679" s="435"/>
      <c r="FW3679" s="435"/>
      <c r="FX3679" s="435"/>
      <c r="FY3679" s="435"/>
      <c r="FZ3679" s="435"/>
      <c r="GA3679" s="435"/>
      <c r="GB3679" s="435"/>
      <c r="GC3679" s="435"/>
      <c r="GD3679" s="435"/>
      <c r="GE3679" s="435"/>
      <c r="GF3679" s="435"/>
      <c r="GG3679" s="435"/>
      <c r="GH3679" s="435"/>
      <c r="GI3679" s="435"/>
      <c r="GJ3679" s="435"/>
      <c r="GK3679" s="435"/>
      <c r="GL3679" s="435"/>
      <c r="GM3679" s="435"/>
      <c r="GN3679" s="435"/>
      <c r="GO3679" s="435"/>
      <c r="GP3679" s="435"/>
      <c r="GQ3679" s="435"/>
      <c r="GR3679" s="435"/>
      <c r="GS3679" s="435"/>
      <c r="GT3679" s="435"/>
      <c r="GU3679" s="435"/>
      <c r="GV3679" s="435"/>
      <c r="GW3679" s="435"/>
      <c r="GX3679" s="435"/>
      <c r="GY3679" s="435"/>
      <c r="GZ3679" s="435"/>
      <c r="HA3679" s="435"/>
      <c r="HB3679" s="435"/>
    </row>
    <row r="3680" spans="1:221" s="420" customFormat="1" ht="37.5" customHeight="1">
      <c r="A3680" s="901">
        <f t="shared" si="544"/>
        <v>9</v>
      </c>
      <c r="B3680" s="698" t="s">
        <v>2880</v>
      </c>
      <c r="C3680" s="617" t="s">
        <v>218</v>
      </c>
      <c r="D3680" s="700">
        <f t="shared" si="540"/>
        <v>1830</v>
      </c>
      <c r="E3680" s="688">
        <v>732</v>
      </c>
      <c r="F3680" s="651" t="s">
        <v>223</v>
      </c>
      <c r="G3680" s="688">
        <v>935</v>
      </c>
      <c r="H3680" s="701">
        <v>2</v>
      </c>
      <c r="I3680" s="701">
        <v>2</v>
      </c>
      <c r="J3680" s="689">
        <v>22</v>
      </c>
      <c r="K3680" s="697" t="s">
        <v>33</v>
      </c>
      <c r="L3680" s="650">
        <f t="shared" si="541"/>
        <v>2078505</v>
      </c>
      <c r="M3680" s="650">
        <v>2038870</v>
      </c>
      <c r="N3680" s="688">
        <v>30583</v>
      </c>
      <c r="O3680" s="703"/>
      <c r="P3680" s="688"/>
      <c r="Q3680" s="388">
        <v>9052</v>
      </c>
      <c r="R3680" s="689">
        <f t="shared" si="543"/>
        <v>2180.6096256684491</v>
      </c>
      <c r="S3680" s="435"/>
      <c r="T3680" s="435"/>
      <c r="U3680" s="464"/>
      <c r="V3680" s="435"/>
      <c r="W3680" s="435"/>
      <c r="X3680" s="435"/>
      <c r="Y3680" s="435"/>
      <c r="Z3680" s="435"/>
      <c r="AA3680" s="435"/>
      <c r="AB3680" s="435"/>
      <c r="AC3680" s="435"/>
      <c r="AD3680" s="435"/>
      <c r="AE3680" s="435"/>
      <c r="AF3680" s="435"/>
      <c r="AG3680" s="435"/>
      <c r="AH3680" s="435"/>
      <c r="AI3680" s="435"/>
      <c r="AJ3680" s="435"/>
      <c r="AK3680" s="435"/>
      <c r="AL3680" s="435"/>
      <c r="AM3680" s="435"/>
      <c r="AN3680" s="435"/>
      <c r="AO3680" s="435"/>
      <c r="AP3680" s="435"/>
      <c r="AQ3680" s="435"/>
      <c r="AR3680" s="435"/>
      <c r="AS3680" s="435"/>
      <c r="AT3680" s="435"/>
      <c r="AU3680" s="435"/>
      <c r="AV3680" s="435"/>
      <c r="AW3680" s="435"/>
      <c r="AX3680" s="435"/>
      <c r="AY3680" s="435"/>
      <c r="AZ3680" s="435"/>
      <c r="BA3680" s="435"/>
      <c r="BB3680" s="435"/>
      <c r="BC3680" s="435"/>
      <c r="BD3680" s="435"/>
      <c r="BE3680" s="435"/>
      <c r="BF3680" s="435"/>
      <c r="BG3680" s="435"/>
      <c r="BH3680" s="435"/>
      <c r="BI3680" s="435"/>
      <c r="BJ3680" s="435"/>
      <c r="BK3680" s="435"/>
      <c r="BL3680" s="435"/>
      <c r="BM3680" s="435"/>
      <c r="BN3680" s="435"/>
      <c r="BO3680" s="435"/>
      <c r="BP3680" s="435"/>
      <c r="BQ3680" s="435"/>
      <c r="BR3680" s="435"/>
      <c r="BS3680" s="435"/>
      <c r="BT3680" s="435"/>
      <c r="BU3680" s="435"/>
      <c r="BV3680" s="435"/>
      <c r="BW3680" s="435"/>
      <c r="BX3680" s="435"/>
      <c r="BY3680" s="435"/>
      <c r="BZ3680" s="435"/>
      <c r="CA3680" s="435"/>
      <c r="CB3680" s="435"/>
      <c r="CC3680" s="435"/>
      <c r="CD3680" s="435"/>
      <c r="CE3680" s="435"/>
      <c r="CF3680" s="435"/>
      <c r="CG3680" s="435"/>
      <c r="CH3680" s="435"/>
      <c r="CI3680" s="435"/>
      <c r="CJ3680" s="435"/>
      <c r="CK3680" s="435"/>
      <c r="CL3680" s="435"/>
      <c r="CM3680" s="435"/>
      <c r="CN3680" s="435"/>
      <c r="CO3680" s="435"/>
      <c r="CP3680" s="435"/>
      <c r="CQ3680" s="435"/>
      <c r="CR3680" s="435"/>
      <c r="CS3680" s="435"/>
      <c r="CT3680" s="435"/>
      <c r="CU3680" s="435"/>
      <c r="CV3680" s="435"/>
      <c r="CW3680" s="435"/>
      <c r="CX3680" s="435"/>
      <c r="CY3680" s="435"/>
      <c r="CZ3680" s="435"/>
      <c r="DA3680" s="435"/>
      <c r="DB3680" s="435"/>
      <c r="DC3680" s="435"/>
      <c r="DD3680" s="435"/>
      <c r="DE3680" s="435"/>
      <c r="DF3680" s="435"/>
      <c r="DG3680" s="435"/>
      <c r="DH3680" s="435"/>
      <c r="DI3680" s="435"/>
      <c r="DJ3680" s="435"/>
      <c r="DK3680" s="435"/>
      <c r="DL3680" s="435"/>
      <c r="DM3680" s="435"/>
      <c r="DN3680" s="435"/>
      <c r="DO3680" s="435"/>
      <c r="DP3680" s="435"/>
      <c r="DQ3680" s="435"/>
      <c r="DR3680" s="435"/>
      <c r="DS3680" s="435"/>
      <c r="DT3680" s="435"/>
      <c r="DU3680" s="435"/>
      <c r="DV3680" s="435"/>
      <c r="DW3680" s="435"/>
      <c r="DX3680" s="435"/>
      <c r="DY3680" s="435"/>
      <c r="DZ3680" s="435"/>
      <c r="EA3680" s="435"/>
      <c r="EB3680" s="435"/>
      <c r="EC3680" s="435"/>
      <c r="ED3680" s="435"/>
      <c r="EE3680" s="435"/>
      <c r="EF3680" s="435"/>
      <c r="EG3680" s="435"/>
      <c r="EH3680" s="435"/>
      <c r="EI3680" s="435"/>
      <c r="EJ3680" s="435"/>
      <c r="EK3680" s="435"/>
      <c r="EL3680" s="435"/>
      <c r="EM3680" s="435"/>
      <c r="EN3680" s="435"/>
      <c r="EO3680" s="435"/>
      <c r="EP3680" s="435"/>
      <c r="EQ3680" s="435"/>
      <c r="ER3680" s="435"/>
      <c r="ES3680" s="435"/>
      <c r="ET3680" s="435"/>
      <c r="EU3680" s="435"/>
      <c r="EV3680" s="435"/>
      <c r="EW3680" s="435"/>
      <c r="EX3680" s="435"/>
      <c r="EY3680" s="435"/>
      <c r="EZ3680" s="435"/>
      <c r="FA3680" s="435"/>
      <c r="FB3680" s="435"/>
      <c r="FC3680" s="435"/>
      <c r="FD3680" s="435"/>
      <c r="FE3680" s="435"/>
      <c r="FF3680" s="435"/>
      <c r="FG3680" s="435"/>
      <c r="FH3680" s="435"/>
      <c r="FI3680" s="435"/>
      <c r="FJ3680" s="435"/>
      <c r="FK3680" s="435"/>
      <c r="FL3680" s="435"/>
      <c r="FM3680" s="435"/>
      <c r="FN3680" s="435"/>
      <c r="FO3680" s="435"/>
      <c r="FP3680" s="435"/>
      <c r="FQ3680" s="435"/>
      <c r="FR3680" s="435"/>
      <c r="FS3680" s="435"/>
      <c r="FT3680" s="435"/>
      <c r="FU3680" s="435"/>
      <c r="FV3680" s="435"/>
      <c r="FW3680" s="435"/>
      <c r="FX3680" s="435"/>
      <c r="FY3680" s="435"/>
      <c r="FZ3680" s="435"/>
      <c r="GA3680" s="435"/>
      <c r="GB3680" s="435"/>
      <c r="GC3680" s="435"/>
      <c r="GD3680" s="435"/>
      <c r="GE3680" s="435"/>
      <c r="GF3680" s="435"/>
      <c r="GG3680" s="435"/>
      <c r="GH3680" s="435"/>
      <c r="GI3680" s="435"/>
      <c r="GJ3680" s="435"/>
      <c r="GK3680" s="435"/>
      <c r="GL3680" s="435"/>
      <c r="GM3680" s="435"/>
      <c r="GN3680" s="435"/>
      <c r="GO3680" s="435"/>
      <c r="GP3680" s="435"/>
      <c r="GQ3680" s="435"/>
      <c r="GR3680" s="435"/>
      <c r="GS3680" s="435"/>
      <c r="GT3680" s="435"/>
      <c r="GU3680" s="435"/>
      <c r="GV3680" s="435"/>
      <c r="GW3680" s="435"/>
      <c r="GX3680" s="435"/>
      <c r="GY3680" s="435"/>
      <c r="GZ3680" s="435"/>
      <c r="HA3680" s="435"/>
      <c r="HB3680" s="435"/>
    </row>
    <row r="3681" spans="1:221" s="420" customFormat="1" ht="37.5" customHeight="1">
      <c r="A3681" s="901">
        <f t="shared" si="544"/>
        <v>10</v>
      </c>
      <c r="B3681" s="698" t="s">
        <v>2881</v>
      </c>
      <c r="C3681" s="648" t="s">
        <v>222</v>
      </c>
      <c r="D3681" s="700">
        <f t="shared" si="540"/>
        <v>1311</v>
      </c>
      <c r="E3681" s="688">
        <v>524.4</v>
      </c>
      <c r="F3681" s="651" t="s">
        <v>223</v>
      </c>
      <c r="G3681" s="688">
        <v>570.6</v>
      </c>
      <c r="H3681" s="701">
        <v>2</v>
      </c>
      <c r="I3681" s="701">
        <v>2</v>
      </c>
      <c r="J3681" s="689">
        <v>12</v>
      </c>
      <c r="K3681" s="697" t="s">
        <v>33</v>
      </c>
      <c r="L3681" s="650">
        <f t="shared" si="541"/>
        <v>1228710</v>
      </c>
      <c r="M3681" s="650">
        <f>G3681*2100</f>
        <v>1198260</v>
      </c>
      <c r="N3681" s="688">
        <v>23965</v>
      </c>
      <c r="O3681" s="703"/>
      <c r="P3681" s="688"/>
      <c r="Q3681" s="388">
        <v>6485</v>
      </c>
      <c r="R3681" s="689">
        <f t="shared" si="543"/>
        <v>2100</v>
      </c>
      <c r="S3681" s="435"/>
      <c r="T3681" s="435"/>
      <c r="U3681" s="464"/>
      <c r="V3681" s="435"/>
      <c r="W3681" s="435"/>
      <c r="X3681" s="435"/>
      <c r="Y3681" s="435"/>
      <c r="Z3681" s="435"/>
      <c r="AA3681" s="435"/>
      <c r="AB3681" s="435"/>
      <c r="AC3681" s="435"/>
      <c r="AD3681" s="435"/>
      <c r="AE3681" s="435"/>
      <c r="AF3681" s="435"/>
      <c r="AG3681" s="435"/>
      <c r="AH3681" s="435"/>
      <c r="AI3681" s="435"/>
      <c r="AJ3681" s="435"/>
      <c r="AK3681" s="435"/>
      <c r="AL3681" s="435"/>
      <c r="AM3681" s="435"/>
      <c r="AN3681" s="435"/>
      <c r="AO3681" s="435"/>
      <c r="AP3681" s="435"/>
      <c r="AQ3681" s="435"/>
      <c r="AR3681" s="435"/>
      <c r="AS3681" s="435"/>
      <c r="AT3681" s="435"/>
      <c r="AU3681" s="435"/>
      <c r="AV3681" s="435"/>
      <c r="AW3681" s="435"/>
      <c r="AX3681" s="435"/>
      <c r="AY3681" s="435"/>
      <c r="AZ3681" s="435"/>
      <c r="BA3681" s="435"/>
      <c r="BB3681" s="435"/>
      <c r="BC3681" s="435"/>
      <c r="BD3681" s="435"/>
      <c r="BE3681" s="435"/>
      <c r="BF3681" s="435"/>
      <c r="BG3681" s="435"/>
      <c r="BH3681" s="435"/>
      <c r="BI3681" s="435"/>
      <c r="BJ3681" s="435"/>
      <c r="BK3681" s="435"/>
      <c r="BL3681" s="435"/>
      <c r="BM3681" s="435"/>
      <c r="BN3681" s="435"/>
      <c r="BO3681" s="435"/>
      <c r="BP3681" s="435"/>
      <c r="BQ3681" s="435"/>
      <c r="BR3681" s="435"/>
      <c r="BS3681" s="435"/>
      <c r="BT3681" s="435"/>
      <c r="BU3681" s="435"/>
      <c r="BV3681" s="435"/>
      <c r="BW3681" s="435"/>
      <c r="BX3681" s="435"/>
      <c r="BY3681" s="435"/>
      <c r="BZ3681" s="435"/>
      <c r="CA3681" s="435"/>
      <c r="CB3681" s="435"/>
      <c r="CC3681" s="435"/>
      <c r="CD3681" s="435"/>
      <c r="CE3681" s="435"/>
      <c r="CF3681" s="435"/>
      <c r="CG3681" s="435"/>
      <c r="CH3681" s="435"/>
      <c r="CI3681" s="435"/>
      <c r="CJ3681" s="435"/>
      <c r="CK3681" s="435"/>
      <c r="CL3681" s="435"/>
      <c r="CM3681" s="435"/>
      <c r="CN3681" s="435"/>
      <c r="CO3681" s="435"/>
      <c r="CP3681" s="435"/>
      <c r="CQ3681" s="435"/>
      <c r="CR3681" s="435"/>
      <c r="CS3681" s="435"/>
      <c r="CT3681" s="435"/>
      <c r="CU3681" s="435"/>
      <c r="CV3681" s="435"/>
      <c r="CW3681" s="435"/>
      <c r="CX3681" s="435"/>
      <c r="CY3681" s="435"/>
      <c r="CZ3681" s="435"/>
      <c r="DA3681" s="435"/>
      <c r="DB3681" s="435"/>
      <c r="DC3681" s="435"/>
      <c r="DD3681" s="435"/>
      <c r="DE3681" s="435"/>
      <c r="DF3681" s="435"/>
      <c r="DG3681" s="435"/>
      <c r="DH3681" s="435"/>
      <c r="DI3681" s="435"/>
      <c r="DJ3681" s="435"/>
      <c r="DK3681" s="435"/>
      <c r="DL3681" s="435"/>
      <c r="DM3681" s="435"/>
      <c r="DN3681" s="435"/>
      <c r="DO3681" s="435"/>
      <c r="DP3681" s="435"/>
      <c r="DQ3681" s="435"/>
      <c r="DR3681" s="435"/>
      <c r="DS3681" s="435"/>
      <c r="DT3681" s="435"/>
      <c r="DU3681" s="435"/>
      <c r="DV3681" s="435"/>
      <c r="DW3681" s="435"/>
      <c r="DX3681" s="435"/>
      <c r="DY3681" s="435"/>
      <c r="DZ3681" s="435"/>
      <c r="EA3681" s="435"/>
      <c r="EB3681" s="435"/>
      <c r="EC3681" s="435"/>
      <c r="ED3681" s="435"/>
      <c r="EE3681" s="435"/>
      <c r="EF3681" s="435"/>
      <c r="EG3681" s="435"/>
      <c r="EH3681" s="435"/>
      <c r="EI3681" s="435"/>
      <c r="EJ3681" s="435"/>
      <c r="EK3681" s="435"/>
      <c r="EL3681" s="435"/>
      <c r="EM3681" s="435"/>
      <c r="EN3681" s="435"/>
      <c r="EO3681" s="435"/>
      <c r="EP3681" s="435"/>
      <c r="EQ3681" s="435"/>
      <c r="ER3681" s="435"/>
      <c r="ES3681" s="435"/>
      <c r="ET3681" s="435"/>
      <c r="EU3681" s="435"/>
      <c r="EV3681" s="435"/>
      <c r="EW3681" s="435"/>
      <c r="EX3681" s="435"/>
      <c r="EY3681" s="435"/>
      <c r="EZ3681" s="435"/>
      <c r="FA3681" s="435"/>
      <c r="FB3681" s="435"/>
      <c r="FC3681" s="435"/>
      <c r="FD3681" s="435"/>
      <c r="FE3681" s="435"/>
      <c r="FF3681" s="435"/>
      <c r="FG3681" s="435"/>
      <c r="FH3681" s="435"/>
      <c r="FI3681" s="435"/>
      <c r="FJ3681" s="435"/>
      <c r="FK3681" s="435"/>
      <c r="FL3681" s="435"/>
      <c r="FM3681" s="435"/>
      <c r="FN3681" s="435"/>
      <c r="FO3681" s="435"/>
      <c r="FP3681" s="435"/>
      <c r="FQ3681" s="435"/>
      <c r="FR3681" s="435"/>
      <c r="FS3681" s="435"/>
      <c r="FT3681" s="435"/>
      <c r="FU3681" s="435"/>
      <c r="FV3681" s="435"/>
      <c r="FW3681" s="435"/>
      <c r="FX3681" s="435"/>
      <c r="FY3681" s="435"/>
      <c r="FZ3681" s="435"/>
      <c r="GA3681" s="435"/>
      <c r="GB3681" s="435"/>
      <c r="GC3681" s="435"/>
      <c r="GD3681" s="435"/>
      <c r="GE3681" s="435"/>
      <c r="GF3681" s="435"/>
      <c r="GG3681" s="435"/>
      <c r="GH3681" s="435"/>
      <c r="GI3681" s="435"/>
      <c r="GJ3681" s="435"/>
      <c r="GK3681" s="435"/>
      <c r="GL3681" s="435"/>
      <c r="GM3681" s="435"/>
      <c r="GN3681" s="435"/>
      <c r="GO3681" s="435"/>
      <c r="GP3681" s="435"/>
      <c r="GQ3681" s="435"/>
      <c r="GR3681" s="435"/>
      <c r="GS3681" s="435"/>
      <c r="GT3681" s="435"/>
      <c r="GU3681" s="435"/>
      <c r="GV3681" s="435"/>
      <c r="GW3681" s="435"/>
      <c r="GX3681" s="435"/>
      <c r="GY3681" s="435"/>
      <c r="GZ3681" s="435"/>
      <c r="HA3681" s="435"/>
      <c r="HB3681" s="435"/>
    </row>
    <row r="3682" spans="1:221" s="420" customFormat="1" ht="37.5" customHeight="1">
      <c r="A3682" s="901">
        <f t="shared" si="544"/>
        <v>11</v>
      </c>
      <c r="B3682" s="698" t="s">
        <v>2882</v>
      </c>
      <c r="C3682" s="617" t="s">
        <v>218</v>
      </c>
      <c r="D3682" s="700">
        <f t="shared" si="540"/>
        <v>1395</v>
      </c>
      <c r="E3682" s="688">
        <v>558</v>
      </c>
      <c r="F3682" s="651" t="s">
        <v>223</v>
      </c>
      <c r="G3682" s="688">
        <v>902</v>
      </c>
      <c r="H3682" s="701">
        <v>3</v>
      </c>
      <c r="I3682" s="701">
        <v>2</v>
      </c>
      <c r="J3682" s="689">
        <v>54</v>
      </c>
      <c r="K3682" s="697" t="s">
        <v>33</v>
      </c>
      <c r="L3682" s="650">
        <f t="shared" si="541"/>
        <v>1929514</v>
      </c>
      <c r="M3682" s="650">
        <f>G3682*2100</f>
        <v>1894200</v>
      </c>
      <c r="N3682" s="688">
        <v>28413</v>
      </c>
      <c r="O3682" s="703"/>
      <c r="P3682" s="688"/>
      <c r="Q3682" s="388">
        <v>6901</v>
      </c>
      <c r="R3682" s="689">
        <f t="shared" si="543"/>
        <v>2100</v>
      </c>
      <c r="S3682" s="435"/>
      <c r="T3682" s="435"/>
      <c r="U3682" s="464"/>
      <c r="V3682" s="435"/>
      <c r="W3682" s="435"/>
      <c r="X3682" s="435"/>
      <c r="Y3682" s="435"/>
      <c r="Z3682" s="435"/>
      <c r="AA3682" s="435"/>
      <c r="AB3682" s="435"/>
      <c r="AC3682" s="435"/>
      <c r="AD3682" s="435"/>
      <c r="AE3682" s="435"/>
      <c r="AF3682" s="435"/>
      <c r="AG3682" s="435"/>
      <c r="AH3682" s="435"/>
      <c r="AI3682" s="435"/>
      <c r="AJ3682" s="435"/>
      <c r="AK3682" s="435"/>
      <c r="AL3682" s="435"/>
      <c r="AM3682" s="435"/>
      <c r="AN3682" s="435"/>
      <c r="AO3682" s="435"/>
      <c r="AP3682" s="435"/>
      <c r="AQ3682" s="435"/>
      <c r="AR3682" s="435"/>
      <c r="AS3682" s="435"/>
      <c r="AT3682" s="435"/>
      <c r="AU3682" s="435"/>
      <c r="AV3682" s="435"/>
      <c r="AW3682" s="435"/>
      <c r="AX3682" s="435"/>
      <c r="AY3682" s="435"/>
      <c r="AZ3682" s="435"/>
      <c r="BA3682" s="435"/>
      <c r="BB3682" s="435"/>
      <c r="BC3682" s="435"/>
      <c r="BD3682" s="435"/>
      <c r="BE3682" s="435"/>
      <c r="BF3682" s="435"/>
      <c r="BG3682" s="435"/>
      <c r="BH3682" s="435"/>
      <c r="BI3682" s="435"/>
      <c r="BJ3682" s="435"/>
      <c r="BK3682" s="435"/>
      <c r="BL3682" s="435"/>
      <c r="BM3682" s="435"/>
      <c r="BN3682" s="435"/>
      <c r="BO3682" s="435"/>
      <c r="BP3682" s="435"/>
      <c r="BQ3682" s="435"/>
      <c r="BR3682" s="435"/>
      <c r="BS3682" s="435"/>
      <c r="BT3682" s="435"/>
      <c r="BU3682" s="435"/>
      <c r="BV3682" s="435"/>
      <c r="BW3682" s="435"/>
      <c r="BX3682" s="435"/>
      <c r="BY3682" s="435"/>
      <c r="BZ3682" s="435"/>
      <c r="CA3682" s="435"/>
      <c r="CB3682" s="435"/>
      <c r="CC3682" s="435"/>
      <c r="CD3682" s="435"/>
      <c r="CE3682" s="435"/>
      <c r="CF3682" s="435"/>
      <c r="CG3682" s="435"/>
      <c r="CH3682" s="435"/>
      <c r="CI3682" s="435"/>
      <c r="CJ3682" s="435"/>
      <c r="CK3682" s="435"/>
      <c r="CL3682" s="435"/>
      <c r="CM3682" s="435"/>
      <c r="CN3682" s="435"/>
      <c r="CO3682" s="435"/>
      <c r="CP3682" s="435"/>
      <c r="CQ3682" s="435"/>
      <c r="CR3682" s="435"/>
      <c r="CS3682" s="435"/>
      <c r="CT3682" s="435"/>
      <c r="CU3682" s="435"/>
      <c r="CV3682" s="435"/>
      <c r="CW3682" s="435"/>
      <c r="CX3682" s="435"/>
      <c r="CY3682" s="435"/>
      <c r="CZ3682" s="435"/>
      <c r="DA3682" s="435"/>
      <c r="DB3682" s="435"/>
      <c r="DC3682" s="435"/>
      <c r="DD3682" s="435"/>
      <c r="DE3682" s="435"/>
      <c r="DF3682" s="435"/>
      <c r="DG3682" s="435"/>
      <c r="DH3682" s="435"/>
      <c r="DI3682" s="435"/>
      <c r="DJ3682" s="435"/>
      <c r="DK3682" s="435"/>
      <c r="DL3682" s="435"/>
      <c r="DM3682" s="435"/>
      <c r="DN3682" s="435"/>
      <c r="DO3682" s="435"/>
      <c r="DP3682" s="435"/>
      <c r="DQ3682" s="435"/>
      <c r="DR3682" s="435"/>
      <c r="DS3682" s="435"/>
      <c r="DT3682" s="435"/>
      <c r="DU3682" s="435"/>
      <c r="DV3682" s="435"/>
      <c r="DW3682" s="435"/>
      <c r="DX3682" s="435"/>
      <c r="DY3682" s="435"/>
      <c r="DZ3682" s="435"/>
      <c r="EA3682" s="435"/>
      <c r="EB3682" s="435"/>
      <c r="EC3682" s="435"/>
      <c r="ED3682" s="435"/>
      <c r="EE3682" s="435"/>
      <c r="EF3682" s="435"/>
      <c r="EG3682" s="435"/>
      <c r="EH3682" s="435"/>
      <c r="EI3682" s="435"/>
      <c r="EJ3682" s="435"/>
      <c r="EK3682" s="435"/>
      <c r="EL3682" s="435"/>
      <c r="EM3682" s="435"/>
      <c r="EN3682" s="435"/>
      <c r="EO3682" s="435"/>
      <c r="EP3682" s="435"/>
      <c r="EQ3682" s="435"/>
      <c r="ER3682" s="435"/>
      <c r="ES3682" s="435"/>
      <c r="ET3682" s="435"/>
      <c r="EU3682" s="435"/>
      <c r="EV3682" s="435"/>
      <c r="EW3682" s="435"/>
      <c r="EX3682" s="435"/>
      <c r="EY3682" s="435"/>
      <c r="EZ3682" s="435"/>
      <c r="FA3682" s="435"/>
      <c r="FB3682" s="435"/>
      <c r="FC3682" s="435"/>
      <c r="FD3682" s="435"/>
      <c r="FE3682" s="435"/>
      <c r="FF3682" s="435"/>
      <c r="FG3682" s="435"/>
      <c r="FH3682" s="435"/>
      <c r="FI3682" s="435"/>
      <c r="FJ3682" s="435"/>
      <c r="FK3682" s="435"/>
      <c r="FL3682" s="435"/>
      <c r="FM3682" s="435"/>
      <c r="FN3682" s="435"/>
      <c r="FO3682" s="435"/>
      <c r="FP3682" s="435"/>
      <c r="FQ3682" s="435"/>
      <c r="FR3682" s="435"/>
      <c r="FS3682" s="435"/>
      <c r="FT3682" s="435"/>
      <c r="FU3682" s="435"/>
      <c r="FV3682" s="435"/>
      <c r="FW3682" s="435"/>
      <c r="FX3682" s="435"/>
      <c r="FY3682" s="435"/>
      <c r="FZ3682" s="435"/>
      <c r="GA3682" s="435"/>
      <c r="GB3682" s="435"/>
      <c r="GC3682" s="435"/>
      <c r="GD3682" s="435"/>
      <c r="GE3682" s="435"/>
      <c r="GF3682" s="435"/>
      <c r="GG3682" s="435"/>
      <c r="GH3682" s="435"/>
      <c r="GI3682" s="435"/>
      <c r="GJ3682" s="435"/>
      <c r="GK3682" s="435"/>
      <c r="GL3682" s="435"/>
      <c r="GM3682" s="435"/>
      <c r="GN3682" s="435"/>
      <c r="GO3682" s="435"/>
      <c r="GP3682" s="435"/>
      <c r="GQ3682" s="435"/>
      <c r="GR3682" s="435"/>
      <c r="GS3682" s="435"/>
      <c r="GT3682" s="435"/>
      <c r="GU3682" s="435"/>
      <c r="GV3682" s="435"/>
      <c r="GW3682" s="435"/>
      <c r="GX3682" s="435"/>
      <c r="GY3682" s="435"/>
      <c r="GZ3682" s="435"/>
      <c r="HA3682" s="435"/>
      <c r="HB3682" s="435"/>
    </row>
    <row r="3683" spans="1:221" s="996" customFormat="1" ht="37.5" customHeight="1">
      <c r="A3683" s="901">
        <f t="shared" si="544"/>
        <v>12</v>
      </c>
      <c r="B3683" s="698" t="s">
        <v>2883</v>
      </c>
      <c r="C3683" s="648" t="s">
        <v>222</v>
      </c>
      <c r="D3683" s="700">
        <f t="shared" si="540"/>
        <v>1597.5</v>
      </c>
      <c r="E3683" s="688">
        <v>639</v>
      </c>
      <c r="F3683" s="651" t="s">
        <v>223</v>
      </c>
      <c r="G3683" s="688">
        <v>820</v>
      </c>
      <c r="H3683" s="701">
        <v>2</v>
      </c>
      <c r="I3683" s="701">
        <v>2</v>
      </c>
      <c r="J3683" s="689">
        <v>16</v>
      </c>
      <c r="K3683" s="697" t="s">
        <v>33</v>
      </c>
      <c r="L3683" s="650">
        <f t="shared" si="541"/>
        <v>1755732</v>
      </c>
      <c r="M3683" s="650">
        <f>G3683*2100</f>
        <v>1722000</v>
      </c>
      <c r="N3683" s="688">
        <v>25830</v>
      </c>
      <c r="O3683" s="703"/>
      <c r="P3683" s="688"/>
      <c r="Q3683" s="388">
        <v>7902</v>
      </c>
      <c r="R3683" s="689">
        <f t="shared" si="543"/>
        <v>2100</v>
      </c>
      <c r="S3683" s="435"/>
      <c r="T3683" s="435"/>
      <c r="U3683" s="464"/>
      <c r="V3683" s="995"/>
      <c r="W3683" s="995"/>
      <c r="X3683" s="995"/>
      <c r="Y3683" s="995"/>
      <c r="Z3683" s="995"/>
      <c r="AA3683" s="995"/>
      <c r="AB3683" s="995"/>
      <c r="AC3683" s="995"/>
      <c r="AD3683" s="995"/>
      <c r="AE3683" s="995"/>
      <c r="AF3683" s="995"/>
      <c r="AG3683" s="995"/>
      <c r="AH3683" s="995"/>
      <c r="AI3683" s="995"/>
      <c r="AJ3683" s="995"/>
      <c r="AK3683" s="995"/>
      <c r="AL3683" s="995"/>
      <c r="AM3683" s="995"/>
      <c r="AN3683" s="995"/>
      <c r="AO3683" s="995"/>
      <c r="AP3683" s="995"/>
      <c r="AQ3683" s="995"/>
      <c r="AR3683" s="995"/>
      <c r="AS3683" s="995"/>
      <c r="AT3683" s="995"/>
      <c r="AU3683" s="995"/>
      <c r="AV3683" s="995"/>
      <c r="AW3683" s="995"/>
      <c r="AX3683" s="995"/>
      <c r="AY3683" s="995"/>
      <c r="AZ3683" s="995"/>
      <c r="BA3683" s="995"/>
      <c r="BB3683" s="995"/>
      <c r="BC3683" s="995"/>
      <c r="BD3683" s="995"/>
      <c r="BE3683" s="995"/>
      <c r="BF3683" s="995"/>
      <c r="BG3683" s="995"/>
      <c r="BH3683" s="995"/>
      <c r="BI3683" s="995"/>
      <c r="BJ3683" s="995"/>
      <c r="BK3683" s="995"/>
      <c r="BL3683" s="995"/>
      <c r="BM3683" s="995"/>
      <c r="BN3683" s="995"/>
      <c r="BO3683" s="995"/>
      <c r="BP3683" s="995"/>
      <c r="BQ3683" s="995"/>
      <c r="BR3683" s="995"/>
      <c r="BS3683" s="995"/>
      <c r="BT3683" s="995"/>
      <c r="BU3683" s="995"/>
      <c r="BV3683" s="995"/>
      <c r="BW3683" s="995"/>
      <c r="BX3683" s="995"/>
      <c r="BY3683" s="995"/>
      <c r="BZ3683" s="995"/>
      <c r="CA3683" s="995"/>
      <c r="CB3683" s="995"/>
      <c r="CC3683" s="995"/>
      <c r="CD3683" s="995"/>
      <c r="CE3683" s="995"/>
      <c r="CF3683" s="995"/>
      <c r="CG3683" s="995"/>
      <c r="CH3683" s="995"/>
      <c r="CI3683" s="995"/>
      <c r="CJ3683" s="995"/>
      <c r="CK3683" s="995"/>
      <c r="CL3683" s="995"/>
      <c r="CM3683" s="995"/>
      <c r="CN3683" s="995"/>
      <c r="CO3683" s="995"/>
      <c r="CP3683" s="995"/>
      <c r="CQ3683" s="995"/>
      <c r="CR3683" s="995"/>
      <c r="CS3683" s="995"/>
      <c r="CT3683" s="995"/>
      <c r="CU3683" s="995"/>
      <c r="CV3683" s="995"/>
      <c r="CW3683" s="995"/>
      <c r="CX3683" s="995"/>
      <c r="CY3683" s="995"/>
      <c r="CZ3683" s="995"/>
      <c r="DA3683" s="995"/>
      <c r="DB3683" s="995"/>
      <c r="DC3683" s="995"/>
      <c r="DD3683" s="995"/>
      <c r="DE3683" s="995"/>
      <c r="DF3683" s="995"/>
      <c r="DG3683" s="995"/>
      <c r="DH3683" s="995"/>
      <c r="DI3683" s="995"/>
      <c r="DJ3683" s="995"/>
      <c r="DK3683" s="995"/>
      <c r="DL3683" s="995"/>
      <c r="DM3683" s="995"/>
      <c r="DN3683" s="995"/>
      <c r="DO3683" s="995"/>
      <c r="DP3683" s="995"/>
      <c r="DQ3683" s="995"/>
      <c r="DR3683" s="995"/>
      <c r="DS3683" s="995"/>
      <c r="DT3683" s="995"/>
      <c r="DU3683" s="995"/>
      <c r="DV3683" s="995"/>
      <c r="DW3683" s="995"/>
      <c r="DX3683" s="995"/>
      <c r="DY3683" s="995"/>
      <c r="DZ3683" s="995"/>
      <c r="EA3683" s="995"/>
      <c r="EB3683" s="995"/>
      <c r="EC3683" s="995"/>
      <c r="ED3683" s="995"/>
      <c r="EE3683" s="995"/>
      <c r="EF3683" s="995"/>
      <c r="EG3683" s="995"/>
      <c r="EH3683" s="995"/>
      <c r="EI3683" s="995"/>
      <c r="EJ3683" s="995"/>
      <c r="EK3683" s="995"/>
      <c r="EL3683" s="995"/>
      <c r="EM3683" s="995"/>
      <c r="EN3683" s="995"/>
      <c r="EO3683" s="995"/>
      <c r="EP3683" s="995"/>
      <c r="EQ3683" s="995"/>
      <c r="ER3683" s="995"/>
      <c r="ES3683" s="995"/>
      <c r="ET3683" s="995"/>
      <c r="EU3683" s="995"/>
      <c r="EV3683" s="995"/>
      <c r="EW3683" s="995"/>
      <c r="EX3683" s="995"/>
      <c r="EY3683" s="995"/>
      <c r="EZ3683" s="995"/>
      <c r="FA3683" s="995"/>
      <c r="FB3683" s="995"/>
      <c r="FC3683" s="995"/>
      <c r="FD3683" s="995"/>
      <c r="FE3683" s="995"/>
      <c r="FF3683" s="995"/>
      <c r="FG3683" s="995"/>
      <c r="FH3683" s="995"/>
      <c r="FI3683" s="995"/>
      <c r="FJ3683" s="995"/>
      <c r="FK3683" s="995"/>
      <c r="FL3683" s="995"/>
      <c r="FM3683" s="995"/>
      <c r="FN3683" s="995"/>
      <c r="FO3683" s="995"/>
      <c r="FP3683" s="995"/>
      <c r="FQ3683" s="995"/>
      <c r="FR3683" s="995"/>
      <c r="FS3683" s="995"/>
      <c r="FT3683" s="995"/>
      <c r="FU3683" s="995"/>
      <c r="FV3683" s="995"/>
      <c r="FW3683" s="995"/>
      <c r="FX3683" s="995"/>
      <c r="FY3683" s="995"/>
      <c r="FZ3683" s="995"/>
      <c r="GA3683" s="995"/>
      <c r="GB3683" s="995"/>
      <c r="GC3683" s="995"/>
      <c r="GD3683" s="995"/>
      <c r="GE3683" s="995"/>
      <c r="GF3683" s="995"/>
      <c r="GG3683" s="995"/>
      <c r="GH3683" s="995"/>
      <c r="GI3683" s="995"/>
      <c r="GJ3683" s="995"/>
      <c r="GK3683" s="995"/>
      <c r="GL3683" s="995"/>
      <c r="GM3683" s="995"/>
      <c r="GN3683" s="995"/>
      <c r="GO3683" s="995"/>
      <c r="GP3683" s="995"/>
      <c r="GQ3683" s="995"/>
      <c r="GR3683" s="995"/>
      <c r="GS3683" s="995"/>
      <c r="GT3683" s="995"/>
      <c r="GU3683" s="995"/>
      <c r="GV3683" s="995"/>
      <c r="GW3683" s="995"/>
      <c r="GX3683" s="995"/>
      <c r="GY3683" s="995"/>
      <c r="GZ3683" s="995"/>
      <c r="HA3683" s="995"/>
      <c r="HB3683" s="995"/>
      <c r="HC3683" s="995"/>
      <c r="HD3683" s="995"/>
      <c r="HE3683" s="995"/>
      <c r="HF3683" s="995"/>
      <c r="HG3683" s="995"/>
      <c r="HH3683" s="995"/>
      <c r="HI3683" s="995"/>
      <c r="HJ3683" s="995"/>
      <c r="HK3683" s="995"/>
      <c r="HL3683" s="995"/>
      <c r="HM3683" s="995"/>
    </row>
    <row r="3684" spans="1:221" s="996" customFormat="1" ht="37.5" customHeight="1">
      <c r="A3684" s="901">
        <f t="shared" si="544"/>
        <v>13</v>
      </c>
      <c r="B3684" s="698" t="s">
        <v>2884</v>
      </c>
      <c r="C3684" s="617" t="s">
        <v>218</v>
      </c>
      <c r="D3684" s="700">
        <f>E3684*2.5</f>
        <v>825</v>
      </c>
      <c r="E3684" s="688">
        <f>(20+13)*2*2.5*2</f>
        <v>330</v>
      </c>
      <c r="F3684" s="651" t="s">
        <v>228</v>
      </c>
      <c r="G3684" s="688">
        <v>650</v>
      </c>
      <c r="H3684" s="701">
        <v>2</v>
      </c>
      <c r="I3684" s="701">
        <v>2</v>
      </c>
      <c r="J3684" s="689">
        <v>22</v>
      </c>
      <c r="K3684" s="697" t="s">
        <v>33</v>
      </c>
      <c r="L3684" s="650">
        <f t="shared" si="541"/>
        <v>1373175</v>
      </c>
      <c r="M3684" s="650">
        <f>G3684*2100</f>
        <v>1365000</v>
      </c>
      <c r="N3684" s="688"/>
      <c r="O3684" s="643">
        <f>ROUND(M3684*0.3%,0)</f>
        <v>4095</v>
      </c>
      <c r="P3684" s="688"/>
      <c r="Q3684" s="388">
        <v>4080</v>
      </c>
      <c r="R3684" s="689">
        <f t="shared" si="543"/>
        <v>2100</v>
      </c>
      <c r="S3684" s="435"/>
      <c r="T3684" s="435"/>
      <c r="U3684" s="464"/>
      <c r="V3684" s="995"/>
      <c r="W3684" s="995"/>
      <c r="X3684" s="995"/>
      <c r="Y3684" s="995"/>
      <c r="Z3684" s="995"/>
      <c r="AA3684" s="995"/>
      <c r="AB3684" s="995"/>
      <c r="AC3684" s="995"/>
      <c r="AD3684" s="995"/>
      <c r="AE3684" s="995"/>
      <c r="AF3684" s="995"/>
      <c r="AG3684" s="995"/>
      <c r="AH3684" s="995"/>
      <c r="AI3684" s="995"/>
      <c r="AJ3684" s="995"/>
      <c r="AK3684" s="995"/>
      <c r="AL3684" s="995"/>
      <c r="AM3684" s="995"/>
      <c r="AN3684" s="995"/>
      <c r="AO3684" s="995"/>
      <c r="AP3684" s="995"/>
      <c r="AQ3684" s="995"/>
      <c r="AR3684" s="995"/>
      <c r="AS3684" s="995"/>
      <c r="AT3684" s="995"/>
      <c r="AU3684" s="995"/>
      <c r="AV3684" s="995"/>
      <c r="AW3684" s="995"/>
      <c r="AX3684" s="995"/>
      <c r="AY3684" s="995"/>
      <c r="AZ3684" s="995"/>
      <c r="BA3684" s="995"/>
      <c r="BB3684" s="995"/>
      <c r="BC3684" s="995"/>
      <c r="BD3684" s="995"/>
      <c r="BE3684" s="995"/>
      <c r="BF3684" s="995"/>
      <c r="BG3684" s="995"/>
      <c r="BH3684" s="995"/>
      <c r="BI3684" s="995"/>
      <c r="BJ3684" s="995"/>
      <c r="BK3684" s="995"/>
      <c r="BL3684" s="995"/>
      <c r="BM3684" s="995"/>
      <c r="BN3684" s="995"/>
      <c r="BO3684" s="995"/>
      <c r="BP3684" s="995"/>
      <c r="BQ3684" s="995"/>
      <c r="BR3684" s="995"/>
      <c r="BS3684" s="995"/>
      <c r="BT3684" s="995"/>
      <c r="BU3684" s="995"/>
      <c r="BV3684" s="995"/>
      <c r="BW3684" s="995"/>
      <c r="BX3684" s="995"/>
      <c r="BY3684" s="995"/>
      <c r="BZ3684" s="995"/>
      <c r="CA3684" s="995"/>
      <c r="CB3684" s="995"/>
      <c r="CC3684" s="995"/>
      <c r="CD3684" s="995"/>
      <c r="CE3684" s="995"/>
      <c r="CF3684" s="995"/>
      <c r="CG3684" s="995"/>
      <c r="CH3684" s="995"/>
      <c r="CI3684" s="995"/>
      <c r="CJ3684" s="995"/>
      <c r="CK3684" s="995"/>
      <c r="CL3684" s="995"/>
      <c r="CM3684" s="995"/>
      <c r="CN3684" s="995"/>
      <c r="CO3684" s="995"/>
      <c r="CP3684" s="995"/>
      <c r="CQ3684" s="995"/>
      <c r="CR3684" s="995"/>
      <c r="CS3684" s="995"/>
      <c r="CT3684" s="995"/>
      <c r="CU3684" s="995"/>
      <c r="CV3684" s="995"/>
      <c r="CW3684" s="995"/>
      <c r="CX3684" s="995"/>
      <c r="CY3684" s="995"/>
      <c r="CZ3684" s="995"/>
      <c r="DA3684" s="995"/>
      <c r="DB3684" s="995"/>
      <c r="DC3684" s="995"/>
      <c r="DD3684" s="995"/>
      <c r="DE3684" s="995"/>
      <c r="DF3684" s="995"/>
      <c r="DG3684" s="995"/>
      <c r="DH3684" s="995"/>
      <c r="DI3684" s="995"/>
      <c r="DJ3684" s="995"/>
      <c r="DK3684" s="995"/>
      <c r="DL3684" s="995"/>
      <c r="DM3684" s="995"/>
      <c r="DN3684" s="995"/>
      <c r="DO3684" s="995"/>
      <c r="DP3684" s="995"/>
      <c r="DQ3684" s="995"/>
      <c r="DR3684" s="995"/>
      <c r="DS3684" s="995"/>
      <c r="DT3684" s="995"/>
      <c r="DU3684" s="995"/>
      <c r="DV3684" s="995"/>
      <c r="DW3684" s="995"/>
      <c r="DX3684" s="995"/>
      <c r="DY3684" s="995"/>
      <c r="DZ3684" s="995"/>
      <c r="EA3684" s="995"/>
      <c r="EB3684" s="995"/>
      <c r="EC3684" s="995"/>
      <c r="ED3684" s="995"/>
      <c r="EE3684" s="995"/>
      <c r="EF3684" s="995"/>
      <c r="EG3684" s="995"/>
      <c r="EH3684" s="995"/>
      <c r="EI3684" s="995"/>
      <c r="EJ3684" s="995"/>
      <c r="EK3684" s="995"/>
      <c r="EL3684" s="995"/>
      <c r="EM3684" s="995"/>
      <c r="EN3684" s="995"/>
      <c r="EO3684" s="995"/>
      <c r="EP3684" s="995"/>
      <c r="EQ3684" s="995"/>
      <c r="ER3684" s="995"/>
      <c r="ES3684" s="995"/>
      <c r="ET3684" s="995"/>
      <c r="EU3684" s="995"/>
      <c r="EV3684" s="995"/>
      <c r="EW3684" s="995"/>
      <c r="EX3684" s="995"/>
      <c r="EY3684" s="995"/>
      <c r="EZ3684" s="995"/>
      <c r="FA3684" s="995"/>
      <c r="FB3684" s="995"/>
      <c r="FC3684" s="995"/>
      <c r="FD3684" s="995"/>
      <c r="FE3684" s="995"/>
      <c r="FF3684" s="995"/>
      <c r="FG3684" s="995"/>
      <c r="FH3684" s="995"/>
      <c r="FI3684" s="995"/>
      <c r="FJ3684" s="995"/>
      <c r="FK3684" s="995"/>
      <c r="FL3684" s="995"/>
      <c r="FM3684" s="995"/>
      <c r="FN3684" s="995"/>
      <c r="FO3684" s="995"/>
      <c r="FP3684" s="995"/>
      <c r="FQ3684" s="995"/>
      <c r="FR3684" s="995"/>
      <c r="FS3684" s="995"/>
      <c r="FT3684" s="995"/>
      <c r="FU3684" s="995"/>
      <c r="FV3684" s="995"/>
      <c r="FW3684" s="995"/>
      <c r="FX3684" s="995"/>
      <c r="FY3684" s="995"/>
      <c r="FZ3684" s="995"/>
      <c r="GA3684" s="995"/>
      <c r="GB3684" s="995"/>
      <c r="GC3684" s="995"/>
      <c r="GD3684" s="995"/>
      <c r="GE3684" s="995"/>
      <c r="GF3684" s="995"/>
      <c r="GG3684" s="995"/>
      <c r="GH3684" s="995"/>
      <c r="GI3684" s="995"/>
      <c r="GJ3684" s="995"/>
      <c r="GK3684" s="995"/>
      <c r="GL3684" s="995"/>
      <c r="GM3684" s="995"/>
      <c r="GN3684" s="995"/>
      <c r="GO3684" s="995"/>
      <c r="GP3684" s="995"/>
      <c r="GQ3684" s="995"/>
      <c r="GR3684" s="995"/>
      <c r="GS3684" s="995"/>
      <c r="GT3684" s="995"/>
      <c r="GU3684" s="995"/>
      <c r="GV3684" s="995"/>
      <c r="GW3684" s="995"/>
      <c r="GX3684" s="995"/>
      <c r="GY3684" s="995"/>
      <c r="GZ3684" s="995"/>
      <c r="HA3684" s="995"/>
      <c r="HB3684" s="995"/>
      <c r="HC3684" s="995"/>
      <c r="HD3684" s="995"/>
      <c r="HE3684" s="995"/>
      <c r="HF3684" s="995"/>
      <c r="HG3684" s="995"/>
      <c r="HH3684" s="995"/>
      <c r="HI3684" s="995"/>
      <c r="HJ3684" s="995"/>
      <c r="HK3684" s="995"/>
      <c r="HL3684" s="995"/>
      <c r="HM3684" s="995"/>
    </row>
    <row r="3685" spans="1:221" s="435" customFormat="1" ht="37.5" customHeight="1">
      <c r="A3685" s="901">
        <f t="shared" si="544"/>
        <v>14</v>
      </c>
      <c r="B3685" s="698" t="s">
        <v>3366</v>
      </c>
      <c r="C3685" s="648" t="s">
        <v>222</v>
      </c>
      <c r="D3685" s="700">
        <f>E3685*2.5</f>
        <v>7712.5</v>
      </c>
      <c r="E3685" s="688">
        <v>3085</v>
      </c>
      <c r="F3685" s="651" t="s">
        <v>234</v>
      </c>
      <c r="G3685" s="688">
        <v>2080</v>
      </c>
      <c r="H3685" s="701">
        <v>5</v>
      </c>
      <c r="I3685" s="701">
        <v>8</v>
      </c>
      <c r="J3685" s="689">
        <v>84</v>
      </c>
      <c r="K3685" s="697" t="s">
        <v>33</v>
      </c>
      <c r="L3685" s="650">
        <f>M3685+N3685+O3685+P3685+Q3685</f>
        <v>4192480</v>
      </c>
      <c r="M3685" s="650">
        <f>G3685*2000</f>
        <v>4160000</v>
      </c>
      <c r="N3685" s="688"/>
      <c r="O3685" s="643">
        <f>ROUND(M3685*0.3%,0)</f>
        <v>12480</v>
      </c>
      <c r="P3685" s="688"/>
      <c r="Q3685" s="388">
        <v>20000</v>
      </c>
      <c r="R3685" s="689">
        <f>M3685/G3685</f>
        <v>2000</v>
      </c>
      <c r="T3685" s="406">
        <f>L3685-M3685-N3685-O3685-Q3685</f>
        <v>0</v>
      </c>
      <c r="U3685" s="436"/>
    </row>
    <row r="3686" spans="1:221" s="403" customFormat="1" ht="42.75" customHeight="1">
      <c r="A3686" s="1112" t="s">
        <v>34</v>
      </c>
      <c r="B3686" s="1112"/>
      <c r="C3686" s="388" t="s">
        <v>28</v>
      </c>
      <c r="D3686" s="641">
        <f>SUM(D3672:D3685)</f>
        <v>27740.5</v>
      </c>
      <c r="E3686" s="388">
        <f>SUM(E3672:E3685)</f>
        <v>11096.199999999999</v>
      </c>
      <c r="F3686" s="388" t="s">
        <v>28</v>
      </c>
      <c r="G3686" s="388">
        <f>SUM(G3672:G3685)</f>
        <v>11926.5</v>
      </c>
      <c r="H3686" s="446" t="s">
        <v>28</v>
      </c>
      <c r="I3686" s="446" t="s">
        <v>28</v>
      </c>
      <c r="J3686" s="446">
        <f>SUM(J3672:J3685)</f>
        <v>427</v>
      </c>
      <c r="K3686" s="389" t="s">
        <v>28</v>
      </c>
      <c r="L3686" s="388">
        <f t="shared" ref="L3686:Q3686" si="545">SUM(L3672:L3685)</f>
        <v>28347931</v>
      </c>
      <c r="M3686" s="388">
        <f t="shared" si="545"/>
        <v>27822950</v>
      </c>
      <c r="N3686" s="388">
        <f t="shared" si="545"/>
        <v>405545</v>
      </c>
      <c r="O3686" s="388">
        <f t="shared" si="545"/>
        <v>16575</v>
      </c>
      <c r="P3686" s="388">
        <f t="shared" si="545"/>
        <v>0</v>
      </c>
      <c r="Q3686" s="388">
        <f t="shared" si="545"/>
        <v>102861</v>
      </c>
      <c r="R3686" s="446" t="s">
        <v>28</v>
      </c>
      <c r="T3686" s="393"/>
      <c r="U3686" s="464"/>
    </row>
    <row r="3687" spans="1:221" s="403" customFormat="1" ht="42.75" customHeight="1">
      <c r="A3687" s="1113" t="s">
        <v>57</v>
      </c>
      <c r="B3687" s="1113"/>
      <c r="C3687" s="1113"/>
      <c r="D3687" s="1113"/>
      <c r="E3687" s="1113"/>
      <c r="F3687" s="1113"/>
      <c r="G3687" s="1113"/>
      <c r="H3687" s="1113"/>
      <c r="I3687" s="1113"/>
      <c r="J3687" s="1113"/>
      <c r="K3687" s="1113"/>
      <c r="L3687" s="1113"/>
      <c r="M3687" s="1113"/>
      <c r="N3687" s="1113"/>
      <c r="O3687" s="1113"/>
      <c r="P3687" s="1113"/>
      <c r="Q3687" s="1113"/>
      <c r="R3687" s="458"/>
      <c r="T3687" s="393"/>
      <c r="U3687" s="464"/>
    </row>
    <row r="3688" spans="1:221" s="403" customFormat="1" ht="75" customHeight="1">
      <c r="A3688" s="458">
        <v>1</v>
      </c>
      <c r="B3688" s="403" t="s">
        <v>2885</v>
      </c>
      <c r="C3688" s="455" t="s">
        <v>222</v>
      </c>
      <c r="D3688" s="641">
        <v>2776</v>
      </c>
      <c r="E3688" s="388">
        <v>694</v>
      </c>
      <c r="F3688" s="388" t="s">
        <v>223</v>
      </c>
      <c r="G3688" s="388">
        <v>820</v>
      </c>
      <c r="H3688" s="446">
        <v>2</v>
      </c>
      <c r="I3688" s="446">
        <v>1</v>
      </c>
      <c r="J3688" s="446">
        <v>32</v>
      </c>
      <c r="K3688" s="458" t="s">
        <v>256</v>
      </c>
      <c r="L3688" s="519">
        <f>M3688+N3688+O3688+P3688+Q3688</f>
        <v>1678331</v>
      </c>
      <c r="M3688" s="519">
        <f>G3688*2000</f>
        <v>1640000</v>
      </c>
      <c r="N3688" s="388">
        <f>M3688*0.015</f>
        <v>24600</v>
      </c>
      <c r="O3688" s="473"/>
      <c r="P3688" s="388"/>
      <c r="Q3688" s="388">
        <v>13731</v>
      </c>
      <c r="R3688" s="446">
        <f>M3688/G3688</f>
        <v>2000</v>
      </c>
      <c r="T3688" s="393"/>
      <c r="U3688" s="464"/>
    </row>
    <row r="3689" spans="1:221" s="403" customFormat="1" ht="75" customHeight="1">
      <c r="A3689" s="458">
        <v>2</v>
      </c>
      <c r="B3689" s="403" t="s">
        <v>2886</v>
      </c>
      <c r="C3689" s="455" t="s">
        <v>218</v>
      </c>
      <c r="D3689" s="641">
        <v>2304</v>
      </c>
      <c r="E3689" s="388">
        <v>598.5</v>
      </c>
      <c r="F3689" s="388" t="s">
        <v>223</v>
      </c>
      <c r="G3689" s="388">
        <v>561.29999999999995</v>
      </c>
      <c r="H3689" s="446">
        <v>2</v>
      </c>
      <c r="I3689" s="446">
        <v>3</v>
      </c>
      <c r="J3689" s="446">
        <v>18</v>
      </c>
      <c r="K3689" s="458" t="s">
        <v>418</v>
      </c>
      <c r="L3689" s="519">
        <f>M3689+N3689+O3689+P3689+Q3689</f>
        <v>316413</v>
      </c>
      <c r="M3689" s="519">
        <f>J3689*16900</f>
        <v>304200</v>
      </c>
      <c r="N3689" s="388"/>
      <c r="O3689" s="643">
        <f>ROUND(M3689*0.3%,0)</f>
        <v>913</v>
      </c>
      <c r="P3689" s="388"/>
      <c r="Q3689" s="388">
        <v>11300</v>
      </c>
      <c r="R3689" s="446">
        <f>M3689/J3689</f>
        <v>16900</v>
      </c>
      <c r="T3689" s="393"/>
      <c r="U3689" s="464"/>
    </row>
    <row r="3690" spans="1:221" s="424" customFormat="1" ht="75" customHeight="1">
      <c r="A3690" s="682">
        <f>A3689+1</f>
        <v>3</v>
      </c>
      <c r="B3690" s="424" t="s">
        <v>2887</v>
      </c>
      <c r="C3690" s="648" t="s">
        <v>222</v>
      </c>
      <c r="D3690" s="681">
        <v>1950.2</v>
      </c>
      <c r="E3690" s="646">
        <v>513.20000000000005</v>
      </c>
      <c r="F3690" s="646" t="s">
        <v>223</v>
      </c>
      <c r="G3690" s="646">
        <v>543.4</v>
      </c>
      <c r="H3690" s="648">
        <v>2</v>
      </c>
      <c r="I3690" s="648">
        <v>2</v>
      </c>
      <c r="J3690" s="648">
        <v>16</v>
      </c>
      <c r="K3690" s="458" t="s">
        <v>418</v>
      </c>
      <c r="L3690" s="519">
        <f>M3690+N3690+O3690+P3690+Q3690</f>
        <v>280906</v>
      </c>
      <c r="M3690" s="519">
        <f>J3690*16800</f>
        <v>268800</v>
      </c>
      <c r="N3690" s="646"/>
      <c r="O3690" s="643">
        <f>ROUND(M3690*0.3%,0)</f>
        <v>806</v>
      </c>
      <c r="P3690" s="646"/>
      <c r="Q3690" s="388">
        <v>11300</v>
      </c>
      <c r="R3690" s="446">
        <f>M3690/J3690</f>
        <v>16800</v>
      </c>
      <c r="T3690" s="406"/>
      <c r="U3690" s="464"/>
    </row>
    <row r="3691" spans="1:221" s="424" customFormat="1" ht="75" customHeight="1">
      <c r="A3691" s="682">
        <f>A3690+1</f>
        <v>4</v>
      </c>
      <c r="B3691" s="424" t="s">
        <v>2888</v>
      </c>
      <c r="C3691" s="455" t="s">
        <v>222</v>
      </c>
      <c r="D3691" s="681">
        <v>1925</v>
      </c>
      <c r="E3691" s="646">
        <v>541.5</v>
      </c>
      <c r="F3691" s="646" t="s">
        <v>223</v>
      </c>
      <c r="G3691" s="646">
        <v>547.9</v>
      </c>
      <c r="H3691" s="648">
        <v>2</v>
      </c>
      <c r="I3691" s="648">
        <v>2</v>
      </c>
      <c r="J3691" s="648">
        <v>16</v>
      </c>
      <c r="K3691" s="458" t="s">
        <v>274</v>
      </c>
      <c r="L3691" s="519">
        <f>M3691+N3691+O3691+P3691+Q3691</f>
        <v>280906</v>
      </c>
      <c r="M3691" s="519">
        <f>J3691*16800</f>
        <v>268800</v>
      </c>
      <c r="N3691" s="646"/>
      <c r="O3691" s="643">
        <f>ROUND(M3691*0.3%,0)</f>
        <v>806</v>
      </c>
      <c r="P3691" s="646"/>
      <c r="Q3691" s="388">
        <v>11300</v>
      </c>
      <c r="R3691" s="648">
        <f>M3691/J3691</f>
        <v>16800</v>
      </c>
      <c r="T3691" s="406"/>
      <c r="U3691" s="464"/>
    </row>
    <row r="3692" spans="1:221" s="403" customFormat="1" ht="42.75" customHeight="1">
      <c r="A3692" s="1112" t="s">
        <v>58</v>
      </c>
      <c r="B3692" s="1112"/>
      <c r="C3692" s="388" t="s">
        <v>28</v>
      </c>
      <c r="D3692" s="641">
        <f>SUM(D3688:D3691)</f>
        <v>8955.2000000000007</v>
      </c>
      <c r="E3692" s="388">
        <f>SUM(E3688:E3691)</f>
        <v>2347.1999999999998</v>
      </c>
      <c r="F3692" s="388" t="s">
        <v>28</v>
      </c>
      <c r="G3692" s="388">
        <f>SUM(G3688:G3691)</f>
        <v>2472.6</v>
      </c>
      <c r="H3692" s="446" t="s">
        <v>28</v>
      </c>
      <c r="I3692" s="446" t="s">
        <v>28</v>
      </c>
      <c r="J3692" s="446">
        <f>SUM(J3688:J3691)</f>
        <v>82</v>
      </c>
      <c r="K3692" s="389" t="s">
        <v>28</v>
      </c>
      <c r="L3692" s="519">
        <f>SUM(L3688:L3691)</f>
        <v>2556556</v>
      </c>
      <c r="M3692" s="519">
        <f>SUM(M3688:M3691)</f>
        <v>2481800</v>
      </c>
      <c r="N3692" s="388">
        <f>SUM(N3688:N3691)</f>
        <v>24600</v>
      </c>
      <c r="O3692" s="473">
        <f>SUM(O3688:O3691)</f>
        <v>2525</v>
      </c>
      <c r="P3692" s="388"/>
      <c r="Q3692" s="388">
        <f>SUM(Q3688:Q3691)</f>
        <v>47631</v>
      </c>
      <c r="R3692" s="446" t="s">
        <v>28</v>
      </c>
      <c r="T3692" s="393"/>
      <c r="U3692" s="464"/>
    </row>
    <row r="3693" spans="1:221" s="403" customFormat="1" ht="42.75" customHeight="1">
      <c r="A3693" s="1113" t="s">
        <v>59</v>
      </c>
      <c r="B3693" s="1113"/>
      <c r="C3693" s="1113"/>
      <c r="D3693" s="1113"/>
      <c r="E3693" s="1113"/>
      <c r="F3693" s="1113"/>
      <c r="G3693" s="1113"/>
      <c r="H3693" s="1113"/>
      <c r="I3693" s="1113"/>
      <c r="J3693" s="1113"/>
      <c r="K3693" s="1113"/>
      <c r="L3693" s="1113"/>
      <c r="M3693" s="1113"/>
      <c r="N3693" s="1113"/>
      <c r="O3693" s="1113"/>
      <c r="P3693" s="1113"/>
      <c r="Q3693" s="1113"/>
      <c r="R3693" s="458"/>
      <c r="T3693" s="393"/>
      <c r="U3693" s="464"/>
    </row>
    <row r="3694" spans="1:221" s="403" customFormat="1" ht="75" customHeight="1">
      <c r="A3694" s="704">
        <v>1</v>
      </c>
      <c r="B3694" s="705" t="s">
        <v>3386</v>
      </c>
      <c r="C3694" s="706" t="s">
        <v>222</v>
      </c>
      <c r="D3694" s="707">
        <v>1227.6000000000001</v>
      </c>
      <c r="E3694" s="902">
        <v>409.20000000000005</v>
      </c>
      <c r="F3694" s="388" t="s">
        <v>223</v>
      </c>
      <c r="G3694" s="902">
        <v>728</v>
      </c>
      <c r="H3694" s="708">
        <v>2</v>
      </c>
      <c r="I3694" s="708">
        <v>1</v>
      </c>
      <c r="J3694" s="708">
        <v>18</v>
      </c>
      <c r="K3694" s="709" t="s">
        <v>33</v>
      </c>
      <c r="L3694" s="519">
        <f>M3694+N3694+O3694+P3694+Q3694</f>
        <v>1498472</v>
      </c>
      <c r="M3694" s="519">
        <v>1456000</v>
      </c>
      <c r="N3694" s="388">
        <v>36400</v>
      </c>
      <c r="O3694" s="473"/>
      <c r="P3694" s="388"/>
      <c r="Q3694" s="388">
        <v>6072</v>
      </c>
      <c r="R3694" s="446">
        <v>1999.9999999999998</v>
      </c>
      <c r="T3694" s="393">
        <v>0</v>
      </c>
      <c r="U3694" s="464"/>
    </row>
    <row r="3695" spans="1:221" s="403" customFormat="1" ht="42.75" customHeight="1">
      <c r="A3695" s="1112" t="s">
        <v>60</v>
      </c>
      <c r="B3695" s="1112"/>
      <c r="C3695" s="388" t="s">
        <v>28</v>
      </c>
      <c r="D3695" s="641">
        <f>SUM(D3694:D3694)</f>
        <v>1227.6000000000001</v>
      </c>
      <c r="E3695" s="388">
        <f>SUM(E3694:E3694)</f>
        <v>409.20000000000005</v>
      </c>
      <c r="F3695" s="388" t="s">
        <v>28</v>
      </c>
      <c r="G3695" s="388">
        <f>SUM(G3694:G3694)</f>
        <v>728</v>
      </c>
      <c r="H3695" s="446" t="s">
        <v>28</v>
      </c>
      <c r="I3695" s="446" t="s">
        <v>28</v>
      </c>
      <c r="J3695" s="446">
        <f>SUM(J3694:J3694)</f>
        <v>18</v>
      </c>
      <c r="K3695" s="389" t="s">
        <v>28</v>
      </c>
      <c r="L3695" s="519">
        <f>SUM(L3694:L3694)</f>
        <v>1498472</v>
      </c>
      <c r="M3695" s="519">
        <f>SUM(M3694:M3694)</f>
        <v>1456000</v>
      </c>
      <c r="N3695" s="388">
        <f>SUM(N3694:N3694)</f>
        <v>36400</v>
      </c>
      <c r="O3695" s="473"/>
      <c r="P3695" s="388"/>
      <c r="Q3695" s="388">
        <f>SUM(Q3694:Q3694)</f>
        <v>6072</v>
      </c>
      <c r="R3695" s="446" t="s">
        <v>28</v>
      </c>
      <c r="T3695" s="393"/>
      <c r="U3695" s="464"/>
    </row>
    <row r="3696" spans="1:221" s="403" customFormat="1" ht="42.75" customHeight="1">
      <c r="A3696" s="1113" t="s">
        <v>61</v>
      </c>
      <c r="B3696" s="1113"/>
      <c r="C3696" s="1113"/>
      <c r="D3696" s="1113"/>
      <c r="E3696" s="1113"/>
      <c r="F3696" s="1113"/>
      <c r="G3696" s="1113"/>
      <c r="H3696" s="1113"/>
      <c r="I3696" s="1113"/>
      <c r="J3696" s="1113"/>
      <c r="K3696" s="1113"/>
      <c r="L3696" s="1113"/>
      <c r="M3696" s="1113"/>
      <c r="N3696" s="1113"/>
      <c r="O3696" s="1113"/>
      <c r="P3696" s="1113"/>
      <c r="Q3696" s="1113"/>
      <c r="R3696" s="458"/>
      <c r="T3696" s="393"/>
      <c r="U3696" s="464"/>
    </row>
    <row r="3697" spans="1:219" s="405" customFormat="1" ht="37.5" customHeight="1">
      <c r="A3697" s="500">
        <v>1</v>
      </c>
      <c r="B3697" s="403" t="s">
        <v>2890</v>
      </c>
      <c r="C3697" s="455" t="s">
        <v>218</v>
      </c>
      <c r="D3697" s="606">
        <v>2479</v>
      </c>
      <c r="E3697" s="391">
        <v>605</v>
      </c>
      <c r="F3697" s="388" t="s">
        <v>231</v>
      </c>
      <c r="G3697" s="391">
        <v>508</v>
      </c>
      <c r="H3697" s="528">
        <v>2</v>
      </c>
      <c r="I3697" s="528">
        <v>1</v>
      </c>
      <c r="J3697" s="528">
        <v>10</v>
      </c>
      <c r="K3697" s="397" t="s">
        <v>38</v>
      </c>
      <c r="L3697" s="519">
        <f>M3697+N3697+O3697+P3697+Q3697</f>
        <v>1012550</v>
      </c>
      <c r="M3697" s="519">
        <v>993600</v>
      </c>
      <c r="N3697" s="388"/>
      <c r="O3697" s="643">
        <v>2981</v>
      </c>
      <c r="P3697" s="388"/>
      <c r="Q3697" s="388">
        <v>15969</v>
      </c>
      <c r="R3697" s="528">
        <f>M3697/E3697</f>
        <v>1642.3140495867769</v>
      </c>
      <c r="U3697" s="464"/>
    </row>
    <row r="3698" spans="1:219" s="405" customFormat="1" ht="37.5" customHeight="1">
      <c r="A3698" s="500">
        <v>2</v>
      </c>
      <c r="B3698" s="403" t="s">
        <v>2891</v>
      </c>
      <c r="C3698" s="648" t="s">
        <v>222</v>
      </c>
      <c r="D3698" s="606">
        <v>2479</v>
      </c>
      <c r="E3698" s="391">
        <v>605</v>
      </c>
      <c r="F3698" s="388" t="s">
        <v>231</v>
      </c>
      <c r="G3698" s="391">
        <v>508</v>
      </c>
      <c r="H3698" s="528">
        <v>2</v>
      </c>
      <c r="I3698" s="528">
        <v>1</v>
      </c>
      <c r="J3698" s="528">
        <v>8</v>
      </c>
      <c r="K3698" s="397" t="s">
        <v>38</v>
      </c>
      <c r="L3698" s="519">
        <f>M3698+N3698+O3698+P3698+Q3698</f>
        <v>1012550</v>
      </c>
      <c r="M3698" s="519">
        <v>993600</v>
      </c>
      <c r="N3698" s="388"/>
      <c r="O3698" s="643">
        <v>2981</v>
      </c>
      <c r="P3698" s="388"/>
      <c r="Q3698" s="388">
        <v>15969</v>
      </c>
      <c r="R3698" s="528">
        <f>M3698/E3698</f>
        <v>1642.3140495867769</v>
      </c>
      <c r="U3698" s="464"/>
    </row>
    <row r="3699" spans="1:219" s="405" customFormat="1" ht="37.5" customHeight="1">
      <c r="A3699" s="500">
        <v>3</v>
      </c>
      <c r="B3699" s="403" t="s">
        <v>2892</v>
      </c>
      <c r="C3699" s="648" t="s">
        <v>222</v>
      </c>
      <c r="D3699" s="606">
        <v>15180</v>
      </c>
      <c r="E3699" s="391">
        <v>2884.4</v>
      </c>
      <c r="F3699" s="388" t="s">
        <v>224</v>
      </c>
      <c r="G3699" s="391">
        <v>1767</v>
      </c>
      <c r="H3699" s="528">
        <v>5</v>
      </c>
      <c r="I3699" s="528">
        <v>4</v>
      </c>
      <c r="J3699" s="528">
        <v>80</v>
      </c>
      <c r="K3699" s="397" t="s">
        <v>33</v>
      </c>
      <c r="L3699" s="519">
        <f>M3699+N3699+O3699+P3699+Q3699</f>
        <v>3741832</v>
      </c>
      <c r="M3699" s="519">
        <v>3710700</v>
      </c>
      <c r="N3699" s="388"/>
      <c r="O3699" s="643">
        <v>11132</v>
      </c>
      <c r="P3699" s="388"/>
      <c r="Q3699" s="388">
        <v>20000</v>
      </c>
      <c r="R3699" s="528">
        <f>M3699/G3699</f>
        <v>2100</v>
      </c>
      <c r="U3699" s="464"/>
    </row>
    <row r="3700" spans="1:219" s="405" customFormat="1" ht="37.5" customHeight="1">
      <c r="A3700" s="500">
        <v>4</v>
      </c>
      <c r="B3700" s="403" t="s">
        <v>2893</v>
      </c>
      <c r="C3700" s="648" t="s">
        <v>222</v>
      </c>
      <c r="D3700" s="606">
        <f>E3700*3</f>
        <v>2640</v>
      </c>
      <c r="E3700" s="391">
        <v>880</v>
      </c>
      <c r="F3700" s="646" t="s">
        <v>242</v>
      </c>
      <c r="G3700" s="391">
        <v>432</v>
      </c>
      <c r="H3700" s="528">
        <v>2</v>
      </c>
      <c r="I3700" s="528">
        <v>2</v>
      </c>
      <c r="J3700" s="528">
        <v>8</v>
      </c>
      <c r="K3700" s="397" t="s">
        <v>38</v>
      </c>
      <c r="L3700" s="519">
        <f>M3700+N3700+O3700+P3700+Q3700</f>
        <v>1469607</v>
      </c>
      <c r="M3700" s="519">
        <v>1450800</v>
      </c>
      <c r="N3700" s="388"/>
      <c r="O3700" s="643">
        <v>4352</v>
      </c>
      <c r="P3700" s="388"/>
      <c r="Q3700" s="388">
        <v>14455</v>
      </c>
      <c r="R3700" s="528">
        <f>M3700/E3700</f>
        <v>1648.6363636363637</v>
      </c>
      <c r="U3700" s="464"/>
    </row>
    <row r="3701" spans="1:219" s="405" customFormat="1" ht="37.5" customHeight="1">
      <c r="A3701" s="500">
        <v>5</v>
      </c>
      <c r="B3701" s="403" t="s">
        <v>2894</v>
      </c>
      <c r="C3701" s="648" t="s">
        <v>218</v>
      </c>
      <c r="D3701" s="606">
        <f>E3701*3</f>
        <v>3636</v>
      </c>
      <c r="E3701" s="391">
        <v>1212</v>
      </c>
      <c r="F3701" s="646" t="s">
        <v>242</v>
      </c>
      <c r="G3701" s="391">
        <v>1195</v>
      </c>
      <c r="H3701" s="528">
        <v>2</v>
      </c>
      <c r="I3701" s="528">
        <v>4</v>
      </c>
      <c r="J3701" s="528">
        <v>24</v>
      </c>
      <c r="K3701" s="397" t="s">
        <v>227</v>
      </c>
      <c r="L3701" s="519">
        <f>M3701+N3701+O3701+P3701+Q3701</f>
        <v>3325274</v>
      </c>
      <c r="M3701" s="519">
        <v>3272400</v>
      </c>
      <c r="N3701" s="388">
        <v>29452</v>
      </c>
      <c r="O3701" s="643"/>
      <c r="P3701" s="388"/>
      <c r="Q3701" s="388">
        <v>23422</v>
      </c>
      <c r="R3701" s="528">
        <f>M3701/E3701</f>
        <v>2700</v>
      </c>
      <c r="U3701" s="464"/>
    </row>
    <row r="3702" spans="1:219" s="405" customFormat="1" ht="37.5" customHeight="1">
      <c r="A3702" s="500">
        <v>6</v>
      </c>
      <c r="B3702" s="403" t="s">
        <v>2895</v>
      </c>
      <c r="C3702" s="648" t="s">
        <v>222</v>
      </c>
      <c r="D3702" s="606">
        <v>2629</v>
      </c>
      <c r="E3702" s="391">
        <v>543</v>
      </c>
      <c r="F3702" s="646" t="s">
        <v>242</v>
      </c>
      <c r="G3702" s="391">
        <v>683</v>
      </c>
      <c r="H3702" s="528">
        <v>2</v>
      </c>
      <c r="I3702" s="528">
        <v>2</v>
      </c>
      <c r="J3702" s="528">
        <v>26</v>
      </c>
      <c r="K3702" s="397" t="s">
        <v>33</v>
      </c>
      <c r="L3702" s="519">
        <f>M3702+N3702+O3702+Q3702</f>
        <v>1924049</v>
      </c>
      <c r="M3702" s="519">
        <v>1882497</v>
      </c>
      <c r="N3702" s="388">
        <v>28237</v>
      </c>
      <c r="O3702" s="473"/>
      <c r="P3702" s="388"/>
      <c r="Q3702" s="388">
        <v>13315</v>
      </c>
      <c r="R3702" s="446">
        <f>M3702/G3702</f>
        <v>2756.2181551976573</v>
      </c>
      <c r="U3702" s="464"/>
    </row>
    <row r="3703" spans="1:219" s="403" customFormat="1" ht="42.75" customHeight="1">
      <c r="A3703" s="1112" t="s">
        <v>62</v>
      </c>
      <c r="B3703" s="1112"/>
      <c r="C3703" s="455" t="s">
        <v>28</v>
      </c>
      <c r="D3703" s="641">
        <f>SUM(D3697:D3702)</f>
        <v>29043</v>
      </c>
      <c r="E3703" s="388">
        <f>SUM(E3697:E3702)</f>
        <v>6729.4</v>
      </c>
      <c r="F3703" s="388" t="s">
        <v>28</v>
      </c>
      <c r="G3703" s="388">
        <f>SUM(G3697:G3702)</f>
        <v>5093</v>
      </c>
      <c r="H3703" s="446" t="s">
        <v>28</v>
      </c>
      <c r="I3703" s="446" t="s">
        <v>28</v>
      </c>
      <c r="J3703" s="446">
        <f>SUM(J3697:J3702)</f>
        <v>156</v>
      </c>
      <c r="K3703" s="458" t="s">
        <v>28</v>
      </c>
      <c r="L3703" s="519">
        <f t="shared" ref="L3703:Q3703" si="546">SUM(L3697:L3702)</f>
        <v>12485862</v>
      </c>
      <c r="M3703" s="519">
        <f t="shared" si="546"/>
        <v>12303597</v>
      </c>
      <c r="N3703" s="388">
        <f t="shared" si="546"/>
        <v>57689</v>
      </c>
      <c r="O3703" s="473">
        <f t="shared" si="546"/>
        <v>21446</v>
      </c>
      <c r="P3703" s="388">
        <f t="shared" si="546"/>
        <v>0</v>
      </c>
      <c r="Q3703" s="388">
        <f t="shared" si="546"/>
        <v>103130</v>
      </c>
      <c r="R3703" s="446" t="s">
        <v>28</v>
      </c>
      <c r="T3703" s="393"/>
      <c r="U3703" s="464"/>
    </row>
    <row r="3704" spans="1:219" s="403" customFormat="1" ht="42.75" customHeight="1">
      <c r="A3704" s="1113" t="s">
        <v>63</v>
      </c>
      <c r="B3704" s="1113"/>
      <c r="C3704" s="1113"/>
      <c r="D3704" s="1113"/>
      <c r="E3704" s="1113"/>
      <c r="F3704" s="1113"/>
      <c r="G3704" s="1113"/>
      <c r="H3704" s="1113"/>
      <c r="I3704" s="1113"/>
      <c r="J3704" s="1113"/>
      <c r="K3704" s="1113"/>
      <c r="L3704" s="1113"/>
      <c r="M3704" s="1113"/>
      <c r="N3704" s="1113"/>
      <c r="O3704" s="1113"/>
      <c r="P3704" s="1113"/>
      <c r="Q3704" s="1113"/>
      <c r="R3704" s="458"/>
      <c r="T3704" s="393"/>
      <c r="U3704" s="464"/>
    </row>
    <row r="3705" spans="1:219" s="424" customFormat="1" ht="37.5" customHeight="1">
      <c r="A3705" s="682">
        <v>1</v>
      </c>
      <c r="B3705" s="733" t="s">
        <v>2896</v>
      </c>
      <c r="C3705" s="648" t="s">
        <v>222</v>
      </c>
      <c r="D3705" s="681">
        <v>3325</v>
      </c>
      <c r="E3705" s="646">
        <v>554.79999999999995</v>
      </c>
      <c r="F3705" s="646" t="s">
        <v>242</v>
      </c>
      <c r="G3705" s="644">
        <f>(20*I3705)*12*1.3</f>
        <v>624</v>
      </c>
      <c r="H3705" s="648">
        <v>2</v>
      </c>
      <c r="I3705" s="648">
        <v>2</v>
      </c>
      <c r="J3705" s="648">
        <v>16</v>
      </c>
      <c r="K3705" s="642" t="s">
        <v>33</v>
      </c>
      <c r="L3705" s="519">
        <f>M3705+N3705+O3705+Q3705</f>
        <v>1518155</v>
      </c>
      <c r="M3705" s="519">
        <v>1479516</v>
      </c>
      <c r="N3705" s="388">
        <v>22193</v>
      </c>
      <c r="O3705" s="473"/>
      <c r="P3705" s="388"/>
      <c r="Q3705" s="388">
        <v>16446</v>
      </c>
      <c r="R3705" s="446">
        <f>M3705/G3705</f>
        <v>2371.0192307692309</v>
      </c>
      <c r="U3705" s="464"/>
    </row>
    <row r="3706" spans="1:219" s="1003" customFormat="1" ht="37.5" customHeight="1">
      <c r="A3706" s="682">
        <v>2</v>
      </c>
      <c r="B3706" s="733" t="s">
        <v>2897</v>
      </c>
      <c r="C3706" s="648" t="s">
        <v>218</v>
      </c>
      <c r="D3706" s="681">
        <v>2613</v>
      </c>
      <c r="E3706" s="646">
        <v>564.79999999999995</v>
      </c>
      <c r="F3706" s="646" t="s">
        <v>223</v>
      </c>
      <c r="G3706" s="644">
        <f>(20*I3706)*12*1.4</f>
        <v>336</v>
      </c>
      <c r="H3706" s="648">
        <v>2</v>
      </c>
      <c r="I3706" s="648">
        <v>1</v>
      </c>
      <c r="J3706" s="648">
        <v>8</v>
      </c>
      <c r="K3706" s="642" t="s">
        <v>33</v>
      </c>
      <c r="L3706" s="519">
        <f>M3706+N3706+O3706+Q3706</f>
        <v>839485</v>
      </c>
      <c r="M3706" s="519">
        <v>806400</v>
      </c>
      <c r="N3706" s="388">
        <v>20160</v>
      </c>
      <c r="O3706" s="473"/>
      <c r="P3706" s="388"/>
      <c r="Q3706" s="388">
        <v>12925</v>
      </c>
      <c r="R3706" s="446">
        <f>M3706/G3706</f>
        <v>2400</v>
      </c>
      <c r="S3706" s="499"/>
      <c r="T3706" s="500"/>
      <c r="U3706" s="464"/>
      <c r="V3706" s="989"/>
      <c r="W3706" s="984"/>
      <c r="X3706" s="984"/>
      <c r="Y3706" s="502"/>
      <c r="Z3706" s="502"/>
      <c r="AA3706" s="502"/>
      <c r="AB3706" s="985"/>
      <c r="AC3706" s="499"/>
      <c r="AD3706" s="499"/>
      <c r="AE3706" s="499"/>
      <c r="AF3706" s="986"/>
      <c r="AG3706" s="986"/>
      <c r="AH3706" s="986"/>
      <c r="AI3706" s="987"/>
      <c r="AJ3706" s="500"/>
      <c r="AK3706" s="988"/>
      <c r="AL3706" s="989"/>
      <c r="AM3706" s="984"/>
      <c r="AN3706" s="984"/>
      <c r="AO3706" s="984"/>
      <c r="AP3706" s="502"/>
      <c r="AQ3706" s="502"/>
      <c r="AR3706" s="502"/>
      <c r="AS3706" s="502"/>
      <c r="AT3706" s="985"/>
      <c r="AU3706" s="499"/>
      <c r="AV3706" s="499"/>
      <c r="AW3706" s="499"/>
      <c r="AX3706" s="986"/>
      <c r="AY3706" s="986"/>
      <c r="AZ3706" s="986"/>
      <c r="BA3706" s="987"/>
      <c r="BB3706" s="500"/>
      <c r="BC3706" s="988"/>
      <c r="BD3706" s="989"/>
      <c r="BE3706" s="984"/>
      <c r="BF3706" s="984"/>
      <c r="BG3706" s="984"/>
      <c r="BH3706" s="502"/>
      <c r="BI3706" s="502"/>
      <c r="BJ3706" s="502"/>
      <c r="BK3706" s="502"/>
      <c r="BL3706" s="985"/>
      <c r="BM3706" s="499"/>
      <c r="BN3706" s="499"/>
      <c r="BO3706" s="499"/>
      <c r="BP3706" s="986"/>
      <c r="BQ3706" s="986"/>
      <c r="BR3706" s="986"/>
      <c r="BS3706" s="987"/>
      <c r="BT3706" s="500"/>
      <c r="BU3706" s="988"/>
      <c r="BV3706" s="989"/>
      <c r="BW3706" s="984"/>
      <c r="BX3706" s="984"/>
      <c r="BY3706" s="984"/>
      <c r="BZ3706" s="502"/>
      <c r="CA3706" s="502"/>
      <c r="CB3706" s="502"/>
      <c r="CC3706" s="502"/>
      <c r="CD3706" s="985"/>
      <c r="CE3706" s="499"/>
      <c r="CF3706" s="499"/>
      <c r="CG3706" s="499"/>
      <c r="CH3706" s="986"/>
      <c r="CI3706" s="986"/>
      <c r="CJ3706" s="986"/>
      <c r="CK3706" s="987"/>
      <c r="CL3706" s="500"/>
      <c r="CM3706" s="988"/>
      <c r="CN3706" s="989"/>
      <c r="CO3706" s="984"/>
      <c r="CP3706" s="984"/>
      <c r="CQ3706" s="984"/>
      <c r="CR3706" s="502"/>
      <c r="CS3706" s="502"/>
      <c r="CT3706" s="502"/>
      <c r="CU3706" s="502"/>
      <c r="CV3706" s="985"/>
      <c r="CW3706" s="499"/>
      <c r="CX3706" s="499"/>
      <c r="CY3706" s="499"/>
      <c r="CZ3706" s="986"/>
      <c r="DA3706" s="986"/>
      <c r="DB3706" s="986"/>
      <c r="DC3706" s="987"/>
      <c r="DD3706" s="500"/>
      <c r="DE3706" s="988"/>
      <c r="DF3706" s="989"/>
      <c r="DG3706" s="984"/>
      <c r="DH3706" s="984"/>
      <c r="DI3706" s="984"/>
      <c r="DJ3706" s="502"/>
      <c r="DK3706" s="502"/>
      <c r="DL3706" s="502"/>
      <c r="DM3706" s="502"/>
      <c r="DN3706" s="985"/>
      <c r="DO3706" s="499"/>
      <c r="DP3706" s="499"/>
      <c r="DQ3706" s="499"/>
      <c r="DR3706" s="986"/>
      <c r="DS3706" s="986"/>
      <c r="DT3706" s="986"/>
      <c r="DU3706" s="987"/>
      <c r="DV3706" s="500"/>
      <c r="DW3706" s="988"/>
      <c r="DX3706" s="989"/>
      <c r="DY3706" s="984"/>
      <c r="DZ3706" s="984"/>
      <c r="EA3706" s="984"/>
      <c r="EB3706" s="502"/>
      <c r="EC3706" s="502"/>
      <c r="ED3706" s="502"/>
      <c r="EE3706" s="502"/>
      <c r="EF3706" s="985"/>
      <c r="EG3706" s="499"/>
      <c r="EH3706" s="499"/>
      <c r="EI3706" s="499"/>
      <c r="EJ3706" s="986"/>
      <c r="EK3706" s="986"/>
      <c r="EL3706" s="986"/>
      <c r="EM3706" s="987"/>
      <c r="EN3706" s="500"/>
      <c r="EO3706" s="988"/>
      <c r="EP3706" s="989"/>
      <c r="EQ3706" s="984"/>
      <c r="ER3706" s="984"/>
      <c r="ES3706" s="984"/>
      <c r="ET3706" s="502"/>
      <c r="EU3706" s="502"/>
      <c r="EV3706" s="502"/>
      <c r="EW3706" s="502"/>
      <c r="EX3706" s="985"/>
      <c r="EY3706" s="499"/>
      <c r="EZ3706" s="499"/>
      <c r="FA3706" s="499"/>
      <c r="FB3706" s="986"/>
      <c r="FC3706" s="986"/>
      <c r="FD3706" s="986"/>
      <c r="FE3706" s="987"/>
      <c r="FF3706" s="500"/>
      <c r="FG3706" s="988"/>
      <c r="FH3706" s="989"/>
      <c r="FI3706" s="984"/>
      <c r="FJ3706" s="984"/>
      <c r="FK3706" s="984"/>
      <c r="FL3706" s="502"/>
      <c r="FM3706" s="502"/>
      <c r="FN3706" s="502"/>
      <c r="FO3706" s="502"/>
      <c r="FP3706" s="985"/>
      <c r="FQ3706" s="499"/>
      <c r="FR3706" s="499"/>
      <c r="FS3706" s="499"/>
      <c r="FT3706" s="986"/>
      <c r="FU3706" s="986"/>
      <c r="FV3706" s="986"/>
      <c r="FW3706" s="987"/>
      <c r="FX3706" s="500"/>
      <c r="FY3706" s="988"/>
      <c r="FZ3706" s="989"/>
      <c r="GA3706" s="984"/>
      <c r="GB3706" s="984"/>
      <c r="GC3706" s="984"/>
      <c r="GD3706" s="502"/>
      <c r="GE3706" s="502"/>
      <c r="GF3706" s="502"/>
      <c r="GG3706" s="502"/>
      <c r="GH3706" s="985"/>
      <c r="GI3706" s="499"/>
      <c r="GJ3706" s="499"/>
      <c r="GK3706" s="499"/>
      <c r="GL3706" s="986"/>
      <c r="GM3706" s="986"/>
      <c r="GN3706" s="986"/>
      <c r="GO3706" s="987"/>
      <c r="GP3706" s="500"/>
      <c r="GQ3706" s="988"/>
      <c r="GR3706" s="989"/>
      <c r="GS3706" s="984"/>
      <c r="GT3706" s="984"/>
      <c r="GU3706" s="984"/>
      <c r="GV3706" s="502"/>
      <c r="GW3706" s="502"/>
      <c r="GX3706" s="502"/>
      <c r="GY3706" s="502"/>
      <c r="GZ3706" s="985"/>
      <c r="HA3706" s="499"/>
      <c r="HB3706" s="499"/>
      <c r="HC3706" s="499"/>
      <c r="HD3706" s="986"/>
      <c r="HE3706" s="986"/>
      <c r="HF3706" s="986"/>
      <c r="HG3706" s="987"/>
      <c r="HH3706" s="500"/>
      <c r="HI3706" s="988"/>
      <c r="HJ3706" s="989"/>
      <c r="HK3706" s="984"/>
    </row>
    <row r="3707" spans="1:219" s="403" customFormat="1" ht="42.75" customHeight="1">
      <c r="A3707" s="1112" t="s">
        <v>122</v>
      </c>
      <c r="B3707" s="1112"/>
      <c r="C3707" s="455" t="s">
        <v>28</v>
      </c>
      <c r="D3707" s="641">
        <f>SUM(D3705:D3706)</f>
        <v>5938</v>
      </c>
      <c r="E3707" s="388">
        <f>SUM(E3705:E3706)</f>
        <v>1119.5999999999999</v>
      </c>
      <c r="F3707" s="388" t="s">
        <v>28</v>
      </c>
      <c r="G3707" s="388">
        <f>SUM(G3705:G3706)</f>
        <v>960</v>
      </c>
      <c r="H3707" s="446" t="s">
        <v>28</v>
      </c>
      <c r="I3707" s="446" t="s">
        <v>28</v>
      </c>
      <c r="J3707" s="446">
        <f>SUM(J3705:J3706)</f>
        <v>24</v>
      </c>
      <c r="K3707" s="458" t="s">
        <v>28</v>
      </c>
      <c r="L3707" s="519">
        <f>SUM(L3705:L3706)</f>
        <v>2357640</v>
      </c>
      <c r="M3707" s="519">
        <f>SUM(M3705:M3706)</f>
        <v>2285916</v>
      </c>
      <c r="N3707" s="388">
        <f>SUM(N3705:N3706)</f>
        <v>42353</v>
      </c>
      <c r="O3707" s="473"/>
      <c r="P3707" s="388"/>
      <c r="Q3707" s="388">
        <f>SUM(Q3705:Q3706)</f>
        <v>29371</v>
      </c>
      <c r="R3707" s="446" t="s">
        <v>28</v>
      </c>
      <c r="T3707" s="393"/>
      <c r="U3707" s="464"/>
    </row>
    <row r="3708" spans="1:219" s="403" customFormat="1" ht="42.75" customHeight="1">
      <c r="A3708" s="1113" t="s">
        <v>65</v>
      </c>
      <c r="B3708" s="1113"/>
      <c r="C3708" s="1113"/>
      <c r="D3708" s="1113"/>
      <c r="E3708" s="1113"/>
      <c r="F3708" s="1113"/>
      <c r="G3708" s="1113"/>
      <c r="H3708" s="1113"/>
      <c r="I3708" s="1113"/>
      <c r="J3708" s="1113"/>
      <c r="K3708" s="1113"/>
      <c r="L3708" s="1113"/>
      <c r="M3708" s="1113"/>
      <c r="N3708" s="1113"/>
      <c r="O3708" s="1113"/>
      <c r="P3708" s="1113"/>
      <c r="Q3708" s="1113"/>
      <c r="R3708" s="458"/>
      <c r="T3708" s="393"/>
      <c r="U3708" s="464"/>
    </row>
    <row r="3709" spans="1:219" s="501" customFormat="1" ht="37.5" customHeight="1">
      <c r="A3709" s="682">
        <v>1</v>
      </c>
      <c r="B3709" s="711" t="s">
        <v>2898</v>
      </c>
      <c r="C3709" s="648" t="s">
        <v>222</v>
      </c>
      <c r="D3709" s="712">
        <v>3371</v>
      </c>
      <c r="E3709" s="644">
        <v>786</v>
      </c>
      <c r="F3709" s="388" t="s">
        <v>231</v>
      </c>
      <c r="G3709" s="644">
        <f>(20*I3709)*13*1.3</f>
        <v>338</v>
      </c>
      <c r="H3709" s="713">
        <v>4</v>
      </c>
      <c r="I3709" s="713">
        <v>1</v>
      </c>
      <c r="J3709" s="713">
        <v>14</v>
      </c>
      <c r="K3709" s="682" t="s">
        <v>33</v>
      </c>
      <c r="L3709" s="645">
        <f t="shared" ref="L3709:L3722" si="547">M3709+N3709+O3709+P3709+Q3709</f>
        <v>780177</v>
      </c>
      <c r="M3709" s="645">
        <v>743600</v>
      </c>
      <c r="N3709" s="388">
        <v>26026.000000000004</v>
      </c>
      <c r="O3709" s="647"/>
      <c r="P3709" s="646"/>
      <c r="Q3709" s="388">
        <v>10551</v>
      </c>
      <c r="R3709" s="648">
        <f>M3709/G3709</f>
        <v>2200</v>
      </c>
      <c r="U3709" s="464"/>
    </row>
    <row r="3710" spans="1:219" s="501" customFormat="1" ht="37.5" customHeight="1">
      <c r="A3710" s="682">
        <f t="shared" ref="A3710:A3726" si="548">A3709+1</f>
        <v>2</v>
      </c>
      <c r="B3710" s="403" t="s">
        <v>2899</v>
      </c>
      <c r="C3710" s="648" t="s">
        <v>222</v>
      </c>
      <c r="D3710" s="681">
        <v>12699</v>
      </c>
      <c r="E3710" s="646">
        <v>2322</v>
      </c>
      <c r="F3710" s="646" t="s">
        <v>234</v>
      </c>
      <c r="G3710" s="644">
        <f>(20*I3710)*13</f>
        <v>1040</v>
      </c>
      <c r="H3710" s="648">
        <v>5</v>
      </c>
      <c r="I3710" s="648">
        <v>4</v>
      </c>
      <c r="J3710" s="648">
        <v>76</v>
      </c>
      <c r="K3710" s="682" t="s">
        <v>33</v>
      </c>
      <c r="L3710" s="645">
        <f t="shared" si="547"/>
        <v>2125988</v>
      </c>
      <c r="M3710" s="645">
        <v>2080000</v>
      </c>
      <c r="N3710" s="388"/>
      <c r="O3710" s="643">
        <f>ROUND(M3710*0.3%,0)</f>
        <v>6240</v>
      </c>
      <c r="P3710" s="646"/>
      <c r="Q3710" s="388">
        <v>39748</v>
      </c>
      <c r="R3710" s="648">
        <f>M3710/G3710</f>
        <v>2000</v>
      </c>
      <c r="S3710" s="501" t="s">
        <v>423</v>
      </c>
      <c r="T3710" s="501" t="s">
        <v>424</v>
      </c>
      <c r="U3710" s="464"/>
    </row>
    <row r="3711" spans="1:219" s="501" customFormat="1" ht="37.5" customHeight="1">
      <c r="A3711" s="682">
        <f t="shared" si="548"/>
        <v>3</v>
      </c>
      <c r="B3711" s="403" t="s">
        <v>2900</v>
      </c>
      <c r="C3711" s="648" t="s">
        <v>222</v>
      </c>
      <c r="D3711" s="681">
        <v>13150</v>
      </c>
      <c r="E3711" s="646">
        <v>3400</v>
      </c>
      <c r="F3711" s="646" t="s">
        <v>234</v>
      </c>
      <c r="G3711" s="644">
        <f>(20*I3711)*12*1.2</f>
        <v>1728</v>
      </c>
      <c r="H3711" s="648">
        <v>5</v>
      </c>
      <c r="I3711" s="648">
        <v>6</v>
      </c>
      <c r="J3711" s="648">
        <v>120</v>
      </c>
      <c r="K3711" s="682" t="s">
        <v>33</v>
      </c>
      <c r="L3711" s="645">
        <f t="shared" si="547"/>
        <v>4372960</v>
      </c>
      <c r="M3711" s="645">
        <v>4320000</v>
      </c>
      <c r="O3711" s="388">
        <v>12960</v>
      </c>
      <c r="P3711" s="646"/>
      <c r="Q3711" s="388">
        <v>40000</v>
      </c>
      <c r="R3711" s="648">
        <f>M3711/J3711</f>
        <v>36000</v>
      </c>
      <c r="U3711" s="464"/>
    </row>
    <row r="3712" spans="1:219" s="501" customFormat="1" ht="56.25" customHeight="1">
      <c r="A3712" s="682">
        <f t="shared" si="548"/>
        <v>4</v>
      </c>
      <c r="B3712" s="403" t="s">
        <v>2901</v>
      </c>
      <c r="C3712" s="648" t="s">
        <v>222</v>
      </c>
      <c r="D3712" s="681">
        <v>13499</v>
      </c>
      <c r="E3712" s="646">
        <v>2520</v>
      </c>
      <c r="F3712" s="694" t="s">
        <v>223</v>
      </c>
      <c r="G3712" s="644">
        <f>(20*I3712)*12*1.2</f>
        <v>1152</v>
      </c>
      <c r="H3712" s="648">
        <v>5</v>
      </c>
      <c r="I3712" s="648">
        <v>4</v>
      </c>
      <c r="J3712" s="648">
        <v>70</v>
      </c>
      <c r="K3712" s="458" t="s">
        <v>33</v>
      </c>
      <c r="L3712" s="645">
        <f t="shared" si="547"/>
        <v>2940000</v>
      </c>
      <c r="M3712" s="645">
        <v>2880000</v>
      </c>
      <c r="N3712" s="388">
        <v>20000</v>
      </c>
      <c r="O3712" s="643"/>
      <c r="P3712" s="646"/>
      <c r="Q3712" s="388">
        <v>40000</v>
      </c>
      <c r="R3712" s="648">
        <f>M3712/J3712</f>
        <v>41142.857142857145</v>
      </c>
      <c r="U3712" s="464"/>
    </row>
    <row r="3713" spans="1:22" s="501" customFormat="1" ht="37.5" customHeight="1">
      <c r="A3713" s="682">
        <f t="shared" si="548"/>
        <v>5</v>
      </c>
      <c r="B3713" s="711" t="s">
        <v>2903</v>
      </c>
      <c r="C3713" s="648" t="s">
        <v>222</v>
      </c>
      <c r="D3713" s="681">
        <v>20729</v>
      </c>
      <c r="E3713" s="646">
        <v>4000.5</v>
      </c>
      <c r="F3713" s="646" t="s">
        <v>223</v>
      </c>
      <c r="G3713" s="644">
        <f>(20*I3713)*13*1.3</f>
        <v>2028</v>
      </c>
      <c r="H3713" s="648">
        <v>5</v>
      </c>
      <c r="I3713" s="648">
        <v>6</v>
      </c>
      <c r="J3713" s="648">
        <v>96</v>
      </c>
      <c r="K3713" s="458" t="s">
        <v>33</v>
      </c>
      <c r="L3713" s="645">
        <f t="shared" si="547"/>
        <v>4751044</v>
      </c>
      <c r="M3713" s="645">
        <v>4664400</v>
      </c>
      <c r="N3713" s="388">
        <v>46644</v>
      </c>
      <c r="O3713" s="647"/>
      <c r="P3713" s="646"/>
      <c r="Q3713" s="388">
        <v>40000</v>
      </c>
      <c r="R3713" s="648">
        <f>M3713/G3713</f>
        <v>2300</v>
      </c>
      <c r="U3713" s="464"/>
    </row>
    <row r="3714" spans="1:22" s="501" customFormat="1" ht="37.5" customHeight="1">
      <c r="A3714" s="682">
        <f t="shared" si="548"/>
        <v>6</v>
      </c>
      <c r="B3714" s="711" t="s">
        <v>2904</v>
      </c>
      <c r="C3714" s="648" t="s">
        <v>222</v>
      </c>
      <c r="D3714" s="681">
        <v>17748</v>
      </c>
      <c r="E3714" s="646">
        <v>3314.7</v>
      </c>
      <c r="F3714" s="646" t="s">
        <v>223</v>
      </c>
      <c r="G3714" s="644">
        <f>(20*I3714)*12*1.2</f>
        <v>1728</v>
      </c>
      <c r="H3714" s="648">
        <v>5</v>
      </c>
      <c r="I3714" s="648">
        <v>6</v>
      </c>
      <c r="J3714" s="648">
        <v>96</v>
      </c>
      <c r="K3714" s="458" t="s">
        <v>225</v>
      </c>
      <c r="L3714" s="645">
        <f t="shared" si="547"/>
        <v>2153120</v>
      </c>
      <c r="M3714" s="645">
        <v>2112000</v>
      </c>
      <c r="N3714" s="388">
        <v>21120</v>
      </c>
      <c r="O3714" s="647"/>
      <c r="P3714" s="646"/>
      <c r="Q3714" s="388">
        <v>20000</v>
      </c>
      <c r="R3714" s="648">
        <f>M3714/J3714</f>
        <v>22000</v>
      </c>
      <c r="U3714" s="464"/>
    </row>
    <row r="3715" spans="1:22" s="501" customFormat="1" ht="37.5" customHeight="1">
      <c r="A3715" s="682">
        <f t="shared" si="548"/>
        <v>7</v>
      </c>
      <c r="B3715" s="711" t="s">
        <v>2905</v>
      </c>
      <c r="C3715" s="648" t="s">
        <v>222</v>
      </c>
      <c r="D3715" s="681">
        <f>E3715*3</f>
        <v>4347</v>
      </c>
      <c r="E3715" s="646">
        <v>1449</v>
      </c>
      <c r="F3715" s="646" t="s">
        <v>223</v>
      </c>
      <c r="G3715" s="644">
        <f>(20*I3715)*13*1.3</f>
        <v>338</v>
      </c>
      <c r="H3715" s="648">
        <v>3</v>
      </c>
      <c r="I3715" s="648">
        <v>1</v>
      </c>
      <c r="J3715" s="648">
        <v>48</v>
      </c>
      <c r="K3715" s="458" t="s">
        <v>33</v>
      </c>
      <c r="L3715" s="645">
        <f t="shared" si="547"/>
        <v>818215</v>
      </c>
      <c r="M3715" s="645">
        <v>777400</v>
      </c>
      <c r="N3715" s="388">
        <v>27209.000000000004</v>
      </c>
      <c r="O3715" s="647"/>
      <c r="P3715" s="646"/>
      <c r="Q3715" s="388">
        <v>13606</v>
      </c>
      <c r="R3715" s="648">
        <f>M3715/G3715</f>
        <v>2300</v>
      </c>
      <c r="U3715" s="464"/>
    </row>
    <row r="3716" spans="1:22" s="501" customFormat="1" ht="37.5" customHeight="1">
      <c r="A3716" s="682">
        <f t="shared" si="548"/>
        <v>8</v>
      </c>
      <c r="B3716" s="711" t="s">
        <v>2906</v>
      </c>
      <c r="C3716" s="648" t="s">
        <v>222</v>
      </c>
      <c r="D3716" s="681">
        <v>3843</v>
      </c>
      <c r="E3716" s="646">
        <v>853</v>
      </c>
      <c r="F3716" s="646" t="s">
        <v>223</v>
      </c>
      <c r="G3716" s="644">
        <f>(20*I3716)*13*1.3</f>
        <v>1014</v>
      </c>
      <c r="H3716" s="648">
        <v>3</v>
      </c>
      <c r="I3716" s="648">
        <v>3</v>
      </c>
      <c r="J3716" s="648">
        <v>24</v>
      </c>
      <c r="K3716" s="458" t="s">
        <v>33</v>
      </c>
      <c r="L3716" s="645">
        <f t="shared" si="547"/>
        <v>2555514</v>
      </c>
      <c r="M3716" s="645">
        <v>2505897</v>
      </c>
      <c r="N3716" s="388">
        <v>37588</v>
      </c>
      <c r="O3716" s="647"/>
      <c r="P3716" s="646"/>
      <c r="Q3716" s="388">
        <v>12029</v>
      </c>
      <c r="R3716" s="648">
        <f>M3716/G3716</f>
        <v>2471.2988165680472</v>
      </c>
      <c r="U3716" s="464"/>
    </row>
    <row r="3717" spans="1:22" s="501" customFormat="1" ht="37.5" customHeight="1">
      <c r="A3717" s="682">
        <f t="shared" si="548"/>
        <v>9</v>
      </c>
      <c r="B3717" s="711" t="s">
        <v>2907</v>
      </c>
      <c r="C3717" s="648" t="s">
        <v>222</v>
      </c>
      <c r="D3717" s="681">
        <v>2779</v>
      </c>
      <c r="E3717" s="646">
        <v>618</v>
      </c>
      <c r="F3717" s="646" t="s">
        <v>223</v>
      </c>
      <c r="G3717" s="644">
        <f>(20*I3717)*12*1.2</f>
        <v>576</v>
      </c>
      <c r="H3717" s="648">
        <v>2</v>
      </c>
      <c r="I3717" s="648">
        <v>2</v>
      </c>
      <c r="J3717" s="648">
        <v>16</v>
      </c>
      <c r="K3717" s="458" t="s">
        <v>239</v>
      </c>
      <c r="L3717" s="645">
        <f t="shared" si="547"/>
        <v>511702</v>
      </c>
      <c r="M3717" s="645">
        <v>480000</v>
      </c>
      <c r="N3717" s="388">
        <v>24640.000000000004</v>
      </c>
      <c r="O3717" s="647"/>
      <c r="P3717" s="646"/>
      <c r="Q3717" s="388">
        <v>7062</v>
      </c>
      <c r="R3717" s="648">
        <f>M3717/J3717</f>
        <v>30000</v>
      </c>
      <c r="U3717" s="464"/>
    </row>
    <row r="3718" spans="1:22" s="501" customFormat="1" ht="37.5" customHeight="1">
      <c r="A3718" s="682">
        <f t="shared" si="548"/>
        <v>10</v>
      </c>
      <c r="B3718" s="716" t="s">
        <v>2908</v>
      </c>
      <c r="C3718" s="648" t="s">
        <v>222</v>
      </c>
      <c r="D3718" s="681">
        <v>2830</v>
      </c>
      <c r="E3718" s="646">
        <v>654</v>
      </c>
      <c r="F3718" s="388" t="s">
        <v>223</v>
      </c>
      <c r="G3718" s="644">
        <f>(20*I3718)*12*1.2</f>
        <v>576</v>
      </c>
      <c r="H3718" s="648">
        <v>2</v>
      </c>
      <c r="I3718" s="648">
        <v>2</v>
      </c>
      <c r="J3718" s="648">
        <v>16</v>
      </c>
      <c r="K3718" s="682" t="s">
        <v>246</v>
      </c>
      <c r="L3718" s="645">
        <f t="shared" si="547"/>
        <v>268068</v>
      </c>
      <c r="M3718" s="645">
        <v>256000</v>
      </c>
      <c r="N3718" s="388"/>
      <c r="O3718" s="643">
        <f>ROUND(M3718*0.3%,0)</f>
        <v>768</v>
      </c>
      <c r="P3718" s="646"/>
      <c r="Q3718" s="388">
        <v>11300</v>
      </c>
      <c r="R3718" s="648">
        <f>M3718/J3718</f>
        <v>16000</v>
      </c>
      <c r="U3718" s="464"/>
    </row>
    <row r="3719" spans="1:22" s="501" customFormat="1" ht="37.5" customHeight="1">
      <c r="A3719" s="682">
        <f t="shared" si="548"/>
        <v>11</v>
      </c>
      <c r="B3719" s="716" t="s">
        <v>2909</v>
      </c>
      <c r="C3719" s="648" t="s">
        <v>222</v>
      </c>
      <c r="D3719" s="681">
        <v>2892</v>
      </c>
      <c r="E3719" s="646">
        <v>654</v>
      </c>
      <c r="F3719" s="388" t="s">
        <v>223</v>
      </c>
      <c r="G3719" s="644">
        <f>(20*I3719)*12*1.2</f>
        <v>576</v>
      </c>
      <c r="H3719" s="648">
        <v>2</v>
      </c>
      <c r="I3719" s="648">
        <v>2</v>
      </c>
      <c r="J3719" s="648">
        <v>16</v>
      </c>
      <c r="K3719" s="682" t="s">
        <v>246</v>
      </c>
      <c r="L3719" s="645">
        <f t="shared" si="547"/>
        <v>268068</v>
      </c>
      <c r="M3719" s="645">
        <v>256000</v>
      </c>
      <c r="N3719" s="388"/>
      <c r="O3719" s="643">
        <f>ROUND(M3719*0.3%,0)</f>
        <v>768</v>
      </c>
      <c r="P3719" s="646"/>
      <c r="Q3719" s="388">
        <v>11300</v>
      </c>
      <c r="R3719" s="648">
        <f>M3719/J3719</f>
        <v>16000</v>
      </c>
      <c r="U3719" s="464"/>
    </row>
    <row r="3720" spans="1:22" s="501" customFormat="1" ht="37.5" customHeight="1">
      <c r="A3720" s="682">
        <f t="shared" si="548"/>
        <v>12</v>
      </c>
      <c r="B3720" s="403" t="s">
        <v>2910</v>
      </c>
      <c r="C3720" s="648" t="s">
        <v>222</v>
      </c>
      <c r="D3720" s="681">
        <v>3662</v>
      </c>
      <c r="E3720" s="646">
        <v>660</v>
      </c>
      <c r="F3720" s="646" t="s">
        <v>223</v>
      </c>
      <c r="G3720" s="644">
        <f>(20*I3720)*13*1.3</f>
        <v>676</v>
      </c>
      <c r="H3720" s="648">
        <v>2</v>
      </c>
      <c r="I3720" s="648">
        <v>2</v>
      </c>
      <c r="J3720" s="648">
        <v>16</v>
      </c>
      <c r="K3720" s="458" t="s">
        <v>33</v>
      </c>
      <c r="L3720" s="645">
        <f t="shared" si="547"/>
        <v>1672961</v>
      </c>
      <c r="M3720" s="645">
        <v>1622400</v>
      </c>
      <c r="N3720" s="388">
        <v>32448</v>
      </c>
      <c r="O3720" s="647"/>
      <c r="P3720" s="646"/>
      <c r="Q3720" s="388">
        <v>18113</v>
      </c>
      <c r="R3720" s="648">
        <f>M3720/G3720</f>
        <v>2400</v>
      </c>
      <c r="U3720" s="464"/>
    </row>
    <row r="3721" spans="1:22" s="501" customFormat="1" ht="37.5" customHeight="1">
      <c r="A3721" s="682">
        <f t="shared" si="548"/>
        <v>13</v>
      </c>
      <c r="B3721" s="403" t="s">
        <v>2911</v>
      </c>
      <c r="C3721" s="648" t="s">
        <v>222</v>
      </c>
      <c r="D3721" s="681">
        <v>3728</v>
      </c>
      <c r="E3721" s="646">
        <v>666</v>
      </c>
      <c r="F3721" s="646" t="s">
        <v>223</v>
      </c>
      <c r="G3721" s="644">
        <f>(20*I3721)*13*1.3</f>
        <v>676</v>
      </c>
      <c r="H3721" s="648">
        <v>2</v>
      </c>
      <c r="I3721" s="648">
        <v>2</v>
      </c>
      <c r="J3721" s="648">
        <v>16</v>
      </c>
      <c r="K3721" s="458" t="s">
        <v>33</v>
      </c>
      <c r="L3721" s="645">
        <f t="shared" si="547"/>
        <v>1673288</v>
      </c>
      <c r="M3721" s="645">
        <v>1622400</v>
      </c>
      <c r="N3721" s="388">
        <v>32448</v>
      </c>
      <c r="O3721" s="647"/>
      <c r="P3721" s="646"/>
      <c r="Q3721" s="388">
        <v>18440</v>
      </c>
      <c r="R3721" s="648">
        <f>M3721/G3721</f>
        <v>2400</v>
      </c>
      <c r="U3721" s="464"/>
    </row>
    <row r="3722" spans="1:22" s="420" customFormat="1" ht="37.5" customHeight="1">
      <c r="A3722" s="682">
        <f t="shared" si="548"/>
        <v>14</v>
      </c>
      <c r="B3722" s="403" t="s">
        <v>1968</v>
      </c>
      <c r="C3722" s="648" t="s">
        <v>222</v>
      </c>
      <c r="D3722" s="641">
        <v>13110</v>
      </c>
      <c r="E3722" s="388">
        <v>2564.4</v>
      </c>
      <c r="F3722" s="388" t="s">
        <v>223</v>
      </c>
      <c r="G3722" s="383">
        <v>1604</v>
      </c>
      <c r="H3722" s="446">
        <v>5</v>
      </c>
      <c r="I3722" s="446">
        <v>4</v>
      </c>
      <c r="J3722" s="446">
        <v>70</v>
      </c>
      <c r="K3722" s="682" t="s">
        <v>33</v>
      </c>
      <c r="L3722" s="529">
        <f t="shared" si="547"/>
        <v>4090100</v>
      </c>
      <c r="M3722" s="650">
        <v>4010000</v>
      </c>
      <c r="N3722" s="688">
        <v>40100</v>
      </c>
      <c r="O3722" s="703"/>
      <c r="P3722" s="688"/>
      <c r="Q3722" s="388">
        <v>40000</v>
      </c>
      <c r="R3722" s="648">
        <f>M3722/G3722</f>
        <v>2500</v>
      </c>
      <c r="S3722" s="383">
        <f>L3722-M3722-N3722-O3722-P3722-Q3722</f>
        <v>0</v>
      </c>
      <c r="U3722" s="406"/>
      <c r="V3722" s="390"/>
    </row>
    <row r="3723" spans="1:22" s="420" customFormat="1" ht="37.5" customHeight="1">
      <c r="A3723" s="682">
        <f t="shared" si="548"/>
        <v>15</v>
      </c>
      <c r="B3723" s="403" t="s">
        <v>3832</v>
      </c>
      <c r="C3723" s="648" t="s">
        <v>222</v>
      </c>
      <c r="D3723" s="641">
        <v>4377.6000000000004</v>
      </c>
      <c r="E3723" s="388">
        <v>977.19999999999993</v>
      </c>
      <c r="F3723" s="388" t="s">
        <v>223</v>
      </c>
      <c r="G3723" s="383">
        <v>948.48</v>
      </c>
      <c r="H3723" s="446">
        <v>2</v>
      </c>
      <c r="I3723" s="446">
        <v>3</v>
      </c>
      <c r="J3723" s="446">
        <v>22</v>
      </c>
      <c r="K3723" s="682" t="s">
        <v>33</v>
      </c>
      <c r="L3723" s="529">
        <f>M3723+N3723+O3723+P3723+Q3723</f>
        <v>2428421</v>
      </c>
      <c r="M3723" s="645">
        <v>2371200</v>
      </c>
      <c r="N3723" s="388">
        <v>35568</v>
      </c>
      <c r="O3723" s="647"/>
      <c r="P3723" s="646"/>
      <c r="Q3723" s="388">
        <v>21653</v>
      </c>
      <c r="R3723" s="648">
        <f>M3723/G3723</f>
        <v>2500</v>
      </c>
      <c r="S3723" s="383"/>
      <c r="U3723" s="406"/>
      <c r="V3723" s="390"/>
    </row>
    <row r="3724" spans="1:22" s="420" customFormat="1" ht="69" customHeight="1">
      <c r="A3724" s="682">
        <f t="shared" si="548"/>
        <v>16</v>
      </c>
      <c r="B3724" s="403" t="s">
        <v>4290</v>
      </c>
      <c r="C3724" s="648" t="s">
        <v>222</v>
      </c>
      <c r="D3724" s="641">
        <v>14790</v>
      </c>
      <c r="E3724" s="388">
        <v>2475</v>
      </c>
      <c r="F3724" s="388" t="s">
        <v>223</v>
      </c>
      <c r="G3724" s="383">
        <v>1281.8</v>
      </c>
      <c r="H3724" s="446">
        <v>6</v>
      </c>
      <c r="I3724" s="446">
        <v>1</v>
      </c>
      <c r="J3724" s="446">
        <v>143</v>
      </c>
      <c r="K3724" s="682" t="s">
        <v>30</v>
      </c>
      <c r="L3724" s="646">
        <f>M3724+N3724+O3724+P3724+Q3724</f>
        <v>3620566</v>
      </c>
      <c r="M3724" s="646">
        <f>J3724*25000</f>
        <v>3575000</v>
      </c>
      <c r="N3724" s="388"/>
      <c r="O3724" s="790">
        <f>ROUND(M3724*0.3%,0)</f>
        <v>10725</v>
      </c>
      <c r="P3724" s="646"/>
      <c r="Q3724" s="388">
        <v>34841</v>
      </c>
      <c r="R3724" s="648"/>
      <c r="S3724" s="383"/>
      <c r="U3724" s="406"/>
      <c r="V3724" s="390"/>
    </row>
    <row r="3725" spans="1:22" s="420" customFormat="1" ht="45" customHeight="1">
      <c r="A3725" s="682">
        <f t="shared" si="548"/>
        <v>17</v>
      </c>
      <c r="B3725" s="403" t="s">
        <v>4291</v>
      </c>
      <c r="C3725" s="648" t="s">
        <v>222</v>
      </c>
      <c r="D3725" s="641">
        <v>3696</v>
      </c>
      <c r="E3725" s="388">
        <v>744.80000000000007</v>
      </c>
      <c r="F3725" s="388" t="s">
        <v>223</v>
      </c>
      <c r="G3725" s="383">
        <v>686.4</v>
      </c>
      <c r="H3725" s="446">
        <v>2</v>
      </c>
      <c r="I3725" s="446">
        <v>2</v>
      </c>
      <c r="J3725" s="446">
        <v>12</v>
      </c>
      <c r="K3725" s="682" t="s">
        <v>33</v>
      </c>
      <c r="L3725" s="646">
        <f>M3725+N3725+O3725+P3725+Q3725</f>
        <v>1978640</v>
      </c>
      <c r="M3725" s="646">
        <f>G3725*2800</f>
        <v>1921920</v>
      </c>
      <c r="N3725" s="388">
        <v>38438</v>
      </c>
      <c r="O3725" s="646"/>
      <c r="P3725" s="646"/>
      <c r="Q3725" s="388">
        <v>18282</v>
      </c>
      <c r="R3725" s="648"/>
      <c r="S3725" s="383"/>
      <c r="U3725" s="406"/>
      <c r="V3725" s="390"/>
    </row>
    <row r="3726" spans="1:22" s="420" customFormat="1" ht="45" customHeight="1">
      <c r="A3726" s="682">
        <f t="shared" si="548"/>
        <v>18</v>
      </c>
      <c r="B3726" s="403" t="s">
        <v>4292</v>
      </c>
      <c r="C3726" s="648" t="s">
        <v>222</v>
      </c>
      <c r="D3726" s="641">
        <v>3360</v>
      </c>
      <c r="E3726" s="388">
        <v>945</v>
      </c>
      <c r="F3726" s="388" t="s">
        <v>223</v>
      </c>
      <c r="G3726" s="383">
        <v>676.4</v>
      </c>
      <c r="H3726" s="446">
        <v>2</v>
      </c>
      <c r="I3726" s="446">
        <v>1</v>
      </c>
      <c r="J3726" s="446">
        <v>4</v>
      </c>
      <c r="K3726" s="682" t="s">
        <v>33</v>
      </c>
      <c r="L3726" s="1122">
        <f>M3726+N3726+O3726+P3726+Q3726+M3727+N3727+O3727+Q3727</f>
        <v>3260540</v>
      </c>
      <c r="M3726" s="646">
        <f>G3726*2500</f>
        <v>1691000</v>
      </c>
      <c r="N3726" s="388">
        <v>38438</v>
      </c>
      <c r="O3726" s="646"/>
      <c r="P3726" s="646"/>
      <c r="Q3726" s="388">
        <v>16620</v>
      </c>
      <c r="R3726" s="648"/>
      <c r="S3726" s="383"/>
      <c r="U3726" s="406"/>
      <c r="V3726" s="390"/>
    </row>
    <row r="3727" spans="1:22" s="420" customFormat="1" ht="45" customHeight="1">
      <c r="A3727" s="682"/>
      <c r="B3727" s="403"/>
      <c r="C3727" s="648"/>
      <c r="D3727" s="641"/>
      <c r="E3727" s="388"/>
      <c r="F3727" s="388"/>
      <c r="G3727" s="383"/>
      <c r="H3727" s="446"/>
      <c r="I3727" s="446"/>
      <c r="J3727" s="446"/>
      <c r="K3727" s="682" t="s">
        <v>4287</v>
      </c>
      <c r="L3727" s="1122"/>
      <c r="M3727" s="646">
        <v>1454400</v>
      </c>
      <c r="N3727" s="388">
        <v>38438</v>
      </c>
      <c r="O3727" s="646"/>
      <c r="P3727" s="646"/>
      <c r="Q3727" s="388">
        <v>21644</v>
      </c>
      <c r="R3727" s="648"/>
      <c r="S3727" s="383"/>
      <c r="U3727" s="406"/>
      <c r="V3727" s="390"/>
    </row>
    <row r="3728" spans="1:22" s="403" customFormat="1" ht="42.75" customHeight="1">
      <c r="A3728" s="1112" t="s">
        <v>66</v>
      </c>
      <c r="B3728" s="1112"/>
      <c r="C3728" s="455" t="s">
        <v>28</v>
      </c>
      <c r="D3728" s="641">
        <f>SUM(D3709:D3727)</f>
        <v>144610.6</v>
      </c>
      <c r="E3728" s="388">
        <f>SUM(E3709:E3727)</f>
        <v>29603.600000000002</v>
      </c>
      <c r="F3728" s="388" t="s">
        <v>28</v>
      </c>
      <c r="G3728" s="388">
        <f>SUM(G3709:G3727)</f>
        <v>17643.080000000002</v>
      </c>
      <c r="H3728" s="446" t="s">
        <v>28</v>
      </c>
      <c r="I3728" s="446" t="s">
        <v>28</v>
      </c>
      <c r="J3728" s="446">
        <f>SUM(J3709:J3727)</f>
        <v>875</v>
      </c>
      <c r="K3728" s="458" t="s">
        <v>28</v>
      </c>
      <c r="L3728" s="519">
        <f>SUM(L3709:L3727)</f>
        <v>40269372</v>
      </c>
      <c r="M3728" s="519">
        <f>SUM(M3709:M3727)</f>
        <v>39343617</v>
      </c>
      <c r="N3728" s="388">
        <f>SUM(N3709:N3727)</f>
        <v>459105</v>
      </c>
      <c r="O3728" s="473">
        <f>SUM(O3709:O3727)</f>
        <v>31461</v>
      </c>
      <c r="P3728" s="388"/>
      <c r="Q3728" s="388">
        <f>SUM(Q3709:Q3727)</f>
        <v>435189</v>
      </c>
      <c r="R3728" s="446" t="s">
        <v>28</v>
      </c>
      <c r="T3728" s="393"/>
      <c r="U3728" s="464"/>
    </row>
    <row r="3729" spans="1:21" s="403" customFormat="1" ht="42.75" customHeight="1">
      <c r="A3729" s="1113" t="s">
        <v>67</v>
      </c>
      <c r="B3729" s="1113"/>
      <c r="C3729" s="1113"/>
      <c r="D3729" s="1113"/>
      <c r="E3729" s="1113"/>
      <c r="F3729" s="1113"/>
      <c r="G3729" s="1113"/>
      <c r="H3729" s="1113"/>
      <c r="I3729" s="1113"/>
      <c r="J3729" s="1113"/>
      <c r="K3729" s="1113"/>
      <c r="L3729" s="1113"/>
      <c r="M3729" s="1113"/>
      <c r="N3729" s="1113"/>
      <c r="O3729" s="1113"/>
      <c r="P3729" s="1113"/>
      <c r="Q3729" s="1113"/>
      <c r="R3729" s="458"/>
      <c r="T3729" s="393"/>
      <c r="U3729" s="464"/>
    </row>
    <row r="3730" spans="1:21" s="420" customFormat="1" ht="37.5" customHeight="1">
      <c r="A3730" s="458">
        <v>1</v>
      </c>
      <c r="B3730" s="403" t="s">
        <v>2912</v>
      </c>
      <c r="C3730" s="455" t="s">
        <v>222</v>
      </c>
      <c r="D3730" s="606">
        <v>4737.6000000000004</v>
      </c>
      <c r="E3730" s="391">
        <v>302</v>
      </c>
      <c r="F3730" s="391" t="s">
        <v>223</v>
      </c>
      <c r="G3730" s="391">
        <v>1026.48</v>
      </c>
      <c r="H3730" s="528">
        <v>2</v>
      </c>
      <c r="I3730" s="528">
        <v>2</v>
      </c>
      <c r="J3730" s="528">
        <v>16</v>
      </c>
      <c r="K3730" s="377" t="s">
        <v>33</v>
      </c>
      <c r="L3730" s="519">
        <f>M3730+N3730+O3730+P3730+Q3730</f>
        <v>1421921</v>
      </c>
      <c r="M3730" s="519">
        <v>1371066</v>
      </c>
      <c r="N3730" s="388">
        <v>27421</v>
      </c>
      <c r="O3730" s="473"/>
      <c r="P3730" s="383"/>
      <c r="Q3730" s="388">
        <v>23434</v>
      </c>
      <c r="R3730" s="446">
        <f>M3730/G3730</f>
        <v>1335.6967500584522</v>
      </c>
      <c r="U3730" s="464"/>
    </row>
    <row r="3731" spans="1:21" s="403" customFormat="1" ht="42.75" customHeight="1">
      <c r="A3731" s="1112" t="s">
        <v>68</v>
      </c>
      <c r="B3731" s="1112"/>
      <c r="C3731" s="455" t="s">
        <v>28</v>
      </c>
      <c r="D3731" s="641">
        <f>SUM(D3730:D3730)</f>
        <v>4737.6000000000004</v>
      </c>
      <c r="E3731" s="388">
        <f>SUM(E3730:E3730)</f>
        <v>302</v>
      </c>
      <c r="F3731" s="388" t="s">
        <v>28</v>
      </c>
      <c r="G3731" s="388">
        <f>SUM(G3730:G3730)</f>
        <v>1026.48</v>
      </c>
      <c r="H3731" s="446" t="s">
        <v>28</v>
      </c>
      <c r="I3731" s="446" t="s">
        <v>28</v>
      </c>
      <c r="J3731" s="446">
        <f>SUM(J3730:J3730)</f>
        <v>16</v>
      </c>
      <c r="K3731" s="458" t="s">
        <v>28</v>
      </c>
      <c r="L3731" s="519">
        <f>SUM(L3730:L3730)</f>
        <v>1421921</v>
      </c>
      <c r="M3731" s="519">
        <f>SUM(M3730:M3730)</f>
        <v>1371066</v>
      </c>
      <c r="N3731" s="388">
        <f>SUM(N3730:N3730)</f>
        <v>27421</v>
      </c>
      <c r="O3731" s="473"/>
      <c r="P3731" s="388"/>
      <c r="Q3731" s="388">
        <f>SUM(Q3730:Q3730)</f>
        <v>23434</v>
      </c>
      <c r="R3731" s="446" t="s">
        <v>28</v>
      </c>
      <c r="T3731" s="393"/>
      <c r="U3731" s="464"/>
    </row>
    <row r="3732" spans="1:21" s="403" customFormat="1" ht="42.75" customHeight="1">
      <c r="A3732" s="1113" t="s">
        <v>92</v>
      </c>
      <c r="B3732" s="1113"/>
      <c r="C3732" s="1113"/>
      <c r="D3732" s="1113"/>
      <c r="E3732" s="1113"/>
      <c r="F3732" s="1113"/>
      <c r="G3732" s="1113"/>
      <c r="H3732" s="1113"/>
      <c r="I3732" s="1113"/>
      <c r="J3732" s="1113"/>
      <c r="K3732" s="1113"/>
      <c r="L3732" s="1113"/>
      <c r="M3732" s="1113"/>
      <c r="N3732" s="1113"/>
      <c r="O3732" s="1113"/>
      <c r="P3732" s="1113"/>
      <c r="Q3732" s="1113"/>
      <c r="R3732" s="458"/>
      <c r="T3732" s="393"/>
      <c r="U3732" s="464"/>
    </row>
    <row r="3733" spans="1:21" ht="37.5" customHeight="1">
      <c r="A3733" s="377">
        <v>1</v>
      </c>
      <c r="B3733" s="381" t="s">
        <v>2913</v>
      </c>
      <c r="C3733" s="382" t="s">
        <v>222</v>
      </c>
      <c r="D3733" s="691">
        <f>E3733*2.5</f>
        <v>7102.7249999999995</v>
      </c>
      <c r="E3733" s="383">
        <v>2841.0899999999997</v>
      </c>
      <c r="F3733" s="383" t="s">
        <v>224</v>
      </c>
      <c r="G3733" s="644">
        <f>(20*I3733)*13</f>
        <v>1300</v>
      </c>
      <c r="H3733" s="382">
        <v>5</v>
      </c>
      <c r="I3733" s="382">
        <v>5</v>
      </c>
      <c r="J3733" s="382">
        <v>75</v>
      </c>
      <c r="K3733" s="377" t="s">
        <v>33</v>
      </c>
      <c r="L3733" s="519">
        <f>M3733+N3733+O3733+P3733+Q3733</f>
        <v>2562605</v>
      </c>
      <c r="M3733" s="519">
        <f>G3733*1950</f>
        <v>2535000</v>
      </c>
      <c r="N3733" s="388"/>
      <c r="O3733" s="643">
        <f>ROUND(M3733*0.3%,0)</f>
        <v>7605</v>
      </c>
      <c r="Q3733" s="388">
        <v>20000</v>
      </c>
      <c r="R3733" s="446">
        <f>M3733/G3733</f>
        <v>1950</v>
      </c>
      <c r="S3733" s="381"/>
      <c r="T3733" s="381"/>
      <c r="U3733" s="464"/>
    </row>
    <row r="3734" spans="1:21" ht="37.5" customHeight="1">
      <c r="A3734" s="377">
        <v>2</v>
      </c>
      <c r="B3734" s="381" t="s">
        <v>2914</v>
      </c>
      <c r="C3734" s="382" t="s">
        <v>230</v>
      </c>
      <c r="D3734" s="691">
        <f>E3734*2.5</f>
        <v>1648.7950000000001</v>
      </c>
      <c r="E3734" s="383">
        <v>659.51800000000003</v>
      </c>
      <c r="F3734" s="383" t="s">
        <v>223</v>
      </c>
      <c r="G3734" s="644">
        <f>(20*I3734)*13*1.3</f>
        <v>676</v>
      </c>
      <c r="H3734" s="382">
        <v>2</v>
      </c>
      <c r="I3734" s="382">
        <v>2</v>
      </c>
      <c r="J3734" s="382">
        <v>16</v>
      </c>
      <c r="K3734" s="377" t="s">
        <v>33</v>
      </c>
      <c r="L3734" s="519">
        <f>M3734+N3734+O3734+P3734+Q3734</f>
        <v>1428465</v>
      </c>
      <c r="M3734" s="645">
        <v>1399320</v>
      </c>
      <c r="N3734" s="646">
        <v>20990</v>
      </c>
      <c r="O3734" s="647"/>
      <c r="P3734" s="646"/>
      <c r="Q3734" s="388">
        <v>8155</v>
      </c>
      <c r="R3734" s="648">
        <f>M3734/G3734</f>
        <v>2070</v>
      </c>
      <c r="S3734" s="381"/>
      <c r="T3734" s="381"/>
      <c r="U3734" s="464"/>
    </row>
    <row r="3735" spans="1:21" ht="37.5" customHeight="1">
      <c r="A3735" s="377">
        <v>3</v>
      </c>
      <c r="B3735" s="381" t="s">
        <v>2915</v>
      </c>
      <c r="C3735" s="382" t="s">
        <v>222</v>
      </c>
      <c r="D3735" s="691">
        <f>E3735*2.5</f>
        <v>1120.5</v>
      </c>
      <c r="E3735" s="383">
        <v>448.2</v>
      </c>
      <c r="F3735" s="383" t="s">
        <v>223</v>
      </c>
      <c r="G3735" s="644">
        <f>(17*I3735)*12*1.3</f>
        <v>795.6</v>
      </c>
      <c r="H3735" s="382">
        <v>2</v>
      </c>
      <c r="I3735" s="382">
        <v>3</v>
      </c>
      <c r="J3735" s="382">
        <v>12</v>
      </c>
      <c r="K3735" s="377" t="s">
        <v>33</v>
      </c>
      <c r="L3735" s="519">
        <f>M3735+N3735+O3735+P3735+Q3735</f>
        <v>1666234</v>
      </c>
      <c r="M3735" s="645">
        <v>1636150</v>
      </c>
      <c r="N3735" s="646">
        <v>24542</v>
      </c>
      <c r="O3735" s="647"/>
      <c r="P3735" s="646"/>
      <c r="Q3735" s="388">
        <v>5542</v>
      </c>
      <c r="R3735" s="648">
        <f>M3735/G3735</f>
        <v>2056.4982403217696</v>
      </c>
      <c r="S3735" s="381"/>
      <c r="T3735" s="381"/>
      <c r="U3735" s="464"/>
    </row>
    <row r="3736" spans="1:21" s="403" customFormat="1" ht="42.75" customHeight="1">
      <c r="A3736" s="1112" t="s">
        <v>123</v>
      </c>
      <c r="B3736" s="1112"/>
      <c r="C3736" s="455" t="s">
        <v>28</v>
      </c>
      <c r="D3736" s="641">
        <f>SUM(D3733:D3735)</f>
        <v>9872.02</v>
      </c>
      <c r="E3736" s="388">
        <f>SUM(E3733:E3735)</f>
        <v>3948.8079999999995</v>
      </c>
      <c r="F3736" s="388" t="s">
        <v>28</v>
      </c>
      <c r="G3736" s="388">
        <f>SUM(G3733:G3735)</f>
        <v>2771.6</v>
      </c>
      <c r="H3736" s="446" t="s">
        <v>28</v>
      </c>
      <c r="I3736" s="446" t="s">
        <v>28</v>
      </c>
      <c r="J3736" s="446">
        <f>SUM(J3733:J3735)</f>
        <v>103</v>
      </c>
      <c r="K3736" s="458" t="s">
        <v>28</v>
      </c>
      <c r="L3736" s="519">
        <f>SUM(L3733:L3735)</f>
        <v>5657304</v>
      </c>
      <c r="M3736" s="519">
        <f>SUM(M3733:M3735)</f>
        <v>5570470</v>
      </c>
      <c r="N3736" s="388">
        <f>SUM(N3733:N3735)</f>
        <v>45532</v>
      </c>
      <c r="O3736" s="473">
        <f>SUM(O3733:O3735)</f>
        <v>7605</v>
      </c>
      <c r="P3736" s="388"/>
      <c r="Q3736" s="388">
        <f>SUM(Q3733:Q3735)</f>
        <v>33697</v>
      </c>
      <c r="R3736" s="446" t="s">
        <v>28</v>
      </c>
      <c r="T3736" s="393"/>
      <c r="U3736" s="464"/>
    </row>
    <row r="3737" spans="1:21" s="403" customFormat="1" ht="42.75" customHeight="1">
      <c r="A3737" s="1113" t="s">
        <v>69</v>
      </c>
      <c r="B3737" s="1113"/>
      <c r="C3737" s="1113"/>
      <c r="D3737" s="1113"/>
      <c r="E3737" s="1113"/>
      <c r="F3737" s="1113"/>
      <c r="G3737" s="1113"/>
      <c r="H3737" s="1113"/>
      <c r="I3737" s="1113"/>
      <c r="J3737" s="1113"/>
      <c r="K3737" s="1113"/>
      <c r="L3737" s="1113"/>
      <c r="M3737" s="1113"/>
      <c r="N3737" s="1113"/>
      <c r="O3737" s="1113"/>
      <c r="P3737" s="1113"/>
      <c r="Q3737" s="1113"/>
      <c r="R3737" s="458"/>
      <c r="T3737" s="393"/>
      <c r="U3737" s="464"/>
    </row>
    <row r="3738" spans="1:21" s="403" customFormat="1" ht="37.5" customHeight="1">
      <c r="A3738" s="458">
        <v>1</v>
      </c>
      <c r="B3738" s="403" t="s">
        <v>2916</v>
      </c>
      <c r="C3738" s="455" t="s">
        <v>222</v>
      </c>
      <c r="D3738" s="641">
        <v>4401</v>
      </c>
      <c r="E3738" s="388">
        <v>733.5</v>
      </c>
      <c r="F3738" s="781" t="s">
        <v>223</v>
      </c>
      <c r="G3738" s="388">
        <v>1007.6</v>
      </c>
      <c r="H3738" s="446">
        <v>2</v>
      </c>
      <c r="I3738" s="446">
        <v>2</v>
      </c>
      <c r="J3738" s="446">
        <v>33</v>
      </c>
      <c r="K3738" s="458" t="s">
        <v>225</v>
      </c>
      <c r="L3738" s="645">
        <f>M3738+N3738+O3738+P3738+Q3738</f>
        <v>760768</v>
      </c>
      <c r="M3738" s="645">
        <f>J3738*22000</f>
        <v>726000</v>
      </c>
      <c r="N3738" s="388">
        <f>M3738*0.04</f>
        <v>29040</v>
      </c>
      <c r="O3738" s="647"/>
      <c r="P3738" s="646"/>
      <c r="Q3738" s="388">
        <v>5728</v>
      </c>
      <c r="R3738" s="648">
        <f>M3738/J3738</f>
        <v>22000</v>
      </c>
      <c r="T3738" s="393"/>
      <c r="U3738" s="464"/>
    </row>
    <row r="3739" spans="1:21" s="403" customFormat="1" ht="37.5" customHeight="1">
      <c r="A3739" s="458">
        <v>2</v>
      </c>
      <c r="B3739" s="403" t="s">
        <v>2917</v>
      </c>
      <c r="C3739" s="455" t="s">
        <v>222</v>
      </c>
      <c r="D3739" s="641">
        <v>3998</v>
      </c>
      <c r="E3739" s="388">
        <v>333</v>
      </c>
      <c r="F3739" s="781" t="s">
        <v>229</v>
      </c>
      <c r="G3739" s="388">
        <v>375</v>
      </c>
      <c r="H3739" s="446">
        <v>4</v>
      </c>
      <c r="I3739" s="446">
        <v>1</v>
      </c>
      <c r="J3739" s="446">
        <v>16</v>
      </c>
      <c r="K3739" s="458" t="s">
        <v>225</v>
      </c>
      <c r="L3739" s="645">
        <f>M3739+N3739+O3739+P3739+Q3739</f>
        <v>380101</v>
      </c>
      <c r="M3739" s="645">
        <f>J3739*22000</f>
        <v>352000</v>
      </c>
      <c r="N3739" s="388">
        <f>M3739*0.07</f>
        <v>24640.000000000004</v>
      </c>
      <c r="O3739" s="647"/>
      <c r="P3739" s="646"/>
      <c r="Q3739" s="388">
        <v>3461</v>
      </c>
      <c r="R3739" s="648">
        <f>M3739/J3739</f>
        <v>22000</v>
      </c>
      <c r="T3739" s="393"/>
      <c r="U3739" s="464"/>
    </row>
    <row r="3740" spans="1:21" s="403" customFormat="1" ht="37.5" customHeight="1">
      <c r="A3740" s="458">
        <v>3</v>
      </c>
      <c r="B3740" s="403" t="s">
        <v>2918</v>
      </c>
      <c r="C3740" s="455" t="s">
        <v>222</v>
      </c>
      <c r="D3740" s="641">
        <v>3887</v>
      </c>
      <c r="E3740" s="388">
        <v>598</v>
      </c>
      <c r="F3740" s="388" t="s">
        <v>229</v>
      </c>
      <c r="G3740" s="388">
        <v>493</v>
      </c>
      <c r="H3740" s="446">
        <v>2</v>
      </c>
      <c r="I3740" s="446">
        <v>1</v>
      </c>
      <c r="J3740" s="446">
        <v>24</v>
      </c>
      <c r="K3740" s="458" t="s">
        <v>225</v>
      </c>
      <c r="L3740" s="645">
        <f>M3740+N3740+O3740+P3740+Q3740</f>
        <v>557181</v>
      </c>
      <c r="M3740" s="645">
        <f>J3740*22000</f>
        <v>528000</v>
      </c>
      <c r="N3740" s="388">
        <f>M3740*0.05</f>
        <v>26400</v>
      </c>
      <c r="O3740" s="647"/>
      <c r="P3740" s="646"/>
      <c r="Q3740" s="388">
        <v>2781</v>
      </c>
      <c r="R3740" s="648">
        <f>M3740/J3740</f>
        <v>22000</v>
      </c>
      <c r="T3740" s="393"/>
      <c r="U3740" s="464"/>
    </row>
    <row r="3741" spans="1:21" s="403" customFormat="1" ht="56.25" customHeight="1">
      <c r="A3741" s="458">
        <v>4</v>
      </c>
      <c r="B3741" s="403" t="s">
        <v>2919</v>
      </c>
      <c r="C3741" s="455" t="s">
        <v>222</v>
      </c>
      <c r="D3741" s="641">
        <v>2875</v>
      </c>
      <c r="E3741" s="388">
        <v>295</v>
      </c>
      <c r="F3741" s="781" t="s">
        <v>223</v>
      </c>
      <c r="G3741" s="388">
        <v>670</v>
      </c>
      <c r="H3741" s="446">
        <v>2</v>
      </c>
      <c r="I3741" s="446">
        <v>2</v>
      </c>
      <c r="J3741" s="446">
        <v>16</v>
      </c>
      <c r="K3741" s="397" t="s">
        <v>30</v>
      </c>
      <c r="L3741" s="519">
        <f>M3741+N3741+O3741+P3741+Q3741</f>
        <v>412500</v>
      </c>
      <c r="M3741" s="519">
        <f>J3741*25000</f>
        <v>400000</v>
      </c>
      <c r="N3741" s="388"/>
      <c r="O3741" s="643">
        <f>ROUND(M3741*0.3%,0)</f>
        <v>1200</v>
      </c>
      <c r="P3741" s="388"/>
      <c r="Q3741" s="388">
        <v>11300</v>
      </c>
      <c r="R3741" s="446">
        <f>M3741/J3741</f>
        <v>25000</v>
      </c>
      <c r="T3741" s="393"/>
      <c r="U3741" s="464"/>
    </row>
    <row r="3742" spans="1:21" s="403" customFormat="1" ht="42.75" customHeight="1">
      <c r="A3742" s="1112" t="s">
        <v>70</v>
      </c>
      <c r="B3742" s="1112"/>
      <c r="C3742" s="455" t="s">
        <v>28</v>
      </c>
      <c r="D3742" s="641">
        <f>SUM(D3738:D3741)</f>
        <v>15161</v>
      </c>
      <c r="E3742" s="388">
        <f>SUM(E3738:E3741)</f>
        <v>1959.5</v>
      </c>
      <c r="F3742" s="388" t="s">
        <v>28</v>
      </c>
      <c r="G3742" s="388">
        <f>SUM(G3738:G3741)</f>
        <v>2545.6</v>
      </c>
      <c r="H3742" s="446" t="s">
        <v>28</v>
      </c>
      <c r="I3742" s="446" t="s">
        <v>28</v>
      </c>
      <c r="J3742" s="446">
        <f>SUM(J3738:J3741)</f>
        <v>89</v>
      </c>
      <c r="K3742" s="458" t="s">
        <v>28</v>
      </c>
      <c r="L3742" s="519">
        <f>SUM(L3738:L3741)</f>
        <v>2110550</v>
      </c>
      <c r="M3742" s="519">
        <f>SUM(M3738:M3741)</f>
        <v>2006000</v>
      </c>
      <c r="N3742" s="388">
        <f>SUM(N3738:N3741)</f>
        <v>80080</v>
      </c>
      <c r="O3742" s="473">
        <f>SUM(O3738:O3741)</f>
        <v>1200</v>
      </c>
      <c r="P3742" s="388"/>
      <c r="Q3742" s="388">
        <f>SUM(Q3738:Q3741)</f>
        <v>23270</v>
      </c>
      <c r="R3742" s="446" t="s">
        <v>28</v>
      </c>
      <c r="T3742" s="393"/>
      <c r="U3742" s="464"/>
    </row>
    <row r="3743" spans="1:21" s="403" customFormat="1" ht="42.75" customHeight="1">
      <c r="A3743" s="1113" t="s">
        <v>71</v>
      </c>
      <c r="B3743" s="1113"/>
      <c r="C3743" s="1113"/>
      <c r="D3743" s="1113"/>
      <c r="E3743" s="1113"/>
      <c r="F3743" s="1113"/>
      <c r="G3743" s="1113"/>
      <c r="H3743" s="1113"/>
      <c r="I3743" s="1113"/>
      <c r="J3743" s="1113"/>
      <c r="K3743" s="1113"/>
      <c r="L3743" s="1113"/>
      <c r="M3743" s="1113"/>
      <c r="N3743" s="1113"/>
      <c r="O3743" s="1113"/>
      <c r="P3743" s="1113"/>
      <c r="Q3743" s="1113"/>
      <c r="R3743" s="458"/>
      <c r="T3743" s="393"/>
      <c r="U3743" s="464"/>
    </row>
    <row r="3744" spans="1:21" s="403" customFormat="1" ht="37.5" customHeight="1">
      <c r="A3744" s="458">
        <v>1</v>
      </c>
      <c r="B3744" s="403" t="s">
        <v>4276</v>
      </c>
      <c r="C3744" s="455" t="s">
        <v>222</v>
      </c>
      <c r="D3744" s="641">
        <v>4452</v>
      </c>
      <c r="E3744" s="388">
        <v>924</v>
      </c>
      <c r="F3744" s="391" t="s">
        <v>223</v>
      </c>
      <c r="G3744" s="388">
        <v>922</v>
      </c>
      <c r="H3744" s="446">
        <v>2</v>
      </c>
      <c r="I3744" s="446">
        <v>3</v>
      </c>
      <c r="J3744" s="446">
        <v>22</v>
      </c>
      <c r="K3744" s="458" t="s">
        <v>33</v>
      </c>
      <c r="L3744" s="529">
        <f>M3744+N3744+O3744+P3744+Q3744</f>
        <v>3284534</v>
      </c>
      <c r="M3744" s="645">
        <v>3227000</v>
      </c>
      <c r="N3744" s="388">
        <v>35513</v>
      </c>
      <c r="O3744" s="473"/>
      <c r="P3744" s="388"/>
      <c r="Q3744" s="388">
        <v>22021</v>
      </c>
      <c r="R3744" s="528">
        <f>M3744/G3744</f>
        <v>3500</v>
      </c>
      <c r="T3744" s="393"/>
      <c r="U3744" s="464"/>
    </row>
    <row r="3745" spans="1:21" s="403" customFormat="1" ht="37.5" customHeight="1">
      <c r="A3745" s="458">
        <f>A3744+1</f>
        <v>2</v>
      </c>
      <c r="B3745" s="403" t="s">
        <v>4277</v>
      </c>
      <c r="C3745" s="455" t="s">
        <v>222</v>
      </c>
      <c r="D3745" s="606">
        <v>4461.6000000000004</v>
      </c>
      <c r="E3745" s="391">
        <v>795.59999999999991</v>
      </c>
      <c r="F3745" s="391" t="s">
        <v>223</v>
      </c>
      <c r="G3745" s="391">
        <v>966.68000000000006</v>
      </c>
      <c r="H3745" s="528">
        <v>2</v>
      </c>
      <c r="I3745" s="528">
        <v>3</v>
      </c>
      <c r="J3745" s="528">
        <v>22</v>
      </c>
      <c r="K3745" s="458" t="s">
        <v>33</v>
      </c>
      <c r="L3745" s="529">
        <f>M3745+N3745+O3745+P3745+Q3745</f>
        <v>2764285</v>
      </c>
      <c r="M3745" s="645">
        <v>2706704</v>
      </c>
      <c r="N3745" s="388">
        <v>35513</v>
      </c>
      <c r="O3745" s="473"/>
      <c r="P3745" s="388"/>
      <c r="Q3745" s="388">
        <v>22068</v>
      </c>
      <c r="R3745" s="528">
        <f>M3745/G3745</f>
        <v>2800</v>
      </c>
      <c r="T3745" s="393"/>
      <c r="U3745" s="464"/>
    </row>
    <row r="3746" spans="1:21" s="420" customFormat="1" ht="37.5" customHeight="1">
      <c r="A3746" s="458">
        <f>A3745+1</f>
        <v>3</v>
      </c>
      <c r="B3746" s="484" t="s">
        <v>2920</v>
      </c>
      <c r="C3746" s="455" t="s">
        <v>222</v>
      </c>
      <c r="D3746" s="606">
        <v>1386.2</v>
      </c>
      <c r="E3746" s="391">
        <v>478</v>
      </c>
      <c r="F3746" s="391" t="s">
        <v>223</v>
      </c>
      <c r="G3746" s="391">
        <v>947</v>
      </c>
      <c r="H3746" s="528">
        <v>2</v>
      </c>
      <c r="I3746" s="528">
        <v>3</v>
      </c>
      <c r="J3746" s="528">
        <v>22</v>
      </c>
      <c r="K3746" s="458" t="s">
        <v>33</v>
      </c>
      <c r="L3746" s="529">
        <f>M3746+N3746+O3746+P3746+Q3746</f>
        <v>2409870</v>
      </c>
      <c r="M3746" s="645">
        <f>G3746*2500</f>
        <v>2367500</v>
      </c>
      <c r="N3746" s="388">
        <v>35513</v>
      </c>
      <c r="O3746" s="473"/>
      <c r="P3746" s="388"/>
      <c r="Q3746" s="388">
        <v>6857</v>
      </c>
      <c r="R3746" s="528">
        <f>M3746/G3746</f>
        <v>2500</v>
      </c>
      <c r="U3746" s="464"/>
    </row>
    <row r="3747" spans="1:21" s="403" customFormat="1" ht="42.75" customHeight="1">
      <c r="A3747" s="1112" t="s">
        <v>72</v>
      </c>
      <c r="B3747" s="1112"/>
      <c r="C3747" s="455" t="s">
        <v>28</v>
      </c>
      <c r="D3747" s="641">
        <f>SUM(D3744:D3746)</f>
        <v>10299.800000000001</v>
      </c>
      <c r="E3747" s="388">
        <f>SUM(E3744:E3746)</f>
        <v>2197.6</v>
      </c>
      <c r="F3747" s="388" t="s">
        <v>28</v>
      </c>
      <c r="G3747" s="388">
        <f>SUM(G3744:G3746)</f>
        <v>2835.6800000000003</v>
      </c>
      <c r="H3747" s="446" t="s">
        <v>28</v>
      </c>
      <c r="I3747" s="446" t="s">
        <v>28</v>
      </c>
      <c r="J3747" s="446">
        <f>SUM(J3744:J3746)</f>
        <v>66</v>
      </c>
      <c r="K3747" s="458" t="s">
        <v>28</v>
      </c>
      <c r="L3747" s="519">
        <f>SUM(L3744:L3746)</f>
        <v>8458689</v>
      </c>
      <c r="M3747" s="519">
        <f>SUM(M3744:M3746)</f>
        <v>8301204</v>
      </c>
      <c r="N3747" s="388">
        <f>SUM(N3744:N3746)</f>
        <v>106539</v>
      </c>
      <c r="O3747" s="473">
        <f>SUM(O3744:O3746)</f>
        <v>0</v>
      </c>
      <c r="P3747" s="388"/>
      <c r="Q3747" s="388">
        <f>SUM(Q3744:Q3746)</f>
        <v>50946</v>
      </c>
      <c r="R3747" s="446" t="s">
        <v>28</v>
      </c>
      <c r="T3747" s="393"/>
      <c r="U3747" s="464"/>
    </row>
    <row r="3748" spans="1:21" s="403" customFormat="1" ht="42.75" customHeight="1">
      <c r="A3748" s="1113" t="s">
        <v>124</v>
      </c>
      <c r="B3748" s="1113"/>
      <c r="C3748" s="1113"/>
      <c r="D3748" s="1113"/>
      <c r="E3748" s="1113"/>
      <c r="F3748" s="1113"/>
      <c r="G3748" s="1113"/>
      <c r="H3748" s="1113"/>
      <c r="I3748" s="1113"/>
      <c r="J3748" s="1113"/>
      <c r="K3748" s="1113"/>
      <c r="L3748" s="1113"/>
      <c r="M3748" s="1113"/>
      <c r="N3748" s="1113"/>
      <c r="O3748" s="1113"/>
      <c r="P3748" s="1113"/>
      <c r="Q3748" s="1113"/>
      <c r="R3748" s="458"/>
      <c r="T3748" s="393"/>
      <c r="U3748" s="464"/>
    </row>
    <row r="3749" spans="1:21" s="420" customFormat="1" ht="37.5" customHeight="1">
      <c r="A3749" s="458">
        <v>1</v>
      </c>
      <c r="B3749" s="403" t="s">
        <v>2921</v>
      </c>
      <c r="C3749" s="455" t="s">
        <v>222</v>
      </c>
      <c r="D3749" s="641">
        <v>5701.2</v>
      </c>
      <c r="E3749" s="391">
        <v>768.8</v>
      </c>
      <c r="F3749" s="391" t="s">
        <v>223</v>
      </c>
      <c r="G3749" s="391">
        <v>664.3</v>
      </c>
      <c r="H3749" s="528">
        <v>2</v>
      </c>
      <c r="I3749" s="528">
        <v>2</v>
      </c>
      <c r="J3749" s="528">
        <v>40</v>
      </c>
      <c r="K3749" s="458" t="s">
        <v>33</v>
      </c>
      <c r="L3749" s="529">
        <f>M3749+N3749+Q3749</f>
        <v>1418750</v>
      </c>
      <c r="M3749" s="645">
        <v>1370000</v>
      </c>
      <c r="N3749" s="388">
        <v>20550</v>
      </c>
      <c r="O3749" s="473"/>
      <c r="P3749" s="388"/>
      <c r="Q3749" s="388">
        <v>28200</v>
      </c>
      <c r="R3749" s="528">
        <f>M3749/G3749</f>
        <v>2062.3212404034325</v>
      </c>
      <c r="U3749" s="464"/>
    </row>
    <row r="3750" spans="1:21" s="403" customFormat="1" ht="42.75" customHeight="1">
      <c r="A3750" s="1112" t="s">
        <v>125</v>
      </c>
      <c r="B3750" s="1112"/>
      <c r="C3750" s="455" t="s">
        <v>28</v>
      </c>
      <c r="D3750" s="641">
        <f>SUM(D3749)</f>
        <v>5701.2</v>
      </c>
      <c r="E3750" s="388">
        <f>SUM(E3749)</f>
        <v>768.8</v>
      </c>
      <c r="F3750" s="388" t="s">
        <v>28</v>
      </c>
      <c r="G3750" s="388">
        <f>SUM(G3749)</f>
        <v>664.3</v>
      </c>
      <c r="H3750" s="446" t="s">
        <v>28</v>
      </c>
      <c r="I3750" s="446" t="s">
        <v>28</v>
      </c>
      <c r="J3750" s="446">
        <f>SUM(J3749)</f>
        <v>40</v>
      </c>
      <c r="K3750" s="458" t="s">
        <v>28</v>
      </c>
      <c r="L3750" s="519">
        <f>SUM(L3749)</f>
        <v>1418750</v>
      </c>
      <c r="M3750" s="519">
        <f>SUM(M3749)</f>
        <v>1370000</v>
      </c>
      <c r="N3750" s="388">
        <f>SUM(N3749)</f>
        <v>20550</v>
      </c>
      <c r="O3750" s="473"/>
      <c r="P3750" s="388"/>
      <c r="Q3750" s="388">
        <f>SUM(Q3749)</f>
        <v>28200</v>
      </c>
      <c r="R3750" s="446" t="s">
        <v>28</v>
      </c>
      <c r="T3750" s="393"/>
      <c r="U3750" s="464"/>
    </row>
    <row r="3751" spans="1:21" s="403" customFormat="1" ht="42.75" customHeight="1">
      <c r="A3751" s="1113" t="s">
        <v>74</v>
      </c>
      <c r="B3751" s="1113"/>
      <c r="C3751" s="1113"/>
      <c r="D3751" s="1113"/>
      <c r="E3751" s="1113"/>
      <c r="F3751" s="1113"/>
      <c r="G3751" s="1113"/>
      <c r="H3751" s="1113"/>
      <c r="I3751" s="1113"/>
      <c r="J3751" s="1113"/>
      <c r="K3751" s="1113"/>
      <c r="L3751" s="1113"/>
      <c r="M3751" s="1113"/>
      <c r="N3751" s="1113"/>
      <c r="O3751" s="1113"/>
      <c r="P3751" s="1113"/>
      <c r="Q3751" s="1113"/>
      <c r="R3751" s="458"/>
      <c r="T3751" s="393"/>
      <c r="U3751" s="464"/>
    </row>
    <row r="3752" spans="1:21" s="403" customFormat="1" ht="37.5" customHeight="1">
      <c r="A3752" s="458">
        <v>1</v>
      </c>
      <c r="B3752" s="403" t="s">
        <v>2922</v>
      </c>
      <c r="C3752" s="455" t="s">
        <v>222</v>
      </c>
      <c r="D3752" s="641">
        <v>957</v>
      </c>
      <c r="E3752" s="388">
        <v>382.8</v>
      </c>
      <c r="F3752" s="391" t="s">
        <v>223</v>
      </c>
      <c r="G3752" s="388">
        <v>402</v>
      </c>
      <c r="H3752" s="446">
        <v>2</v>
      </c>
      <c r="I3752" s="446">
        <v>1</v>
      </c>
      <c r="J3752" s="446">
        <v>4</v>
      </c>
      <c r="K3752" s="458" t="s">
        <v>33</v>
      </c>
      <c r="L3752" s="529">
        <f>M3752+N3752+Q3752</f>
        <v>1164102</v>
      </c>
      <c r="M3752" s="529">
        <f>G3752*2800</f>
        <v>1125600</v>
      </c>
      <c r="N3752" s="388">
        <f>M3752*0.03</f>
        <v>33768</v>
      </c>
      <c r="O3752" s="473"/>
      <c r="P3752" s="388"/>
      <c r="Q3752" s="388">
        <v>4734</v>
      </c>
      <c r="R3752" s="528">
        <f>M3752/G3752</f>
        <v>2800</v>
      </c>
      <c r="T3752" s="393"/>
      <c r="U3752" s="464"/>
    </row>
    <row r="3753" spans="1:21" s="403" customFormat="1" ht="52.5" customHeight="1">
      <c r="A3753" s="458">
        <v>2</v>
      </c>
      <c r="B3753" s="403" t="s">
        <v>4293</v>
      </c>
      <c r="C3753" s="455" t="s">
        <v>218</v>
      </c>
      <c r="D3753" s="641">
        <v>5148</v>
      </c>
      <c r="E3753" s="388">
        <v>948</v>
      </c>
      <c r="F3753" s="391" t="s">
        <v>223</v>
      </c>
      <c r="G3753" s="388">
        <v>1115.4000000000001</v>
      </c>
      <c r="H3753" s="446">
        <v>2</v>
      </c>
      <c r="I3753" s="446">
        <v>4</v>
      </c>
      <c r="J3753" s="446">
        <v>24</v>
      </c>
      <c r="K3753" s="458" t="s">
        <v>225</v>
      </c>
      <c r="L3753" s="391">
        <f>M3753+N3753+Q3753</f>
        <v>558833</v>
      </c>
      <c r="M3753" s="391">
        <f>J3753*22000</f>
        <v>528000</v>
      </c>
      <c r="N3753" s="388">
        <f>M3753*0.05</f>
        <v>26400</v>
      </c>
      <c r="O3753" s="388"/>
      <c r="P3753" s="388"/>
      <c r="Q3753" s="388">
        <v>4433</v>
      </c>
      <c r="R3753" s="528"/>
      <c r="T3753" s="393"/>
      <c r="U3753" s="464"/>
    </row>
    <row r="3754" spans="1:21" s="403" customFormat="1" ht="42.75" customHeight="1">
      <c r="A3754" s="1112" t="s">
        <v>126</v>
      </c>
      <c r="B3754" s="1112"/>
      <c r="C3754" s="455" t="s">
        <v>28</v>
      </c>
      <c r="D3754" s="641">
        <f>SUM(D3752:D3753)</f>
        <v>6105</v>
      </c>
      <c r="E3754" s="388">
        <f>SUM(E3752:E3753)</f>
        <v>1330.8</v>
      </c>
      <c r="F3754" s="388" t="s">
        <v>28</v>
      </c>
      <c r="G3754" s="388">
        <f>SUM(G3752:G3753)</f>
        <v>1517.4</v>
      </c>
      <c r="H3754" s="446" t="s">
        <v>28</v>
      </c>
      <c r="I3754" s="446" t="s">
        <v>28</v>
      </c>
      <c r="J3754" s="446">
        <f>SUM(J3752:J3753)</f>
        <v>28</v>
      </c>
      <c r="K3754" s="458" t="s">
        <v>28</v>
      </c>
      <c r="L3754" s="388">
        <f t="shared" ref="L3754:Q3754" si="549">SUM(L3752:L3753)</f>
        <v>1722935</v>
      </c>
      <c r="M3754" s="388">
        <f t="shared" si="549"/>
        <v>1653600</v>
      </c>
      <c r="N3754" s="388">
        <f t="shared" si="549"/>
        <v>60168</v>
      </c>
      <c r="O3754" s="388">
        <f t="shared" si="549"/>
        <v>0</v>
      </c>
      <c r="P3754" s="388">
        <f t="shared" si="549"/>
        <v>0</v>
      </c>
      <c r="Q3754" s="388">
        <f t="shared" si="549"/>
        <v>9167</v>
      </c>
      <c r="R3754" s="446" t="s">
        <v>28</v>
      </c>
      <c r="T3754" s="393"/>
      <c r="U3754" s="464"/>
    </row>
    <row r="3755" spans="1:21" s="403" customFormat="1" ht="42.75" customHeight="1">
      <c r="A3755" s="1113" t="s">
        <v>75</v>
      </c>
      <c r="B3755" s="1113"/>
      <c r="C3755" s="1113"/>
      <c r="D3755" s="1113"/>
      <c r="E3755" s="1113"/>
      <c r="F3755" s="1113"/>
      <c r="G3755" s="1113"/>
      <c r="H3755" s="1113"/>
      <c r="I3755" s="1113"/>
      <c r="J3755" s="1113"/>
      <c r="K3755" s="1113"/>
      <c r="L3755" s="1113"/>
      <c r="M3755" s="1113"/>
      <c r="N3755" s="1113"/>
      <c r="O3755" s="1113"/>
      <c r="P3755" s="1113"/>
      <c r="Q3755" s="1113"/>
      <c r="R3755" s="458"/>
      <c r="T3755" s="393"/>
      <c r="U3755" s="464"/>
    </row>
    <row r="3756" spans="1:21" s="403" customFormat="1" ht="75" customHeight="1">
      <c r="A3756" s="500">
        <v>1</v>
      </c>
      <c r="B3756" s="403" t="s">
        <v>2923</v>
      </c>
      <c r="C3756" s="455" t="s">
        <v>218</v>
      </c>
      <c r="D3756" s="641">
        <v>1266</v>
      </c>
      <c r="E3756" s="388">
        <v>343.9</v>
      </c>
      <c r="F3756" s="391" t="s">
        <v>223</v>
      </c>
      <c r="G3756" s="388">
        <v>676</v>
      </c>
      <c r="H3756" s="446">
        <v>2</v>
      </c>
      <c r="I3756" s="446">
        <v>2</v>
      </c>
      <c r="J3756" s="446">
        <v>4</v>
      </c>
      <c r="K3756" s="458" t="s">
        <v>275</v>
      </c>
      <c r="L3756" s="529">
        <f>M3756+N3756+Q3756</f>
        <v>1652998</v>
      </c>
      <c r="M3756" s="645">
        <v>1622400</v>
      </c>
      <c r="N3756" s="388">
        <v>24336</v>
      </c>
      <c r="O3756" s="473"/>
      <c r="P3756" s="388"/>
      <c r="Q3756" s="388">
        <v>6262</v>
      </c>
      <c r="R3756" s="528">
        <f>M3756/G3756</f>
        <v>2400</v>
      </c>
      <c r="T3756" s="393"/>
      <c r="U3756" s="464"/>
    </row>
    <row r="3757" spans="1:21" s="403" customFormat="1" ht="37.5" customHeight="1">
      <c r="A3757" s="500">
        <v>3</v>
      </c>
      <c r="B3757" s="403" t="s">
        <v>2924</v>
      </c>
      <c r="C3757" s="455" t="s">
        <v>218</v>
      </c>
      <c r="D3757" s="641">
        <v>2558.75</v>
      </c>
      <c r="E3757" s="388">
        <v>1023.5</v>
      </c>
      <c r="F3757" s="391" t="s">
        <v>223</v>
      </c>
      <c r="G3757" s="388">
        <v>928</v>
      </c>
      <c r="H3757" s="446">
        <v>2</v>
      </c>
      <c r="I3757" s="446">
        <v>3</v>
      </c>
      <c r="J3757" s="446">
        <v>18</v>
      </c>
      <c r="K3757" s="458" t="s">
        <v>33</v>
      </c>
      <c r="L3757" s="529">
        <f>M3757+N3757+Q3757</f>
        <v>2278388</v>
      </c>
      <c r="M3757" s="645">
        <v>2232248</v>
      </c>
      <c r="N3757" s="388">
        <v>33484</v>
      </c>
      <c r="O3757" s="473"/>
      <c r="P3757" s="388"/>
      <c r="Q3757" s="388">
        <v>12656</v>
      </c>
      <c r="R3757" s="528">
        <f>M3757/G3757</f>
        <v>2405.4396551724139</v>
      </c>
      <c r="T3757" s="393"/>
      <c r="U3757" s="464"/>
    </row>
    <row r="3758" spans="1:21" s="403" customFormat="1" ht="42.75" customHeight="1">
      <c r="A3758" s="1112" t="s">
        <v>127</v>
      </c>
      <c r="B3758" s="1112"/>
      <c r="C3758" s="455" t="s">
        <v>28</v>
      </c>
      <c r="D3758" s="641">
        <f>SUM(D3756:D3757)</f>
        <v>3824.75</v>
      </c>
      <c r="E3758" s="388">
        <f>SUM(E3756:E3757)</f>
        <v>1367.4</v>
      </c>
      <c r="F3758" s="388" t="s">
        <v>28</v>
      </c>
      <c r="G3758" s="388">
        <f>SUM(G3756:G3757)</f>
        <v>1604</v>
      </c>
      <c r="H3758" s="446" t="s">
        <v>28</v>
      </c>
      <c r="I3758" s="446" t="s">
        <v>28</v>
      </c>
      <c r="J3758" s="446">
        <f>SUM(J3756:J3757)</f>
        <v>22</v>
      </c>
      <c r="K3758" s="458" t="s">
        <v>28</v>
      </c>
      <c r="L3758" s="519">
        <f>SUM(L3756:L3757)</f>
        <v>3931386</v>
      </c>
      <c r="M3758" s="519">
        <f>SUM(M3756:M3757)</f>
        <v>3854648</v>
      </c>
      <c r="N3758" s="388">
        <f>SUM(N3756:N3757)</f>
        <v>57820</v>
      </c>
      <c r="O3758" s="473">
        <f>SUM(O3756:O3757)</f>
        <v>0</v>
      </c>
      <c r="P3758" s="388"/>
      <c r="Q3758" s="388">
        <f>SUM(Q3756:Q3757)</f>
        <v>18918</v>
      </c>
      <c r="R3758" s="446" t="s">
        <v>28</v>
      </c>
      <c r="T3758" s="393"/>
      <c r="U3758" s="464"/>
    </row>
    <row r="3759" spans="1:21" s="403" customFormat="1" ht="42.75" customHeight="1">
      <c r="A3759" s="1113" t="s">
        <v>76</v>
      </c>
      <c r="B3759" s="1113"/>
      <c r="C3759" s="1113"/>
      <c r="D3759" s="1113"/>
      <c r="E3759" s="1113"/>
      <c r="F3759" s="1113"/>
      <c r="G3759" s="1113"/>
      <c r="H3759" s="1113"/>
      <c r="I3759" s="1113"/>
      <c r="J3759" s="1113"/>
      <c r="K3759" s="1113"/>
      <c r="L3759" s="1113"/>
      <c r="M3759" s="1113"/>
      <c r="N3759" s="1113"/>
      <c r="O3759" s="1113"/>
      <c r="P3759" s="1113"/>
      <c r="Q3759" s="1113"/>
      <c r="R3759" s="458"/>
      <c r="T3759" s="393"/>
      <c r="U3759" s="464"/>
    </row>
    <row r="3760" spans="1:21" s="403" customFormat="1" ht="75" customHeight="1">
      <c r="A3760" s="458">
        <v>1</v>
      </c>
      <c r="B3760" s="403" t="s">
        <v>2925</v>
      </c>
      <c r="C3760" s="487" t="s">
        <v>222</v>
      </c>
      <c r="D3760" s="606">
        <v>2250</v>
      </c>
      <c r="E3760" s="391">
        <v>726.6</v>
      </c>
      <c r="F3760" s="388" t="s">
        <v>223</v>
      </c>
      <c r="G3760" s="391">
        <v>690</v>
      </c>
      <c r="H3760" s="528">
        <v>2</v>
      </c>
      <c r="I3760" s="528">
        <v>2</v>
      </c>
      <c r="J3760" s="528">
        <v>16</v>
      </c>
      <c r="K3760" s="458" t="s">
        <v>275</v>
      </c>
      <c r="L3760" s="519">
        <f>M3760+N3760+O3760+P3760+Q3760</f>
        <v>1232222</v>
      </c>
      <c r="M3760" s="645">
        <v>1197150</v>
      </c>
      <c r="N3760" s="388">
        <v>23943</v>
      </c>
      <c r="O3760" s="473"/>
      <c r="P3760" s="388"/>
      <c r="Q3760" s="388">
        <v>11129</v>
      </c>
      <c r="R3760" s="528">
        <f>M3760/G3760</f>
        <v>1735</v>
      </c>
      <c r="T3760" s="393"/>
      <c r="U3760" s="464"/>
    </row>
    <row r="3761" spans="1:21" s="403" customFormat="1" ht="56.25" customHeight="1">
      <c r="A3761" s="458">
        <v>2</v>
      </c>
      <c r="B3761" s="403" t="s">
        <v>2926</v>
      </c>
      <c r="C3761" s="455" t="s">
        <v>222</v>
      </c>
      <c r="D3761" s="606">
        <f>E3761*2.8</f>
        <v>1148</v>
      </c>
      <c r="E3761" s="391">
        <v>410</v>
      </c>
      <c r="F3761" s="391" t="s">
        <v>223</v>
      </c>
      <c r="G3761" s="391">
        <v>670.8</v>
      </c>
      <c r="H3761" s="528">
        <v>2</v>
      </c>
      <c r="I3761" s="528">
        <v>2</v>
      </c>
      <c r="J3761" s="528">
        <v>4</v>
      </c>
      <c r="K3761" s="458" t="s">
        <v>268</v>
      </c>
      <c r="L3761" s="519">
        <f>M3761+N3761+O3761+P3761+Q3761</f>
        <v>665363</v>
      </c>
      <c r="M3761" s="519">
        <v>656000</v>
      </c>
      <c r="N3761" s="388"/>
      <c r="O3761" s="643">
        <f>ROUND(M3761*0.3%,0)</f>
        <v>1968</v>
      </c>
      <c r="P3761" s="388"/>
      <c r="Q3761" s="388">
        <v>7395</v>
      </c>
      <c r="R3761" s="528">
        <f>M3761/E3761</f>
        <v>1600</v>
      </c>
      <c r="T3761" s="393"/>
      <c r="U3761" s="464"/>
    </row>
    <row r="3762" spans="1:21" s="403" customFormat="1" ht="42.75" customHeight="1">
      <c r="A3762" s="1112" t="s">
        <v>77</v>
      </c>
      <c r="B3762" s="1112"/>
      <c r="C3762" s="455" t="s">
        <v>28</v>
      </c>
      <c r="D3762" s="641">
        <f>SUM(D3760:D3761)</f>
        <v>3398</v>
      </c>
      <c r="E3762" s="388">
        <f>SUM(E3760:E3761)</f>
        <v>1136.5999999999999</v>
      </c>
      <c r="F3762" s="388" t="s">
        <v>28</v>
      </c>
      <c r="G3762" s="388">
        <f>SUM(G3760:G3761)</f>
        <v>1360.8</v>
      </c>
      <c r="H3762" s="446" t="s">
        <v>28</v>
      </c>
      <c r="I3762" s="446" t="s">
        <v>28</v>
      </c>
      <c r="J3762" s="446">
        <f>SUM(J3760:J3761)</f>
        <v>20</v>
      </c>
      <c r="K3762" s="458" t="s">
        <v>28</v>
      </c>
      <c r="L3762" s="519">
        <f>SUM(L3760:L3761)</f>
        <v>1897585</v>
      </c>
      <c r="M3762" s="519">
        <f>SUM(M3760:M3761)</f>
        <v>1853150</v>
      </c>
      <c r="N3762" s="388">
        <f>SUM(N3760:N3761)</f>
        <v>23943</v>
      </c>
      <c r="O3762" s="473">
        <f>SUM(O3760:O3761)</f>
        <v>1968</v>
      </c>
      <c r="P3762" s="388"/>
      <c r="Q3762" s="388">
        <f>SUM(Q3760:Q3761)</f>
        <v>18524</v>
      </c>
      <c r="R3762" s="446" t="s">
        <v>28</v>
      </c>
      <c r="T3762" s="393"/>
      <c r="U3762" s="464"/>
    </row>
    <row r="3763" spans="1:21" s="403" customFormat="1" ht="42.75" customHeight="1">
      <c r="A3763" s="1113" t="s">
        <v>78</v>
      </c>
      <c r="B3763" s="1113"/>
      <c r="C3763" s="1113"/>
      <c r="D3763" s="1113"/>
      <c r="E3763" s="1113"/>
      <c r="F3763" s="1113"/>
      <c r="G3763" s="1113"/>
      <c r="H3763" s="1113"/>
      <c r="I3763" s="1113"/>
      <c r="J3763" s="1113"/>
      <c r="K3763" s="1113"/>
      <c r="L3763" s="1113"/>
      <c r="M3763" s="1113"/>
      <c r="N3763" s="1113"/>
      <c r="O3763" s="1113"/>
      <c r="P3763" s="1113"/>
      <c r="Q3763" s="1113"/>
      <c r="R3763" s="458"/>
      <c r="T3763" s="393"/>
      <c r="U3763" s="464"/>
    </row>
    <row r="3764" spans="1:21" s="420" customFormat="1" ht="37.5" customHeight="1">
      <c r="A3764" s="458">
        <v>1</v>
      </c>
      <c r="B3764" s="403" t="s">
        <v>2927</v>
      </c>
      <c r="C3764" s="720" t="s">
        <v>222</v>
      </c>
      <c r="D3764" s="606">
        <v>4612</v>
      </c>
      <c r="E3764" s="391">
        <f>G3764*3</f>
        <v>936</v>
      </c>
      <c r="F3764" s="391" t="s">
        <v>223</v>
      </c>
      <c r="G3764" s="391">
        <f>(20*I3764)*12*1.3</f>
        <v>312</v>
      </c>
      <c r="H3764" s="446">
        <v>2</v>
      </c>
      <c r="I3764" s="446">
        <v>1</v>
      </c>
      <c r="J3764" s="446">
        <v>24</v>
      </c>
      <c r="K3764" s="458" t="s">
        <v>33</v>
      </c>
      <c r="L3764" s="645">
        <f>M3764+N3764+O3764+P3764+Q3764</f>
        <v>733243</v>
      </c>
      <c r="M3764" s="645">
        <v>686407</v>
      </c>
      <c r="N3764" s="388">
        <v>24024</v>
      </c>
      <c r="O3764" s="473"/>
      <c r="P3764" s="388"/>
      <c r="Q3764" s="388">
        <v>22812</v>
      </c>
      <c r="R3764" s="528">
        <f>M3764/G3764</f>
        <v>2200.022435897436</v>
      </c>
      <c r="U3764" s="464"/>
    </row>
    <row r="3765" spans="1:21" s="420" customFormat="1" ht="37.5" customHeight="1">
      <c r="A3765" s="458">
        <v>2</v>
      </c>
      <c r="B3765" s="403" t="s">
        <v>2928</v>
      </c>
      <c r="C3765" s="720" t="s">
        <v>222</v>
      </c>
      <c r="D3765" s="641">
        <v>1573</v>
      </c>
      <c r="E3765" s="391">
        <f>G3765*3</f>
        <v>936</v>
      </c>
      <c r="F3765" s="388" t="s">
        <v>223</v>
      </c>
      <c r="G3765" s="391">
        <f>(20*I3765)*12*1.3</f>
        <v>312</v>
      </c>
      <c r="H3765" s="528">
        <v>2</v>
      </c>
      <c r="I3765" s="528">
        <v>1</v>
      </c>
      <c r="J3765" s="528">
        <v>17</v>
      </c>
      <c r="K3765" s="458" t="s">
        <v>33</v>
      </c>
      <c r="L3765" s="645">
        <f>M3765+N3765+O3765+P3765+Q3765</f>
        <v>743121</v>
      </c>
      <c r="M3765" s="645">
        <v>710473</v>
      </c>
      <c r="N3765" s="388">
        <v>24867</v>
      </c>
      <c r="O3765" s="473"/>
      <c r="P3765" s="388"/>
      <c r="Q3765" s="388">
        <v>7781</v>
      </c>
      <c r="R3765" s="528">
        <f>M3765/G3765</f>
        <v>2277.1570512820513</v>
      </c>
      <c r="U3765" s="464"/>
    </row>
    <row r="3766" spans="1:21" s="420" customFormat="1" ht="37.5" customHeight="1">
      <c r="A3766" s="458">
        <v>3</v>
      </c>
      <c r="B3766" s="403" t="s">
        <v>2929</v>
      </c>
      <c r="C3766" s="720" t="s">
        <v>222</v>
      </c>
      <c r="D3766" s="641">
        <v>3432</v>
      </c>
      <c r="E3766" s="391">
        <f>G3766*3</f>
        <v>1014</v>
      </c>
      <c r="F3766" s="388" t="s">
        <v>223</v>
      </c>
      <c r="G3766" s="391">
        <f>(20*I3766)*13*1.3</f>
        <v>338</v>
      </c>
      <c r="H3766" s="528">
        <v>2</v>
      </c>
      <c r="I3766" s="528">
        <v>1</v>
      </c>
      <c r="J3766" s="528">
        <v>25</v>
      </c>
      <c r="K3766" s="458" t="s">
        <v>225</v>
      </c>
      <c r="L3766" s="645">
        <f>M3766+N3766+O3766+P3766+Q3766</f>
        <v>523738</v>
      </c>
      <c r="M3766" s="645">
        <v>500000</v>
      </c>
      <c r="N3766" s="646">
        <v>20000</v>
      </c>
      <c r="O3766" s="647"/>
      <c r="P3766" s="646"/>
      <c r="Q3766" s="388">
        <v>3738</v>
      </c>
      <c r="R3766" s="648">
        <f>M3766/J3766</f>
        <v>20000</v>
      </c>
      <c r="U3766" s="464"/>
    </row>
    <row r="3767" spans="1:21" s="403" customFormat="1" ht="42.75" customHeight="1">
      <c r="A3767" s="1112" t="s">
        <v>128</v>
      </c>
      <c r="B3767" s="1112"/>
      <c r="C3767" s="455" t="s">
        <v>28</v>
      </c>
      <c r="D3767" s="641">
        <f>SUM(D3764:D3766)</f>
        <v>9617</v>
      </c>
      <c r="E3767" s="388">
        <f>SUM(E3764:E3766)</f>
        <v>2886</v>
      </c>
      <c r="F3767" s="388" t="s">
        <v>28</v>
      </c>
      <c r="G3767" s="388">
        <f>SUM(G3764:G3766)</f>
        <v>962</v>
      </c>
      <c r="H3767" s="446" t="s">
        <v>28</v>
      </c>
      <c r="I3767" s="446" t="s">
        <v>28</v>
      </c>
      <c r="J3767" s="446">
        <f>SUM(J3764:J3766)</f>
        <v>66</v>
      </c>
      <c r="K3767" s="458" t="s">
        <v>28</v>
      </c>
      <c r="L3767" s="519">
        <f>SUM(L3764:L3766)</f>
        <v>2000102</v>
      </c>
      <c r="M3767" s="519">
        <f>SUM(M3764:M3766)</f>
        <v>1896880</v>
      </c>
      <c r="N3767" s="388">
        <f>SUM(N3764:N3766)</f>
        <v>68891</v>
      </c>
      <c r="O3767" s="473"/>
      <c r="P3767" s="388"/>
      <c r="Q3767" s="388">
        <f>SUM(Q3764:Q3766)</f>
        <v>34331</v>
      </c>
      <c r="R3767" s="446" t="s">
        <v>28</v>
      </c>
      <c r="T3767" s="393"/>
      <c r="U3767" s="464"/>
    </row>
    <row r="3768" spans="1:21" s="403" customFormat="1" ht="42.75" customHeight="1">
      <c r="A3768" s="1113" t="s">
        <v>79</v>
      </c>
      <c r="B3768" s="1113"/>
      <c r="C3768" s="1113"/>
      <c r="D3768" s="1113"/>
      <c r="E3768" s="1113"/>
      <c r="F3768" s="1113"/>
      <c r="G3768" s="1113"/>
      <c r="H3768" s="1113"/>
      <c r="I3768" s="1113"/>
      <c r="J3768" s="1113"/>
      <c r="K3768" s="1113"/>
      <c r="L3768" s="1113"/>
      <c r="M3768" s="1113"/>
      <c r="N3768" s="1113"/>
      <c r="O3768" s="1113"/>
      <c r="P3768" s="1113"/>
      <c r="Q3768" s="1113"/>
      <c r="R3768" s="458"/>
      <c r="T3768" s="393"/>
      <c r="U3768" s="464"/>
    </row>
    <row r="3769" spans="1:21" s="420" customFormat="1" ht="37.5" customHeight="1">
      <c r="A3769" s="682">
        <v>1</v>
      </c>
      <c r="B3769" s="424" t="s">
        <v>4366</v>
      </c>
      <c r="C3769" s="720" t="s">
        <v>222</v>
      </c>
      <c r="D3769" s="681">
        <v>4506</v>
      </c>
      <c r="E3769" s="646">
        <v>758</v>
      </c>
      <c r="F3769" s="646" t="s">
        <v>223</v>
      </c>
      <c r="G3769" s="646">
        <v>680</v>
      </c>
      <c r="H3769" s="648">
        <v>2</v>
      </c>
      <c r="I3769" s="648">
        <v>2</v>
      </c>
      <c r="J3769" s="648">
        <v>16</v>
      </c>
      <c r="K3769" s="682" t="s">
        <v>33</v>
      </c>
      <c r="L3769" s="645">
        <v>1319404</v>
      </c>
      <c r="M3769" s="645">
        <v>1274181</v>
      </c>
      <c r="N3769" s="388">
        <v>22935</v>
      </c>
      <c r="O3769" s="473"/>
      <c r="P3769" s="388"/>
      <c r="Q3769" s="388">
        <v>22288</v>
      </c>
      <c r="R3769" s="528">
        <f>M3769/G3769</f>
        <v>1873.7955882352942</v>
      </c>
      <c r="U3769" s="464"/>
    </row>
    <row r="3770" spans="1:21" s="403" customFormat="1" ht="42.75" customHeight="1">
      <c r="A3770" s="1112" t="s">
        <v>129</v>
      </c>
      <c r="B3770" s="1112"/>
      <c r="C3770" s="455" t="s">
        <v>28</v>
      </c>
      <c r="D3770" s="641">
        <f>D3769</f>
        <v>4506</v>
      </c>
      <c r="E3770" s="388">
        <f>E3769</f>
        <v>758</v>
      </c>
      <c r="F3770" s="388" t="s">
        <v>28</v>
      </c>
      <c r="G3770" s="388">
        <f>G3769</f>
        <v>680</v>
      </c>
      <c r="H3770" s="446" t="s">
        <v>28</v>
      </c>
      <c r="I3770" s="446" t="s">
        <v>28</v>
      </c>
      <c r="J3770" s="446">
        <f>J3769</f>
        <v>16</v>
      </c>
      <c r="K3770" s="458" t="s">
        <v>28</v>
      </c>
      <c r="L3770" s="519">
        <f>L3769</f>
        <v>1319404</v>
      </c>
      <c r="M3770" s="519">
        <f>M3769</f>
        <v>1274181</v>
      </c>
      <c r="N3770" s="388">
        <f>N3769</f>
        <v>22935</v>
      </c>
      <c r="O3770" s="473"/>
      <c r="P3770" s="388"/>
      <c r="Q3770" s="388">
        <f>Q3769</f>
        <v>22288</v>
      </c>
      <c r="R3770" s="446" t="s">
        <v>28</v>
      </c>
      <c r="T3770" s="393"/>
      <c r="U3770" s="464"/>
    </row>
    <row r="3771" spans="1:21" s="403" customFormat="1" ht="42.75" customHeight="1">
      <c r="A3771" s="1131" t="s">
        <v>130</v>
      </c>
      <c r="B3771" s="1131"/>
      <c r="C3771" s="1131"/>
      <c r="D3771" s="1131"/>
      <c r="E3771" s="1131"/>
      <c r="F3771" s="1131"/>
      <c r="G3771" s="1131"/>
      <c r="H3771" s="1131"/>
      <c r="I3771" s="1131"/>
      <c r="J3771" s="1131"/>
      <c r="K3771" s="1131"/>
      <c r="L3771" s="1131"/>
      <c r="M3771" s="1131"/>
      <c r="N3771" s="1131"/>
      <c r="O3771" s="1131"/>
      <c r="P3771" s="1131"/>
      <c r="Q3771" s="1131"/>
      <c r="R3771" s="903"/>
      <c r="T3771" s="393"/>
      <c r="U3771" s="464"/>
    </row>
    <row r="3772" spans="1:21" s="416" customFormat="1" ht="37.5" customHeight="1">
      <c r="A3772" s="904">
        <v>1</v>
      </c>
      <c r="B3772" s="905" t="s">
        <v>2931</v>
      </c>
      <c r="C3772" s="906" t="s">
        <v>222</v>
      </c>
      <c r="D3772" s="724">
        <v>2573</v>
      </c>
      <c r="E3772" s="563">
        <v>517.6</v>
      </c>
      <c r="F3772" s="646" t="s">
        <v>223</v>
      </c>
      <c r="G3772" s="725">
        <v>660.3</v>
      </c>
      <c r="H3772" s="726">
        <v>2</v>
      </c>
      <c r="I3772" s="726">
        <v>1</v>
      </c>
      <c r="J3772" s="726">
        <v>18</v>
      </c>
      <c r="K3772" s="907" t="s">
        <v>33</v>
      </c>
      <c r="L3772" s="645">
        <f>M3772+N3772+O3772+P3772+Q3772</f>
        <v>1513516</v>
      </c>
      <c r="M3772" s="645">
        <v>1478610</v>
      </c>
      <c r="N3772" s="388">
        <v>22179</v>
      </c>
      <c r="O3772" s="473"/>
      <c r="P3772" s="388"/>
      <c r="Q3772" s="388">
        <v>12727</v>
      </c>
      <c r="R3772" s="528">
        <f>M3772/G3772</f>
        <v>2239.3003180372561</v>
      </c>
      <c r="U3772" s="464"/>
    </row>
    <row r="3773" spans="1:21" s="403" customFormat="1" ht="42.75" customHeight="1">
      <c r="A3773" s="1139" t="s">
        <v>131</v>
      </c>
      <c r="B3773" s="1139"/>
      <c r="C3773" s="617" t="s">
        <v>28</v>
      </c>
      <c r="D3773" s="674">
        <f>SUM(D3772)</f>
        <v>2573</v>
      </c>
      <c r="E3773" s="675">
        <f>SUM(E3772)</f>
        <v>517.6</v>
      </c>
      <c r="F3773" s="539" t="s">
        <v>28</v>
      </c>
      <c r="G3773" s="675">
        <f>SUM(G3772:G3772)</f>
        <v>660.3</v>
      </c>
      <c r="H3773" s="599" t="s">
        <v>28</v>
      </c>
      <c r="I3773" s="599" t="s">
        <v>28</v>
      </c>
      <c r="J3773" s="676">
        <f>SUM(J3772:J3772)</f>
        <v>18</v>
      </c>
      <c r="K3773" s="728" t="s">
        <v>28</v>
      </c>
      <c r="L3773" s="677">
        <f>SUM(L3772:L3772)</f>
        <v>1513516</v>
      </c>
      <c r="M3773" s="677">
        <f>SUM(M3772:M3772)</f>
        <v>1478610</v>
      </c>
      <c r="N3773" s="675">
        <f>SUM(N3772:N3772)</f>
        <v>22179</v>
      </c>
      <c r="O3773" s="678"/>
      <c r="P3773" s="675"/>
      <c r="Q3773" s="675">
        <f>SUM(Q3772:Q3772)</f>
        <v>12727</v>
      </c>
      <c r="R3773" s="446" t="s">
        <v>28</v>
      </c>
      <c r="T3773" s="393"/>
      <c r="U3773" s="464"/>
    </row>
    <row r="3774" spans="1:21" s="403" customFormat="1" ht="42.75" customHeight="1">
      <c r="A3774" s="1113" t="s">
        <v>80</v>
      </c>
      <c r="B3774" s="1113"/>
      <c r="C3774" s="1113"/>
      <c r="D3774" s="1113"/>
      <c r="E3774" s="1113"/>
      <c r="F3774" s="1113"/>
      <c r="G3774" s="1113"/>
      <c r="H3774" s="1113"/>
      <c r="I3774" s="1113"/>
      <c r="J3774" s="1113"/>
      <c r="K3774" s="1113"/>
      <c r="L3774" s="1113"/>
      <c r="M3774" s="1113"/>
      <c r="N3774" s="1113"/>
      <c r="O3774" s="1113"/>
      <c r="P3774" s="1113"/>
      <c r="Q3774" s="1113"/>
      <c r="R3774" s="458"/>
      <c r="T3774" s="393"/>
      <c r="U3774" s="464"/>
    </row>
    <row r="3775" spans="1:21" s="420" customFormat="1" ht="37.5" customHeight="1">
      <c r="A3775" s="458">
        <v>1</v>
      </c>
      <c r="B3775" s="403" t="s">
        <v>2932</v>
      </c>
      <c r="C3775" s="455" t="s">
        <v>218</v>
      </c>
      <c r="D3775" s="641">
        <v>2736</v>
      </c>
      <c r="E3775" s="388">
        <v>580</v>
      </c>
      <c r="F3775" s="388" t="s">
        <v>223</v>
      </c>
      <c r="G3775" s="388">
        <v>665</v>
      </c>
      <c r="H3775" s="446">
        <v>2</v>
      </c>
      <c r="I3775" s="446">
        <v>2</v>
      </c>
      <c r="J3775" s="446">
        <v>16</v>
      </c>
      <c r="K3775" s="458" t="s">
        <v>33</v>
      </c>
      <c r="L3775" s="519">
        <f>SUM(M3775:Q3775)</f>
        <v>1743751</v>
      </c>
      <c r="M3775" s="519">
        <v>1704648</v>
      </c>
      <c r="N3775" s="388">
        <v>25570</v>
      </c>
      <c r="O3775" s="473"/>
      <c r="P3775" s="388"/>
      <c r="Q3775" s="388">
        <v>13533</v>
      </c>
      <c r="R3775" s="648">
        <f>M3775/G3775</f>
        <v>2563.3804511278195</v>
      </c>
      <c r="S3775" s="420" t="s">
        <v>425</v>
      </c>
      <c r="U3775" s="464"/>
    </row>
    <row r="3776" spans="1:21" s="420" customFormat="1" ht="56.25" customHeight="1">
      <c r="A3776" s="458">
        <v>2</v>
      </c>
      <c r="B3776" s="403" t="s">
        <v>2933</v>
      </c>
      <c r="C3776" s="455" t="s">
        <v>222</v>
      </c>
      <c r="D3776" s="641">
        <v>5732</v>
      </c>
      <c r="E3776" s="388">
        <v>812</v>
      </c>
      <c r="F3776" s="388" t="s">
        <v>231</v>
      </c>
      <c r="G3776" s="388">
        <v>900</v>
      </c>
      <c r="H3776" s="446">
        <v>3</v>
      </c>
      <c r="I3776" s="446">
        <v>1</v>
      </c>
      <c r="J3776" s="446">
        <v>22</v>
      </c>
      <c r="K3776" s="458" t="s">
        <v>30</v>
      </c>
      <c r="L3776" s="519">
        <f>SUM(M3776:Q3776)</f>
        <v>507110</v>
      </c>
      <c r="M3776" s="519">
        <v>484000</v>
      </c>
      <c r="N3776" s="388"/>
      <c r="O3776" s="643">
        <f>ROUND(M3776*0.3%,0)</f>
        <v>1452</v>
      </c>
      <c r="P3776" s="388"/>
      <c r="Q3776" s="388">
        <v>21658</v>
      </c>
      <c r="R3776" s="648">
        <f>M3776/J3776</f>
        <v>22000</v>
      </c>
      <c r="U3776" s="464"/>
    </row>
    <row r="3777" spans="1:21 16382:16382" s="403" customFormat="1" ht="42.75" customHeight="1">
      <c r="A3777" s="1112" t="s">
        <v>132</v>
      </c>
      <c r="B3777" s="1112"/>
      <c r="C3777" s="455" t="s">
        <v>28</v>
      </c>
      <c r="D3777" s="641">
        <f>SUM(D3775:D3776)</f>
        <v>8468</v>
      </c>
      <c r="E3777" s="388">
        <f>SUM(E3775:E3776)</f>
        <v>1392</v>
      </c>
      <c r="F3777" s="388" t="s">
        <v>28</v>
      </c>
      <c r="G3777" s="388">
        <f>SUM(G3775:G3776)</f>
        <v>1565</v>
      </c>
      <c r="H3777" s="446" t="s">
        <v>28</v>
      </c>
      <c r="I3777" s="446" t="s">
        <v>28</v>
      </c>
      <c r="J3777" s="446">
        <f>SUM(J3775:J3776)</f>
        <v>38</v>
      </c>
      <c r="K3777" s="458" t="s">
        <v>28</v>
      </c>
      <c r="L3777" s="519">
        <f>SUM(L3775:L3776)</f>
        <v>2250861</v>
      </c>
      <c r="M3777" s="519">
        <f>SUM(M3775:M3776)</f>
        <v>2188648</v>
      </c>
      <c r="N3777" s="388">
        <f>SUM(N3775:N3776)</f>
        <v>25570</v>
      </c>
      <c r="O3777" s="473">
        <f>SUM(O3775:O3776)</f>
        <v>1452</v>
      </c>
      <c r="P3777" s="388"/>
      <c r="Q3777" s="388">
        <f>SUM(Q3775:Q3776)</f>
        <v>35191</v>
      </c>
      <c r="R3777" s="446" t="s">
        <v>28</v>
      </c>
      <c r="T3777" s="393"/>
      <c r="U3777" s="464"/>
    </row>
    <row r="3778" spans="1:21 16382:16382" s="403" customFormat="1" ht="42.75" customHeight="1">
      <c r="A3778" s="1113" t="s">
        <v>215</v>
      </c>
      <c r="B3778" s="1113"/>
      <c r="C3778" s="1113"/>
      <c r="D3778" s="1113"/>
      <c r="E3778" s="1113"/>
      <c r="F3778" s="1113"/>
      <c r="G3778" s="1113"/>
      <c r="H3778" s="1113"/>
      <c r="I3778" s="1113"/>
      <c r="J3778" s="1113"/>
      <c r="K3778" s="1113"/>
      <c r="L3778" s="1113"/>
      <c r="M3778" s="1113"/>
      <c r="N3778" s="1113"/>
      <c r="O3778" s="1113"/>
      <c r="P3778" s="1113"/>
      <c r="Q3778" s="1113"/>
      <c r="R3778" s="458"/>
      <c r="T3778" s="393"/>
      <c r="U3778" s="464"/>
    </row>
    <row r="3779" spans="1:21 16382:16382" s="403" customFormat="1" ht="37.5" customHeight="1">
      <c r="A3779" s="458">
        <v>1</v>
      </c>
      <c r="B3779" s="403" t="s">
        <v>2934</v>
      </c>
      <c r="C3779" s="455" t="s">
        <v>222</v>
      </c>
      <c r="D3779" s="641">
        <v>6899</v>
      </c>
      <c r="E3779" s="388">
        <v>910</v>
      </c>
      <c r="F3779" s="391" t="s">
        <v>223</v>
      </c>
      <c r="G3779" s="388">
        <v>980</v>
      </c>
      <c r="H3779" s="446">
        <v>3</v>
      </c>
      <c r="I3779" s="446">
        <v>3</v>
      </c>
      <c r="J3779" s="446">
        <v>59</v>
      </c>
      <c r="K3779" s="458" t="s">
        <v>33</v>
      </c>
      <c r="L3779" s="529">
        <f>M3779+N3779+Q3779</f>
        <v>2793034</v>
      </c>
      <c r="M3779" s="529">
        <f>G3779*2800</f>
        <v>2744000</v>
      </c>
      <c r="N3779" s="391">
        <f>M3779*0.01</f>
        <v>27440</v>
      </c>
      <c r="O3779" s="530"/>
      <c r="P3779" s="391"/>
      <c r="Q3779" s="388">
        <v>21594</v>
      </c>
      <c r="R3779" s="528">
        <f>M3779/G3779</f>
        <v>2800</v>
      </c>
      <c r="S3779" s="393"/>
      <c r="T3779" s="393"/>
      <c r="U3779" s="464"/>
    </row>
    <row r="3780" spans="1:21 16382:16382" s="403" customFormat="1" ht="42.75" customHeight="1">
      <c r="A3780" s="1112" t="s">
        <v>216</v>
      </c>
      <c r="B3780" s="1112"/>
      <c r="C3780" s="455" t="s">
        <v>28</v>
      </c>
      <c r="D3780" s="641">
        <f>SUM(D3779:D3779)</f>
        <v>6899</v>
      </c>
      <c r="E3780" s="388">
        <f>SUM(E3779:E3779)</f>
        <v>910</v>
      </c>
      <c r="F3780" s="388" t="s">
        <v>28</v>
      </c>
      <c r="G3780" s="388">
        <f>SUM(G3779:G3779)</f>
        <v>980</v>
      </c>
      <c r="H3780" s="446" t="s">
        <v>28</v>
      </c>
      <c r="I3780" s="446" t="s">
        <v>28</v>
      </c>
      <c r="J3780" s="446">
        <f>SUM(J3779:J3779)</f>
        <v>59</v>
      </c>
      <c r="K3780" s="458" t="s">
        <v>28</v>
      </c>
      <c r="L3780" s="519">
        <f>SUM(L3779:L3779)</f>
        <v>2793034</v>
      </c>
      <c r="M3780" s="519">
        <f>SUM(M3779:M3779)</f>
        <v>2744000</v>
      </c>
      <c r="N3780" s="388">
        <f>SUM(N3779:N3779)</f>
        <v>27440</v>
      </c>
      <c r="O3780" s="473"/>
      <c r="P3780" s="388"/>
      <c r="Q3780" s="388">
        <f>SUM(Q3779:Q3779)</f>
        <v>21594</v>
      </c>
      <c r="R3780" s="446" t="s">
        <v>28</v>
      </c>
      <c r="T3780" s="393"/>
      <c r="U3780" s="464"/>
    </row>
    <row r="3781" spans="1:21 16382:16382" s="403" customFormat="1" ht="42.75" customHeight="1">
      <c r="A3781" s="1113" t="s">
        <v>81</v>
      </c>
      <c r="B3781" s="1113"/>
      <c r="C3781" s="1113"/>
      <c r="D3781" s="1113"/>
      <c r="E3781" s="1113"/>
      <c r="F3781" s="1113"/>
      <c r="G3781" s="1113"/>
      <c r="H3781" s="1113"/>
      <c r="I3781" s="1113"/>
      <c r="J3781" s="1113"/>
      <c r="K3781" s="1113"/>
      <c r="L3781" s="1113"/>
      <c r="M3781" s="1113"/>
      <c r="N3781" s="1113"/>
      <c r="O3781" s="1113"/>
      <c r="P3781" s="1113"/>
      <c r="Q3781" s="1113"/>
      <c r="R3781" s="458"/>
      <c r="T3781" s="393"/>
      <c r="U3781" s="464"/>
    </row>
    <row r="3782" spans="1:21 16382:16382" s="403" customFormat="1" ht="75" customHeight="1">
      <c r="A3782" s="458">
        <v>1</v>
      </c>
      <c r="B3782" s="403" t="s">
        <v>2935</v>
      </c>
      <c r="C3782" s="455" t="s">
        <v>222</v>
      </c>
      <c r="D3782" s="641">
        <v>2907</v>
      </c>
      <c r="E3782" s="388">
        <v>593</v>
      </c>
      <c r="F3782" s="388" t="s">
        <v>229</v>
      </c>
      <c r="G3782" s="388">
        <v>610</v>
      </c>
      <c r="H3782" s="446">
        <v>2</v>
      </c>
      <c r="I3782" s="446">
        <v>2</v>
      </c>
      <c r="J3782" s="446">
        <v>16</v>
      </c>
      <c r="K3782" s="458" t="s">
        <v>276</v>
      </c>
      <c r="L3782" s="650">
        <f>M3782+N3782+O3782+P3782+Q3782</f>
        <v>993835</v>
      </c>
      <c r="M3782" s="650">
        <v>972192</v>
      </c>
      <c r="N3782" s="651"/>
      <c r="O3782" s="643">
        <v>2917</v>
      </c>
      <c r="P3782" s="651"/>
      <c r="Q3782" s="388">
        <v>18726</v>
      </c>
      <c r="R3782" s="732">
        <f>M3782/E3782</f>
        <v>1639.4468802698145</v>
      </c>
      <c r="T3782" s="393"/>
      <c r="U3782" s="464"/>
    </row>
    <row r="3783" spans="1:21 16382:16382" s="403" customFormat="1" ht="42.75" customHeight="1">
      <c r="A3783" s="1112" t="s">
        <v>133</v>
      </c>
      <c r="B3783" s="1112"/>
      <c r="C3783" s="455" t="s">
        <v>28</v>
      </c>
      <c r="D3783" s="641">
        <f>SUM(D3782)</f>
        <v>2907</v>
      </c>
      <c r="E3783" s="388">
        <f>SUM(E3782)</f>
        <v>593</v>
      </c>
      <c r="F3783" s="388" t="s">
        <v>28</v>
      </c>
      <c r="G3783" s="388">
        <f>SUM(G3782)</f>
        <v>610</v>
      </c>
      <c r="H3783" s="446" t="s">
        <v>28</v>
      </c>
      <c r="I3783" s="446" t="s">
        <v>28</v>
      </c>
      <c r="J3783" s="446">
        <f>SUM(J3782)</f>
        <v>16</v>
      </c>
      <c r="K3783" s="458" t="s">
        <v>28</v>
      </c>
      <c r="L3783" s="519">
        <f>SUM(L3782)</f>
        <v>993835</v>
      </c>
      <c r="M3783" s="519">
        <f>SUM(M3782)</f>
        <v>972192</v>
      </c>
      <c r="N3783" s="388"/>
      <c r="O3783" s="473">
        <f>SUM(O3782)</f>
        <v>2917</v>
      </c>
      <c r="P3783" s="388"/>
      <c r="Q3783" s="388">
        <f>SUM(Q3782)</f>
        <v>18726</v>
      </c>
      <c r="R3783" s="446" t="s">
        <v>28</v>
      </c>
      <c r="T3783" s="393"/>
      <c r="U3783" s="464"/>
    </row>
    <row r="3784" spans="1:21 16382:16382" s="403" customFormat="1" ht="42.75" customHeight="1">
      <c r="A3784" s="1113" t="s">
        <v>40</v>
      </c>
      <c r="B3784" s="1113"/>
      <c r="C3784" s="1113"/>
      <c r="D3784" s="1113"/>
      <c r="E3784" s="1113"/>
      <c r="F3784" s="1113"/>
      <c r="G3784" s="1113"/>
      <c r="H3784" s="1113"/>
      <c r="I3784" s="1113"/>
      <c r="J3784" s="1113"/>
      <c r="K3784" s="1113"/>
      <c r="L3784" s="1113"/>
      <c r="M3784" s="1113"/>
      <c r="N3784" s="1113"/>
      <c r="O3784" s="1113"/>
      <c r="P3784" s="1113"/>
      <c r="Q3784" s="1113"/>
      <c r="R3784" s="458"/>
      <c r="T3784" s="393"/>
      <c r="U3784" s="464"/>
    </row>
    <row r="3785" spans="1:21 16382:16382" s="447" customFormat="1" ht="56.25" customHeight="1">
      <c r="A3785" s="504">
        <v>1</v>
      </c>
      <c r="B3785" s="403" t="s">
        <v>2936</v>
      </c>
      <c r="C3785" s="455" t="s">
        <v>222</v>
      </c>
      <c r="D3785" s="606">
        <v>2464.5</v>
      </c>
      <c r="E3785" s="388">
        <v>13251</v>
      </c>
      <c r="F3785" s="667" t="s">
        <v>223</v>
      </c>
      <c r="G3785" s="391">
        <v>1229</v>
      </c>
      <c r="H3785" s="528">
        <v>5</v>
      </c>
      <c r="I3785" s="528">
        <v>4</v>
      </c>
      <c r="J3785" s="528">
        <v>70</v>
      </c>
      <c r="K3785" s="458" t="s">
        <v>263</v>
      </c>
      <c r="L3785" s="529">
        <f t="shared" ref="L3785:L3809" si="550">M3785+N3785+O3785+P3785+Q3785</f>
        <v>2738552</v>
      </c>
      <c r="M3785" s="529">
        <v>2703800</v>
      </c>
      <c r="N3785" s="391">
        <v>27038</v>
      </c>
      <c r="O3785" s="530"/>
      <c r="P3785" s="391"/>
      <c r="Q3785" s="388">
        <v>7714</v>
      </c>
      <c r="R3785" s="528">
        <f>M3785/G3785</f>
        <v>2200</v>
      </c>
      <c r="U3785" s="464"/>
      <c r="XFB3785" s="447">
        <v>2076321.2</v>
      </c>
    </row>
    <row r="3786" spans="1:21 16382:16382" s="447" customFormat="1" ht="56.25" customHeight="1">
      <c r="A3786" s="504">
        <f t="shared" ref="A3786:A3821" si="551">A3785+1</f>
        <v>2</v>
      </c>
      <c r="B3786" s="403" t="s">
        <v>2937</v>
      </c>
      <c r="C3786" s="455" t="s">
        <v>222</v>
      </c>
      <c r="D3786" s="606">
        <v>2484.14</v>
      </c>
      <c r="E3786" s="388">
        <v>13630</v>
      </c>
      <c r="F3786" s="667" t="s">
        <v>223</v>
      </c>
      <c r="G3786" s="391">
        <v>1269</v>
      </c>
      <c r="H3786" s="528">
        <v>5</v>
      </c>
      <c r="I3786" s="528">
        <v>4</v>
      </c>
      <c r="J3786" s="528">
        <v>70</v>
      </c>
      <c r="K3786" s="458" t="s">
        <v>263</v>
      </c>
      <c r="L3786" s="529">
        <f t="shared" si="550"/>
        <v>2963275</v>
      </c>
      <c r="M3786" s="529">
        <v>2926238</v>
      </c>
      <c r="N3786" s="391">
        <v>29262</v>
      </c>
      <c r="O3786" s="530"/>
      <c r="P3786" s="391"/>
      <c r="Q3786" s="388">
        <v>7775</v>
      </c>
      <c r="R3786" s="528">
        <f>M3786/G3786</f>
        <v>2305.9401103230889</v>
      </c>
      <c r="U3786" s="464"/>
      <c r="XFB3786" s="447">
        <v>2374084.2799999998</v>
      </c>
    </row>
    <row r="3787" spans="1:21 16382:16382" s="420" customFormat="1" ht="56.25" customHeight="1">
      <c r="A3787" s="504">
        <f t="shared" si="551"/>
        <v>3</v>
      </c>
      <c r="B3787" s="403" t="s">
        <v>2938</v>
      </c>
      <c r="C3787" s="455" t="s">
        <v>222</v>
      </c>
      <c r="D3787" s="606">
        <v>535.79999999999995</v>
      </c>
      <c r="E3787" s="391">
        <v>2470</v>
      </c>
      <c r="F3787" s="391" t="s">
        <v>223</v>
      </c>
      <c r="G3787" s="391">
        <v>764</v>
      </c>
      <c r="H3787" s="528">
        <v>2</v>
      </c>
      <c r="I3787" s="528">
        <v>2</v>
      </c>
      <c r="J3787" s="528">
        <v>16</v>
      </c>
      <c r="K3787" s="458" t="s">
        <v>263</v>
      </c>
      <c r="L3787" s="519">
        <f t="shared" si="550"/>
        <v>1708662</v>
      </c>
      <c r="M3787" s="529">
        <v>1680800</v>
      </c>
      <c r="N3787" s="388">
        <v>25212</v>
      </c>
      <c r="O3787" s="473"/>
      <c r="P3787" s="388"/>
      <c r="Q3787" s="388">
        <v>2650</v>
      </c>
      <c r="R3787" s="446">
        <f>M3787/G3787</f>
        <v>2200</v>
      </c>
      <c r="T3787" s="406">
        <f>L3787-M3787-N3787-O3787-Q3787</f>
        <v>0</v>
      </c>
      <c r="U3787" s="405"/>
    </row>
    <row r="3788" spans="1:21 16382:16382" s="420" customFormat="1" ht="37.5" customHeight="1">
      <c r="A3788" s="504">
        <f t="shared" si="551"/>
        <v>4</v>
      </c>
      <c r="B3788" s="403" t="s">
        <v>2939</v>
      </c>
      <c r="C3788" s="455" t="s">
        <v>222</v>
      </c>
      <c r="D3788" s="606">
        <v>6075.3</v>
      </c>
      <c r="E3788" s="391">
        <v>4959</v>
      </c>
      <c r="F3788" s="391" t="s">
        <v>223</v>
      </c>
      <c r="G3788" s="391">
        <v>587.29999999999995</v>
      </c>
      <c r="H3788" s="528">
        <v>4</v>
      </c>
      <c r="I3788" s="528">
        <v>2</v>
      </c>
      <c r="J3788" s="528">
        <v>32</v>
      </c>
      <c r="K3788" s="458" t="s">
        <v>239</v>
      </c>
      <c r="L3788" s="519">
        <f t="shared" si="550"/>
        <v>1004337</v>
      </c>
      <c r="M3788" s="645">
        <v>960000</v>
      </c>
      <c r="N3788" s="646">
        <v>28800</v>
      </c>
      <c r="O3788" s="647"/>
      <c r="P3788" s="646"/>
      <c r="Q3788" s="388">
        <v>15537</v>
      </c>
      <c r="R3788" s="648">
        <f>M3788/J3788</f>
        <v>30000</v>
      </c>
      <c r="S3788" s="416"/>
      <c r="T3788" s="406">
        <f>L3788-M3788-N3788-O3788-Q3788</f>
        <v>0</v>
      </c>
      <c r="U3788" s="405"/>
    </row>
    <row r="3789" spans="1:21 16382:16382" s="447" customFormat="1" ht="56.25" customHeight="1">
      <c r="A3789" s="504">
        <f t="shared" si="551"/>
        <v>5</v>
      </c>
      <c r="B3789" s="403" t="s">
        <v>2940</v>
      </c>
      <c r="C3789" s="455" t="s">
        <v>222</v>
      </c>
      <c r="D3789" s="606">
        <v>3439.35</v>
      </c>
      <c r="E3789" s="391">
        <v>29104</v>
      </c>
      <c r="F3789" s="667" t="s">
        <v>234</v>
      </c>
      <c r="G3789" s="391">
        <v>1535</v>
      </c>
      <c r="H3789" s="528">
        <v>9</v>
      </c>
      <c r="I3789" s="528">
        <v>2</v>
      </c>
      <c r="J3789" s="528">
        <v>117</v>
      </c>
      <c r="K3789" s="458" t="s">
        <v>238</v>
      </c>
      <c r="L3789" s="529">
        <f t="shared" si="550"/>
        <v>2945075</v>
      </c>
      <c r="M3789" s="529">
        <v>2925000</v>
      </c>
      <c r="N3789" s="391"/>
      <c r="O3789" s="643">
        <v>8775</v>
      </c>
      <c r="P3789" s="391"/>
      <c r="Q3789" s="388">
        <v>11300</v>
      </c>
      <c r="R3789" s="528">
        <f>M3789/J3789</f>
        <v>25000</v>
      </c>
      <c r="U3789" s="464"/>
      <c r="XFB3789" s="447">
        <v>2890124.88</v>
      </c>
    </row>
    <row r="3790" spans="1:21 16382:16382" s="447" customFormat="1" ht="37.5" customHeight="1">
      <c r="A3790" s="504">
        <f t="shared" si="551"/>
        <v>6</v>
      </c>
      <c r="B3790" s="403" t="s">
        <v>2941</v>
      </c>
      <c r="C3790" s="617" t="s">
        <v>222</v>
      </c>
      <c r="D3790" s="606">
        <v>6625</v>
      </c>
      <c r="E3790" s="391">
        <v>1185.2</v>
      </c>
      <c r="F3790" s="667" t="s">
        <v>223</v>
      </c>
      <c r="G3790" s="391">
        <v>584</v>
      </c>
      <c r="H3790" s="528">
        <v>4</v>
      </c>
      <c r="I3790" s="528">
        <v>2</v>
      </c>
      <c r="J3790" s="528">
        <v>32</v>
      </c>
      <c r="K3790" s="458" t="s">
        <v>239</v>
      </c>
      <c r="L3790" s="529">
        <f t="shared" si="550"/>
        <v>1004337</v>
      </c>
      <c r="M3790" s="519">
        <v>960000</v>
      </c>
      <c r="N3790" s="388">
        <v>28800</v>
      </c>
      <c r="O3790" s="473"/>
      <c r="P3790" s="388"/>
      <c r="Q3790" s="388">
        <v>15537</v>
      </c>
      <c r="R3790" s="446">
        <f>M3790/J3790</f>
        <v>30000</v>
      </c>
      <c r="U3790" s="464"/>
      <c r="XFB3790" s="447">
        <v>2374086.2799999998</v>
      </c>
    </row>
    <row r="3791" spans="1:21 16382:16382" s="447" customFormat="1" ht="56.25" customHeight="1">
      <c r="A3791" s="504">
        <f t="shared" si="551"/>
        <v>7</v>
      </c>
      <c r="B3791" s="403" t="s">
        <v>2942</v>
      </c>
      <c r="C3791" s="455" t="s">
        <v>222</v>
      </c>
      <c r="D3791" s="606">
        <v>3335.3</v>
      </c>
      <c r="E3791" s="391">
        <v>17795</v>
      </c>
      <c r="F3791" s="667" t="s">
        <v>223</v>
      </c>
      <c r="G3791" s="391">
        <v>1704.3</v>
      </c>
      <c r="H3791" s="528">
        <v>5</v>
      </c>
      <c r="I3791" s="528">
        <v>6</v>
      </c>
      <c r="J3791" s="528">
        <v>100</v>
      </c>
      <c r="K3791" s="458" t="s">
        <v>263</v>
      </c>
      <c r="L3791" s="529">
        <f t="shared" si="550"/>
        <v>3797395</v>
      </c>
      <c r="M3791" s="529">
        <v>3749460</v>
      </c>
      <c r="N3791" s="391">
        <v>37495</v>
      </c>
      <c r="O3791" s="530"/>
      <c r="P3791" s="391"/>
      <c r="Q3791" s="388">
        <v>10440</v>
      </c>
      <c r="R3791" s="528">
        <f t="shared" ref="R3791:R3797" si="552">M3791/G3791</f>
        <v>2200</v>
      </c>
      <c r="S3791" s="502">
        <v>2014</v>
      </c>
      <c r="U3791" s="464"/>
      <c r="XFB3791" s="447">
        <v>2374087.2799999998</v>
      </c>
    </row>
    <row r="3792" spans="1:21 16382:16382" s="420" customFormat="1" ht="56.25" customHeight="1">
      <c r="A3792" s="504">
        <f t="shared" si="551"/>
        <v>8</v>
      </c>
      <c r="B3792" s="403" t="s">
        <v>2943</v>
      </c>
      <c r="C3792" s="455" t="s">
        <v>222</v>
      </c>
      <c r="D3792" s="606">
        <v>2631.9</v>
      </c>
      <c r="E3792" s="391">
        <v>15550</v>
      </c>
      <c r="F3792" s="391" t="s">
        <v>223</v>
      </c>
      <c r="G3792" s="391">
        <v>1255.0999999999999</v>
      </c>
      <c r="H3792" s="528">
        <v>5</v>
      </c>
      <c r="I3792" s="528">
        <v>4</v>
      </c>
      <c r="J3792" s="528">
        <v>70</v>
      </c>
      <c r="K3792" s="458" t="s">
        <v>263</v>
      </c>
      <c r="L3792" s="519">
        <f t="shared" si="550"/>
        <v>2797070</v>
      </c>
      <c r="M3792" s="529">
        <v>2761220</v>
      </c>
      <c r="N3792" s="388">
        <v>27612</v>
      </c>
      <c r="O3792" s="473"/>
      <c r="P3792" s="388"/>
      <c r="Q3792" s="388">
        <v>8238</v>
      </c>
      <c r="R3792" s="446">
        <f t="shared" si="552"/>
        <v>2200</v>
      </c>
      <c r="T3792" s="406">
        <f>L3792-M3792-N3792-O3792-Q3792</f>
        <v>0</v>
      </c>
      <c r="U3792" s="405"/>
    </row>
    <row r="3793" spans="1:21 16382:16382" s="447" customFormat="1" ht="56.25" customHeight="1">
      <c r="A3793" s="504">
        <f t="shared" si="551"/>
        <v>9</v>
      </c>
      <c r="B3793" s="403" t="s">
        <v>2944</v>
      </c>
      <c r="C3793" s="455" t="s">
        <v>222</v>
      </c>
      <c r="D3793" s="606">
        <v>2284.8000000000002</v>
      </c>
      <c r="E3793" s="391">
        <v>12717</v>
      </c>
      <c r="F3793" s="667" t="s">
        <v>223</v>
      </c>
      <c r="G3793" s="391">
        <v>1196.3</v>
      </c>
      <c r="H3793" s="528">
        <v>5</v>
      </c>
      <c r="I3793" s="528">
        <v>4</v>
      </c>
      <c r="J3793" s="528">
        <v>80</v>
      </c>
      <c r="K3793" s="458" t="s">
        <v>263</v>
      </c>
      <c r="L3793" s="529">
        <f t="shared" si="550"/>
        <v>3027809</v>
      </c>
      <c r="M3793" s="529">
        <v>2990750</v>
      </c>
      <c r="N3793" s="391">
        <v>29908</v>
      </c>
      <c r="O3793" s="530"/>
      <c r="P3793" s="391"/>
      <c r="Q3793" s="388">
        <v>7151</v>
      </c>
      <c r="R3793" s="528">
        <f t="shared" si="552"/>
        <v>2500</v>
      </c>
      <c r="U3793" s="464"/>
      <c r="XFB3793" s="447">
        <v>2374088.2799999998</v>
      </c>
    </row>
    <row r="3794" spans="1:21 16382:16382" s="447" customFormat="1" ht="56.25" customHeight="1">
      <c r="A3794" s="504">
        <f t="shared" si="551"/>
        <v>10</v>
      </c>
      <c r="B3794" s="403" t="s">
        <v>2945</v>
      </c>
      <c r="C3794" s="455" t="s">
        <v>222</v>
      </c>
      <c r="D3794" s="606">
        <v>2384.4</v>
      </c>
      <c r="E3794" s="391">
        <v>13219</v>
      </c>
      <c r="F3794" s="667" t="s">
        <v>223</v>
      </c>
      <c r="G3794" s="391">
        <v>1203.9000000000001</v>
      </c>
      <c r="H3794" s="528">
        <v>5</v>
      </c>
      <c r="I3794" s="528">
        <v>4</v>
      </c>
      <c r="J3794" s="528">
        <v>80</v>
      </c>
      <c r="K3794" s="458" t="s">
        <v>263</v>
      </c>
      <c r="L3794" s="529">
        <f t="shared" si="550"/>
        <v>3047311</v>
      </c>
      <c r="M3794" s="529">
        <v>3009750</v>
      </c>
      <c r="N3794" s="391">
        <v>30098</v>
      </c>
      <c r="O3794" s="530"/>
      <c r="P3794" s="391"/>
      <c r="Q3794" s="388">
        <v>7463</v>
      </c>
      <c r="R3794" s="528">
        <f t="shared" si="552"/>
        <v>2500</v>
      </c>
      <c r="U3794" s="464"/>
      <c r="XFB3794" s="447">
        <v>2374089.2799999998</v>
      </c>
    </row>
    <row r="3795" spans="1:21 16382:16382" s="447" customFormat="1" ht="56.25" customHeight="1">
      <c r="A3795" s="504">
        <f t="shared" si="551"/>
        <v>11</v>
      </c>
      <c r="B3795" s="403" t="s">
        <v>2946</v>
      </c>
      <c r="C3795" s="455" t="s">
        <v>222</v>
      </c>
      <c r="D3795" s="606">
        <v>2438.1</v>
      </c>
      <c r="E3795" s="388">
        <v>13219</v>
      </c>
      <c r="F3795" s="667" t="s">
        <v>223</v>
      </c>
      <c r="G3795" s="391">
        <v>1300</v>
      </c>
      <c r="H3795" s="528">
        <v>5</v>
      </c>
      <c r="I3795" s="528">
        <v>4</v>
      </c>
      <c r="J3795" s="528">
        <v>70</v>
      </c>
      <c r="K3795" s="458" t="s">
        <v>263</v>
      </c>
      <c r="L3795" s="529">
        <f t="shared" si="550"/>
        <v>3290131</v>
      </c>
      <c r="M3795" s="529">
        <v>3250000</v>
      </c>
      <c r="N3795" s="391">
        <v>32500</v>
      </c>
      <c r="O3795" s="530"/>
      <c r="P3795" s="391"/>
      <c r="Q3795" s="388">
        <v>7631</v>
      </c>
      <c r="R3795" s="528">
        <f t="shared" si="552"/>
        <v>2500</v>
      </c>
      <c r="U3795" s="464"/>
      <c r="XFB3795" s="447">
        <v>2374090.2799999998</v>
      </c>
    </row>
    <row r="3796" spans="1:21 16382:16382" s="447" customFormat="1" ht="56.25" customHeight="1">
      <c r="A3796" s="504">
        <f t="shared" si="551"/>
        <v>12</v>
      </c>
      <c r="B3796" s="403" t="s">
        <v>2948</v>
      </c>
      <c r="C3796" s="455" t="s">
        <v>222</v>
      </c>
      <c r="D3796" s="606">
        <v>3027.6</v>
      </c>
      <c r="E3796" s="391">
        <v>21249</v>
      </c>
      <c r="F3796" s="667" t="s">
        <v>223</v>
      </c>
      <c r="G3796" s="391">
        <v>1682</v>
      </c>
      <c r="H3796" s="528">
        <v>5</v>
      </c>
      <c r="I3796" s="528">
        <v>6</v>
      </c>
      <c r="J3796" s="528">
        <v>100</v>
      </c>
      <c r="K3796" s="458" t="s">
        <v>263</v>
      </c>
      <c r="L3796" s="529">
        <f t="shared" si="550"/>
        <v>4256526</v>
      </c>
      <c r="M3796" s="529">
        <v>4205000</v>
      </c>
      <c r="N3796" s="391">
        <v>42050</v>
      </c>
      <c r="O3796" s="530"/>
      <c r="P3796" s="391"/>
      <c r="Q3796" s="388">
        <v>9476</v>
      </c>
      <c r="R3796" s="528">
        <f t="shared" si="552"/>
        <v>2500</v>
      </c>
      <c r="U3796" s="464"/>
      <c r="XFB3796" s="447">
        <v>4820151.3599999994</v>
      </c>
    </row>
    <row r="3797" spans="1:21 16382:16382" s="447" customFormat="1" ht="37.5" customHeight="1">
      <c r="A3797" s="504">
        <f t="shared" si="551"/>
        <v>13</v>
      </c>
      <c r="B3797" s="403" t="s">
        <v>2006</v>
      </c>
      <c r="C3797" s="455" t="s">
        <v>222</v>
      </c>
      <c r="D3797" s="641">
        <v>17741</v>
      </c>
      <c r="E3797" s="388">
        <v>4081</v>
      </c>
      <c r="F3797" s="388" t="s">
        <v>223</v>
      </c>
      <c r="G3797" s="388">
        <v>650</v>
      </c>
      <c r="H3797" s="446">
        <v>5</v>
      </c>
      <c r="I3797" s="446">
        <v>1</v>
      </c>
      <c r="J3797" s="446">
        <v>172</v>
      </c>
      <c r="K3797" s="458" t="s">
        <v>33</v>
      </c>
      <c r="L3797" s="529">
        <f t="shared" si="550"/>
        <v>1372500</v>
      </c>
      <c r="M3797" s="650">
        <v>1300000</v>
      </c>
      <c r="N3797" s="391">
        <v>32500</v>
      </c>
      <c r="O3797" s="530"/>
      <c r="P3797" s="688"/>
      <c r="Q3797" s="388">
        <v>40000</v>
      </c>
      <c r="R3797" s="689">
        <f t="shared" si="552"/>
        <v>2000</v>
      </c>
      <c r="U3797" s="464"/>
      <c r="XFB3797" s="447">
        <v>2670360</v>
      </c>
    </row>
    <row r="3798" spans="1:21 16382:16382" s="447" customFormat="1" ht="37.5" customHeight="1">
      <c r="A3798" s="504">
        <f t="shared" si="551"/>
        <v>14</v>
      </c>
      <c r="B3798" s="403" t="s">
        <v>2949</v>
      </c>
      <c r="C3798" s="455" t="s">
        <v>222</v>
      </c>
      <c r="D3798" s="606">
        <f>E3798*3</f>
        <v>5047.2</v>
      </c>
      <c r="E3798" s="391">
        <f>(54.6+15.5)*2*3*H3798</f>
        <v>1682.3999999999999</v>
      </c>
      <c r="F3798" s="667" t="s">
        <v>223</v>
      </c>
      <c r="G3798" s="391">
        <v>936.8</v>
      </c>
      <c r="H3798" s="528">
        <v>4</v>
      </c>
      <c r="I3798" s="528">
        <v>3</v>
      </c>
      <c r="J3798" s="528">
        <v>36</v>
      </c>
      <c r="K3798" s="458" t="s">
        <v>239</v>
      </c>
      <c r="L3798" s="529">
        <f t="shared" si="550"/>
        <v>1122537</v>
      </c>
      <c r="M3798" s="519">
        <v>1080000</v>
      </c>
      <c r="N3798" s="388">
        <v>27000</v>
      </c>
      <c r="O3798" s="473"/>
      <c r="P3798" s="388"/>
      <c r="Q3798" s="388">
        <v>15537</v>
      </c>
      <c r="R3798" s="446">
        <f>M3798/J3798</f>
        <v>30000</v>
      </c>
      <c r="U3798" s="464"/>
      <c r="XFB3798" s="447">
        <v>23820016.539999999</v>
      </c>
    </row>
    <row r="3799" spans="1:21 16382:16382" s="447" customFormat="1" ht="37.5" customHeight="1">
      <c r="A3799" s="504">
        <f t="shared" si="551"/>
        <v>15</v>
      </c>
      <c r="B3799" s="403" t="s">
        <v>2950</v>
      </c>
      <c r="C3799" s="455" t="s">
        <v>222</v>
      </c>
      <c r="D3799" s="606">
        <v>3268.2</v>
      </c>
      <c r="E3799" s="391">
        <v>16235</v>
      </c>
      <c r="F3799" s="667" t="s">
        <v>234</v>
      </c>
      <c r="G3799" s="391">
        <v>1139.3</v>
      </c>
      <c r="H3799" s="528">
        <v>5</v>
      </c>
      <c r="I3799" s="528">
        <v>5</v>
      </c>
      <c r="J3799" s="528">
        <v>65</v>
      </c>
      <c r="K3799" s="458" t="s">
        <v>33</v>
      </c>
      <c r="L3799" s="529">
        <f t="shared" si="550"/>
        <v>2295666</v>
      </c>
      <c r="M3799" s="650">
        <v>2278600</v>
      </c>
      <c r="N3799" s="688"/>
      <c r="O3799" s="643">
        <v>6836</v>
      </c>
      <c r="P3799" s="688"/>
      <c r="Q3799" s="388">
        <v>10230</v>
      </c>
      <c r="R3799" s="689">
        <f>M3799/G3799</f>
        <v>2000</v>
      </c>
      <c r="S3799" s="416"/>
      <c r="U3799" s="464"/>
      <c r="XFB3799" s="447">
        <v>2735851.5999999996</v>
      </c>
    </row>
    <row r="3800" spans="1:21 16382:16382" s="447" customFormat="1" ht="37.5" customHeight="1">
      <c r="A3800" s="504">
        <f t="shared" si="551"/>
        <v>16</v>
      </c>
      <c r="B3800" s="403" t="s">
        <v>2951</v>
      </c>
      <c r="C3800" s="455" t="s">
        <v>222</v>
      </c>
      <c r="D3800" s="606">
        <v>37765</v>
      </c>
      <c r="E3800" s="391">
        <v>480</v>
      </c>
      <c r="F3800" s="667" t="s">
        <v>234</v>
      </c>
      <c r="G3800" s="391">
        <v>2678.4</v>
      </c>
      <c r="H3800" s="528">
        <v>5</v>
      </c>
      <c r="I3800" s="528">
        <v>12</v>
      </c>
      <c r="J3800" s="528">
        <v>174</v>
      </c>
      <c r="K3800" s="458" t="s">
        <v>426</v>
      </c>
      <c r="L3800" s="529">
        <f t="shared" si="550"/>
        <v>1743600</v>
      </c>
      <c r="M3800" s="650">
        <v>1680000</v>
      </c>
      <c r="N3800" s="651">
        <v>33600</v>
      </c>
      <c r="O3800" s="647"/>
      <c r="P3800" s="651"/>
      <c r="Q3800" s="388">
        <v>30000</v>
      </c>
      <c r="R3800" s="528">
        <f>M3800/E3800</f>
        <v>3500</v>
      </c>
      <c r="U3800" s="464"/>
      <c r="XFB3800" s="447">
        <v>3535938</v>
      </c>
    </row>
    <row r="3801" spans="1:21 16382:16382" s="447" customFormat="1" ht="37.5" customHeight="1">
      <c r="A3801" s="504">
        <f t="shared" si="551"/>
        <v>17</v>
      </c>
      <c r="B3801" s="403" t="s">
        <v>2952</v>
      </c>
      <c r="C3801" s="455" t="s">
        <v>222</v>
      </c>
      <c r="D3801" s="641">
        <v>37790</v>
      </c>
      <c r="E3801" s="388">
        <v>480</v>
      </c>
      <c r="F3801" s="667" t="s">
        <v>234</v>
      </c>
      <c r="G3801" s="391">
        <v>2718.7</v>
      </c>
      <c r="H3801" s="528">
        <v>5</v>
      </c>
      <c r="I3801" s="528">
        <v>12</v>
      </c>
      <c r="J3801" s="528">
        <v>174</v>
      </c>
      <c r="K3801" s="458" t="s">
        <v>426</v>
      </c>
      <c r="L3801" s="529">
        <f t="shared" si="550"/>
        <v>1743600</v>
      </c>
      <c r="M3801" s="650">
        <v>1680000</v>
      </c>
      <c r="N3801" s="651">
        <v>33600</v>
      </c>
      <c r="O3801" s="647"/>
      <c r="P3801" s="651"/>
      <c r="Q3801" s="388">
        <v>30000</v>
      </c>
      <c r="R3801" s="528">
        <f>M3801/E3801</f>
        <v>3500</v>
      </c>
      <c r="U3801" s="464"/>
      <c r="XFB3801" s="447">
        <v>5208984.8000000007</v>
      </c>
    </row>
    <row r="3802" spans="1:21 16382:16382" s="447" customFormat="1" ht="37.5" customHeight="1">
      <c r="A3802" s="504">
        <f t="shared" si="551"/>
        <v>18</v>
      </c>
      <c r="B3802" s="403" t="s">
        <v>2953</v>
      </c>
      <c r="C3802" s="455" t="s">
        <v>222</v>
      </c>
      <c r="D3802" s="606">
        <v>16855</v>
      </c>
      <c r="E3802" s="391">
        <v>2931.6</v>
      </c>
      <c r="F3802" s="667" t="s">
        <v>234</v>
      </c>
      <c r="G3802" s="391">
        <v>1203.9000000000001</v>
      </c>
      <c r="H3802" s="528">
        <v>5</v>
      </c>
      <c r="I3802" s="528">
        <v>2</v>
      </c>
      <c r="J3802" s="528">
        <v>90</v>
      </c>
      <c r="K3802" s="458" t="s">
        <v>33</v>
      </c>
      <c r="L3802" s="529">
        <f t="shared" si="550"/>
        <v>2435023</v>
      </c>
      <c r="M3802" s="650">
        <v>2407800</v>
      </c>
      <c r="N3802" s="688"/>
      <c r="O3802" s="643">
        <v>7223</v>
      </c>
      <c r="P3802" s="688"/>
      <c r="Q3802" s="388">
        <v>20000</v>
      </c>
      <c r="R3802" s="689">
        <f t="shared" ref="R3802:R3807" si="553">M3802/G3802</f>
        <v>1999.9999999999998</v>
      </c>
      <c r="U3802" s="464"/>
      <c r="XFB3802" s="447">
        <v>4956207.1400000006</v>
      </c>
    </row>
    <row r="3803" spans="1:21 16382:16382" s="447" customFormat="1" ht="75" customHeight="1">
      <c r="A3803" s="504">
        <f t="shared" si="551"/>
        <v>19</v>
      </c>
      <c r="B3803" s="403" t="s">
        <v>2954</v>
      </c>
      <c r="C3803" s="455" t="s">
        <v>222</v>
      </c>
      <c r="D3803" s="641">
        <v>2637.2</v>
      </c>
      <c r="E3803" s="388">
        <v>2941</v>
      </c>
      <c r="F3803" s="667" t="s">
        <v>223</v>
      </c>
      <c r="G3803" s="388">
        <v>686</v>
      </c>
      <c r="H3803" s="446">
        <v>2</v>
      </c>
      <c r="I3803" s="446">
        <v>2</v>
      </c>
      <c r="J3803" s="446">
        <v>16</v>
      </c>
      <c r="K3803" s="458" t="s">
        <v>256</v>
      </c>
      <c r="L3803" s="529">
        <f t="shared" si="550"/>
        <v>1751452</v>
      </c>
      <c r="M3803" s="529">
        <v>1715000</v>
      </c>
      <c r="N3803" s="391">
        <v>34300</v>
      </c>
      <c r="O3803" s="530"/>
      <c r="P3803" s="391"/>
      <c r="Q3803" s="388">
        <v>2152</v>
      </c>
      <c r="R3803" s="528">
        <f t="shared" si="553"/>
        <v>2500</v>
      </c>
      <c r="U3803" s="464"/>
      <c r="XFB3803" s="447">
        <v>3525350</v>
      </c>
    </row>
    <row r="3804" spans="1:21 16382:16382" s="447" customFormat="1" ht="37.5" customHeight="1">
      <c r="A3804" s="504">
        <f t="shared" si="551"/>
        <v>20</v>
      </c>
      <c r="B3804" s="403" t="s">
        <v>2955</v>
      </c>
      <c r="C3804" s="455" t="s">
        <v>222</v>
      </c>
      <c r="D3804" s="641">
        <v>1955.4</v>
      </c>
      <c r="E3804" s="388">
        <v>12321</v>
      </c>
      <c r="F3804" s="667" t="s">
        <v>234</v>
      </c>
      <c r="G3804" s="388">
        <v>887.2</v>
      </c>
      <c r="H3804" s="446">
        <v>5</v>
      </c>
      <c r="I3804" s="446">
        <v>4</v>
      </c>
      <c r="J3804" s="446">
        <v>60</v>
      </c>
      <c r="K3804" s="458" t="s">
        <v>33</v>
      </c>
      <c r="L3804" s="529">
        <f t="shared" si="550"/>
        <v>1607872</v>
      </c>
      <c r="M3804" s="519">
        <v>1596960</v>
      </c>
      <c r="N3804" s="388"/>
      <c r="O3804" s="643">
        <v>4791</v>
      </c>
      <c r="P3804" s="391"/>
      <c r="Q3804" s="388">
        <v>6121</v>
      </c>
      <c r="R3804" s="528">
        <f t="shared" si="553"/>
        <v>1800</v>
      </c>
      <c r="U3804" s="464"/>
      <c r="XFB3804" s="447">
        <v>4438334.5</v>
      </c>
    </row>
    <row r="3805" spans="1:21 16382:16382" s="447" customFormat="1" ht="56.25" customHeight="1">
      <c r="A3805" s="504">
        <f t="shared" si="551"/>
        <v>21</v>
      </c>
      <c r="B3805" s="403" t="s">
        <v>2956</v>
      </c>
      <c r="C3805" s="455" t="s">
        <v>222</v>
      </c>
      <c r="D3805" s="606">
        <v>2891</v>
      </c>
      <c r="E3805" s="391">
        <v>662</v>
      </c>
      <c r="F3805" s="391" t="s">
        <v>223</v>
      </c>
      <c r="G3805" s="391">
        <v>679</v>
      </c>
      <c r="H3805" s="528">
        <v>2</v>
      </c>
      <c r="I3805" s="528">
        <v>2</v>
      </c>
      <c r="J3805" s="528">
        <v>16</v>
      </c>
      <c r="K3805" s="458" t="s">
        <v>263</v>
      </c>
      <c r="L3805" s="529">
        <f t="shared" si="550"/>
        <v>1745750</v>
      </c>
      <c r="M3805" s="529">
        <v>1697500</v>
      </c>
      <c r="N3805" s="391">
        <v>33950</v>
      </c>
      <c r="O3805" s="530"/>
      <c r="P3805" s="391"/>
      <c r="Q3805" s="388">
        <v>14300</v>
      </c>
      <c r="R3805" s="528">
        <f t="shared" si="553"/>
        <v>2500</v>
      </c>
      <c r="U3805" s="464"/>
      <c r="XFB3805" s="447">
        <v>2817259.8</v>
      </c>
    </row>
    <row r="3806" spans="1:21 16382:16382" s="447" customFormat="1" ht="56.25" customHeight="1">
      <c r="A3806" s="504">
        <f t="shared" si="551"/>
        <v>22</v>
      </c>
      <c r="B3806" s="403" t="s">
        <v>2957</v>
      </c>
      <c r="C3806" s="455" t="s">
        <v>222</v>
      </c>
      <c r="D3806" s="641">
        <v>3609</v>
      </c>
      <c r="E3806" s="388">
        <v>712.5</v>
      </c>
      <c r="F3806" s="388" t="s">
        <v>223</v>
      </c>
      <c r="G3806" s="388">
        <v>855</v>
      </c>
      <c r="H3806" s="446">
        <v>2</v>
      </c>
      <c r="I3806" s="446">
        <v>3</v>
      </c>
      <c r="J3806" s="446">
        <v>22</v>
      </c>
      <c r="K3806" s="458" t="s">
        <v>263</v>
      </c>
      <c r="L3806" s="529">
        <f t="shared" si="550"/>
        <v>2187414</v>
      </c>
      <c r="M3806" s="529">
        <v>2137500</v>
      </c>
      <c r="N3806" s="391">
        <v>32063</v>
      </c>
      <c r="O3806" s="530"/>
      <c r="P3806" s="391"/>
      <c r="Q3806" s="388">
        <v>17851</v>
      </c>
      <c r="R3806" s="528">
        <f t="shared" si="553"/>
        <v>2500</v>
      </c>
      <c r="U3806" s="464"/>
      <c r="XFB3806" s="447">
        <v>3288907.2479999997</v>
      </c>
    </row>
    <row r="3807" spans="1:21 16382:16382" s="447" customFormat="1" ht="37.5" customHeight="1">
      <c r="A3807" s="504">
        <f t="shared" si="551"/>
        <v>23</v>
      </c>
      <c r="B3807" s="403" t="s">
        <v>2958</v>
      </c>
      <c r="C3807" s="455" t="s">
        <v>222</v>
      </c>
      <c r="D3807" s="606">
        <v>3207</v>
      </c>
      <c r="E3807" s="388">
        <v>636</v>
      </c>
      <c r="F3807" s="667" t="s">
        <v>223</v>
      </c>
      <c r="G3807" s="391">
        <v>502</v>
      </c>
      <c r="H3807" s="528">
        <v>2</v>
      </c>
      <c r="I3807" s="528">
        <v>2</v>
      </c>
      <c r="J3807" s="528">
        <v>8</v>
      </c>
      <c r="K3807" s="458" t="s">
        <v>33</v>
      </c>
      <c r="L3807" s="529">
        <f t="shared" si="550"/>
        <v>1302238</v>
      </c>
      <c r="M3807" s="529">
        <v>1255000</v>
      </c>
      <c r="N3807" s="391">
        <v>31375</v>
      </c>
      <c r="O3807" s="530"/>
      <c r="P3807" s="391"/>
      <c r="Q3807" s="388">
        <v>15863</v>
      </c>
      <c r="R3807" s="528">
        <f t="shared" si="553"/>
        <v>2500</v>
      </c>
      <c r="U3807" s="464"/>
      <c r="XFB3807" s="447">
        <v>2303709.5430000001</v>
      </c>
    </row>
    <row r="3808" spans="1:21 16382:16382" s="447" customFormat="1" ht="37.5" customHeight="1">
      <c r="A3808" s="504">
        <f t="shared" si="551"/>
        <v>24</v>
      </c>
      <c r="B3808" s="403" t="s">
        <v>2959</v>
      </c>
      <c r="C3808" s="455" t="s">
        <v>222</v>
      </c>
      <c r="D3808" s="606">
        <v>3777</v>
      </c>
      <c r="E3808" s="388">
        <v>804</v>
      </c>
      <c r="F3808" s="667" t="s">
        <v>223</v>
      </c>
      <c r="G3808" s="391">
        <v>502</v>
      </c>
      <c r="H3808" s="528">
        <v>2</v>
      </c>
      <c r="I3808" s="528">
        <v>2</v>
      </c>
      <c r="J3808" s="528">
        <v>12</v>
      </c>
      <c r="K3808" s="458" t="s">
        <v>247</v>
      </c>
      <c r="L3808" s="529">
        <f t="shared" si="550"/>
        <v>1360326</v>
      </c>
      <c r="M3808" s="645">
        <v>1332000</v>
      </c>
      <c r="N3808" s="646"/>
      <c r="O3808" s="643">
        <v>3996</v>
      </c>
      <c r="P3808" s="646"/>
      <c r="Q3808" s="388">
        <v>24330</v>
      </c>
      <c r="R3808" s="528">
        <f>M3808/E3808</f>
        <v>1656.7164179104477</v>
      </c>
      <c r="U3808" s="464"/>
      <c r="XFB3808" s="447">
        <v>3512203.548</v>
      </c>
    </row>
    <row r="3809" spans="1:22 16382:16382" s="447" customFormat="1" ht="50.25" customHeight="1">
      <c r="A3809" s="504">
        <f t="shared" si="551"/>
        <v>25</v>
      </c>
      <c r="B3809" s="403" t="s">
        <v>2960</v>
      </c>
      <c r="C3809" s="455" t="s">
        <v>240</v>
      </c>
      <c r="D3809" s="641">
        <v>3417</v>
      </c>
      <c r="E3809" s="391">
        <v>696</v>
      </c>
      <c r="F3809" s="388" t="s">
        <v>223</v>
      </c>
      <c r="G3809" s="388">
        <v>614</v>
      </c>
      <c r="H3809" s="446">
        <v>2</v>
      </c>
      <c r="I3809" s="446">
        <v>2</v>
      </c>
      <c r="J3809" s="446">
        <v>12</v>
      </c>
      <c r="K3809" s="458" t="s">
        <v>247</v>
      </c>
      <c r="L3809" s="529">
        <f t="shared" si="550"/>
        <v>1181078</v>
      </c>
      <c r="M3809" s="645">
        <v>1155600</v>
      </c>
      <c r="N3809" s="646"/>
      <c r="O3809" s="643">
        <v>3467</v>
      </c>
      <c r="P3809" s="646"/>
      <c r="Q3809" s="388">
        <v>22011</v>
      </c>
      <c r="R3809" s="528">
        <f>M3809/E3809</f>
        <v>1660.344827586207</v>
      </c>
      <c r="U3809" s="464"/>
      <c r="XFB3809" s="447">
        <v>1780443.2000000002</v>
      </c>
    </row>
    <row r="3810" spans="1:22 16382:16382" s="447" customFormat="1" ht="37.5" customHeight="1">
      <c r="A3810" s="504">
        <f t="shared" si="551"/>
        <v>26</v>
      </c>
      <c r="B3810" s="403" t="s">
        <v>2961</v>
      </c>
      <c r="C3810" s="455" t="s">
        <v>222</v>
      </c>
      <c r="D3810" s="606">
        <v>8358</v>
      </c>
      <c r="E3810" s="391">
        <v>1675</v>
      </c>
      <c r="F3810" s="667" t="s">
        <v>223</v>
      </c>
      <c r="G3810" s="391">
        <v>1268</v>
      </c>
      <c r="H3810" s="528">
        <v>3</v>
      </c>
      <c r="I3810" s="528">
        <v>3</v>
      </c>
      <c r="J3810" s="528">
        <v>33</v>
      </c>
      <c r="K3810" s="458" t="s">
        <v>33</v>
      </c>
      <c r="L3810" s="1128">
        <f>M3810+N3810+O3810+P3810+Q3810+M3811+N3811+O3811+P3811+M3812+N3812+O3812+P3812+Q3811+Q3812</f>
        <v>8084865</v>
      </c>
      <c r="M3810" s="529">
        <v>3170000</v>
      </c>
      <c r="N3810" s="391">
        <v>31700</v>
      </c>
      <c r="O3810" s="530"/>
      <c r="P3810" s="391"/>
      <c r="Q3810" s="388">
        <v>25898</v>
      </c>
      <c r="R3810" s="528">
        <f>M3810/G3810</f>
        <v>2500</v>
      </c>
      <c r="U3810" s="464"/>
      <c r="XFB3810" s="447">
        <v>4920272.9799999995</v>
      </c>
    </row>
    <row r="3811" spans="1:22 16382:16382" s="447" customFormat="1" ht="37.5" customHeight="1">
      <c r="A3811" s="504"/>
      <c r="B3811" s="403"/>
      <c r="C3811" s="455"/>
      <c r="D3811" s="606"/>
      <c r="E3811" s="391"/>
      <c r="F3811" s="667"/>
      <c r="G3811" s="391"/>
      <c r="H3811" s="528"/>
      <c r="I3811" s="528"/>
      <c r="J3811" s="528"/>
      <c r="K3811" s="458" t="s">
        <v>247</v>
      </c>
      <c r="L3811" s="1128"/>
      <c r="M3811" s="645">
        <v>2781000</v>
      </c>
      <c r="N3811" s="646"/>
      <c r="O3811" s="643">
        <v>8343</v>
      </c>
      <c r="P3811" s="646"/>
      <c r="Q3811" s="388">
        <v>30000</v>
      </c>
      <c r="R3811" s="528">
        <f>M3811/E3810</f>
        <v>1660.2985074626865</v>
      </c>
      <c r="U3811" s="464"/>
    </row>
    <row r="3812" spans="1:22 16382:16382" s="447" customFormat="1" ht="54.75" customHeight="1">
      <c r="A3812" s="504"/>
      <c r="B3812" s="403"/>
      <c r="C3812" s="455"/>
      <c r="D3812" s="606"/>
      <c r="E3812" s="391"/>
      <c r="F3812" s="667"/>
      <c r="G3812" s="391"/>
      <c r="H3812" s="528"/>
      <c r="I3812" s="528"/>
      <c r="J3812" s="528"/>
      <c r="K3812" s="458" t="s">
        <v>100</v>
      </c>
      <c r="L3812" s="1128"/>
      <c r="M3812" s="519">
        <v>1998000</v>
      </c>
      <c r="N3812" s="388">
        <v>29970</v>
      </c>
      <c r="O3812" s="473"/>
      <c r="P3812" s="388"/>
      <c r="Q3812" s="388">
        <v>9954</v>
      </c>
      <c r="R3812" s="528">
        <f>M3812/G3810</f>
        <v>1575.7097791798108</v>
      </c>
      <c r="U3812" s="464"/>
    </row>
    <row r="3813" spans="1:22 16382:16382" s="447" customFormat="1" ht="37.5" customHeight="1">
      <c r="A3813" s="504">
        <f>A3810+1</f>
        <v>27</v>
      </c>
      <c r="B3813" s="403" t="s">
        <v>2962</v>
      </c>
      <c r="C3813" s="455" t="s">
        <v>222</v>
      </c>
      <c r="D3813" s="606">
        <v>7543</v>
      </c>
      <c r="E3813" s="391">
        <v>1543</v>
      </c>
      <c r="F3813" s="667" t="s">
        <v>223</v>
      </c>
      <c r="G3813" s="391">
        <v>860</v>
      </c>
      <c r="H3813" s="528">
        <v>3</v>
      </c>
      <c r="I3813" s="528">
        <v>3</v>
      </c>
      <c r="J3813" s="528">
        <v>33</v>
      </c>
      <c r="K3813" s="458" t="s">
        <v>33</v>
      </c>
      <c r="L3813" s="529">
        <f t="shared" ref="L3813:L3819" si="554">M3813+N3813+O3813+P3813+Q3813</f>
        <v>2205860</v>
      </c>
      <c r="M3813" s="529">
        <v>2150000</v>
      </c>
      <c r="N3813" s="391">
        <v>32250</v>
      </c>
      <c r="O3813" s="530"/>
      <c r="P3813" s="391"/>
      <c r="Q3813" s="388">
        <v>23610</v>
      </c>
      <c r="R3813" s="528">
        <f>M3813/G3813</f>
        <v>2500</v>
      </c>
      <c r="U3813" s="464"/>
      <c r="XFB3813" s="447">
        <v>6920260.7999999998</v>
      </c>
    </row>
    <row r="3814" spans="1:22 16382:16382" s="447" customFormat="1" ht="37.5" customHeight="1">
      <c r="A3814" s="504">
        <f t="shared" si="551"/>
        <v>28</v>
      </c>
      <c r="B3814" s="403" t="s">
        <v>2963</v>
      </c>
      <c r="C3814" s="617" t="s">
        <v>240</v>
      </c>
      <c r="D3814" s="606">
        <v>3033</v>
      </c>
      <c r="E3814" s="391">
        <v>852</v>
      </c>
      <c r="F3814" s="391" t="s">
        <v>223</v>
      </c>
      <c r="G3814" s="391">
        <v>600</v>
      </c>
      <c r="H3814" s="528">
        <v>2</v>
      </c>
      <c r="I3814" s="528">
        <v>2</v>
      </c>
      <c r="J3814" s="528">
        <v>12</v>
      </c>
      <c r="K3814" s="458" t="s">
        <v>247</v>
      </c>
      <c r="L3814" s="529">
        <f t="shared" si="554"/>
        <v>1431361</v>
      </c>
      <c r="M3814" s="645">
        <v>1407600</v>
      </c>
      <c r="N3814" s="646"/>
      <c r="O3814" s="643">
        <v>4223</v>
      </c>
      <c r="P3814" s="646"/>
      <c r="Q3814" s="388">
        <v>19538</v>
      </c>
      <c r="R3814" s="528">
        <f>M3814/E3814</f>
        <v>1652.1126760563379</v>
      </c>
      <c r="U3814" s="464"/>
      <c r="XFB3814" s="447">
        <v>4952025.9399999995</v>
      </c>
    </row>
    <row r="3815" spans="1:22 16382:16382" s="447" customFormat="1" ht="43.5" customHeight="1">
      <c r="A3815" s="504">
        <f t="shared" si="551"/>
        <v>29</v>
      </c>
      <c r="B3815" s="403" t="s">
        <v>2964</v>
      </c>
      <c r="C3815" s="455" t="s">
        <v>240</v>
      </c>
      <c r="D3815" s="606">
        <v>6684</v>
      </c>
      <c r="E3815" s="388">
        <v>1404</v>
      </c>
      <c r="F3815" s="667" t="s">
        <v>223</v>
      </c>
      <c r="G3815" s="391">
        <v>1384</v>
      </c>
      <c r="H3815" s="528">
        <v>1</v>
      </c>
      <c r="I3815" s="528">
        <v>4</v>
      </c>
      <c r="J3815" s="528">
        <v>21</v>
      </c>
      <c r="K3815" s="458" t="s">
        <v>247</v>
      </c>
      <c r="L3815" s="529">
        <f t="shared" si="554"/>
        <v>2384242</v>
      </c>
      <c r="M3815" s="645">
        <v>2347200</v>
      </c>
      <c r="N3815" s="646"/>
      <c r="O3815" s="643">
        <v>7042</v>
      </c>
      <c r="P3815" s="646"/>
      <c r="Q3815" s="388">
        <v>30000</v>
      </c>
      <c r="R3815" s="528">
        <f>M3815/E3815</f>
        <v>1671.7948717948718</v>
      </c>
      <c r="U3815" s="464"/>
      <c r="XFB3815" s="447">
        <v>4454362.4000000004</v>
      </c>
    </row>
    <row r="3816" spans="1:22 16382:16382" s="447" customFormat="1" ht="43.5" customHeight="1">
      <c r="A3816" s="504">
        <f t="shared" si="551"/>
        <v>30</v>
      </c>
      <c r="B3816" s="403" t="s">
        <v>2965</v>
      </c>
      <c r="C3816" s="455" t="s">
        <v>240</v>
      </c>
      <c r="D3816" s="606">
        <v>3417</v>
      </c>
      <c r="E3816" s="391">
        <v>696</v>
      </c>
      <c r="F3816" s="391" t="s">
        <v>223</v>
      </c>
      <c r="G3816" s="391">
        <v>614</v>
      </c>
      <c r="H3816" s="528">
        <v>2</v>
      </c>
      <c r="I3816" s="528">
        <v>2</v>
      </c>
      <c r="J3816" s="528">
        <v>12</v>
      </c>
      <c r="K3816" s="458" t="s">
        <v>247</v>
      </c>
      <c r="L3816" s="529">
        <f t="shared" si="554"/>
        <v>1181079</v>
      </c>
      <c r="M3816" s="645">
        <v>1155600</v>
      </c>
      <c r="N3816" s="646"/>
      <c r="O3816" s="643">
        <v>3467</v>
      </c>
      <c r="P3816" s="646"/>
      <c r="Q3816" s="388">
        <v>22012</v>
      </c>
      <c r="R3816" s="528">
        <f>M3816/E3816</f>
        <v>1660.344827586207</v>
      </c>
      <c r="U3816" s="464"/>
      <c r="XFB3816" s="447">
        <v>7008516.2799999993</v>
      </c>
    </row>
    <row r="3817" spans="1:22 16382:16382" s="447" customFormat="1" ht="43.5" customHeight="1">
      <c r="A3817" s="504">
        <f t="shared" si="551"/>
        <v>31</v>
      </c>
      <c r="B3817" s="403" t="s">
        <v>2966</v>
      </c>
      <c r="C3817" s="617" t="s">
        <v>240</v>
      </c>
      <c r="D3817" s="606">
        <v>3417</v>
      </c>
      <c r="E3817" s="391">
        <v>696</v>
      </c>
      <c r="F3817" s="667" t="s">
        <v>223</v>
      </c>
      <c r="G3817" s="391">
        <v>614</v>
      </c>
      <c r="H3817" s="528">
        <v>2</v>
      </c>
      <c r="I3817" s="528">
        <v>2</v>
      </c>
      <c r="J3817" s="528">
        <v>12</v>
      </c>
      <c r="K3817" s="458" t="s">
        <v>247</v>
      </c>
      <c r="L3817" s="529">
        <f t="shared" si="554"/>
        <v>1181079</v>
      </c>
      <c r="M3817" s="645">
        <v>1155600</v>
      </c>
      <c r="N3817" s="646"/>
      <c r="O3817" s="643">
        <v>3467</v>
      </c>
      <c r="P3817" s="646"/>
      <c r="Q3817" s="388">
        <v>22012</v>
      </c>
      <c r="R3817" s="528">
        <f>M3817/E3817</f>
        <v>1660.344827586207</v>
      </c>
      <c r="U3817" s="464"/>
      <c r="XFB3817" s="447">
        <v>3375281.6</v>
      </c>
    </row>
    <row r="3818" spans="1:22 16382:16382" s="447" customFormat="1" ht="37.5" customHeight="1">
      <c r="A3818" s="504">
        <f t="shared" si="551"/>
        <v>32</v>
      </c>
      <c r="B3818" s="403" t="s">
        <v>2967</v>
      </c>
      <c r="C3818" s="455" t="s">
        <v>222</v>
      </c>
      <c r="D3818" s="606">
        <v>6013</v>
      </c>
      <c r="E3818" s="391">
        <v>6914</v>
      </c>
      <c r="F3818" s="667" t="s">
        <v>234</v>
      </c>
      <c r="G3818" s="391">
        <v>480</v>
      </c>
      <c r="H3818" s="528">
        <v>5</v>
      </c>
      <c r="I3818" s="528">
        <v>2</v>
      </c>
      <c r="J3818" s="528">
        <v>40</v>
      </c>
      <c r="K3818" s="458" t="s">
        <v>33</v>
      </c>
      <c r="L3818" s="529">
        <f t="shared" si="554"/>
        <v>981702</v>
      </c>
      <c r="M3818" s="650">
        <v>960000</v>
      </c>
      <c r="N3818" s="688"/>
      <c r="O3818" s="643">
        <v>2880</v>
      </c>
      <c r="P3818" s="688"/>
      <c r="Q3818" s="388">
        <v>18822</v>
      </c>
      <c r="R3818" s="689">
        <f>M3818/G3818</f>
        <v>2000</v>
      </c>
      <c r="U3818" s="464"/>
      <c r="XFB3818" s="447">
        <v>7445071.3499999996</v>
      </c>
    </row>
    <row r="3819" spans="1:22 16382:16382" s="416" customFormat="1" ht="37.5" customHeight="1">
      <c r="A3819" s="504">
        <f t="shared" si="551"/>
        <v>33</v>
      </c>
      <c r="B3819" s="403" t="s">
        <v>3966</v>
      </c>
      <c r="C3819" s="455" t="s">
        <v>222</v>
      </c>
      <c r="D3819" s="641">
        <v>13176</v>
      </c>
      <c r="E3819" s="388">
        <v>2535</v>
      </c>
      <c r="F3819" s="388" t="s">
        <v>234</v>
      </c>
      <c r="G3819" s="388">
        <v>947.2</v>
      </c>
      <c r="H3819" s="446">
        <v>5</v>
      </c>
      <c r="I3819" s="446">
        <v>4</v>
      </c>
      <c r="J3819" s="446">
        <v>70</v>
      </c>
      <c r="K3819" s="458" t="s">
        <v>33</v>
      </c>
      <c r="L3819" s="529">
        <f t="shared" si="554"/>
        <v>1920083</v>
      </c>
      <c r="M3819" s="650">
        <v>1894400</v>
      </c>
      <c r="N3819" s="688"/>
      <c r="O3819" s="643">
        <v>5683</v>
      </c>
      <c r="P3819" s="688"/>
      <c r="Q3819" s="388">
        <v>20000</v>
      </c>
      <c r="R3819" s="689">
        <f>M3819/G3819</f>
        <v>2000</v>
      </c>
      <c r="S3819" s="447"/>
      <c r="U3819" s="464"/>
      <c r="XFB3819" s="416">
        <v>4224111.6119999997</v>
      </c>
    </row>
    <row r="3820" spans="1:22 16382:16382" s="416" customFormat="1" ht="37.5" customHeight="1">
      <c r="A3820" s="504">
        <f t="shared" si="551"/>
        <v>34</v>
      </c>
      <c r="B3820" s="403" t="s">
        <v>3534</v>
      </c>
      <c r="C3820" s="455" t="s">
        <v>222</v>
      </c>
      <c r="D3820" s="641">
        <v>12443</v>
      </c>
      <c r="E3820" s="388">
        <v>2819</v>
      </c>
      <c r="F3820" s="388" t="s">
        <v>3535</v>
      </c>
      <c r="G3820" s="388">
        <v>1153</v>
      </c>
      <c r="H3820" s="446">
        <v>5</v>
      </c>
      <c r="I3820" s="446">
        <v>4</v>
      </c>
      <c r="J3820" s="446">
        <v>40</v>
      </c>
      <c r="K3820" s="458" t="s">
        <v>237</v>
      </c>
      <c r="L3820" s="529">
        <f>M3820+N3820+O3820+P3820+Q3820</f>
        <v>2911148</v>
      </c>
      <c r="M3820" s="650">
        <v>2882500</v>
      </c>
      <c r="N3820" s="688"/>
      <c r="O3820" s="643">
        <v>8648</v>
      </c>
      <c r="P3820" s="688"/>
      <c r="Q3820" s="388">
        <v>20000</v>
      </c>
      <c r="R3820" s="689">
        <f>M3820/G3820</f>
        <v>2500</v>
      </c>
      <c r="S3820" s="447"/>
      <c r="U3820" s="464"/>
    </row>
    <row r="3821" spans="1:22 16382:16382" s="416" customFormat="1" ht="37.5" customHeight="1">
      <c r="A3821" s="504">
        <f t="shared" si="551"/>
        <v>35</v>
      </c>
      <c r="B3821" s="403" t="s">
        <v>4294</v>
      </c>
      <c r="C3821" s="455" t="s">
        <v>218</v>
      </c>
      <c r="D3821" s="641">
        <v>14940</v>
      </c>
      <c r="E3821" s="388">
        <v>3250</v>
      </c>
      <c r="F3821" s="388" t="s">
        <v>234</v>
      </c>
      <c r="G3821" s="388">
        <v>996</v>
      </c>
      <c r="H3821" s="446">
        <v>5</v>
      </c>
      <c r="I3821" s="446">
        <v>4</v>
      </c>
      <c r="J3821" s="446">
        <v>80</v>
      </c>
      <c r="K3821" s="458" t="s">
        <v>227</v>
      </c>
      <c r="L3821" s="529">
        <f>M3821+N3821+O3821+P3821+Q3821</f>
        <v>11574920</v>
      </c>
      <c r="M3821" s="650">
        <v>11498924</v>
      </c>
      <c r="N3821" s="688">
        <v>45996</v>
      </c>
      <c r="O3821" s="643"/>
      <c r="P3821" s="688"/>
      <c r="Q3821" s="388">
        <v>30000</v>
      </c>
      <c r="R3821" s="689"/>
      <c r="S3821" s="447"/>
      <c r="U3821" s="464"/>
    </row>
    <row r="3822" spans="1:22 16382:16382" s="403" customFormat="1" ht="42.75" customHeight="1">
      <c r="A3822" s="1115" t="s">
        <v>117</v>
      </c>
      <c r="B3822" s="1115"/>
      <c r="C3822" s="446" t="s">
        <v>28</v>
      </c>
      <c r="D3822" s="641">
        <f>SUM(D3785:D3821)</f>
        <v>256710.19</v>
      </c>
      <c r="E3822" s="388">
        <f>SUM(E3785:E3821)</f>
        <v>225394.7</v>
      </c>
      <c r="F3822" s="388" t="s">
        <v>28</v>
      </c>
      <c r="G3822" s="388">
        <f>SUM(G3785:G3821)</f>
        <v>37278.400000000001</v>
      </c>
      <c r="H3822" s="446" t="s">
        <v>28</v>
      </c>
      <c r="I3822" s="446" t="s">
        <v>28</v>
      </c>
      <c r="J3822" s="446">
        <f>SUM(J3785:J3821)</f>
        <v>2047</v>
      </c>
      <c r="K3822" s="670" t="s">
        <v>28</v>
      </c>
      <c r="L3822" s="519">
        <f t="shared" ref="L3822:Q3822" si="555">SUM(L3785:L3821)</f>
        <v>88285875</v>
      </c>
      <c r="M3822" s="519">
        <f t="shared" si="555"/>
        <v>86838802</v>
      </c>
      <c r="N3822" s="388">
        <f t="shared" si="555"/>
        <v>737079</v>
      </c>
      <c r="O3822" s="473">
        <f t="shared" si="555"/>
        <v>78841</v>
      </c>
      <c r="P3822" s="388">
        <f t="shared" si="555"/>
        <v>0</v>
      </c>
      <c r="Q3822" s="388">
        <f t="shared" si="555"/>
        <v>631153</v>
      </c>
      <c r="R3822" s="446" t="s">
        <v>28</v>
      </c>
      <c r="S3822" s="393">
        <f>L3822-M3822-N3822-O3822-P3822-Q3822</f>
        <v>0</v>
      </c>
      <c r="T3822" s="393"/>
      <c r="U3822" s="464"/>
    </row>
    <row r="3823" spans="1:22 16382:16382" s="403" customFormat="1" ht="42.75" customHeight="1">
      <c r="A3823" s="1113" t="s">
        <v>82</v>
      </c>
      <c r="B3823" s="1113"/>
      <c r="C3823" s="1113"/>
      <c r="D3823" s="1113"/>
      <c r="E3823" s="1113"/>
      <c r="F3823" s="1113"/>
      <c r="G3823" s="1113"/>
      <c r="H3823" s="1113"/>
      <c r="I3823" s="1113"/>
      <c r="J3823" s="1113"/>
      <c r="K3823" s="1113"/>
      <c r="L3823" s="1113"/>
      <c r="M3823" s="1113"/>
      <c r="N3823" s="1113"/>
      <c r="O3823" s="1113"/>
      <c r="P3823" s="1113"/>
      <c r="Q3823" s="1113"/>
      <c r="R3823" s="458"/>
      <c r="T3823" s="393"/>
      <c r="U3823" s="464"/>
    </row>
    <row r="3824" spans="1:22 16382:16382" s="426" customFormat="1" ht="37.5" customHeight="1">
      <c r="A3824" s="642">
        <v>1</v>
      </c>
      <c r="B3824" s="733" t="s">
        <v>3798</v>
      </c>
      <c r="C3824" s="699" t="s">
        <v>222</v>
      </c>
      <c r="D3824" s="734">
        <f>E3824*2.8</f>
        <v>1935.36</v>
      </c>
      <c r="E3824" s="539">
        <f>((20*I3824+12)*2)*H3824*2.7</f>
        <v>691.2</v>
      </c>
      <c r="F3824" s="646" t="s">
        <v>223</v>
      </c>
      <c r="G3824" s="539">
        <f t="shared" ref="G3824:G3829" si="556">(20*I3824)*12*1.3</f>
        <v>312</v>
      </c>
      <c r="H3824" s="599">
        <v>4</v>
      </c>
      <c r="I3824" s="599">
        <v>1</v>
      </c>
      <c r="J3824" s="648">
        <v>16</v>
      </c>
      <c r="K3824" s="682" t="s">
        <v>33</v>
      </c>
      <c r="L3824" s="645">
        <f t="shared" ref="L3824:L3837" si="557">M3824+N3824+O3824+P3824+Q3824</f>
        <v>907683</v>
      </c>
      <c r="M3824" s="645">
        <v>873600</v>
      </c>
      <c r="N3824" s="646">
        <v>24510</v>
      </c>
      <c r="O3824" s="647"/>
      <c r="P3824" s="646"/>
      <c r="Q3824" s="388">
        <v>9573</v>
      </c>
      <c r="R3824" s="648">
        <f t="shared" ref="R3824:R3831" si="558">M3824/G3824</f>
        <v>2800</v>
      </c>
      <c r="S3824" s="383">
        <f t="shared" ref="S3824:S3837" si="559">L3824-M3824-N3824-O3824-P3824-Q3824</f>
        <v>0</v>
      </c>
      <c r="V3824" s="390"/>
    </row>
    <row r="3825" spans="1:22" s="426" customFormat="1" ht="37.5" customHeight="1">
      <c r="A3825" s="642">
        <f t="shared" ref="A3825:A3837" si="560">A3824+1</f>
        <v>2</v>
      </c>
      <c r="B3825" s="733" t="s">
        <v>3799</v>
      </c>
      <c r="C3825" s="699" t="s">
        <v>222</v>
      </c>
      <c r="D3825" s="734">
        <f>E3825*2.8</f>
        <v>2419.1999999999998</v>
      </c>
      <c r="E3825" s="539">
        <f>((20*I3825+12)*2)*H3825*2.7</f>
        <v>864</v>
      </c>
      <c r="F3825" s="646" t="s">
        <v>223</v>
      </c>
      <c r="G3825" s="539">
        <f t="shared" si="556"/>
        <v>312</v>
      </c>
      <c r="H3825" s="599">
        <v>5</v>
      </c>
      <c r="I3825" s="599">
        <v>1</v>
      </c>
      <c r="J3825" s="648">
        <v>20</v>
      </c>
      <c r="K3825" s="682" t="s">
        <v>33</v>
      </c>
      <c r="L3825" s="645">
        <f t="shared" si="557"/>
        <v>906018</v>
      </c>
      <c r="M3825" s="645">
        <v>873600</v>
      </c>
      <c r="N3825" s="646">
        <v>24846</v>
      </c>
      <c r="O3825" s="647"/>
      <c r="P3825" s="646"/>
      <c r="Q3825" s="388">
        <v>7572</v>
      </c>
      <c r="R3825" s="648">
        <f t="shared" si="558"/>
        <v>2800</v>
      </c>
      <c r="S3825" s="383">
        <f t="shared" si="559"/>
        <v>0</v>
      </c>
      <c r="V3825" s="390"/>
    </row>
    <row r="3826" spans="1:22" s="426" customFormat="1" ht="37.5" customHeight="1">
      <c r="A3826" s="642">
        <f t="shared" si="560"/>
        <v>3</v>
      </c>
      <c r="B3826" s="498" t="s">
        <v>2033</v>
      </c>
      <c r="C3826" s="699" t="s">
        <v>222</v>
      </c>
      <c r="D3826" s="734">
        <f>E3826*2.8</f>
        <v>2177.2799999999997</v>
      </c>
      <c r="E3826" s="539">
        <f>((20*I3826+12)*2)*H3826*2.7</f>
        <v>777.6</v>
      </c>
      <c r="F3826" s="646" t="s">
        <v>223</v>
      </c>
      <c r="G3826" s="539">
        <f t="shared" si="556"/>
        <v>936</v>
      </c>
      <c r="H3826" s="599">
        <v>2</v>
      </c>
      <c r="I3826" s="599">
        <v>3</v>
      </c>
      <c r="J3826" s="648">
        <v>12</v>
      </c>
      <c r="K3826" s="682" t="s">
        <v>33</v>
      </c>
      <c r="L3826" s="645">
        <f t="shared" si="557"/>
        <v>2195070</v>
      </c>
      <c r="M3826" s="645">
        <v>2155449</v>
      </c>
      <c r="N3826" s="646">
        <v>28851</v>
      </c>
      <c r="O3826" s="647"/>
      <c r="P3826" s="646"/>
      <c r="Q3826" s="388">
        <v>10770</v>
      </c>
      <c r="R3826" s="648">
        <f t="shared" si="558"/>
        <v>2302.8301282051284</v>
      </c>
      <c r="S3826" s="383">
        <f t="shared" si="559"/>
        <v>0</v>
      </c>
      <c r="V3826" s="390"/>
    </row>
    <row r="3827" spans="1:22" s="426" customFormat="1" ht="37.5" customHeight="1">
      <c r="A3827" s="642">
        <f t="shared" si="560"/>
        <v>4</v>
      </c>
      <c r="B3827" s="498" t="s">
        <v>2034</v>
      </c>
      <c r="C3827" s="699" t="s">
        <v>222</v>
      </c>
      <c r="D3827" s="734">
        <f>E3827*2.8</f>
        <v>1607.1999999999998</v>
      </c>
      <c r="E3827" s="539">
        <v>574</v>
      </c>
      <c r="F3827" s="646" t="s">
        <v>223</v>
      </c>
      <c r="G3827" s="539">
        <f t="shared" si="556"/>
        <v>624</v>
      </c>
      <c r="H3827" s="599">
        <v>2</v>
      </c>
      <c r="I3827" s="599">
        <v>2</v>
      </c>
      <c r="J3827" s="599">
        <v>16</v>
      </c>
      <c r="K3827" s="728" t="s">
        <v>33</v>
      </c>
      <c r="L3827" s="645">
        <f t="shared" si="557"/>
        <v>1533281</v>
      </c>
      <c r="M3827" s="645">
        <v>1497600</v>
      </c>
      <c r="N3827" s="646">
        <v>27731</v>
      </c>
      <c r="O3827" s="647"/>
      <c r="P3827" s="646"/>
      <c r="Q3827" s="388">
        <v>7950</v>
      </c>
      <c r="R3827" s="648">
        <f t="shared" si="558"/>
        <v>2400</v>
      </c>
      <c r="S3827" s="383">
        <f t="shared" si="559"/>
        <v>0</v>
      </c>
      <c r="V3827" s="390"/>
    </row>
    <row r="3828" spans="1:22" s="426" customFormat="1" ht="37.5" customHeight="1">
      <c r="A3828" s="642">
        <f t="shared" si="560"/>
        <v>5</v>
      </c>
      <c r="B3828" s="498" t="s">
        <v>2035</v>
      </c>
      <c r="C3828" s="699" t="s">
        <v>222</v>
      </c>
      <c r="D3828" s="734">
        <v>3705</v>
      </c>
      <c r="E3828" s="539">
        <f>((20*I3828+12)*2)*H3828*2.7</f>
        <v>777.6</v>
      </c>
      <c r="F3828" s="646" t="s">
        <v>223</v>
      </c>
      <c r="G3828" s="539">
        <f t="shared" si="556"/>
        <v>936</v>
      </c>
      <c r="H3828" s="599">
        <v>2</v>
      </c>
      <c r="I3828" s="599">
        <v>3</v>
      </c>
      <c r="J3828" s="599">
        <v>22</v>
      </c>
      <c r="K3828" s="682" t="s">
        <v>33</v>
      </c>
      <c r="L3828" s="645">
        <f t="shared" si="557"/>
        <v>2295839</v>
      </c>
      <c r="M3828" s="645">
        <v>2246400</v>
      </c>
      <c r="N3828" s="646">
        <v>31113</v>
      </c>
      <c r="O3828" s="647"/>
      <c r="P3828" s="646"/>
      <c r="Q3828" s="388">
        <v>18326</v>
      </c>
      <c r="R3828" s="648">
        <f t="shared" si="558"/>
        <v>2400</v>
      </c>
      <c r="S3828" s="383">
        <f t="shared" si="559"/>
        <v>0</v>
      </c>
      <c r="T3828" s="428"/>
      <c r="V3828" s="390"/>
    </row>
    <row r="3829" spans="1:22" s="426" customFormat="1" ht="37.5" customHeight="1">
      <c r="A3829" s="642">
        <f t="shared" si="560"/>
        <v>6</v>
      </c>
      <c r="B3829" s="498" t="s">
        <v>2036</v>
      </c>
      <c r="C3829" s="699" t="s">
        <v>222</v>
      </c>
      <c r="D3829" s="734">
        <v>3316.95</v>
      </c>
      <c r="E3829" s="539">
        <f>((20*I3829+12)*2)*H3829*2.7</f>
        <v>561.6</v>
      </c>
      <c r="F3829" s="646" t="s">
        <v>223</v>
      </c>
      <c r="G3829" s="539">
        <f t="shared" si="556"/>
        <v>624</v>
      </c>
      <c r="H3829" s="599">
        <v>2</v>
      </c>
      <c r="I3829" s="599">
        <v>2</v>
      </c>
      <c r="J3829" s="599">
        <v>16</v>
      </c>
      <c r="K3829" s="682" t="s">
        <v>33</v>
      </c>
      <c r="L3829" s="645">
        <f t="shared" si="557"/>
        <v>1544577</v>
      </c>
      <c r="M3829" s="645">
        <v>1497600</v>
      </c>
      <c r="N3829" s="646">
        <v>30570</v>
      </c>
      <c r="O3829" s="647"/>
      <c r="P3829" s="646"/>
      <c r="Q3829" s="388">
        <v>16407</v>
      </c>
      <c r="R3829" s="648">
        <f t="shared" si="558"/>
        <v>2400</v>
      </c>
      <c r="S3829" s="383">
        <f t="shared" si="559"/>
        <v>0</v>
      </c>
      <c r="T3829" s="428"/>
      <c r="V3829" s="390"/>
    </row>
    <row r="3830" spans="1:22" s="426" customFormat="1" ht="37.5" customHeight="1">
      <c r="A3830" s="642">
        <f t="shared" si="560"/>
        <v>7</v>
      </c>
      <c r="B3830" s="403" t="s">
        <v>2037</v>
      </c>
      <c r="C3830" s="648" t="s">
        <v>222</v>
      </c>
      <c r="D3830" s="641">
        <v>3664</v>
      </c>
      <c r="E3830" s="388">
        <v>658</v>
      </c>
      <c r="F3830" s="646" t="s">
        <v>223</v>
      </c>
      <c r="G3830" s="388">
        <v>700.8</v>
      </c>
      <c r="H3830" s="446">
        <v>2</v>
      </c>
      <c r="I3830" s="446">
        <v>1</v>
      </c>
      <c r="J3830" s="446">
        <v>37</v>
      </c>
      <c r="K3830" s="682" t="s">
        <v>33</v>
      </c>
      <c r="L3830" s="519">
        <f t="shared" si="557"/>
        <v>1801136</v>
      </c>
      <c r="M3830" s="908">
        <v>1752000</v>
      </c>
      <c r="N3830" s="391">
        <v>31013</v>
      </c>
      <c r="O3830" s="530"/>
      <c r="P3830" s="391"/>
      <c r="Q3830" s="388">
        <v>18123</v>
      </c>
      <c r="R3830" s="648">
        <f t="shared" si="558"/>
        <v>2500</v>
      </c>
      <c r="S3830" s="383">
        <f t="shared" si="559"/>
        <v>0</v>
      </c>
      <c r="T3830" s="406"/>
      <c r="U3830" s="503"/>
      <c r="V3830" s="390"/>
    </row>
    <row r="3831" spans="1:22" s="426" customFormat="1" ht="37.5" customHeight="1">
      <c r="A3831" s="642">
        <f t="shared" si="560"/>
        <v>8</v>
      </c>
      <c r="B3831" s="498" t="s">
        <v>2038</v>
      </c>
      <c r="C3831" s="699" t="s">
        <v>218</v>
      </c>
      <c r="D3831" s="734">
        <v>2834</v>
      </c>
      <c r="E3831" s="539">
        <v>603.4</v>
      </c>
      <c r="F3831" s="646" t="s">
        <v>223</v>
      </c>
      <c r="G3831" s="539">
        <v>618</v>
      </c>
      <c r="H3831" s="599">
        <v>2</v>
      </c>
      <c r="I3831" s="599">
        <v>2</v>
      </c>
      <c r="J3831" s="599">
        <v>16</v>
      </c>
      <c r="K3831" s="682" t="s">
        <v>33</v>
      </c>
      <c r="L3831" s="645">
        <f t="shared" si="557"/>
        <v>1588390</v>
      </c>
      <c r="M3831" s="645">
        <v>1545000</v>
      </c>
      <c r="N3831" s="646">
        <v>29372</v>
      </c>
      <c r="O3831" s="647"/>
      <c r="P3831" s="646"/>
      <c r="Q3831" s="388">
        <v>14018</v>
      </c>
      <c r="R3831" s="648">
        <f t="shared" si="558"/>
        <v>2500</v>
      </c>
      <c r="S3831" s="383">
        <f t="shared" si="559"/>
        <v>0</v>
      </c>
      <c r="T3831" s="428"/>
      <c r="V3831" s="390"/>
    </row>
    <row r="3832" spans="1:22" s="453" customFormat="1" ht="37.5" customHeight="1">
      <c r="A3832" s="642">
        <f t="shared" si="560"/>
        <v>9</v>
      </c>
      <c r="B3832" s="498" t="s">
        <v>2039</v>
      </c>
      <c r="C3832" s="699" t="s">
        <v>222</v>
      </c>
      <c r="D3832" s="734">
        <v>2264</v>
      </c>
      <c r="E3832" s="539">
        <v>478</v>
      </c>
      <c r="F3832" s="646" t="s">
        <v>223</v>
      </c>
      <c r="G3832" s="539">
        <v>426</v>
      </c>
      <c r="H3832" s="599">
        <v>2</v>
      </c>
      <c r="I3832" s="599">
        <v>1</v>
      </c>
      <c r="J3832" s="599">
        <v>8</v>
      </c>
      <c r="K3832" s="728" t="s">
        <v>38</v>
      </c>
      <c r="L3832" s="645">
        <f t="shared" si="557"/>
        <v>779164</v>
      </c>
      <c r="M3832" s="645">
        <v>752400</v>
      </c>
      <c r="N3832" s="646"/>
      <c r="O3832" s="643">
        <v>12180</v>
      </c>
      <c r="P3832" s="646"/>
      <c r="Q3832" s="388">
        <v>14584</v>
      </c>
      <c r="R3832" s="528">
        <f>M3832/E3832</f>
        <v>1574.0585774058577</v>
      </c>
      <c r="S3832" s="383">
        <f t="shared" si="559"/>
        <v>0</v>
      </c>
      <c r="T3832" s="428"/>
      <c r="V3832" s="390"/>
    </row>
    <row r="3833" spans="1:22" s="453" customFormat="1" ht="37.5" customHeight="1">
      <c r="A3833" s="642">
        <f t="shared" si="560"/>
        <v>10</v>
      </c>
      <c r="B3833" s="498" t="s">
        <v>2040</v>
      </c>
      <c r="C3833" s="699" t="s">
        <v>222</v>
      </c>
      <c r="D3833" s="606">
        <v>2090</v>
      </c>
      <c r="E3833" s="539">
        <v>840</v>
      </c>
      <c r="F3833" s="539" t="s">
        <v>231</v>
      </c>
      <c r="G3833" s="539">
        <f>(20*I3833)*12*1.3</f>
        <v>624</v>
      </c>
      <c r="H3833" s="599">
        <v>2</v>
      </c>
      <c r="I3833" s="599">
        <v>2</v>
      </c>
      <c r="J3833" s="599">
        <v>12</v>
      </c>
      <c r="K3833" s="728" t="s">
        <v>225</v>
      </c>
      <c r="L3833" s="645">
        <f t="shared" si="557"/>
        <v>289662</v>
      </c>
      <c r="M3833" s="645">
        <v>264000</v>
      </c>
      <c r="N3833" s="646"/>
      <c r="O3833" s="643">
        <v>12199</v>
      </c>
      <c r="P3833" s="646"/>
      <c r="Q3833" s="388">
        <v>13463</v>
      </c>
      <c r="R3833" s="528">
        <f>M3833/E3833</f>
        <v>314.28571428571428</v>
      </c>
      <c r="S3833" s="383">
        <f t="shared" si="559"/>
        <v>0</v>
      </c>
      <c r="T3833" s="428"/>
      <c r="V3833" s="390"/>
    </row>
    <row r="3834" spans="1:22" s="453" customFormat="1" ht="37.5" customHeight="1">
      <c r="A3834" s="642">
        <f t="shared" si="560"/>
        <v>11</v>
      </c>
      <c r="B3834" s="498" t="s">
        <v>2041</v>
      </c>
      <c r="C3834" s="699" t="s">
        <v>218</v>
      </c>
      <c r="D3834" s="606">
        <v>3553</v>
      </c>
      <c r="E3834" s="539">
        <v>950</v>
      </c>
      <c r="F3834" s="646" t="s">
        <v>223</v>
      </c>
      <c r="G3834" s="539">
        <v>700</v>
      </c>
      <c r="H3834" s="599">
        <v>2</v>
      </c>
      <c r="I3834" s="599">
        <v>2</v>
      </c>
      <c r="J3834" s="599">
        <v>16</v>
      </c>
      <c r="K3834" s="682" t="s">
        <v>33</v>
      </c>
      <c r="L3834" s="645">
        <f t="shared" si="557"/>
        <v>1724204</v>
      </c>
      <c r="M3834" s="645">
        <v>1680000</v>
      </c>
      <c r="N3834" s="646">
        <v>30741</v>
      </c>
      <c r="O3834" s="647"/>
      <c r="P3834" s="646"/>
      <c r="Q3834" s="388">
        <v>13463</v>
      </c>
      <c r="R3834" s="648">
        <f>M3834/G3834</f>
        <v>2400</v>
      </c>
      <c r="S3834" s="383">
        <f t="shared" si="559"/>
        <v>0</v>
      </c>
      <c r="T3834" s="428"/>
      <c r="V3834" s="390"/>
    </row>
    <row r="3835" spans="1:22" s="426" customFormat="1" ht="84" customHeight="1">
      <c r="A3835" s="642">
        <f t="shared" si="560"/>
        <v>12</v>
      </c>
      <c r="B3835" s="498" t="s">
        <v>2042</v>
      </c>
      <c r="C3835" s="699" t="s">
        <v>222</v>
      </c>
      <c r="D3835" s="734">
        <v>1285.1999999999998</v>
      </c>
      <c r="E3835" s="738">
        <v>459</v>
      </c>
      <c r="F3835" s="646" t="s">
        <v>223</v>
      </c>
      <c r="G3835" s="738">
        <v>437</v>
      </c>
      <c r="H3835" s="599">
        <v>2</v>
      </c>
      <c r="I3835" s="599">
        <v>1</v>
      </c>
      <c r="J3835" s="739">
        <v>8</v>
      </c>
      <c r="K3835" s="728" t="s">
        <v>30</v>
      </c>
      <c r="L3835" s="645">
        <f t="shared" si="557"/>
        <v>220360</v>
      </c>
      <c r="M3835" s="645">
        <v>200000</v>
      </c>
      <c r="N3835" s="646"/>
      <c r="O3835" s="643">
        <v>12081</v>
      </c>
      <c r="P3835" s="646"/>
      <c r="Q3835" s="388">
        <v>8279</v>
      </c>
      <c r="R3835" s="528">
        <f>M3835/E3835</f>
        <v>435.72984749455338</v>
      </c>
      <c r="S3835" s="383">
        <f t="shared" si="559"/>
        <v>0</v>
      </c>
      <c r="T3835" s="428"/>
      <c r="V3835" s="390"/>
    </row>
    <row r="3836" spans="1:22" s="453" customFormat="1" ht="37.5" customHeight="1">
      <c r="A3836" s="642">
        <f t="shared" si="560"/>
        <v>13</v>
      </c>
      <c r="B3836" s="498" t="s">
        <v>2043</v>
      </c>
      <c r="C3836" s="699" t="s">
        <v>222</v>
      </c>
      <c r="D3836" s="734">
        <v>1285.1999999999998</v>
      </c>
      <c r="E3836" s="539">
        <v>459</v>
      </c>
      <c r="F3836" s="539" t="s">
        <v>231</v>
      </c>
      <c r="G3836" s="539">
        <v>437</v>
      </c>
      <c r="H3836" s="599">
        <v>2</v>
      </c>
      <c r="I3836" s="599">
        <v>2</v>
      </c>
      <c r="J3836" s="599">
        <v>12</v>
      </c>
      <c r="K3836" s="728" t="s">
        <v>239</v>
      </c>
      <c r="L3836" s="645">
        <f t="shared" si="557"/>
        <v>380360</v>
      </c>
      <c r="M3836" s="645">
        <v>360000</v>
      </c>
      <c r="N3836" s="646"/>
      <c r="O3836" s="643">
        <v>12081</v>
      </c>
      <c r="P3836" s="646"/>
      <c r="Q3836" s="388">
        <v>8279</v>
      </c>
      <c r="R3836" s="528">
        <f>M3836/E3836</f>
        <v>784.31372549019613</v>
      </c>
      <c r="S3836" s="383">
        <f t="shared" si="559"/>
        <v>0</v>
      </c>
      <c r="T3836" s="428"/>
      <c r="V3836" s="390"/>
    </row>
    <row r="3837" spans="1:22" s="453" customFormat="1" ht="37.5" customHeight="1">
      <c r="A3837" s="642">
        <f t="shared" si="560"/>
        <v>14</v>
      </c>
      <c r="B3837" s="498" t="s">
        <v>3687</v>
      </c>
      <c r="C3837" s="699" t="s">
        <v>222</v>
      </c>
      <c r="D3837" s="734">
        <v>2573</v>
      </c>
      <c r="E3837" s="539">
        <v>345.6</v>
      </c>
      <c r="F3837" s="539" t="s">
        <v>223</v>
      </c>
      <c r="G3837" s="539">
        <v>577.20000000000005</v>
      </c>
      <c r="H3837" s="599">
        <v>2</v>
      </c>
      <c r="I3837" s="599">
        <v>1</v>
      </c>
      <c r="J3837" s="599">
        <v>45</v>
      </c>
      <c r="K3837" s="728" t="s">
        <v>239</v>
      </c>
      <c r="L3837" s="645">
        <f t="shared" si="557"/>
        <v>1381983</v>
      </c>
      <c r="M3837" s="645">
        <v>1350000</v>
      </c>
      <c r="N3837" s="391">
        <v>24921</v>
      </c>
      <c r="O3837" s="530"/>
      <c r="P3837" s="391"/>
      <c r="Q3837" s="388">
        <v>7062</v>
      </c>
      <c r="R3837" s="648">
        <v>30000</v>
      </c>
      <c r="S3837" s="383">
        <f t="shared" si="559"/>
        <v>0</v>
      </c>
      <c r="T3837" s="428"/>
      <c r="V3837" s="390"/>
    </row>
    <row r="3838" spans="1:22" s="403" customFormat="1" ht="42.75" customHeight="1">
      <c r="A3838" s="1112" t="s">
        <v>134</v>
      </c>
      <c r="B3838" s="1112"/>
      <c r="C3838" s="455" t="s">
        <v>28</v>
      </c>
      <c r="D3838" s="641">
        <f>SUM(D3824:D3837)</f>
        <v>34709.39</v>
      </c>
      <c r="E3838" s="388">
        <f>SUM(E3824:E3837)</f>
        <v>9039</v>
      </c>
      <c r="F3838" s="388" t="s">
        <v>28</v>
      </c>
      <c r="G3838" s="388">
        <f>SUM(G3824:G3837)</f>
        <v>8264</v>
      </c>
      <c r="H3838" s="446" t="s">
        <v>28</v>
      </c>
      <c r="I3838" s="446" t="s">
        <v>28</v>
      </c>
      <c r="J3838" s="446">
        <f>SUM(J3824:J3837)</f>
        <v>256</v>
      </c>
      <c r="K3838" s="458" t="s">
        <v>28</v>
      </c>
      <c r="L3838" s="519">
        <f>SUM(L3824:L3837)</f>
        <v>17547727</v>
      </c>
      <c r="M3838" s="519">
        <f>SUM(M3824:M3837)</f>
        <v>17047649</v>
      </c>
      <c r="N3838" s="388">
        <f>SUM(N3824:N3837)</f>
        <v>283668</v>
      </c>
      <c r="O3838" s="473">
        <f>SUM(O3824:O3837)</f>
        <v>48541</v>
      </c>
      <c r="P3838" s="388"/>
      <c r="Q3838" s="388">
        <f>SUM(Q3824:Q3837)</f>
        <v>167869</v>
      </c>
      <c r="R3838" s="446" t="s">
        <v>28</v>
      </c>
      <c r="T3838" s="393"/>
      <c r="U3838" s="464"/>
    </row>
    <row r="3839" spans="1:22" s="403" customFormat="1" ht="42.75" customHeight="1">
      <c r="A3839" s="1113" t="s">
        <v>84</v>
      </c>
      <c r="B3839" s="1113"/>
      <c r="C3839" s="1113"/>
      <c r="D3839" s="1113"/>
      <c r="E3839" s="1113"/>
      <c r="F3839" s="1113"/>
      <c r="G3839" s="1113"/>
      <c r="H3839" s="1113"/>
      <c r="I3839" s="1113"/>
      <c r="J3839" s="1113"/>
      <c r="K3839" s="1113"/>
      <c r="L3839" s="1113"/>
      <c r="M3839" s="1113"/>
      <c r="N3839" s="1113"/>
      <c r="O3839" s="1113"/>
      <c r="P3839" s="1113"/>
      <c r="Q3839" s="1113"/>
      <c r="R3839" s="458"/>
      <c r="T3839" s="393"/>
      <c r="U3839" s="464"/>
    </row>
    <row r="3840" spans="1:22" s="403" customFormat="1" ht="37.5" customHeight="1">
      <c r="A3840" s="500">
        <v>1</v>
      </c>
      <c r="B3840" s="403" t="s">
        <v>2982</v>
      </c>
      <c r="C3840" s="648" t="s">
        <v>222</v>
      </c>
      <c r="D3840" s="641">
        <v>5625</v>
      </c>
      <c r="E3840" s="388">
        <v>1400</v>
      </c>
      <c r="F3840" s="388" t="s">
        <v>229</v>
      </c>
      <c r="G3840" s="388">
        <v>1118</v>
      </c>
      <c r="H3840" s="446">
        <v>2</v>
      </c>
      <c r="I3840" s="446">
        <v>4</v>
      </c>
      <c r="J3840" s="446">
        <v>24</v>
      </c>
      <c r="K3840" s="458" t="s">
        <v>247</v>
      </c>
      <c r="L3840" s="645">
        <f>M3840+N3840+O3840+P3840+Q3840</f>
        <v>2339144</v>
      </c>
      <c r="M3840" s="645">
        <v>2302776</v>
      </c>
      <c r="N3840" s="646"/>
      <c r="O3840" s="643">
        <v>6368</v>
      </c>
      <c r="P3840" s="646"/>
      <c r="Q3840" s="388">
        <v>30000</v>
      </c>
      <c r="R3840" s="528">
        <f>M3840/E3840</f>
        <v>1644.84</v>
      </c>
      <c r="T3840" s="393"/>
      <c r="U3840" s="464"/>
    </row>
    <row r="3841" spans="1:21" s="403" customFormat="1" ht="37.5" customHeight="1">
      <c r="A3841" s="458">
        <f>A3840+1</f>
        <v>2</v>
      </c>
      <c r="B3841" s="403" t="s">
        <v>2984</v>
      </c>
      <c r="C3841" s="699" t="s">
        <v>218</v>
      </c>
      <c r="D3841" s="641">
        <f>E3841*2.95</f>
        <v>1622.5</v>
      </c>
      <c r="E3841" s="388">
        <v>550</v>
      </c>
      <c r="F3841" s="388" t="s">
        <v>229</v>
      </c>
      <c r="G3841" s="388">
        <v>594</v>
      </c>
      <c r="H3841" s="528">
        <v>2</v>
      </c>
      <c r="I3841" s="528">
        <v>1</v>
      </c>
      <c r="J3841" s="446">
        <v>18</v>
      </c>
      <c r="K3841" s="458" t="s">
        <v>246</v>
      </c>
      <c r="L3841" s="519">
        <f>M3841+N3841+O3841+P3841+Q3841</f>
        <v>370026</v>
      </c>
      <c r="M3841" s="529">
        <f>J3841*20000</f>
        <v>360000</v>
      </c>
      <c r="N3841" s="391"/>
      <c r="O3841" s="643">
        <f>ROUND(M3841*0.3%,0)</f>
        <v>1080</v>
      </c>
      <c r="P3841" s="391"/>
      <c r="Q3841" s="388">
        <v>8946</v>
      </c>
      <c r="R3841" s="446">
        <f>M3841/J3841</f>
        <v>20000</v>
      </c>
      <c r="T3841" s="393"/>
      <c r="U3841" s="464"/>
    </row>
    <row r="3842" spans="1:21" s="403" customFormat="1" ht="37.5" customHeight="1">
      <c r="A3842" s="458">
        <f>A3841+1</f>
        <v>3</v>
      </c>
      <c r="B3842" s="403" t="s">
        <v>2986</v>
      </c>
      <c r="C3842" s="648" t="s">
        <v>222</v>
      </c>
      <c r="D3842" s="641">
        <f>E3842*2.95</f>
        <v>855.5</v>
      </c>
      <c r="E3842" s="388">
        <v>290</v>
      </c>
      <c r="F3842" s="388" t="s">
        <v>229</v>
      </c>
      <c r="G3842" s="388">
        <v>544</v>
      </c>
      <c r="H3842" s="446">
        <v>2</v>
      </c>
      <c r="I3842" s="446">
        <v>1</v>
      </c>
      <c r="J3842" s="446">
        <v>15</v>
      </c>
      <c r="K3842" s="832" t="s">
        <v>225</v>
      </c>
      <c r="L3842" s="645">
        <f>M3842+N3842+O3842+P3842+Q3842</f>
        <v>359159</v>
      </c>
      <c r="M3842" s="645">
        <f>J3842*22000</f>
        <v>330000</v>
      </c>
      <c r="N3842" s="646">
        <f>M3842*0.08</f>
        <v>26400</v>
      </c>
      <c r="O3842" s="647"/>
      <c r="P3842" s="646"/>
      <c r="Q3842" s="388">
        <v>2759</v>
      </c>
      <c r="R3842" s="648">
        <f>M3842/J3842</f>
        <v>22000</v>
      </c>
      <c r="T3842" s="393"/>
      <c r="U3842" s="464"/>
    </row>
    <row r="3843" spans="1:21" s="403" customFormat="1" ht="37.5" customHeight="1">
      <c r="A3843" s="458">
        <f>A3842+1</f>
        <v>4</v>
      </c>
      <c r="B3843" s="403" t="s">
        <v>3569</v>
      </c>
      <c r="C3843" s="648" t="s">
        <v>222</v>
      </c>
      <c r="D3843" s="641">
        <v>3072.4800000000005</v>
      </c>
      <c r="E3843" s="388">
        <v>592.80000000000007</v>
      </c>
      <c r="F3843" s="388" t="s">
        <v>229</v>
      </c>
      <c r="G3843" s="388">
        <v>665.70400000000006</v>
      </c>
      <c r="H3843" s="446">
        <v>2</v>
      </c>
      <c r="I3843" s="446">
        <v>2</v>
      </c>
      <c r="J3843" s="446">
        <v>16</v>
      </c>
      <c r="K3843" s="832" t="s">
        <v>225</v>
      </c>
      <c r="L3843" s="645">
        <f>M3843+N3843+O3843+P3843+Q3843</f>
        <v>376050</v>
      </c>
      <c r="M3843" s="645">
        <v>352000</v>
      </c>
      <c r="N3843" s="646">
        <v>21120</v>
      </c>
      <c r="O3843" s="647"/>
      <c r="P3843" s="646"/>
      <c r="Q3843" s="388">
        <v>2930</v>
      </c>
      <c r="R3843" s="648">
        <f>M3843/J3843</f>
        <v>22000</v>
      </c>
      <c r="T3843" s="393"/>
      <c r="U3843" s="464"/>
    </row>
    <row r="3844" spans="1:21" s="403" customFormat="1" ht="37.5" customHeight="1">
      <c r="A3844" s="458">
        <f>A3843+1</f>
        <v>5</v>
      </c>
      <c r="B3844" s="403" t="s">
        <v>3570</v>
      </c>
      <c r="C3844" s="648" t="s">
        <v>222</v>
      </c>
      <c r="D3844" s="641">
        <v>4147.2</v>
      </c>
      <c r="E3844" s="388">
        <v>856.80000000000007</v>
      </c>
      <c r="F3844" s="388" t="s">
        <v>229</v>
      </c>
      <c r="G3844" s="388">
        <v>784</v>
      </c>
      <c r="H3844" s="446">
        <v>3</v>
      </c>
      <c r="I3844" s="446">
        <v>3</v>
      </c>
      <c r="J3844" s="446">
        <v>36</v>
      </c>
      <c r="K3844" s="832" t="s">
        <v>225</v>
      </c>
      <c r="L3844" s="645">
        <f>M3844+N3844+O3844+P3844+Q3844</f>
        <v>825682</v>
      </c>
      <c r="M3844" s="645">
        <v>792000</v>
      </c>
      <c r="N3844" s="646">
        <v>27720.000000000004</v>
      </c>
      <c r="O3844" s="647"/>
      <c r="P3844" s="646"/>
      <c r="Q3844" s="388">
        <v>5962</v>
      </c>
      <c r="R3844" s="648">
        <f>M3844/J3844</f>
        <v>22000</v>
      </c>
      <c r="T3844" s="393"/>
      <c r="U3844" s="464"/>
    </row>
    <row r="3845" spans="1:21" s="403" customFormat="1" ht="42.75" customHeight="1">
      <c r="A3845" s="1112" t="s">
        <v>135</v>
      </c>
      <c r="B3845" s="1112"/>
      <c r="C3845" s="455" t="s">
        <v>28</v>
      </c>
      <c r="D3845" s="641">
        <f>SUM(D3840:D3844)</f>
        <v>15322.68</v>
      </c>
      <c r="E3845" s="388">
        <f>SUM(E3840:E3844)</f>
        <v>3689.6000000000004</v>
      </c>
      <c r="F3845" s="388" t="s">
        <v>28</v>
      </c>
      <c r="G3845" s="388">
        <f>SUM(G3840:G3844)</f>
        <v>3705.7040000000002</v>
      </c>
      <c r="H3845" s="446" t="s">
        <v>28</v>
      </c>
      <c r="I3845" s="446" t="s">
        <v>28</v>
      </c>
      <c r="J3845" s="446">
        <f>SUM(J3840:J3844)</f>
        <v>109</v>
      </c>
      <c r="K3845" s="458" t="s">
        <v>28</v>
      </c>
      <c r="L3845" s="519">
        <f>SUM(L3840:L3844)</f>
        <v>4270061</v>
      </c>
      <c r="M3845" s="519">
        <f>SUM(M3840:M3844)</f>
        <v>4136776</v>
      </c>
      <c r="N3845" s="388">
        <f>SUM(N3840:N3844)</f>
        <v>75240</v>
      </c>
      <c r="O3845" s="473">
        <f>SUM(O3840:O3844)</f>
        <v>7448</v>
      </c>
      <c r="P3845" s="388"/>
      <c r="Q3845" s="388">
        <f>SUM(Q3840:Q3844)</f>
        <v>50597</v>
      </c>
      <c r="R3845" s="446" t="s">
        <v>28</v>
      </c>
      <c r="T3845" s="393"/>
      <c r="U3845" s="464"/>
    </row>
    <row r="3846" spans="1:21" s="403" customFormat="1" ht="42.75" customHeight="1">
      <c r="A3846" s="1113" t="s">
        <v>85</v>
      </c>
      <c r="B3846" s="1113"/>
      <c r="C3846" s="1113"/>
      <c r="D3846" s="1113"/>
      <c r="E3846" s="1113"/>
      <c r="F3846" s="1113"/>
      <c r="G3846" s="1113"/>
      <c r="H3846" s="1113"/>
      <c r="I3846" s="1113"/>
      <c r="J3846" s="1113"/>
      <c r="K3846" s="1113"/>
      <c r="L3846" s="1113"/>
      <c r="M3846" s="1113"/>
      <c r="N3846" s="1113"/>
      <c r="O3846" s="1113"/>
      <c r="P3846" s="1113"/>
      <c r="Q3846" s="1113"/>
      <c r="R3846" s="458"/>
      <c r="T3846" s="393"/>
      <c r="U3846" s="464"/>
    </row>
    <row r="3847" spans="1:21" s="424" customFormat="1" ht="37.5" customHeight="1">
      <c r="A3847" s="682">
        <v>1</v>
      </c>
      <c r="B3847" s="424" t="s">
        <v>2987</v>
      </c>
      <c r="C3847" s="648" t="s">
        <v>222</v>
      </c>
      <c r="D3847" s="681">
        <v>3704</v>
      </c>
      <c r="E3847" s="646">
        <v>273.3</v>
      </c>
      <c r="F3847" s="646" t="s">
        <v>228</v>
      </c>
      <c r="G3847" s="646">
        <v>793.5</v>
      </c>
      <c r="H3847" s="648">
        <v>2</v>
      </c>
      <c r="I3847" s="648">
        <v>2</v>
      </c>
      <c r="J3847" s="648">
        <v>16</v>
      </c>
      <c r="K3847" s="682" t="s">
        <v>262</v>
      </c>
      <c r="L3847" s="645">
        <f t="shared" ref="L3847:L3855" si="561">M3847+N3847+O3847+P3847+Q3847</f>
        <v>3224061</v>
      </c>
      <c r="M3847" s="645">
        <v>3174000</v>
      </c>
      <c r="N3847" s="646">
        <v>31740</v>
      </c>
      <c r="O3847" s="647"/>
      <c r="P3847" s="646"/>
      <c r="Q3847" s="388">
        <v>18321</v>
      </c>
      <c r="R3847" s="446">
        <f t="shared" ref="R3847:R3855" si="562">M3847/G3847</f>
        <v>4000</v>
      </c>
      <c r="U3847" s="464"/>
    </row>
    <row r="3848" spans="1:21" s="424" customFormat="1" ht="37.5" customHeight="1">
      <c r="A3848" s="682">
        <f t="shared" ref="A3848:A3855" si="563">A3847+1</f>
        <v>2</v>
      </c>
      <c r="B3848" s="424" t="s">
        <v>2988</v>
      </c>
      <c r="C3848" s="648" t="s">
        <v>222</v>
      </c>
      <c r="D3848" s="681">
        <v>6149</v>
      </c>
      <c r="E3848" s="646">
        <v>1258</v>
      </c>
      <c r="F3848" s="646" t="s">
        <v>223</v>
      </c>
      <c r="G3848" s="646">
        <v>932</v>
      </c>
      <c r="H3848" s="648">
        <v>3</v>
      </c>
      <c r="I3848" s="648">
        <v>3</v>
      </c>
      <c r="J3848" s="648">
        <v>27</v>
      </c>
      <c r="K3848" s="682" t="s">
        <v>33</v>
      </c>
      <c r="L3848" s="645">
        <f t="shared" si="561"/>
        <v>2400920</v>
      </c>
      <c r="M3848" s="645">
        <v>2330000</v>
      </c>
      <c r="N3848" s="646">
        <v>34950</v>
      </c>
      <c r="O3848" s="647"/>
      <c r="P3848" s="646"/>
      <c r="Q3848" s="388">
        <v>35970</v>
      </c>
      <c r="R3848" s="648">
        <f t="shared" si="562"/>
        <v>2500</v>
      </c>
      <c r="U3848" s="464"/>
    </row>
    <row r="3849" spans="1:21" s="424" customFormat="1" ht="37.5" customHeight="1">
      <c r="A3849" s="682">
        <f t="shared" si="563"/>
        <v>3</v>
      </c>
      <c r="B3849" s="424" t="s">
        <v>2989</v>
      </c>
      <c r="C3849" s="648" t="s">
        <v>222</v>
      </c>
      <c r="D3849" s="681">
        <v>1638</v>
      </c>
      <c r="E3849" s="646">
        <v>530</v>
      </c>
      <c r="F3849" s="646" t="s">
        <v>223</v>
      </c>
      <c r="G3849" s="646">
        <v>651</v>
      </c>
      <c r="H3849" s="648">
        <v>2</v>
      </c>
      <c r="I3849" s="648">
        <v>2</v>
      </c>
      <c r="J3849" s="648">
        <v>8</v>
      </c>
      <c r="K3849" s="682" t="s">
        <v>33</v>
      </c>
      <c r="L3849" s="645">
        <f t="shared" si="561"/>
        <v>1660015</v>
      </c>
      <c r="M3849" s="645">
        <v>1627500</v>
      </c>
      <c r="N3849" s="646">
        <v>24413</v>
      </c>
      <c r="O3849" s="647"/>
      <c r="P3849" s="646"/>
      <c r="Q3849" s="388">
        <v>8102</v>
      </c>
      <c r="R3849" s="648">
        <f t="shared" si="562"/>
        <v>2500</v>
      </c>
      <c r="U3849" s="464"/>
    </row>
    <row r="3850" spans="1:21" s="424" customFormat="1" ht="37.5" customHeight="1">
      <c r="A3850" s="682">
        <f t="shared" si="563"/>
        <v>4</v>
      </c>
      <c r="B3850" s="424" t="s">
        <v>2990</v>
      </c>
      <c r="C3850" s="648" t="s">
        <v>222</v>
      </c>
      <c r="D3850" s="681">
        <v>2160</v>
      </c>
      <c r="E3850" s="646">
        <v>612</v>
      </c>
      <c r="F3850" s="646" t="s">
        <v>223</v>
      </c>
      <c r="G3850" s="646">
        <v>437</v>
      </c>
      <c r="H3850" s="648">
        <v>2</v>
      </c>
      <c r="I3850" s="648">
        <v>2</v>
      </c>
      <c r="J3850" s="648">
        <v>12</v>
      </c>
      <c r="K3850" s="682" t="s">
        <v>33</v>
      </c>
      <c r="L3850" s="645">
        <f t="shared" si="561"/>
        <v>1124994</v>
      </c>
      <c r="M3850" s="645">
        <v>1092500</v>
      </c>
      <c r="N3850" s="646">
        <v>21850</v>
      </c>
      <c r="O3850" s="647"/>
      <c r="P3850" s="646"/>
      <c r="Q3850" s="388">
        <v>10644</v>
      </c>
      <c r="R3850" s="648">
        <f t="shared" si="562"/>
        <v>2500</v>
      </c>
      <c r="U3850" s="464"/>
    </row>
    <row r="3851" spans="1:21" s="424" customFormat="1" ht="37.5" customHeight="1">
      <c r="A3851" s="682">
        <f t="shared" si="563"/>
        <v>5</v>
      </c>
      <c r="B3851" s="424" t="s">
        <v>2991</v>
      </c>
      <c r="C3851" s="648" t="s">
        <v>222</v>
      </c>
      <c r="D3851" s="681">
        <v>2050</v>
      </c>
      <c r="E3851" s="646">
        <v>564</v>
      </c>
      <c r="F3851" s="646" t="s">
        <v>223</v>
      </c>
      <c r="G3851" s="646">
        <v>649</v>
      </c>
      <c r="H3851" s="648">
        <v>2</v>
      </c>
      <c r="I3851" s="648">
        <v>2</v>
      </c>
      <c r="J3851" s="648">
        <v>12</v>
      </c>
      <c r="K3851" s="682" t="s">
        <v>33</v>
      </c>
      <c r="L3851" s="645">
        <f t="shared" si="561"/>
        <v>1598892</v>
      </c>
      <c r="M3851" s="645">
        <v>1557600</v>
      </c>
      <c r="N3851" s="646">
        <v>31152</v>
      </c>
      <c r="O3851" s="647"/>
      <c r="P3851" s="646"/>
      <c r="Q3851" s="388">
        <v>10140</v>
      </c>
      <c r="R3851" s="648">
        <f t="shared" si="562"/>
        <v>2400</v>
      </c>
      <c r="U3851" s="464"/>
    </row>
    <row r="3852" spans="1:21" s="424" customFormat="1" ht="37.5" customHeight="1">
      <c r="A3852" s="682">
        <f t="shared" si="563"/>
        <v>6</v>
      </c>
      <c r="B3852" s="424" t="s">
        <v>2992</v>
      </c>
      <c r="C3852" s="648" t="s">
        <v>222</v>
      </c>
      <c r="D3852" s="681">
        <v>2770</v>
      </c>
      <c r="E3852" s="646">
        <v>237.6</v>
      </c>
      <c r="F3852" s="646" t="s">
        <v>223</v>
      </c>
      <c r="G3852" s="646">
        <v>685.2</v>
      </c>
      <c r="H3852" s="648">
        <v>2</v>
      </c>
      <c r="I3852" s="648">
        <v>2</v>
      </c>
      <c r="J3852" s="648">
        <v>16</v>
      </c>
      <c r="K3852" s="682" t="s">
        <v>33</v>
      </c>
      <c r="L3852" s="645">
        <f t="shared" si="561"/>
        <v>1682938</v>
      </c>
      <c r="M3852" s="645">
        <v>1644480</v>
      </c>
      <c r="N3852" s="646">
        <v>24667</v>
      </c>
      <c r="O3852" s="647"/>
      <c r="P3852" s="646"/>
      <c r="Q3852" s="388">
        <v>13791</v>
      </c>
      <c r="R3852" s="648">
        <f t="shared" si="562"/>
        <v>2400</v>
      </c>
      <c r="U3852" s="464"/>
    </row>
    <row r="3853" spans="1:21" s="424" customFormat="1" ht="56.25" customHeight="1">
      <c r="A3853" s="682">
        <f t="shared" si="563"/>
        <v>7</v>
      </c>
      <c r="B3853" s="424" t="s">
        <v>2994</v>
      </c>
      <c r="C3853" s="648" t="s">
        <v>218</v>
      </c>
      <c r="D3853" s="681">
        <v>13137</v>
      </c>
      <c r="E3853" s="646">
        <v>17556.3</v>
      </c>
      <c r="F3853" s="646" t="s">
        <v>228</v>
      </c>
      <c r="G3853" s="646">
        <v>946</v>
      </c>
      <c r="H3853" s="648">
        <v>5</v>
      </c>
      <c r="I3853" s="648">
        <v>5</v>
      </c>
      <c r="J3853" s="648">
        <v>75</v>
      </c>
      <c r="K3853" s="682" t="s">
        <v>277</v>
      </c>
      <c r="L3853" s="645">
        <f t="shared" si="561"/>
        <v>2107444</v>
      </c>
      <c r="M3853" s="645">
        <v>2081200</v>
      </c>
      <c r="N3853" s="391"/>
      <c r="O3853" s="643">
        <v>6244</v>
      </c>
      <c r="P3853" s="646"/>
      <c r="Q3853" s="388">
        <v>20000</v>
      </c>
      <c r="R3853" s="648">
        <f t="shared" si="562"/>
        <v>2200</v>
      </c>
      <c r="U3853" s="464"/>
    </row>
    <row r="3854" spans="1:21" s="424" customFormat="1" ht="37.5" customHeight="1">
      <c r="A3854" s="682">
        <f t="shared" si="563"/>
        <v>8</v>
      </c>
      <c r="B3854" s="424" t="s">
        <v>2995</v>
      </c>
      <c r="C3854" s="648" t="s">
        <v>218</v>
      </c>
      <c r="D3854" s="681">
        <v>2728</v>
      </c>
      <c r="E3854" s="646">
        <v>576</v>
      </c>
      <c r="F3854" s="646" t="s">
        <v>223</v>
      </c>
      <c r="G3854" s="646">
        <v>726</v>
      </c>
      <c r="H3854" s="648">
        <v>2</v>
      </c>
      <c r="I3854" s="648">
        <v>2</v>
      </c>
      <c r="J3854" s="648">
        <v>16</v>
      </c>
      <c r="K3854" s="682" t="s">
        <v>33</v>
      </c>
      <c r="L3854" s="645">
        <f t="shared" si="561"/>
        <v>1864794</v>
      </c>
      <c r="M3854" s="645">
        <v>1815000</v>
      </c>
      <c r="N3854" s="646">
        <v>36300</v>
      </c>
      <c r="O3854" s="647"/>
      <c r="P3854" s="646"/>
      <c r="Q3854" s="388">
        <v>13494</v>
      </c>
      <c r="R3854" s="648">
        <f t="shared" si="562"/>
        <v>2500</v>
      </c>
      <c r="U3854" s="464"/>
    </row>
    <row r="3855" spans="1:21" s="424" customFormat="1" ht="37.5" customHeight="1">
      <c r="A3855" s="682">
        <f t="shared" si="563"/>
        <v>9</v>
      </c>
      <c r="B3855" s="424" t="s">
        <v>3536</v>
      </c>
      <c r="C3855" s="648" t="s">
        <v>222</v>
      </c>
      <c r="D3855" s="681">
        <v>3605</v>
      </c>
      <c r="E3855" s="646">
        <v>710</v>
      </c>
      <c r="F3855" s="646" t="s">
        <v>223</v>
      </c>
      <c r="G3855" s="646">
        <v>800</v>
      </c>
      <c r="H3855" s="648">
        <v>2</v>
      </c>
      <c r="I3855" s="648">
        <v>3</v>
      </c>
      <c r="J3855" s="648">
        <v>22</v>
      </c>
      <c r="K3855" s="682" t="s">
        <v>33</v>
      </c>
      <c r="L3855" s="645">
        <f t="shared" si="561"/>
        <v>2041284</v>
      </c>
      <c r="M3855" s="645">
        <v>2000000</v>
      </c>
      <c r="N3855" s="646">
        <v>30000</v>
      </c>
      <c r="O3855" s="647"/>
      <c r="P3855" s="646"/>
      <c r="Q3855" s="388">
        <v>11284</v>
      </c>
      <c r="R3855" s="648">
        <f t="shared" si="562"/>
        <v>2500</v>
      </c>
      <c r="U3855" s="464"/>
    </row>
    <row r="3856" spans="1:21" s="403" customFormat="1" ht="42.75" customHeight="1">
      <c r="A3856" s="1112" t="s">
        <v>86</v>
      </c>
      <c r="B3856" s="1112"/>
      <c r="C3856" s="455" t="s">
        <v>28</v>
      </c>
      <c r="D3856" s="641">
        <f>SUM(D3847:D3855)</f>
        <v>37941</v>
      </c>
      <c r="E3856" s="388">
        <f>SUM(E3847:E3855)</f>
        <v>22317.200000000001</v>
      </c>
      <c r="F3856" s="388" t="s">
        <v>28</v>
      </c>
      <c r="G3856" s="388">
        <f>SUM(G3847:G3855)</f>
        <v>6619.7</v>
      </c>
      <c r="H3856" s="446" t="s">
        <v>28</v>
      </c>
      <c r="I3856" s="446" t="s">
        <v>28</v>
      </c>
      <c r="J3856" s="446">
        <f>SUM(J3847:J3855)</f>
        <v>204</v>
      </c>
      <c r="K3856" s="458" t="s">
        <v>28</v>
      </c>
      <c r="L3856" s="519">
        <f>SUM(L3847:L3855)</f>
        <v>17705342</v>
      </c>
      <c r="M3856" s="519">
        <f>SUM(M3847:M3855)</f>
        <v>17322280</v>
      </c>
      <c r="N3856" s="388">
        <f>SUM(N3847:N3855)</f>
        <v>235072</v>
      </c>
      <c r="O3856" s="473">
        <f>SUM(O3847:O3855)</f>
        <v>6244</v>
      </c>
      <c r="P3856" s="388"/>
      <c r="Q3856" s="388">
        <f>SUM(Q3847:Q3855)</f>
        <v>141746</v>
      </c>
      <c r="R3856" s="446" t="s">
        <v>28</v>
      </c>
      <c r="T3856" s="393"/>
      <c r="U3856" s="464"/>
    </row>
    <row r="3857" spans="1:21" s="403" customFormat="1" ht="42.75" customHeight="1">
      <c r="A3857" s="1113" t="s">
        <v>87</v>
      </c>
      <c r="B3857" s="1113"/>
      <c r="C3857" s="1113"/>
      <c r="D3857" s="1113"/>
      <c r="E3857" s="1113"/>
      <c r="F3857" s="1113"/>
      <c r="G3857" s="1113"/>
      <c r="H3857" s="1113"/>
      <c r="I3857" s="1113"/>
      <c r="J3857" s="1113"/>
      <c r="K3857" s="1113"/>
      <c r="L3857" s="1113"/>
      <c r="M3857" s="1113"/>
      <c r="N3857" s="1113"/>
      <c r="O3857" s="1113"/>
      <c r="P3857" s="1113"/>
      <c r="Q3857" s="1113"/>
      <c r="R3857" s="458"/>
      <c r="T3857" s="393"/>
      <c r="U3857" s="464"/>
    </row>
    <row r="3858" spans="1:21" s="420" customFormat="1" ht="56.25" customHeight="1">
      <c r="A3858" s="612">
        <v>1</v>
      </c>
      <c r="B3858" s="740" t="s">
        <v>2996</v>
      </c>
      <c r="C3858" s="741" t="s">
        <v>222</v>
      </c>
      <c r="D3858" s="724">
        <v>3960</v>
      </c>
      <c r="E3858" s="742">
        <v>2963</v>
      </c>
      <c r="F3858" s="742" t="s">
        <v>223</v>
      </c>
      <c r="G3858" s="742">
        <v>694</v>
      </c>
      <c r="H3858" s="726">
        <v>2</v>
      </c>
      <c r="I3858" s="726">
        <v>2</v>
      </c>
      <c r="J3858" s="726">
        <v>16</v>
      </c>
      <c r="K3858" s="458" t="s">
        <v>30</v>
      </c>
      <c r="L3858" s="519">
        <f>M3858+N3858+O3858+P3858+Q3858</f>
        <v>412500</v>
      </c>
      <c r="M3858" s="529">
        <f>J3858*25000</f>
        <v>400000</v>
      </c>
      <c r="N3858" s="391"/>
      <c r="O3858" s="643">
        <f>ROUND(M3858*0.3%,0)</f>
        <v>1200</v>
      </c>
      <c r="P3858" s="391"/>
      <c r="Q3858" s="388">
        <v>11300</v>
      </c>
      <c r="R3858" s="446">
        <f>M3858/J3858</f>
        <v>25000</v>
      </c>
      <c r="U3858" s="464"/>
    </row>
    <row r="3859" spans="1:21" s="420" customFormat="1" ht="56.25" customHeight="1">
      <c r="A3859" s="612">
        <v>2</v>
      </c>
      <c r="B3859" s="740" t="s">
        <v>2997</v>
      </c>
      <c r="C3859" s="741" t="s">
        <v>222</v>
      </c>
      <c r="D3859" s="724">
        <v>3444</v>
      </c>
      <c r="E3859" s="742">
        <v>2959</v>
      </c>
      <c r="F3859" s="742" t="s">
        <v>223</v>
      </c>
      <c r="G3859" s="742">
        <v>686</v>
      </c>
      <c r="H3859" s="726">
        <v>2</v>
      </c>
      <c r="I3859" s="726">
        <v>2</v>
      </c>
      <c r="J3859" s="726">
        <v>16</v>
      </c>
      <c r="K3859" s="458" t="s">
        <v>238</v>
      </c>
      <c r="L3859" s="519">
        <f>M3859+N3859+O3859+P3859+Q3859</f>
        <v>412500</v>
      </c>
      <c r="M3859" s="529">
        <f>J3859*25000</f>
        <v>400000</v>
      </c>
      <c r="N3859" s="391"/>
      <c r="O3859" s="643">
        <f>ROUND(M3859*0.3%,0)</f>
        <v>1200</v>
      </c>
      <c r="P3859" s="391"/>
      <c r="Q3859" s="388">
        <v>11300</v>
      </c>
      <c r="R3859" s="446">
        <f>M3859/J3859</f>
        <v>25000</v>
      </c>
      <c r="U3859" s="464"/>
    </row>
    <row r="3860" spans="1:21" s="420" customFormat="1" ht="56.25" customHeight="1">
      <c r="A3860" s="612">
        <v>3</v>
      </c>
      <c r="B3860" s="740" t="s">
        <v>2998</v>
      </c>
      <c r="C3860" s="741" t="s">
        <v>222</v>
      </c>
      <c r="D3860" s="724">
        <v>2682</v>
      </c>
      <c r="E3860" s="742">
        <v>538.79999999999995</v>
      </c>
      <c r="F3860" s="742" t="s">
        <v>223</v>
      </c>
      <c r="G3860" s="742">
        <v>697</v>
      </c>
      <c r="H3860" s="726">
        <v>2</v>
      </c>
      <c r="I3860" s="726">
        <v>2</v>
      </c>
      <c r="J3860" s="726">
        <v>8</v>
      </c>
      <c r="K3860" s="458" t="s">
        <v>238</v>
      </c>
      <c r="L3860" s="519">
        <f>M3860+N3860+O3860+P3860+Q3860</f>
        <v>211900</v>
      </c>
      <c r="M3860" s="529">
        <f>J3860*25000</f>
        <v>200000</v>
      </c>
      <c r="N3860" s="391"/>
      <c r="O3860" s="643">
        <f>ROUND(M3860*0.3%,0)</f>
        <v>600</v>
      </c>
      <c r="P3860" s="391"/>
      <c r="Q3860" s="388">
        <v>11300</v>
      </c>
      <c r="R3860" s="446">
        <f>M3860/J3860</f>
        <v>25000</v>
      </c>
      <c r="U3860" s="464"/>
    </row>
    <row r="3861" spans="1:21" s="403" customFormat="1" ht="42.75" customHeight="1">
      <c r="A3861" s="1112" t="s">
        <v>88</v>
      </c>
      <c r="B3861" s="1112"/>
      <c r="C3861" s="455" t="s">
        <v>28</v>
      </c>
      <c r="D3861" s="641">
        <f>SUM(D3858:D3860)</f>
        <v>10086</v>
      </c>
      <c r="E3861" s="388">
        <f>SUM(E3858:E3860)</f>
        <v>6460.8</v>
      </c>
      <c r="F3861" s="388" t="s">
        <v>28</v>
      </c>
      <c r="G3861" s="388">
        <f>SUM(G3858:G3860)</f>
        <v>2077</v>
      </c>
      <c r="H3861" s="446" t="s">
        <v>28</v>
      </c>
      <c r="I3861" s="446" t="s">
        <v>28</v>
      </c>
      <c r="J3861" s="446">
        <f>SUM(J3858:J3860)</f>
        <v>40</v>
      </c>
      <c r="K3861" s="458" t="s">
        <v>28</v>
      </c>
      <c r="L3861" s="519">
        <f>SUM(L3858:L3860)</f>
        <v>1036900</v>
      </c>
      <c r="M3861" s="519">
        <f>SUM(M3858:M3860)</f>
        <v>1000000</v>
      </c>
      <c r="N3861" s="388"/>
      <c r="O3861" s="473">
        <f>SUM(O3858:O3860)</f>
        <v>3000</v>
      </c>
      <c r="P3861" s="388"/>
      <c r="Q3861" s="388">
        <f>SUM(Q3858:Q3860)</f>
        <v>33900</v>
      </c>
      <c r="R3861" s="446" t="s">
        <v>28</v>
      </c>
      <c r="T3861" s="393"/>
      <c r="U3861" s="464"/>
    </row>
    <row r="3862" spans="1:21" s="403" customFormat="1" ht="42.75" customHeight="1">
      <c r="A3862" s="1113" t="s">
        <v>89</v>
      </c>
      <c r="B3862" s="1113"/>
      <c r="C3862" s="1113"/>
      <c r="D3862" s="1113"/>
      <c r="E3862" s="1113"/>
      <c r="F3862" s="1113"/>
      <c r="G3862" s="1113"/>
      <c r="H3862" s="1113"/>
      <c r="I3862" s="1113"/>
      <c r="J3862" s="1113"/>
      <c r="K3862" s="1113"/>
      <c r="L3862" s="1113"/>
      <c r="M3862" s="1113"/>
      <c r="N3862" s="1113"/>
      <c r="O3862" s="1113"/>
      <c r="P3862" s="1113"/>
      <c r="Q3862" s="1113"/>
      <c r="R3862" s="458"/>
      <c r="T3862" s="393"/>
      <c r="U3862" s="464"/>
    </row>
    <row r="3863" spans="1:21" s="420" customFormat="1" ht="56.25" customHeight="1">
      <c r="A3863" s="697">
        <v>1</v>
      </c>
      <c r="B3863" s="743" t="s">
        <v>2999</v>
      </c>
      <c r="C3863" s="699" t="s">
        <v>218</v>
      </c>
      <c r="D3863" s="700">
        <v>13249</v>
      </c>
      <c r="E3863" s="651">
        <v>2295.1</v>
      </c>
      <c r="F3863" s="651" t="s">
        <v>234</v>
      </c>
      <c r="G3863" s="651">
        <v>845</v>
      </c>
      <c r="H3863" s="732">
        <v>5</v>
      </c>
      <c r="I3863" s="732">
        <v>4</v>
      </c>
      <c r="J3863" s="732">
        <v>60</v>
      </c>
      <c r="K3863" s="697" t="s">
        <v>238</v>
      </c>
      <c r="L3863" s="650">
        <f t="shared" ref="L3863:L3869" si="564">M3863+N3863+O3863+P3863+Q3863</f>
        <v>1840241</v>
      </c>
      <c r="M3863" s="650">
        <v>1800000</v>
      </c>
      <c r="N3863" s="388"/>
      <c r="O3863" s="643">
        <v>5400</v>
      </c>
      <c r="P3863" s="651"/>
      <c r="Q3863" s="388">
        <v>34841</v>
      </c>
      <c r="R3863" s="732">
        <f>M3863/J3863</f>
        <v>30000</v>
      </c>
      <c r="U3863" s="464"/>
    </row>
    <row r="3864" spans="1:21" s="420" customFormat="1" ht="37.5" customHeight="1">
      <c r="A3864" s="697">
        <f t="shared" ref="A3864:A3869" si="565">A3863+1</f>
        <v>2</v>
      </c>
      <c r="B3864" s="743" t="s">
        <v>3000</v>
      </c>
      <c r="C3864" s="699" t="s">
        <v>222</v>
      </c>
      <c r="D3864" s="700">
        <v>35458</v>
      </c>
      <c r="E3864" s="651">
        <v>6320.2</v>
      </c>
      <c r="F3864" s="651" t="s">
        <v>223</v>
      </c>
      <c r="G3864" s="651">
        <v>2925</v>
      </c>
      <c r="H3864" s="732">
        <v>5</v>
      </c>
      <c r="I3864" s="732">
        <v>11</v>
      </c>
      <c r="J3864" s="732">
        <v>174</v>
      </c>
      <c r="K3864" s="697" t="s">
        <v>239</v>
      </c>
      <c r="L3864" s="650">
        <f t="shared" si="564"/>
        <v>4078266</v>
      </c>
      <c r="M3864" s="744">
        <v>4001983</v>
      </c>
      <c r="N3864" s="651">
        <v>40020</v>
      </c>
      <c r="O3864" s="696"/>
      <c r="P3864" s="651"/>
      <c r="Q3864" s="388">
        <v>36263</v>
      </c>
      <c r="R3864" s="732">
        <f>M3864/J3864</f>
        <v>22999.902298850575</v>
      </c>
      <c r="U3864" s="464"/>
    </row>
    <row r="3865" spans="1:21" s="420" customFormat="1" ht="56.25" customHeight="1">
      <c r="A3865" s="697">
        <f t="shared" si="565"/>
        <v>3</v>
      </c>
      <c r="B3865" s="743" t="s">
        <v>3001</v>
      </c>
      <c r="C3865" s="699" t="s">
        <v>222</v>
      </c>
      <c r="D3865" s="700">
        <v>13146</v>
      </c>
      <c r="E3865" s="651">
        <v>1860</v>
      </c>
      <c r="F3865" s="651" t="s">
        <v>223</v>
      </c>
      <c r="G3865" s="651">
        <v>1127</v>
      </c>
      <c r="H3865" s="732">
        <v>5</v>
      </c>
      <c r="I3865" s="732">
        <v>4</v>
      </c>
      <c r="J3865" s="732">
        <v>70</v>
      </c>
      <c r="K3865" s="697" t="s">
        <v>264</v>
      </c>
      <c r="L3865" s="650">
        <f t="shared" si="564"/>
        <v>3026964</v>
      </c>
      <c r="M3865" s="650">
        <v>2988000</v>
      </c>
      <c r="N3865" s="651"/>
      <c r="O3865" s="643">
        <v>8964</v>
      </c>
      <c r="P3865" s="651"/>
      <c r="Q3865" s="388">
        <v>30000</v>
      </c>
      <c r="R3865" s="528">
        <f>M3865/E3865</f>
        <v>1606.4516129032259</v>
      </c>
      <c r="U3865" s="464"/>
    </row>
    <row r="3866" spans="1:21" s="420" customFormat="1" ht="56.25" customHeight="1">
      <c r="A3866" s="697">
        <f t="shared" si="565"/>
        <v>4</v>
      </c>
      <c r="B3866" s="743" t="s">
        <v>3002</v>
      </c>
      <c r="C3866" s="699" t="s">
        <v>222</v>
      </c>
      <c r="D3866" s="700">
        <v>5877</v>
      </c>
      <c r="E3866" s="651">
        <v>1295.5</v>
      </c>
      <c r="F3866" s="651" t="s">
        <v>223</v>
      </c>
      <c r="G3866" s="651">
        <v>1205</v>
      </c>
      <c r="H3866" s="732">
        <v>2</v>
      </c>
      <c r="I3866" s="732">
        <v>3</v>
      </c>
      <c r="J3866" s="732">
        <v>24</v>
      </c>
      <c r="K3866" s="697" t="s">
        <v>263</v>
      </c>
      <c r="L3866" s="650">
        <f t="shared" si="564"/>
        <v>2706579</v>
      </c>
      <c r="M3866" s="645">
        <v>2651000</v>
      </c>
      <c r="N3866" s="388">
        <v>26510</v>
      </c>
      <c r="O3866" s="473"/>
      <c r="P3866" s="388"/>
      <c r="Q3866" s="388">
        <v>29069</v>
      </c>
      <c r="R3866" s="528">
        <f>M3866/G3866</f>
        <v>2200</v>
      </c>
      <c r="U3866" s="464"/>
    </row>
    <row r="3867" spans="1:21" s="420" customFormat="1" ht="56.25" customHeight="1">
      <c r="A3867" s="697">
        <f t="shared" si="565"/>
        <v>5</v>
      </c>
      <c r="B3867" s="743" t="s">
        <v>3003</v>
      </c>
      <c r="C3867" s="648" t="s">
        <v>222</v>
      </c>
      <c r="D3867" s="700">
        <v>5344</v>
      </c>
      <c r="E3867" s="651">
        <v>1286</v>
      </c>
      <c r="F3867" s="651" t="s">
        <v>223</v>
      </c>
      <c r="G3867" s="651">
        <v>1100</v>
      </c>
      <c r="H3867" s="732">
        <v>2</v>
      </c>
      <c r="I3867" s="732">
        <v>3</v>
      </c>
      <c r="J3867" s="732">
        <v>22</v>
      </c>
      <c r="K3867" s="697" t="s">
        <v>263</v>
      </c>
      <c r="L3867" s="650">
        <f t="shared" si="564"/>
        <v>2470633</v>
      </c>
      <c r="M3867" s="645">
        <v>2420000</v>
      </c>
      <c r="N3867" s="388">
        <v>24200</v>
      </c>
      <c r="O3867" s="473"/>
      <c r="P3867" s="388"/>
      <c r="Q3867" s="388">
        <v>26433</v>
      </c>
      <c r="R3867" s="528">
        <f>M3867/G3867</f>
        <v>2200</v>
      </c>
      <c r="U3867" s="464"/>
    </row>
    <row r="3868" spans="1:21" s="420" customFormat="1" ht="56.25" customHeight="1">
      <c r="A3868" s="697">
        <f t="shared" si="565"/>
        <v>6</v>
      </c>
      <c r="B3868" s="743" t="s">
        <v>3004</v>
      </c>
      <c r="C3868" s="699" t="s">
        <v>222</v>
      </c>
      <c r="D3868" s="700">
        <v>6217</v>
      </c>
      <c r="E3868" s="651">
        <v>1408.1</v>
      </c>
      <c r="F3868" s="651" t="s">
        <v>223</v>
      </c>
      <c r="G3868" s="651">
        <v>1190</v>
      </c>
      <c r="H3868" s="732">
        <v>2</v>
      </c>
      <c r="I3868" s="732">
        <v>3</v>
      </c>
      <c r="J3868" s="732">
        <v>24</v>
      </c>
      <c r="K3868" s="697" t="s">
        <v>263</v>
      </c>
      <c r="L3868" s="650">
        <f t="shared" si="564"/>
        <v>2795121</v>
      </c>
      <c r="M3868" s="645">
        <v>2737000</v>
      </c>
      <c r="N3868" s="388">
        <v>27370</v>
      </c>
      <c r="O3868" s="473"/>
      <c r="P3868" s="388"/>
      <c r="Q3868" s="388">
        <v>30751</v>
      </c>
      <c r="R3868" s="528">
        <f>M3868/G3868</f>
        <v>2300</v>
      </c>
      <c r="U3868" s="464"/>
    </row>
    <row r="3869" spans="1:21" s="420" customFormat="1" ht="56.25" customHeight="1">
      <c r="A3869" s="697">
        <f t="shared" si="565"/>
        <v>7</v>
      </c>
      <c r="B3869" s="743" t="s">
        <v>3005</v>
      </c>
      <c r="C3869" s="648" t="s">
        <v>222</v>
      </c>
      <c r="D3869" s="700">
        <v>6212</v>
      </c>
      <c r="E3869" s="651">
        <v>1396.1</v>
      </c>
      <c r="F3869" s="651" t="s">
        <v>223</v>
      </c>
      <c r="G3869" s="651">
        <v>1200</v>
      </c>
      <c r="H3869" s="732">
        <v>2</v>
      </c>
      <c r="I3869" s="732">
        <v>3</v>
      </c>
      <c r="J3869" s="732">
        <v>24</v>
      </c>
      <c r="K3869" s="697" t="s">
        <v>263</v>
      </c>
      <c r="L3869" s="650">
        <f t="shared" si="564"/>
        <v>2709913</v>
      </c>
      <c r="M3869" s="645">
        <v>2652660</v>
      </c>
      <c r="N3869" s="388">
        <v>26527</v>
      </c>
      <c r="O3869" s="473"/>
      <c r="P3869" s="388"/>
      <c r="Q3869" s="388">
        <v>30726</v>
      </c>
      <c r="R3869" s="528">
        <f>M3869/G3869</f>
        <v>2210.5500000000002</v>
      </c>
      <c r="U3869" s="464"/>
    </row>
    <row r="3870" spans="1:21" s="403" customFormat="1" ht="42.75" customHeight="1">
      <c r="A3870" s="1112" t="s">
        <v>136</v>
      </c>
      <c r="B3870" s="1112"/>
      <c r="C3870" s="455" t="s">
        <v>28</v>
      </c>
      <c r="D3870" s="641">
        <f>SUM(D3863:D3869)</f>
        <v>85503</v>
      </c>
      <c r="E3870" s="388">
        <f>SUM(E3863:E3869)</f>
        <v>15861</v>
      </c>
      <c r="F3870" s="388" t="s">
        <v>28</v>
      </c>
      <c r="G3870" s="388">
        <f>SUM(G3863:G3869)</f>
        <v>9592</v>
      </c>
      <c r="H3870" s="446" t="s">
        <v>28</v>
      </c>
      <c r="I3870" s="446" t="s">
        <v>28</v>
      </c>
      <c r="J3870" s="446">
        <f>SUM(J3863:J3869)</f>
        <v>398</v>
      </c>
      <c r="K3870" s="397" t="s">
        <v>28</v>
      </c>
      <c r="L3870" s="519">
        <f>SUM(L3863:L3869)</f>
        <v>19627717</v>
      </c>
      <c r="M3870" s="519">
        <f>SUM(M3863:M3869)</f>
        <v>19250643</v>
      </c>
      <c r="N3870" s="388">
        <f>SUM(N3863:N3869)</f>
        <v>144627</v>
      </c>
      <c r="O3870" s="473">
        <f>SUM(O3863:O3869)</f>
        <v>14364</v>
      </c>
      <c r="P3870" s="388"/>
      <c r="Q3870" s="388">
        <f>SUM(Q3863:Q3869)</f>
        <v>218083</v>
      </c>
      <c r="R3870" s="446" t="s">
        <v>28</v>
      </c>
      <c r="T3870" s="393"/>
      <c r="U3870" s="464"/>
    </row>
    <row r="3871" spans="1:21" s="403" customFormat="1" ht="42.75" customHeight="1">
      <c r="A3871" s="1136" t="s">
        <v>161</v>
      </c>
      <c r="B3871" s="1136"/>
      <c r="C3871" s="1136"/>
      <c r="D3871" s="1136"/>
      <c r="E3871" s="1136"/>
      <c r="F3871" s="1136"/>
      <c r="G3871" s="1136"/>
      <c r="H3871" s="1136"/>
      <c r="I3871" s="1136"/>
      <c r="J3871" s="1136"/>
      <c r="K3871" s="1136"/>
      <c r="L3871" s="1136"/>
      <c r="M3871" s="1136"/>
      <c r="N3871" s="1136"/>
      <c r="O3871" s="1136"/>
      <c r="P3871" s="1136"/>
      <c r="Q3871" s="1136"/>
      <c r="R3871" s="377"/>
      <c r="S3871" s="383"/>
      <c r="T3871" s="387"/>
      <c r="U3871" s="404"/>
    </row>
    <row r="3872" spans="1:21" s="403" customFormat="1" ht="46.5" customHeight="1">
      <c r="A3872" s="1123" t="s">
        <v>162</v>
      </c>
      <c r="B3872" s="1123"/>
      <c r="C3872" s="446" t="s">
        <v>28</v>
      </c>
      <c r="D3872" s="388">
        <f>D3900+D3938+D3964+D4080+D4091+D4095+D4098+D4102+D4108+D4132+D4135+D4141+D4146+D4149+D4179+D4184+D4187+D4192+D4217+D4224+D4237+D4266+D4270+D4275</f>
        <v>4748458.8572364356</v>
      </c>
      <c r="E3872" s="388">
        <f>E3900+E3938+E3964+E4080+E4091+E4095+E4098+E4102+E4108+E4132+E4135+E4141+E4146+E4149+E4179+E4184+E4187+E4192+E4217+E4224+E4237+E4266+E4270+E4275</f>
        <v>886858.77</v>
      </c>
      <c r="F3872" s="383" t="s">
        <v>28</v>
      </c>
      <c r="G3872" s="388">
        <f>G3900+G3938+G3964+G4080+G4091+G4095+G4098+G4102+G4108+G4132+G4135+G4141+G4146+G4149+G4179+G4184+G4187+G4192+G4217+G4224+G4237+G4266+G4270+G4275</f>
        <v>352402.27</v>
      </c>
      <c r="H3872" s="382" t="s">
        <v>28</v>
      </c>
      <c r="I3872" s="382" t="s">
        <v>28</v>
      </c>
      <c r="J3872" s="446">
        <f>J3900+J3938+J3964+J4080+J4091+J4095+J4098+J4102+J4108+J4132+J4135+J4141+J4146+J4149+J4179+J4184+J4187+J4192+J4217+J4224+J4237+J4266+J4270+J4275</f>
        <v>24118</v>
      </c>
      <c r="K3872" s="458" t="s">
        <v>28</v>
      </c>
      <c r="L3872" s="519">
        <f>L3900+L3938+L3964+L4080+L4091+L4095+L4098+L4102+L4108+L4132+L4135+L4141+L4146+L4149+L4179+L4184+L4187+L4192+L4217+L4224+L4237+L4266+L4270+L4275</f>
        <v>1090767477.8200002</v>
      </c>
      <c r="M3872" s="519">
        <f>M3900+M3938+M3964+M4080+M4091+M4095+M4098+M4102+M4108+M4132+M4135+M4141+M4146+M4149+M4179+M4184+M4187+M4192+M4217+M4224+M4237+M4266+M4270+M4275</f>
        <v>1070688272.8099999</v>
      </c>
      <c r="N3872" s="388">
        <f>N3900+N3938+N3964+N4080+N4091+N4095+N4098+N4102+N4108+N4132+N4135+N4141+N4146+N4149+N4179+N4184+N4187+N4192+N4217+N4224+N4237+N4266+N4270+N4275</f>
        <v>12356373.449999999</v>
      </c>
      <c r="O3872" s="473">
        <f>O3900+O3938+O3964+O4080+O4091+O4095+O4098+O4102+O4108+O4132+O4135+O4141+O4146+O4149+O4179+O4184+O4187+O4192+O4217+O4224+O4237+O4266+O4270+O4275</f>
        <v>1219373</v>
      </c>
      <c r="P3872" s="388"/>
      <c r="Q3872" s="388">
        <f>Q3900+Q3938+Q3964+Q4080+Q4091+Q4095+Q4098+Q4102+Q4108+Q4132+Q4135+Q4141+Q4146+Q4149+Q4179+Q4184+Q4187+Q4192+Q4217+Q4224+Q4237+Q4266+Q4270+Q4275</f>
        <v>6503458.5600000005</v>
      </c>
      <c r="R3872" s="446" t="s">
        <v>28</v>
      </c>
      <c r="S3872" s="383">
        <f t="shared" ref="S3872:S3899" si="566">L3872-M3872-N3872-O3872-P3872-Q3872</f>
        <v>2.2910535335540771E-7</v>
      </c>
      <c r="T3872" s="387" t="e">
        <f>'1.перечень МКД'!#REF!</f>
        <v>#REF!</v>
      </c>
      <c r="U3872" s="390" t="e">
        <f>L3872-T3872</f>
        <v>#REF!</v>
      </c>
    </row>
    <row r="3873" spans="1:22" s="403" customFormat="1" ht="42.75" customHeight="1">
      <c r="A3873" s="1113" t="s">
        <v>164</v>
      </c>
      <c r="B3873" s="1113"/>
      <c r="C3873" s="1113"/>
      <c r="D3873" s="1113"/>
      <c r="E3873" s="1113"/>
      <c r="F3873" s="1113"/>
      <c r="G3873" s="1113"/>
      <c r="H3873" s="1113"/>
      <c r="I3873" s="1113"/>
      <c r="J3873" s="1113"/>
      <c r="K3873" s="1113"/>
      <c r="L3873" s="1113"/>
      <c r="M3873" s="1113"/>
      <c r="N3873" s="1113"/>
      <c r="O3873" s="1113"/>
      <c r="P3873" s="1113"/>
      <c r="Q3873" s="1113"/>
      <c r="R3873" s="458"/>
      <c r="S3873" s="383">
        <f t="shared" si="566"/>
        <v>0</v>
      </c>
      <c r="T3873" s="387"/>
      <c r="U3873" s="404"/>
    </row>
    <row r="3874" spans="1:22" s="403" customFormat="1" ht="37.5" customHeight="1">
      <c r="A3874" s="404">
        <v>1</v>
      </c>
      <c r="B3874" s="705" t="s">
        <v>3017</v>
      </c>
      <c r="C3874" s="455" t="s">
        <v>283</v>
      </c>
      <c r="D3874" s="747">
        <v>21226</v>
      </c>
      <c r="E3874" s="748">
        <v>2377</v>
      </c>
      <c r="F3874" s="748" t="s">
        <v>234</v>
      </c>
      <c r="G3874" s="748">
        <v>750</v>
      </c>
      <c r="H3874" s="676">
        <v>9</v>
      </c>
      <c r="I3874" s="446">
        <v>2</v>
      </c>
      <c r="J3874" s="749">
        <v>72</v>
      </c>
      <c r="K3874" s="750" t="s">
        <v>220</v>
      </c>
      <c r="L3874" s="519">
        <f>SUM(M3874:Q3874)</f>
        <v>4106250</v>
      </c>
      <c r="M3874" s="751">
        <v>4000000</v>
      </c>
      <c r="N3874" s="752">
        <v>106250</v>
      </c>
      <c r="O3874" s="753"/>
      <c r="P3874" s="752"/>
      <c r="Q3874" s="752"/>
      <c r="R3874" s="528">
        <f>M3874/I3874</f>
        <v>2000000</v>
      </c>
      <c r="S3874" s="383">
        <f>L3874-M3874-N3874-O3874-P3874-Q3874</f>
        <v>0</v>
      </c>
      <c r="T3874" s="387"/>
      <c r="U3874" s="390"/>
      <c r="V3874" s="390"/>
    </row>
    <row r="3875" spans="1:22" s="403" customFormat="1" ht="37.5" customHeight="1">
      <c r="A3875" s="404">
        <f>A3874+1</f>
        <v>2</v>
      </c>
      <c r="B3875" s="705" t="s">
        <v>1142</v>
      </c>
      <c r="C3875" s="455" t="s">
        <v>218</v>
      </c>
      <c r="D3875" s="747">
        <v>16781</v>
      </c>
      <c r="E3875" s="748">
        <v>3888</v>
      </c>
      <c r="F3875" s="748" t="s">
        <v>234</v>
      </c>
      <c r="G3875" s="748">
        <v>637</v>
      </c>
      <c r="H3875" s="676">
        <v>9</v>
      </c>
      <c r="I3875" s="446">
        <v>2</v>
      </c>
      <c r="J3875" s="749">
        <v>72</v>
      </c>
      <c r="K3875" s="750" t="s">
        <v>220</v>
      </c>
      <c r="L3875" s="519">
        <f>SUM(M3875:Q3875)</f>
        <v>4106250</v>
      </c>
      <c r="M3875" s="751">
        <v>4000000</v>
      </c>
      <c r="N3875" s="752">
        <v>106250</v>
      </c>
      <c r="O3875" s="753"/>
      <c r="P3875" s="752"/>
      <c r="Q3875" s="752"/>
      <c r="R3875" s="528">
        <f>M3875/I3875</f>
        <v>2000000</v>
      </c>
      <c r="S3875" s="383">
        <f>L3875-M3875-N3875-O3875-P3875-Q3875</f>
        <v>0</v>
      </c>
      <c r="T3875" s="391"/>
      <c r="U3875" s="406"/>
      <c r="V3875" s="390"/>
    </row>
    <row r="3876" spans="1:22" s="403" customFormat="1" ht="37.5" customHeight="1">
      <c r="A3876" s="404">
        <f t="shared" ref="A3876:A3899" si="567">A3875+1</f>
        <v>3</v>
      </c>
      <c r="B3876" s="705" t="s">
        <v>3007</v>
      </c>
      <c r="C3876" s="455" t="s">
        <v>283</v>
      </c>
      <c r="D3876" s="747">
        <v>3102</v>
      </c>
      <c r="E3876" s="748">
        <v>709</v>
      </c>
      <c r="F3876" s="748" t="s">
        <v>231</v>
      </c>
      <c r="G3876" s="748">
        <v>635</v>
      </c>
      <c r="H3876" s="676">
        <v>2</v>
      </c>
      <c r="I3876" s="446">
        <v>2</v>
      </c>
      <c r="J3876" s="749">
        <v>16</v>
      </c>
      <c r="K3876" s="750" t="s">
        <v>33</v>
      </c>
      <c r="L3876" s="519">
        <f t="shared" ref="L3876:L3897" si="568">SUM(M3876:Q3876)</f>
        <v>1821343</v>
      </c>
      <c r="M3876" s="751">
        <v>1778000</v>
      </c>
      <c r="N3876" s="752">
        <v>28000</v>
      </c>
      <c r="O3876" s="753"/>
      <c r="P3876" s="752"/>
      <c r="Q3876" s="752">
        <v>15343</v>
      </c>
      <c r="R3876" s="528">
        <f>M3876/G3876</f>
        <v>2800</v>
      </c>
      <c r="S3876" s="383">
        <f t="shared" si="566"/>
        <v>0</v>
      </c>
      <c r="T3876" s="387"/>
      <c r="U3876" s="390"/>
    </row>
    <row r="3877" spans="1:22" s="403" customFormat="1" ht="37.5" customHeight="1">
      <c r="A3877" s="404">
        <f t="shared" si="567"/>
        <v>4</v>
      </c>
      <c r="B3877" s="705" t="s">
        <v>3008</v>
      </c>
      <c r="C3877" s="455" t="s">
        <v>283</v>
      </c>
      <c r="D3877" s="747">
        <v>25060</v>
      </c>
      <c r="E3877" s="748">
        <v>4587</v>
      </c>
      <c r="F3877" s="748" t="s">
        <v>223</v>
      </c>
      <c r="G3877" s="748">
        <v>2080</v>
      </c>
      <c r="H3877" s="676">
        <v>5</v>
      </c>
      <c r="I3877" s="446">
        <v>8</v>
      </c>
      <c r="J3877" s="749">
        <v>129</v>
      </c>
      <c r="K3877" s="750" t="s">
        <v>225</v>
      </c>
      <c r="L3877" s="519">
        <f t="shared" si="568"/>
        <v>2898000</v>
      </c>
      <c r="M3877" s="751">
        <v>2838000</v>
      </c>
      <c r="N3877" s="752">
        <v>40000</v>
      </c>
      <c r="O3877" s="753"/>
      <c r="P3877" s="752"/>
      <c r="Q3877" s="752">
        <v>20000</v>
      </c>
      <c r="R3877" s="528">
        <f>M3877/J3877</f>
        <v>22000</v>
      </c>
      <c r="S3877" s="383">
        <f t="shared" si="566"/>
        <v>0</v>
      </c>
      <c r="T3877" s="387"/>
      <c r="U3877" s="390"/>
    </row>
    <row r="3878" spans="1:22" s="403" customFormat="1" ht="37.5" customHeight="1">
      <c r="A3878" s="404">
        <f t="shared" si="567"/>
        <v>5</v>
      </c>
      <c r="B3878" s="705" t="s">
        <v>3009</v>
      </c>
      <c r="C3878" s="455" t="s">
        <v>283</v>
      </c>
      <c r="D3878" s="747">
        <v>11944</v>
      </c>
      <c r="E3878" s="748">
        <v>2268</v>
      </c>
      <c r="F3878" s="748" t="s">
        <v>234</v>
      </c>
      <c r="G3878" s="748">
        <v>1100</v>
      </c>
      <c r="H3878" s="676">
        <v>5</v>
      </c>
      <c r="I3878" s="446">
        <v>4</v>
      </c>
      <c r="J3878" s="749">
        <v>60</v>
      </c>
      <c r="K3878" s="750" t="s">
        <v>33</v>
      </c>
      <c r="L3878" s="519">
        <f t="shared" si="568"/>
        <v>2226600</v>
      </c>
      <c r="M3878" s="751">
        <v>2200000</v>
      </c>
      <c r="N3878" s="752"/>
      <c r="O3878" s="753">
        <f>ROUND(M3878*0.3%,0)</f>
        <v>6600</v>
      </c>
      <c r="P3878" s="752"/>
      <c r="Q3878" s="752">
        <v>20000</v>
      </c>
      <c r="R3878" s="528">
        <f>M3878/G3878</f>
        <v>2000</v>
      </c>
      <c r="S3878" s="383">
        <f t="shared" si="566"/>
        <v>0</v>
      </c>
      <c r="T3878" s="387"/>
      <c r="U3878" s="390"/>
    </row>
    <row r="3879" spans="1:22" s="403" customFormat="1" ht="39.75" customHeight="1">
      <c r="A3879" s="404">
        <f t="shared" si="567"/>
        <v>6</v>
      </c>
      <c r="B3879" s="705" t="s">
        <v>3010</v>
      </c>
      <c r="C3879" s="455" t="s">
        <v>283</v>
      </c>
      <c r="D3879" s="747">
        <v>21597</v>
      </c>
      <c r="E3879" s="748">
        <v>4111</v>
      </c>
      <c r="F3879" s="748" t="s">
        <v>234</v>
      </c>
      <c r="G3879" s="748">
        <v>982</v>
      </c>
      <c r="H3879" s="676">
        <v>5</v>
      </c>
      <c r="I3879" s="446">
        <v>2</v>
      </c>
      <c r="J3879" s="749">
        <v>140</v>
      </c>
      <c r="K3879" s="750" t="s">
        <v>33</v>
      </c>
      <c r="L3879" s="519">
        <f t="shared" si="568"/>
        <v>1989892</v>
      </c>
      <c r="M3879" s="751">
        <v>1964000</v>
      </c>
      <c r="N3879" s="752"/>
      <c r="O3879" s="753">
        <f>ROUND(M3879*0.3%,0)</f>
        <v>5892</v>
      </c>
      <c r="P3879" s="752"/>
      <c r="Q3879" s="752">
        <v>20000</v>
      </c>
      <c r="R3879" s="528">
        <f>M3879/G3879</f>
        <v>2000</v>
      </c>
      <c r="S3879" s="383">
        <f t="shared" si="566"/>
        <v>0</v>
      </c>
      <c r="T3879" s="387"/>
      <c r="U3879" s="390"/>
    </row>
    <row r="3880" spans="1:22" s="403" customFormat="1" ht="37.5" customHeight="1">
      <c r="A3880" s="404">
        <f t="shared" si="567"/>
        <v>7</v>
      </c>
      <c r="B3880" s="705" t="s">
        <v>3011</v>
      </c>
      <c r="C3880" s="455" t="s">
        <v>283</v>
      </c>
      <c r="D3880" s="747">
        <v>11928</v>
      </c>
      <c r="E3880" s="748">
        <v>2105</v>
      </c>
      <c r="F3880" s="748" t="s">
        <v>234</v>
      </c>
      <c r="G3880" s="748">
        <v>894</v>
      </c>
      <c r="H3880" s="676">
        <v>5</v>
      </c>
      <c r="I3880" s="446">
        <v>4</v>
      </c>
      <c r="J3880" s="749">
        <v>60</v>
      </c>
      <c r="K3880" s="750" t="s">
        <v>33</v>
      </c>
      <c r="L3880" s="519">
        <f t="shared" si="568"/>
        <v>1375000</v>
      </c>
      <c r="M3880" s="751">
        <v>1320000</v>
      </c>
      <c r="N3880" s="752">
        <v>35000</v>
      </c>
      <c r="O3880" s="753"/>
      <c r="P3880" s="752"/>
      <c r="Q3880" s="752">
        <v>20000</v>
      </c>
      <c r="R3880" s="528">
        <f>M3880/J3880</f>
        <v>22000</v>
      </c>
      <c r="S3880" s="383">
        <f t="shared" si="566"/>
        <v>0</v>
      </c>
      <c r="T3880" s="387"/>
      <c r="U3880" s="390"/>
    </row>
    <row r="3881" spans="1:22" s="403" customFormat="1" ht="37.5" customHeight="1">
      <c r="A3881" s="404">
        <f t="shared" si="567"/>
        <v>8</v>
      </c>
      <c r="B3881" s="705" t="s">
        <v>3012</v>
      </c>
      <c r="C3881" s="455" t="s">
        <v>283</v>
      </c>
      <c r="D3881" s="747">
        <v>19474</v>
      </c>
      <c r="E3881" s="748">
        <v>3553</v>
      </c>
      <c r="F3881" s="748" t="s">
        <v>231</v>
      </c>
      <c r="G3881" s="748">
        <v>1747</v>
      </c>
      <c r="H3881" s="676">
        <v>5</v>
      </c>
      <c r="I3881" s="446">
        <v>6</v>
      </c>
      <c r="J3881" s="749">
        <v>96</v>
      </c>
      <c r="K3881" s="750" t="s">
        <v>33</v>
      </c>
      <c r="L3881" s="519">
        <f t="shared" si="568"/>
        <v>4445500</v>
      </c>
      <c r="M3881" s="751">
        <v>4367500</v>
      </c>
      <c r="N3881" s="752">
        <v>38000</v>
      </c>
      <c r="O3881" s="753"/>
      <c r="P3881" s="752"/>
      <c r="Q3881" s="752">
        <v>40000</v>
      </c>
      <c r="R3881" s="528">
        <f>M3881/G3881</f>
        <v>2500</v>
      </c>
      <c r="S3881" s="383">
        <f t="shared" si="566"/>
        <v>0</v>
      </c>
      <c r="T3881" s="387"/>
      <c r="U3881" s="390"/>
    </row>
    <row r="3882" spans="1:22" s="403" customFormat="1" ht="37.5" customHeight="1">
      <c r="A3882" s="404">
        <f t="shared" si="567"/>
        <v>9</v>
      </c>
      <c r="B3882" s="705" t="s">
        <v>3013</v>
      </c>
      <c r="C3882" s="455" t="s">
        <v>283</v>
      </c>
      <c r="D3882" s="747">
        <v>20973</v>
      </c>
      <c r="E3882" s="748">
        <v>3272</v>
      </c>
      <c r="F3882" s="748" t="s">
        <v>223</v>
      </c>
      <c r="G3882" s="748">
        <v>1556</v>
      </c>
      <c r="H3882" s="676">
        <v>5</v>
      </c>
      <c r="I3882" s="446">
        <v>6</v>
      </c>
      <c r="J3882" s="749">
        <v>100</v>
      </c>
      <c r="K3882" s="750" t="s">
        <v>225</v>
      </c>
      <c r="L3882" s="519">
        <f t="shared" si="568"/>
        <v>2260000</v>
      </c>
      <c r="M3882" s="751">
        <v>2200000</v>
      </c>
      <c r="N3882" s="752">
        <v>40000</v>
      </c>
      <c r="O3882" s="753"/>
      <c r="P3882" s="752"/>
      <c r="Q3882" s="752">
        <v>20000</v>
      </c>
      <c r="R3882" s="528">
        <f>M3882/J3882</f>
        <v>22000</v>
      </c>
      <c r="S3882" s="383">
        <f t="shared" si="566"/>
        <v>0</v>
      </c>
      <c r="T3882" s="387"/>
      <c r="U3882" s="390"/>
    </row>
    <row r="3883" spans="1:22" s="403" customFormat="1" ht="37.5" customHeight="1">
      <c r="A3883" s="404">
        <f t="shared" si="567"/>
        <v>10</v>
      </c>
      <c r="B3883" s="705" t="s">
        <v>3014</v>
      </c>
      <c r="C3883" s="455" t="s">
        <v>283</v>
      </c>
      <c r="D3883" s="747">
        <v>18223</v>
      </c>
      <c r="E3883" s="748">
        <v>3492</v>
      </c>
      <c r="F3883" s="748" t="s">
        <v>234</v>
      </c>
      <c r="G3883" s="748">
        <v>1604</v>
      </c>
      <c r="H3883" s="676">
        <v>5</v>
      </c>
      <c r="I3883" s="446">
        <v>6</v>
      </c>
      <c r="J3883" s="749">
        <v>80</v>
      </c>
      <c r="K3883" s="750" t="s">
        <v>33</v>
      </c>
      <c r="L3883" s="519">
        <f t="shared" si="568"/>
        <v>1820000</v>
      </c>
      <c r="M3883" s="751">
        <v>1760000</v>
      </c>
      <c r="N3883" s="752">
        <v>40000</v>
      </c>
      <c r="O3883" s="753"/>
      <c r="P3883" s="752"/>
      <c r="Q3883" s="752">
        <v>20000</v>
      </c>
      <c r="R3883" s="528">
        <f>M3883/J3883</f>
        <v>22000</v>
      </c>
      <c r="S3883" s="383">
        <f t="shared" si="566"/>
        <v>0</v>
      </c>
      <c r="T3883" s="387"/>
      <c r="U3883" s="390"/>
    </row>
    <row r="3884" spans="1:22" s="403" customFormat="1" ht="37.5" customHeight="1">
      <c r="A3884" s="404">
        <f t="shared" si="567"/>
        <v>11</v>
      </c>
      <c r="B3884" s="705" t="s">
        <v>3015</v>
      </c>
      <c r="C3884" s="455" t="s">
        <v>283</v>
      </c>
      <c r="D3884" s="747">
        <v>18348</v>
      </c>
      <c r="E3884" s="748">
        <v>3383</v>
      </c>
      <c r="F3884" s="748" t="s">
        <v>234</v>
      </c>
      <c r="G3884" s="748">
        <v>1626</v>
      </c>
      <c r="H3884" s="676">
        <v>5</v>
      </c>
      <c r="I3884" s="446">
        <v>6</v>
      </c>
      <c r="J3884" s="749">
        <v>80</v>
      </c>
      <c r="K3884" s="750" t="s">
        <v>225</v>
      </c>
      <c r="L3884" s="519">
        <f t="shared" si="568"/>
        <v>1820000</v>
      </c>
      <c r="M3884" s="751">
        <v>1760000</v>
      </c>
      <c r="N3884" s="752">
        <v>40000</v>
      </c>
      <c r="O3884" s="753"/>
      <c r="P3884" s="752"/>
      <c r="Q3884" s="752">
        <v>20000</v>
      </c>
      <c r="R3884" s="528">
        <f>M3884/J3884</f>
        <v>22000</v>
      </c>
      <c r="S3884" s="383">
        <f t="shared" si="566"/>
        <v>0</v>
      </c>
      <c r="T3884" s="387"/>
      <c r="U3884" s="390"/>
    </row>
    <row r="3885" spans="1:22" s="403" customFormat="1" ht="37.5" customHeight="1">
      <c r="A3885" s="404">
        <f t="shared" si="567"/>
        <v>12</v>
      </c>
      <c r="B3885" s="705" t="s">
        <v>3016</v>
      </c>
      <c r="C3885" s="455" t="s">
        <v>283</v>
      </c>
      <c r="D3885" s="747">
        <v>27376</v>
      </c>
      <c r="E3885" s="748">
        <v>3604</v>
      </c>
      <c r="F3885" s="748" t="s">
        <v>234</v>
      </c>
      <c r="G3885" s="748">
        <v>1300</v>
      </c>
      <c r="H3885" s="676">
        <v>5</v>
      </c>
      <c r="I3885" s="446">
        <v>7</v>
      </c>
      <c r="J3885" s="749">
        <v>102</v>
      </c>
      <c r="K3885" s="750" t="s">
        <v>33</v>
      </c>
      <c r="L3885" s="519">
        <f t="shared" si="568"/>
        <v>2627800</v>
      </c>
      <c r="M3885" s="751">
        <v>2600000</v>
      </c>
      <c r="N3885" s="752"/>
      <c r="O3885" s="753">
        <f>ROUND(M3885*0.3%,0)</f>
        <v>7800</v>
      </c>
      <c r="P3885" s="752"/>
      <c r="Q3885" s="752">
        <v>20000</v>
      </c>
      <c r="R3885" s="528">
        <f>M3885/G3885</f>
        <v>2000</v>
      </c>
      <c r="S3885" s="383">
        <f t="shared" si="566"/>
        <v>0</v>
      </c>
      <c r="T3885" s="387"/>
      <c r="U3885" s="390"/>
    </row>
    <row r="3886" spans="1:22" s="403" customFormat="1" ht="37.5" customHeight="1">
      <c r="A3886" s="404">
        <f t="shared" si="567"/>
        <v>13</v>
      </c>
      <c r="B3886" s="705" t="s">
        <v>3018</v>
      </c>
      <c r="C3886" s="455" t="s">
        <v>283</v>
      </c>
      <c r="D3886" s="747">
        <v>44657</v>
      </c>
      <c r="E3886" s="748">
        <v>9533</v>
      </c>
      <c r="F3886" s="748" t="s">
        <v>234</v>
      </c>
      <c r="G3886" s="748">
        <v>3991</v>
      </c>
      <c r="H3886" s="676">
        <v>5</v>
      </c>
      <c r="I3886" s="446">
        <v>14</v>
      </c>
      <c r="J3886" s="749">
        <v>165</v>
      </c>
      <c r="K3886" s="750" t="s">
        <v>33</v>
      </c>
      <c r="L3886" s="519">
        <f t="shared" si="568"/>
        <v>7672890</v>
      </c>
      <c r="M3886" s="751">
        <v>7630000</v>
      </c>
      <c r="N3886" s="752"/>
      <c r="O3886" s="753">
        <f t="shared" ref="O3886:O3892" si="569">ROUND(M3886*0.3%,0)</f>
        <v>22890</v>
      </c>
      <c r="P3886" s="752"/>
      <c r="Q3886" s="752">
        <v>20000</v>
      </c>
      <c r="R3886" s="528">
        <f>M3886/G3886</f>
        <v>1911.8015534953645</v>
      </c>
      <c r="S3886" s="383">
        <f t="shared" si="566"/>
        <v>0</v>
      </c>
      <c r="T3886" s="387"/>
      <c r="U3886" s="390"/>
    </row>
    <row r="3887" spans="1:22" s="403" customFormat="1" ht="37.5" customHeight="1">
      <c r="A3887" s="404">
        <f t="shared" si="567"/>
        <v>14</v>
      </c>
      <c r="B3887" s="705" t="s">
        <v>3019</v>
      </c>
      <c r="C3887" s="455" t="s">
        <v>283</v>
      </c>
      <c r="D3887" s="747">
        <v>10700</v>
      </c>
      <c r="E3887" s="748">
        <v>1940</v>
      </c>
      <c r="F3887" s="748" t="s">
        <v>234</v>
      </c>
      <c r="G3887" s="748">
        <v>470.8</v>
      </c>
      <c r="H3887" s="676">
        <v>5</v>
      </c>
      <c r="I3887" s="446">
        <v>3</v>
      </c>
      <c r="J3887" s="749">
        <v>45</v>
      </c>
      <c r="K3887" s="750" t="s">
        <v>38</v>
      </c>
      <c r="L3887" s="519">
        <f t="shared" si="568"/>
        <v>1385819</v>
      </c>
      <c r="M3887" s="751">
        <v>1361734</v>
      </c>
      <c r="N3887" s="752"/>
      <c r="O3887" s="753">
        <f t="shared" si="569"/>
        <v>4085</v>
      </c>
      <c r="P3887" s="752"/>
      <c r="Q3887" s="752">
        <v>20000</v>
      </c>
      <c r="R3887" s="528">
        <f>M3887/E3887</f>
        <v>701.9247422680412</v>
      </c>
      <c r="S3887" s="383">
        <f t="shared" si="566"/>
        <v>0</v>
      </c>
      <c r="T3887" s="387"/>
      <c r="U3887" s="390"/>
    </row>
    <row r="3888" spans="1:22" s="403" customFormat="1" ht="37.5" customHeight="1">
      <c r="A3888" s="404">
        <f t="shared" si="567"/>
        <v>15</v>
      </c>
      <c r="B3888" s="705" t="s">
        <v>3020</v>
      </c>
      <c r="C3888" s="455" t="s">
        <v>283</v>
      </c>
      <c r="D3888" s="747">
        <v>23694</v>
      </c>
      <c r="E3888" s="748">
        <v>3937</v>
      </c>
      <c r="F3888" s="748" t="s">
        <v>223</v>
      </c>
      <c r="G3888" s="748">
        <v>1752</v>
      </c>
      <c r="H3888" s="676">
        <v>5</v>
      </c>
      <c r="I3888" s="446">
        <v>6</v>
      </c>
      <c r="J3888" s="749">
        <v>96</v>
      </c>
      <c r="K3888" s="750" t="s">
        <v>38</v>
      </c>
      <c r="L3888" s="519">
        <f t="shared" si="568"/>
        <v>1472337</v>
      </c>
      <c r="M3888" s="751">
        <v>1438023</v>
      </c>
      <c r="N3888" s="752"/>
      <c r="O3888" s="753">
        <f t="shared" si="569"/>
        <v>4314</v>
      </c>
      <c r="P3888" s="752"/>
      <c r="Q3888" s="752">
        <v>30000</v>
      </c>
      <c r="R3888" s="528">
        <f>M3888/E3888</f>
        <v>365.25857251714501</v>
      </c>
      <c r="S3888" s="383">
        <f t="shared" si="566"/>
        <v>0</v>
      </c>
      <c r="T3888" s="387"/>
      <c r="U3888" s="390"/>
    </row>
    <row r="3889" spans="1:22" s="403" customFormat="1" ht="37.5" customHeight="1">
      <c r="A3889" s="404">
        <f t="shared" si="567"/>
        <v>16</v>
      </c>
      <c r="B3889" s="705" t="s">
        <v>3021</v>
      </c>
      <c r="C3889" s="455" t="s">
        <v>283</v>
      </c>
      <c r="D3889" s="747">
        <v>12487</v>
      </c>
      <c r="E3889" s="748">
        <v>2520.3000000000002</v>
      </c>
      <c r="F3889" s="748" t="s">
        <v>223</v>
      </c>
      <c r="G3889" s="748">
        <v>1169</v>
      </c>
      <c r="H3889" s="676">
        <v>5</v>
      </c>
      <c r="I3889" s="446">
        <v>4</v>
      </c>
      <c r="J3889" s="749">
        <v>78</v>
      </c>
      <c r="K3889" s="750" t="s">
        <v>33</v>
      </c>
      <c r="L3889" s="519">
        <f t="shared" si="568"/>
        <v>1537993</v>
      </c>
      <c r="M3889" s="751">
        <v>1493512</v>
      </c>
      <c r="N3889" s="752"/>
      <c r="O3889" s="753">
        <f t="shared" si="569"/>
        <v>4481</v>
      </c>
      <c r="P3889" s="752"/>
      <c r="Q3889" s="752">
        <v>40000</v>
      </c>
      <c r="R3889" s="528">
        <f>M3889/E3889</f>
        <v>592.59294528429155</v>
      </c>
      <c r="S3889" s="383">
        <f t="shared" si="566"/>
        <v>0</v>
      </c>
      <c r="T3889" s="387"/>
      <c r="U3889" s="390"/>
    </row>
    <row r="3890" spans="1:22" s="403" customFormat="1" ht="37.5" customHeight="1">
      <c r="A3890" s="404">
        <f t="shared" si="567"/>
        <v>17</v>
      </c>
      <c r="B3890" s="705" t="s">
        <v>2079</v>
      </c>
      <c r="C3890" s="455" t="s">
        <v>283</v>
      </c>
      <c r="D3890" s="747">
        <v>15030</v>
      </c>
      <c r="E3890" s="748">
        <v>6292</v>
      </c>
      <c r="F3890" s="748" t="s">
        <v>234</v>
      </c>
      <c r="G3890" s="748">
        <v>437</v>
      </c>
      <c r="H3890" s="676">
        <v>9</v>
      </c>
      <c r="I3890" s="446">
        <v>1</v>
      </c>
      <c r="J3890" s="749">
        <v>58</v>
      </c>
      <c r="K3890" s="750" t="s">
        <v>33</v>
      </c>
      <c r="L3890" s="519">
        <f t="shared" si="568"/>
        <v>896622</v>
      </c>
      <c r="M3890" s="751">
        <v>874000</v>
      </c>
      <c r="N3890" s="752"/>
      <c r="O3890" s="753">
        <f t="shared" si="569"/>
        <v>2622</v>
      </c>
      <c r="P3890" s="752"/>
      <c r="Q3890" s="752">
        <v>20000</v>
      </c>
      <c r="R3890" s="528">
        <f>M3890/G3890</f>
        <v>2000</v>
      </c>
      <c r="S3890" s="383">
        <f t="shared" si="566"/>
        <v>0</v>
      </c>
      <c r="T3890" s="387"/>
      <c r="U3890" s="390"/>
    </row>
    <row r="3891" spans="1:22" s="403" customFormat="1" ht="37.5" customHeight="1">
      <c r="A3891" s="404">
        <f t="shared" si="567"/>
        <v>18</v>
      </c>
      <c r="B3891" s="705" t="s">
        <v>3022</v>
      </c>
      <c r="C3891" s="455" t="s">
        <v>283</v>
      </c>
      <c r="D3891" s="747">
        <v>40409</v>
      </c>
      <c r="E3891" s="748">
        <v>9002</v>
      </c>
      <c r="F3891" s="748" t="s">
        <v>234</v>
      </c>
      <c r="G3891" s="748">
        <v>3008</v>
      </c>
      <c r="H3891" s="676">
        <v>5</v>
      </c>
      <c r="I3891" s="446">
        <v>13</v>
      </c>
      <c r="J3891" s="749">
        <v>185</v>
      </c>
      <c r="K3891" s="750" t="s">
        <v>33</v>
      </c>
      <c r="L3891" s="519">
        <f t="shared" si="568"/>
        <v>6054048</v>
      </c>
      <c r="M3891" s="751">
        <v>6016000</v>
      </c>
      <c r="N3891" s="752"/>
      <c r="O3891" s="753">
        <f t="shared" si="569"/>
        <v>18048</v>
      </c>
      <c r="P3891" s="752"/>
      <c r="Q3891" s="752">
        <v>20000</v>
      </c>
      <c r="R3891" s="528">
        <f>M3891/G3891</f>
        <v>2000</v>
      </c>
      <c r="S3891" s="383">
        <f t="shared" si="566"/>
        <v>0</v>
      </c>
      <c r="T3891" s="387"/>
      <c r="U3891" s="390"/>
    </row>
    <row r="3892" spans="1:22" s="403" customFormat="1" ht="56.25" customHeight="1">
      <c r="A3892" s="404">
        <f t="shared" si="567"/>
        <v>19</v>
      </c>
      <c r="B3892" s="705" t="s">
        <v>3023</v>
      </c>
      <c r="C3892" s="455" t="s">
        <v>283</v>
      </c>
      <c r="D3892" s="747">
        <v>17945</v>
      </c>
      <c r="E3892" s="748">
        <v>5573</v>
      </c>
      <c r="F3892" s="748" t="s">
        <v>234</v>
      </c>
      <c r="G3892" s="748">
        <v>1088</v>
      </c>
      <c r="H3892" s="676">
        <v>5</v>
      </c>
      <c r="I3892" s="446">
        <v>1</v>
      </c>
      <c r="J3892" s="749">
        <v>140</v>
      </c>
      <c r="K3892" s="750" t="s">
        <v>30</v>
      </c>
      <c r="L3892" s="519">
        <f t="shared" si="568"/>
        <v>2848400</v>
      </c>
      <c r="M3892" s="751">
        <v>2800000</v>
      </c>
      <c r="N3892" s="752"/>
      <c r="O3892" s="753">
        <f t="shared" si="569"/>
        <v>8400</v>
      </c>
      <c r="P3892" s="752"/>
      <c r="Q3892" s="752">
        <v>40000</v>
      </c>
      <c r="R3892" s="528">
        <f>M3892/J3892</f>
        <v>20000</v>
      </c>
      <c r="S3892" s="383">
        <f t="shared" si="566"/>
        <v>0</v>
      </c>
      <c r="T3892" s="387"/>
      <c r="U3892" s="390"/>
    </row>
    <row r="3893" spans="1:22" s="403" customFormat="1" ht="37.5" customHeight="1">
      <c r="A3893" s="404">
        <f t="shared" si="567"/>
        <v>20</v>
      </c>
      <c r="B3893" s="705" t="s">
        <v>3025</v>
      </c>
      <c r="C3893" s="455" t="s">
        <v>283</v>
      </c>
      <c r="D3893" s="747">
        <v>17046</v>
      </c>
      <c r="E3893" s="748">
        <v>3227</v>
      </c>
      <c r="F3893" s="748" t="s">
        <v>231</v>
      </c>
      <c r="G3893" s="748">
        <v>1544</v>
      </c>
      <c r="H3893" s="676">
        <v>5</v>
      </c>
      <c r="I3893" s="446">
        <v>6</v>
      </c>
      <c r="J3893" s="749">
        <v>92</v>
      </c>
      <c r="K3893" s="750" t="s">
        <v>33</v>
      </c>
      <c r="L3893" s="519">
        <f t="shared" si="568"/>
        <v>4401200</v>
      </c>
      <c r="M3893" s="751">
        <v>4323200</v>
      </c>
      <c r="N3893" s="752">
        <v>38000</v>
      </c>
      <c r="O3893" s="753"/>
      <c r="P3893" s="752"/>
      <c r="Q3893" s="752">
        <v>40000</v>
      </c>
      <c r="R3893" s="528">
        <f>M3893/G3893</f>
        <v>2800</v>
      </c>
      <c r="S3893" s="383">
        <f t="shared" si="566"/>
        <v>0</v>
      </c>
      <c r="T3893" s="387"/>
      <c r="U3893" s="390"/>
    </row>
    <row r="3894" spans="1:22" s="403" customFormat="1" ht="37.5" customHeight="1">
      <c r="A3894" s="404">
        <f t="shared" si="567"/>
        <v>21</v>
      </c>
      <c r="B3894" s="705" t="s">
        <v>3026</v>
      </c>
      <c r="C3894" s="455" t="s">
        <v>283</v>
      </c>
      <c r="D3894" s="747">
        <v>23268</v>
      </c>
      <c r="E3894" s="748">
        <v>4978</v>
      </c>
      <c r="F3894" s="748" t="s">
        <v>231</v>
      </c>
      <c r="G3894" s="748">
        <v>1586</v>
      </c>
      <c r="H3894" s="676">
        <v>5</v>
      </c>
      <c r="I3894" s="446">
        <v>6</v>
      </c>
      <c r="J3894" s="749">
        <v>84</v>
      </c>
      <c r="K3894" s="750" t="s">
        <v>33</v>
      </c>
      <c r="L3894" s="519">
        <f t="shared" si="568"/>
        <v>4518800</v>
      </c>
      <c r="M3894" s="751">
        <v>4440800</v>
      </c>
      <c r="N3894" s="752">
        <v>38000</v>
      </c>
      <c r="O3894" s="753"/>
      <c r="P3894" s="752"/>
      <c r="Q3894" s="752">
        <v>40000</v>
      </c>
      <c r="R3894" s="528">
        <f>M3894/G3894</f>
        <v>2800</v>
      </c>
      <c r="S3894" s="383">
        <f t="shared" si="566"/>
        <v>0</v>
      </c>
      <c r="T3894" s="387"/>
      <c r="U3894" s="390"/>
    </row>
    <row r="3895" spans="1:22" s="403" customFormat="1" ht="37.5" customHeight="1">
      <c r="A3895" s="404">
        <f t="shared" si="567"/>
        <v>22</v>
      </c>
      <c r="B3895" s="705" t="s">
        <v>3027</v>
      </c>
      <c r="C3895" s="455" t="s">
        <v>283</v>
      </c>
      <c r="D3895" s="747">
        <v>21127</v>
      </c>
      <c r="E3895" s="748">
        <v>2881</v>
      </c>
      <c r="F3895" s="748" t="s">
        <v>234</v>
      </c>
      <c r="G3895" s="748">
        <v>1544</v>
      </c>
      <c r="H3895" s="676">
        <v>5</v>
      </c>
      <c r="I3895" s="446">
        <v>7</v>
      </c>
      <c r="J3895" s="749">
        <v>105</v>
      </c>
      <c r="K3895" s="750" t="s">
        <v>33</v>
      </c>
      <c r="L3895" s="519">
        <f t="shared" si="568"/>
        <v>2990663</v>
      </c>
      <c r="M3895" s="751">
        <v>2961778</v>
      </c>
      <c r="N3895" s="752"/>
      <c r="O3895" s="753">
        <f>ROUND(M3895*0.3%,0)</f>
        <v>8885</v>
      </c>
      <c r="P3895" s="752"/>
      <c r="Q3895" s="752">
        <v>20000</v>
      </c>
      <c r="R3895" s="528">
        <f>M3895/G3895</f>
        <v>1918.25</v>
      </c>
      <c r="S3895" s="383">
        <f t="shared" si="566"/>
        <v>0</v>
      </c>
      <c r="T3895" s="387"/>
      <c r="U3895" s="390"/>
    </row>
    <row r="3896" spans="1:22" s="403" customFormat="1" ht="37.5" customHeight="1">
      <c r="A3896" s="404">
        <f t="shared" si="567"/>
        <v>23</v>
      </c>
      <c r="B3896" s="723" t="s">
        <v>3437</v>
      </c>
      <c r="C3896" s="780" t="s">
        <v>222</v>
      </c>
      <c r="D3896" s="780">
        <v>12795</v>
      </c>
      <c r="E3896" s="539">
        <v>1647</v>
      </c>
      <c r="F3896" s="539" t="s">
        <v>231</v>
      </c>
      <c r="G3896" s="790">
        <v>823</v>
      </c>
      <c r="H3896" s="789">
        <v>5</v>
      </c>
      <c r="I3896" s="789">
        <v>2</v>
      </c>
      <c r="J3896" s="599">
        <v>32</v>
      </c>
      <c r="K3896" s="791" t="s">
        <v>33</v>
      </c>
      <c r="L3896" s="519">
        <f t="shared" si="568"/>
        <v>1880600</v>
      </c>
      <c r="M3896" s="792">
        <v>1810600</v>
      </c>
      <c r="N3896" s="790">
        <v>30000</v>
      </c>
      <c r="O3896" s="643"/>
      <c r="P3896" s="790"/>
      <c r="Q3896" s="388">
        <v>40000</v>
      </c>
      <c r="R3896" s="446">
        <f>M3896/G3896</f>
        <v>2200</v>
      </c>
      <c r="S3896" s="383">
        <f t="shared" si="566"/>
        <v>0</v>
      </c>
      <c r="U3896" s="390"/>
    </row>
    <row r="3897" spans="1:22" s="403" customFormat="1" ht="37.5">
      <c r="A3897" s="404">
        <f t="shared" si="567"/>
        <v>24</v>
      </c>
      <c r="B3897" s="723" t="s">
        <v>3438</v>
      </c>
      <c r="C3897" s="780" t="s">
        <v>222</v>
      </c>
      <c r="D3897" s="780">
        <v>12277</v>
      </c>
      <c r="E3897" s="539">
        <v>2570</v>
      </c>
      <c r="F3897" s="539" t="s">
        <v>234</v>
      </c>
      <c r="G3897" s="790">
        <v>1110</v>
      </c>
      <c r="H3897" s="789">
        <v>5</v>
      </c>
      <c r="I3897" s="789">
        <v>4</v>
      </c>
      <c r="J3897" s="599">
        <v>60</v>
      </c>
      <c r="K3897" s="791" t="s">
        <v>33</v>
      </c>
      <c r="L3897" s="519">
        <f t="shared" si="568"/>
        <v>2469326</v>
      </c>
      <c r="M3897" s="792">
        <v>2442000</v>
      </c>
      <c r="N3897" s="790"/>
      <c r="O3897" s="643">
        <f>ROUND(M3897*0.3%,0)</f>
        <v>7326</v>
      </c>
      <c r="P3897" s="790"/>
      <c r="Q3897" s="388">
        <v>20000</v>
      </c>
      <c r="R3897" s="446">
        <f>M3897/G3897</f>
        <v>2200</v>
      </c>
      <c r="S3897" s="383">
        <f t="shared" si="566"/>
        <v>0</v>
      </c>
      <c r="U3897" s="390"/>
    </row>
    <row r="3898" spans="1:22" s="403" customFormat="1" ht="37.5" customHeight="1">
      <c r="A3898" s="404">
        <f t="shared" si="567"/>
        <v>25</v>
      </c>
      <c r="B3898" s="705" t="s">
        <v>2081</v>
      </c>
      <c r="C3898" s="455" t="s">
        <v>283</v>
      </c>
      <c r="D3898" s="747">
        <v>21062</v>
      </c>
      <c r="E3898" s="748">
        <v>3720</v>
      </c>
      <c r="F3898" s="748" t="s">
        <v>234</v>
      </c>
      <c r="G3898" s="748">
        <v>1382</v>
      </c>
      <c r="H3898" s="676">
        <v>5</v>
      </c>
      <c r="I3898" s="446">
        <v>5</v>
      </c>
      <c r="J3898" s="749">
        <v>74</v>
      </c>
      <c r="K3898" s="750" t="s">
        <v>33</v>
      </c>
      <c r="L3898" s="519">
        <f>M3898+N3898+O3898+Q3898</f>
        <v>1739939.88</v>
      </c>
      <c r="M3898" s="751">
        <v>1685291</v>
      </c>
      <c r="N3898" s="752">
        <v>35358</v>
      </c>
      <c r="O3898" s="753"/>
      <c r="P3898" s="752"/>
      <c r="Q3898" s="752">
        <v>19290.88</v>
      </c>
      <c r="R3898" s="528"/>
      <c r="S3898" s="383">
        <f t="shared" si="566"/>
        <v>-1.127773430198431E-10</v>
      </c>
      <c r="T3898" s="391"/>
      <c r="U3898" s="406"/>
      <c r="V3898" s="390"/>
    </row>
    <row r="3899" spans="1:22" s="403" customFormat="1" ht="37.5" customHeight="1">
      <c r="A3899" s="404">
        <f t="shared" si="567"/>
        <v>26</v>
      </c>
      <c r="B3899" s="705" t="s">
        <v>2085</v>
      </c>
      <c r="C3899" s="455" t="s">
        <v>283</v>
      </c>
      <c r="D3899" s="747">
        <v>28611</v>
      </c>
      <c r="E3899" s="748">
        <v>5312</v>
      </c>
      <c r="F3899" s="748" t="s">
        <v>234</v>
      </c>
      <c r="G3899" s="748">
        <v>1767</v>
      </c>
      <c r="H3899" s="676">
        <v>5</v>
      </c>
      <c r="I3899" s="446">
        <v>8</v>
      </c>
      <c r="J3899" s="749">
        <v>88</v>
      </c>
      <c r="K3899" s="750" t="s">
        <v>33</v>
      </c>
      <c r="L3899" s="519">
        <f>M3899+N3899+O3899+Q3899</f>
        <v>2040148</v>
      </c>
      <c r="M3899" s="751">
        <v>1980900</v>
      </c>
      <c r="N3899" s="752">
        <v>39348</v>
      </c>
      <c r="O3899" s="753"/>
      <c r="P3899" s="752"/>
      <c r="Q3899" s="752">
        <v>19900</v>
      </c>
      <c r="R3899" s="528"/>
      <c r="S3899" s="383">
        <f t="shared" si="566"/>
        <v>0</v>
      </c>
      <c r="T3899" s="391"/>
      <c r="U3899" s="406"/>
      <c r="V3899" s="390"/>
    </row>
    <row r="3900" spans="1:22" s="403" customFormat="1" ht="42.75" customHeight="1">
      <c r="A3900" s="1112" t="s">
        <v>142</v>
      </c>
      <c r="B3900" s="1112"/>
      <c r="C3900" s="455" t="s">
        <v>28</v>
      </c>
      <c r="D3900" s="388">
        <f>SUM(D3874:D3899)</f>
        <v>517140</v>
      </c>
      <c r="E3900" s="388">
        <f>SUM(E3874:E3899)</f>
        <v>100481.3</v>
      </c>
      <c r="F3900" s="388" t="s">
        <v>28</v>
      </c>
      <c r="G3900" s="388">
        <f>SUM(G3874:G3899)</f>
        <v>36582.800000000003</v>
      </c>
      <c r="H3900" s="446" t="s">
        <v>28</v>
      </c>
      <c r="I3900" s="446" t="s">
        <v>28</v>
      </c>
      <c r="J3900" s="446">
        <f>SUM(J3874:J3899)</f>
        <v>2309</v>
      </c>
      <c r="K3900" s="458" t="s">
        <v>28</v>
      </c>
      <c r="L3900" s="388">
        <f t="shared" ref="L3900:Q3900" si="570">SUM(L3874:L3899)</f>
        <v>73405420.879999995</v>
      </c>
      <c r="M3900" s="388">
        <f t="shared" si="570"/>
        <v>72045338</v>
      </c>
      <c r="N3900" s="388">
        <f t="shared" si="570"/>
        <v>654206</v>
      </c>
      <c r="O3900" s="388">
        <f t="shared" si="570"/>
        <v>101343</v>
      </c>
      <c r="P3900" s="388">
        <f t="shared" si="570"/>
        <v>0</v>
      </c>
      <c r="Q3900" s="388">
        <f t="shared" si="570"/>
        <v>604533.88</v>
      </c>
      <c r="R3900" s="446" t="s">
        <v>28</v>
      </c>
      <c r="S3900" s="383">
        <f>L3900-M3900-N3900-O3900-P3900-Q3900</f>
        <v>-4.7730281949043274E-9</v>
      </c>
      <c r="T3900" s="387" t="e">
        <f>'1.перечень МКД'!#REF!</f>
        <v>#REF!</v>
      </c>
      <c r="U3900" s="390" t="e">
        <f>L3900-T3900</f>
        <v>#REF!</v>
      </c>
    </row>
    <row r="3901" spans="1:22" s="403" customFormat="1" ht="32.25" customHeight="1">
      <c r="A3901" s="1113" t="s">
        <v>165</v>
      </c>
      <c r="B3901" s="1113"/>
      <c r="C3901" s="1113"/>
      <c r="D3901" s="1113"/>
      <c r="E3901" s="1113"/>
      <c r="F3901" s="1113"/>
      <c r="G3901" s="1113"/>
      <c r="H3901" s="1113"/>
      <c r="I3901" s="1113"/>
      <c r="J3901" s="1113"/>
      <c r="K3901" s="1113"/>
      <c r="L3901" s="1113"/>
      <c r="M3901" s="1113"/>
      <c r="N3901" s="1113"/>
      <c r="O3901" s="1113"/>
      <c r="P3901" s="1113"/>
      <c r="Q3901" s="1113"/>
      <c r="R3901" s="458"/>
      <c r="U3901" s="404"/>
    </row>
    <row r="3902" spans="1:22" s="403" customFormat="1" ht="37.5" customHeight="1">
      <c r="A3902" s="404">
        <v>1</v>
      </c>
      <c r="B3902" s="705" t="s">
        <v>3038</v>
      </c>
      <c r="C3902" s="455" t="s">
        <v>218</v>
      </c>
      <c r="D3902" s="747">
        <v>64469</v>
      </c>
      <c r="E3902" s="748">
        <v>5289</v>
      </c>
      <c r="F3902" s="748" t="s">
        <v>228</v>
      </c>
      <c r="G3902" s="748">
        <v>3034</v>
      </c>
      <c r="H3902" s="676">
        <v>9</v>
      </c>
      <c r="I3902" s="446">
        <v>8</v>
      </c>
      <c r="J3902" s="749">
        <v>309</v>
      </c>
      <c r="K3902" s="750" t="s">
        <v>220</v>
      </c>
      <c r="L3902" s="519">
        <f t="shared" ref="L3902:L3914" si="571">SUM(M3902:Q3902)</f>
        <v>16233750</v>
      </c>
      <c r="M3902" s="751">
        <v>16000000</v>
      </c>
      <c r="N3902" s="752">
        <v>233750</v>
      </c>
      <c r="O3902" s="753"/>
      <c r="P3902" s="752"/>
      <c r="Q3902" s="752"/>
      <c r="R3902" s="528">
        <f>M3902/I3902</f>
        <v>2000000</v>
      </c>
      <c r="S3902" s="383">
        <f t="shared" ref="S3902:S3933" si="572">L3902-M3902-N3902-O3902-P3902-Q3902</f>
        <v>0</v>
      </c>
      <c r="T3902" s="391"/>
      <c r="U3902" s="406"/>
      <c r="V3902" s="390"/>
    </row>
    <row r="3903" spans="1:22" s="403" customFormat="1" ht="37.5" customHeight="1">
      <c r="A3903" s="404">
        <f>A3902+1</f>
        <v>2</v>
      </c>
      <c r="B3903" s="705" t="s">
        <v>3047</v>
      </c>
      <c r="C3903" s="455" t="s">
        <v>218</v>
      </c>
      <c r="D3903" s="747">
        <v>22047</v>
      </c>
      <c r="E3903" s="748">
        <v>4191</v>
      </c>
      <c r="F3903" s="748" t="s">
        <v>228</v>
      </c>
      <c r="G3903" s="748">
        <v>1067</v>
      </c>
      <c r="H3903" s="676">
        <v>9</v>
      </c>
      <c r="I3903" s="446">
        <v>2</v>
      </c>
      <c r="J3903" s="749"/>
      <c r="K3903" s="750" t="s">
        <v>220</v>
      </c>
      <c r="L3903" s="519">
        <f t="shared" si="571"/>
        <v>4106250</v>
      </c>
      <c r="M3903" s="751">
        <v>4000000</v>
      </c>
      <c r="N3903" s="752">
        <v>106250</v>
      </c>
      <c r="O3903" s="753"/>
      <c r="P3903" s="752"/>
      <c r="Q3903" s="752"/>
      <c r="R3903" s="528">
        <f>M3903/I3903</f>
        <v>2000000</v>
      </c>
      <c r="S3903" s="383">
        <f t="shared" si="572"/>
        <v>0</v>
      </c>
      <c r="T3903" s="391"/>
      <c r="U3903" s="406"/>
      <c r="V3903" s="390"/>
    </row>
    <row r="3904" spans="1:22" s="478" customFormat="1" ht="37.5">
      <c r="A3904" s="404">
        <f t="shared" ref="A3904:A3937" si="573">A3903+1</f>
        <v>3</v>
      </c>
      <c r="B3904" s="493" t="s">
        <v>3934</v>
      </c>
      <c r="C3904" s="506" t="s">
        <v>293</v>
      </c>
      <c r="D3904" s="493">
        <v>16576</v>
      </c>
      <c r="E3904" s="388">
        <v>12735</v>
      </c>
      <c r="F3904" s="388" t="s">
        <v>3894</v>
      </c>
      <c r="G3904" s="388">
        <v>2786</v>
      </c>
      <c r="H3904" s="446">
        <v>9</v>
      </c>
      <c r="I3904" s="446">
        <v>8</v>
      </c>
      <c r="J3904" s="446">
        <v>309</v>
      </c>
      <c r="K3904" s="750" t="s">
        <v>220</v>
      </c>
      <c r="L3904" s="519">
        <f t="shared" si="571"/>
        <v>16233750</v>
      </c>
      <c r="M3904" s="519">
        <v>16000000</v>
      </c>
      <c r="N3904" s="388">
        <v>233750</v>
      </c>
      <c r="O3904" s="473"/>
      <c r="P3904" s="388"/>
      <c r="Q3904" s="388"/>
      <c r="R3904" s="528">
        <f t="shared" ref="R3904:R3913" si="574">M3904/I3904</f>
        <v>2000000</v>
      </c>
      <c r="S3904" s="383">
        <f t="shared" si="572"/>
        <v>0</v>
      </c>
      <c r="T3904" s="404"/>
      <c r="U3904" s="404"/>
    </row>
    <row r="3905" spans="1:24" s="478" customFormat="1" ht="37.5">
      <c r="A3905" s="404">
        <f t="shared" si="573"/>
        <v>4</v>
      </c>
      <c r="B3905" s="493" t="s">
        <v>3925</v>
      </c>
      <c r="C3905" s="506" t="s">
        <v>218</v>
      </c>
      <c r="D3905" s="493">
        <v>47328</v>
      </c>
      <c r="E3905" s="388">
        <v>8582</v>
      </c>
      <c r="F3905" s="388" t="s">
        <v>3894</v>
      </c>
      <c r="G3905" s="388">
        <v>1520</v>
      </c>
      <c r="H3905" s="446">
        <v>9</v>
      </c>
      <c r="I3905" s="446">
        <v>6</v>
      </c>
      <c r="J3905" s="446">
        <v>214</v>
      </c>
      <c r="K3905" s="750" t="s">
        <v>220</v>
      </c>
      <c r="L3905" s="519">
        <f t="shared" si="571"/>
        <v>12191250</v>
      </c>
      <c r="M3905" s="519">
        <v>12000000</v>
      </c>
      <c r="N3905" s="388">
        <v>191250</v>
      </c>
      <c r="O3905" s="473"/>
      <c r="P3905" s="388"/>
      <c r="Q3905" s="388"/>
      <c r="R3905" s="528">
        <f t="shared" si="574"/>
        <v>2000000</v>
      </c>
      <c r="S3905" s="383">
        <f t="shared" si="572"/>
        <v>0</v>
      </c>
      <c r="T3905" s="404"/>
      <c r="U3905" s="404"/>
    </row>
    <row r="3906" spans="1:24" s="478" customFormat="1" ht="37.5">
      <c r="A3906" s="404">
        <f t="shared" si="573"/>
        <v>5</v>
      </c>
      <c r="B3906" s="493" t="s">
        <v>3926</v>
      </c>
      <c r="C3906" s="506" t="s">
        <v>218</v>
      </c>
      <c r="D3906" s="493">
        <v>45793</v>
      </c>
      <c r="E3906" s="388">
        <v>8582</v>
      </c>
      <c r="F3906" s="388" t="s">
        <v>3894</v>
      </c>
      <c r="G3906" s="388">
        <v>1581</v>
      </c>
      <c r="H3906" s="446">
        <v>9</v>
      </c>
      <c r="I3906" s="446">
        <v>6</v>
      </c>
      <c r="J3906" s="446">
        <v>216</v>
      </c>
      <c r="K3906" s="750" t="s">
        <v>220</v>
      </c>
      <c r="L3906" s="519">
        <f t="shared" si="571"/>
        <v>12191250</v>
      </c>
      <c r="M3906" s="519">
        <v>12000000</v>
      </c>
      <c r="N3906" s="388">
        <v>191250</v>
      </c>
      <c r="O3906" s="473"/>
      <c r="P3906" s="388"/>
      <c r="Q3906" s="388"/>
      <c r="R3906" s="528">
        <f t="shared" si="574"/>
        <v>2000000</v>
      </c>
      <c r="S3906" s="383">
        <f t="shared" si="572"/>
        <v>0</v>
      </c>
      <c r="T3906" s="404"/>
      <c r="U3906" s="404"/>
    </row>
    <row r="3907" spans="1:24" s="478" customFormat="1" ht="37.5">
      <c r="A3907" s="404">
        <f t="shared" si="573"/>
        <v>6</v>
      </c>
      <c r="B3907" s="493" t="s">
        <v>3927</v>
      </c>
      <c r="C3907" s="506" t="s">
        <v>218</v>
      </c>
      <c r="D3907" s="493">
        <v>25461</v>
      </c>
      <c r="E3907" s="388">
        <v>6141</v>
      </c>
      <c r="F3907" s="388" t="s">
        <v>3894</v>
      </c>
      <c r="G3907" s="388">
        <v>748</v>
      </c>
      <c r="H3907" s="446">
        <v>9</v>
      </c>
      <c r="I3907" s="446">
        <v>3</v>
      </c>
      <c r="J3907" s="446">
        <v>121</v>
      </c>
      <c r="K3907" s="750" t="s">
        <v>220</v>
      </c>
      <c r="L3907" s="519">
        <f t="shared" si="571"/>
        <v>6191250</v>
      </c>
      <c r="M3907" s="519">
        <v>6000000</v>
      </c>
      <c r="N3907" s="388">
        <v>191250</v>
      </c>
      <c r="O3907" s="473"/>
      <c r="P3907" s="388"/>
      <c r="Q3907" s="388"/>
      <c r="R3907" s="528">
        <f t="shared" si="574"/>
        <v>2000000</v>
      </c>
      <c r="S3907" s="383">
        <f t="shared" si="572"/>
        <v>0</v>
      </c>
      <c r="T3907" s="404"/>
      <c r="U3907" s="404"/>
    </row>
    <row r="3908" spans="1:24" s="478" customFormat="1" ht="37.5">
      <c r="A3908" s="404">
        <f t="shared" si="573"/>
        <v>7</v>
      </c>
      <c r="B3908" s="493" t="s">
        <v>3928</v>
      </c>
      <c r="C3908" s="506" t="s">
        <v>218</v>
      </c>
      <c r="D3908" s="493">
        <v>31719</v>
      </c>
      <c r="E3908" s="388">
        <v>6856</v>
      </c>
      <c r="F3908" s="388" t="s">
        <v>3894</v>
      </c>
      <c r="G3908" s="388">
        <v>1400</v>
      </c>
      <c r="H3908" s="446">
        <v>9</v>
      </c>
      <c r="I3908" s="446">
        <v>4</v>
      </c>
      <c r="J3908" s="446">
        <v>159</v>
      </c>
      <c r="K3908" s="750" t="s">
        <v>220</v>
      </c>
      <c r="L3908" s="519">
        <f t="shared" si="571"/>
        <v>8191250</v>
      </c>
      <c r="M3908" s="519">
        <v>8000000</v>
      </c>
      <c r="N3908" s="388">
        <v>191250</v>
      </c>
      <c r="O3908" s="473"/>
      <c r="P3908" s="388"/>
      <c r="Q3908" s="388"/>
      <c r="R3908" s="528">
        <f t="shared" si="574"/>
        <v>2000000</v>
      </c>
      <c r="S3908" s="383">
        <f t="shared" si="572"/>
        <v>0</v>
      </c>
      <c r="T3908" s="404"/>
      <c r="U3908" s="404"/>
    </row>
    <row r="3909" spans="1:24" s="478" customFormat="1" ht="37.5">
      <c r="A3909" s="404">
        <f t="shared" si="573"/>
        <v>8</v>
      </c>
      <c r="B3909" s="493" t="s">
        <v>3929</v>
      </c>
      <c r="C3909" s="506" t="s">
        <v>218</v>
      </c>
      <c r="D3909" s="493">
        <v>54339</v>
      </c>
      <c r="E3909" s="388">
        <v>4542</v>
      </c>
      <c r="F3909" s="388" t="s">
        <v>3894</v>
      </c>
      <c r="G3909" s="388">
        <v>1800</v>
      </c>
      <c r="H3909" s="446">
        <v>9</v>
      </c>
      <c r="I3909" s="446">
        <v>7</v>
      </c>
      <c r="J3909" s="446">
        <v>252</v>
      </c>
      <c r="K3909" s="750" t="s">
        <v>220</v>
      </c>
      <c r="L3909" s="519">
        <f t="shared" si="571"/>
        <v>14191250</v>
      </c>
      <c r="M3909" s="519">
        <v>14000000</v>
      </c>
      <c r="N3909" s="388">
        <v>191250</v>
      </c>
      <c r="O3909" s="473"/>
      <c r="P3909" s="388"/>
      <c r="Q3909" s="388"/>
      <c r="R3909" s="528">
        <f t="shared" si="574"/>
        <v>2000000</v>
      </c>
      <c r="S3909" s="383">
        <f t="shared" si="572"/>
        <v>0</v>
      </c>
      <c r="T3909" s="404"/>
      <c r="U3909" s="404"/>
    </row>
    <row r="3910" spans="1:24" s="478" customFormat="1" ht="37.5">
      <c r="A3910" s="404">
        <f t="shared" si="573"/>
        <v>9</v>
      </c>
      <c r="B3910" s="493" t="s">
        <v>3930</v>
      </c>
      <c r="C3910" s="506" t="s">
        <v>218</v>
      </c>
      <c r="D3910" s="493">
        <v>48734</v>
      </c>
      <c r="E3910" s="388">
        <v>3893</v>
      </c>
      <c r="F3910" s="388" t="s">
        <v>3894</v>
      </c>
      <c r="G3910" s="388" t="s">
        <v>3931</v>
      </c>
      <c r="H3910" s="446">
        <v>9</v>
      </c>
      <c r="I3910" s="446">
        <v>6</v>
      </c>
      <c r="J3910" s="446">
        <v>215</v>
      </c>
      <c r="K3910" s="750" t="s">
        <v>220</v>
      </c>
      <c r="L3910" s="519">
        <f t="shared" si="571"/>
        <v>12191250</v>
      </c>
      <c r="M3910" s="519">
        <v>12000000</v>
      </c>
      <c r="N3910" s="388">
        <v>191250</v>
      </c>
      <c r="O3910" s="473"/>
      <c r="P3910" s="388"/>
      <c r="Q3910" s="388"/>
      <c r="R3910" s="528">
        <f t="shared" si="574"/>
        <v>2000000</v>
      </c>
      <c r="S3910" s="383">
        <f t="shared" si="572"/>
        <v>0</v>
      </c>
      <c r="T3910" s="404"/>
      <c r="U3910" s="404"/>
    </row>
    <row r="3911" spans="1:24" s="478" customFormat="1" ht="37.5">
      <c r="A3911" s="404">
        <f t="shared" si="573"/>
        <v>10</v>
      </c>
      <c r="B3911" s="493" t="s">
        <v>3932</v>
      </c>
      <c r="C3911" s="506" t="s">
        <v>218</v>
      </c>
      <c r="D3911" s="493">
        <v>17044</v>
      </c>
      <c r="E3911" s="388">
        <v>3061</v>
      </c>
      <c r="F3911" s="388" t="s">
        <v>3894</v>
      </c>
      <c r="G3911" s="388">
        <v>540</v>
      </c>
      <c r="H3911" s="446">
        <v>9</v>
      </c>
      <c r="I3911" s="446">
        <v>2</v>
      </c>
      <c r="J3911" s="446">
        <v>87</v>
      </c>
      <c r="K3911" s="750" t="s">
        <v>220</v>
      </c>
      <c r="L3911" s="519">
        <f t="shared" si="571"/>
        <v>4106250</v>
      </c>
      <c r="M3911" s="519">
        <v>4000000</v>
      </c>
      <c r="N3911" s="388">
        <v>106250</v>
      </c>
      <c r="O3911" s="473"/>
      <c r="P3911" s="388"/>
      <c r="Q3911" s="388"/>
      <c r="R3911" s="528">
        <f t="shared" si="574"/>
        <v>2000000</v>
      </c>
      <c r="S3911" s="383">
        <f t="shared" si="572"/>
        <v>0</v>
      </c>
      <c r="T3911" s="404"/>
      <c r="U3911" s="404"/>
    </row>
    <row r="3912" spans="1:24" s="478" customFormat="1" ht="37.5">
      <c r="A3912" s="404">
        <f t="shared" si="573"/>
        <v>11</v>
      </c>
      <c r="B3912" s="493" t="s">
        <v>2115</v>
      </c>
      <c r="C3912" s="506" t="s">
        <v>293</v>
      </c>
      <c r="D3912" s="493">
        <v>40866</v>
      </c>
      <c r="E3912" s="388">
        <v>5788</v>
      </c>
      <c r="F3912" s="388" t="s">
        <v>3894</v>
      </c>
      <c r="G3912" s="388">
        <v>950</v>
      </c>
      <c r="H3912" s="446">
        <v>9</v>
      </c>
      <c r="I3912" s="446">
        <v>4</v>
      </c>
      <c r="J3912" s="446">
        <v>128</v>
      </c>
      <c r="K3912" s="750" t="s">
        <v>220</v>
      </c>
      <c r="L3912" s="519">
        <f t="shared" si="571"/>
        <v>8148750</v>
      </c>
      <c r="M3912" s="519">
        <v>8000000</v>
      </c>
      <c r="N3912" s="388">
        <v>148750</v>
      </c>
      <c r="O3912" s="473"/>
      <c r="P3912" s="388"/>
      <c r="Q3912" s="388"/>
      <c r="R3912" s="528">
        <f t="shared" si="574"/>
        <v>2000000</v>
      </c>
      <c r="S3912" s="383">
        <f t="shared" si="572"/>
        <v>0</v>
      </c>
      <c r="T3912" s="404"/>
      <c r="U3912" s="404"/>
    </row>
    <row r="3913" spans="1:24" s="478" customFormat="1" ht="37.5">
      <c r="A3913" s="404">
        <f t="shared" si="573"/>
        <v>12</v>
      </c>
      <c r="B3913" s="493" t="s">
        <v>3933</v>
      </c>
      <c r="C3913" s="506" t="s">
        <v>218</v>
      </c>
      <c r="D3913" s="493">
        <v>38753</v>
      </c>
      <c r="E3913" s="388">
        <v>3264</v>
      </c>
      <c r="F3913" s="388" t="s">
        <v>3894</v>
      </c>
      <c r="G3913" s="388">
        <v>1282</v>
      </c>
      <c r="H3913" s="446">
        <v>9</v>
      </c>
      <c r="I3913" s="446">
        <v>5</v>
      </c>
      <c r="J3913" s="446">
        <v>180</v>
      </c>
      <c r="K3913" s="750" t="s">
        <v>220</v>
      </c>
      <c r="L3913" s="519">
        <f t="shared" si="571"/>
        <v>10170000</v>
      </c>
      <c r="M3913" s="519">
        <v>10000000</v>
      </c>
      <c r="N3913" s="388">
        <v>170000</v>
      </c>
      <c r="O3913" s="473"/>
      <c r="P3913" s="388"/>
      <c r="Q3913" s="388"/>
      <c r="R3913" s="528">
        <f t="shared" si="574"/>
        <v>2000000</v>
      </c>
      <c r="S3913" s="383">
        <f t="shared" si="572"/>
        <v>0</v>
      </c>
      <c r="T3913" s="404"/>
      <c r="U3913" s="404"/>
    </row>
    <row r="3914" spans="1:24" s="478" customFormat="1" ht="44.25" customHeight="1">
      <c r="A3914" s="404">
        <f t="shared" si="573"/>
        <v>13</v>
      </c>
      <c r="B3914" s="705" t="s">
        <v>2107</v>
      </c>
      <c r="C3914" s="455" t="s">
        <v>218</v>
      </c>
      <c r="D3914" s="747">
        <v>24885</v>
      </c>
      <c r="E3914" s="748">
        <v>2280</v>
      </c>
      <c r="F3914" s="748" t="s">
        <v>228</v>
      </c>
      <c r="G3914" s="748">
        <v>1132</v>
      </c>
      <c r="H3914" s="676">
        <v>9</v>
      </c>
      <c r="I3914" s="446">
        <v>3</v>
      </c>
      <c r="J3914" s="749">
        <v>122</v>
      </c>
      <c r="K3914" s="750" t="s">
        <v>220</v>
      </c>
      <c r="L3914" s="519">
        <f t="shared" si="571"/>
        <v>6127500</v>
      </c>
      <c r="M3914" s="519">
        <v>6000000</v>
      </c>
      <c r="N3914" s="388">
        <v>127500</v>
      </c>
      <c r="O3914" s="473"/>
      <c r="P3914" s="388"/>
      <c r="Q3914" s="388"/>
      <c r="R3914" s="528"/>
      <c r="S3914" s="383"/>
      <c r="T3914" s="404"/>
      <c r="U3914" s="404"/>
    </row>
    <row r="3915" spans="1:24" s="403" customFormat="1" ht="37.5" customHeight="1">
      <c r="A3915" s="404">
        <f t="shared" si="573"/>
        <v>14</v>
      </c>
      <c r="B3915" s="705" t="s">
        <v>3028</v>
      </c>
      <c r="C3915" s="455" t="s">
        <v>222</v>
      </c>
      <c r="D3915" s="747">
        <v>15076</v>
      </c>
      <c r="E3915" s="748">
        <v>1388.6</v>
      </c>
      <c r="F3915" s="748" t="s">
        <v>229</v>
      </c>
      <c r="G3915" s="748">
        <v>739.3</v>
      </c>
      <c r="H3915" s="676">
        <v>6</v>
      </c>
      <c r="I3915" s="446">
        <v>2</v>
      </c>
      <c r="J3915" s="749">
        <v>24</v>
      </c>
      <c r="K3915" s="750" t="s">
        <v>33</v>
      </c>
      <c r="L3915" s="650">
        <f>M3915+N3915+O3915+P3915+Q3915</f>
        <v>2126667</v>
      </c>
      <c r="M3915" s="751">
        <v>2070039.9999999998</v>
      </c>
      <c r="N3915" s="752">
        <v>30000</v>
      </c>
      <c r="O3915" s="753"/>
      <c r="P3915" s="752"/>
      <c r="Q3915" s="391">
        <v>26627</v>
      </c>
      <c r="R3915" s="528">
        <f t="shared" ref="R3915:R3920" si="575">M3915/G3915</f>
        <v>2800</v>
      </c>
      <c r="S3915" s="383">
        <f t="shared" si="572"/>
        <v>2.3283064365386963E-10</v>
      </c>
      <c r="T3915" s="454"/>
      <c r="U3915" s="404"/>
      <c r="W3915" s="393"/>
      <c r="X3915" s="393"/>
    </row>
    <row r="3916" spans="1:24" s="403" customFormat="1" ht="39.75" customHeight="1">
      <c r="A3916" s="404">
        <f t="shared" si="573"/>
        <v>15</v>
      </c>
      <c r="B3916" s="705" t="s">
        <v>3033</v>
      </c>
      <c r="C3916" s="455" t="s">
        <v>240</v>
      </c>
      <c r="D3916" s="747">
        <v>4688</v>
      </c>
      <c r="E3916" s="748">
        <v>1052</v>
      </c>
      <c r="F3916" s="748" t="s">
        <v>252</v>
      </c>
      <c r="G3916" s="748">
        <v>914</v>
      </c>
      <c r="H3916" s="676">
        <v>2</v>
      </c>
      <c r="I3916" s="446">
        <v>3</v>
      </c>
      <c r="J3916" s="749">
        <v>18</v>
      </c>
      <c r="K3916" s="750" t="s">
        <v>33</v>
      </c>
      <c r="L3916" s="519">
        <f>SUM(M3916:Q3916)</f>
        <v>2617388</v>
      </c>
      <c r="M3916" s="751">
        <v>2559200</v>
      </c>
      <c r="N3916" s="752">
        <v>35000</v>
      </c>
      <c r="O3916" s="753"/>
      <c r="P3916" s="752"/>
      <c r="Q3916" s="752">
        <v>23188</v>
      </c>
      <c r="R3916" s="528">
        <f t="shared" si="575"/>
        <v>2800</v>
      </c>
      <c r="S3916" s="383">
        <f t="shared" si="572"/>
        <v>0</v>
      </c>
      <c r="T3916" s="391"/>
      <c r="U3916" s="406"/>
    </row>
    <row r="3917" spans="1:24" s="403" customFormat="1" ht="39.75" customHeight="1">
      <c r="A3917" s="404">
        <f t="shared" si="573"/>
        <v>16</v>
      </c>
      <c r="B3917" s="705" t="s">
        <v>3034</v>
      </c>
      <c r="C3917" s="455" t="s">
        <v>240</v>
      </c>
      <c r="D3917" s="747">
        <v>4996</v>
      </c>
      <c r="E3917" s="748">
        <v>1075</v>
      </c>
      <c r="F3917" s="748" t="s">
        <v>252</v>
      </c>
      <c r="G3917" s="748">
        <v>642</v>
      </c>
      <c r="H3917" s="676">
        <v>3</v>
      </c>
      <c r="I3917" s="446">
        <v>2</v>
      </c>
      <c r="J3917" s="749">
        <v>13</v>
      </c>
      <c r="K3917" s="750" t="s">
        <v>33</v>
      </c>
      <c r="L3917" s="519">
        <f>SUM(M3917:Q3917)</f>
        <v>1848237</v>
      </c>
      <c r="M3917" s="751">
        <v>1797600</v>
      </c>
      <c r="N3917" s="752">
        <v>35000</v>
      </c>
      <c r="O3917" s="753"/>
      <c r="P3917" s="752"/>
      <c r="Q3917" s="752">
        <v>15637</v>
      </c>
      <c r="R3917" s="528">
        <f t="shared" si="575"/>
        <v>2800</v>
      </c>
      <c r="S3917" s="383">
        <f t="shared" si="572"/>
        <v>0</v>
      </c>
      <c r="T3917" s="391"/>
      <c r="U3917" s="406"/>
    </row>
    <row r="3918" spans="1:24" s="403" customFormat="1" ht="39.75" customHeight="1">
      <c r="A3918" s="404">
        <f t="shared" si="573"/>
        <v>17</v>
      </c>
      <c r="B3918" s="705" t="s">
        <v>3035</v>
      </c>
      <c r="C3918" s="455" t="s">
        <v>240</v>
      </c>
      <c r="D3918" s="747">
        <v>3430</v>
      </c>
      <c r="E3918" s="748">
        <v>741</v>
      </c>
      <c r="F3918" s="748" t="s">
        <v>252</v>
      </c>
      <c r="G3918" s="748">
        <v>656</v>
      </c>
      <c r="H3918" s="676">
        <v>2</v>
      </c>
      <c r="I3918" s="446">
        <v>2</v>
      </c>
      <c r="J3918" s="749">
        <v>12</v>
      </c>
      <c r="K3918" s="750" t="s">
        <v>33</v>
      </c>
      <c r="L3918" s="519">
        <f>SUM(M3918:Q3918)</f>
        <v>1894988</v>
      </c>
      <c r="M3918" s="751">
        <v>1836800</v>
      </c>
      <c r="N3918" s="752">
        <v>35000</v>
      </c>
      <c r="O3918" s="753"/>
      <c r="P3918" s="752"/>
      <c r="Q3918" s="752">
        <v>23188</v>
      </c>
      <c r="R3918" s="528">
        <f t="shared" si="575"/>
        <v>2800</v>
      </c>
      <c r="S3918" s="383">
        <f t="shared" si="572"/>
        <v>0</v>
      </c>
      <c r="T3918" s="391"/>
      <c r="U3918" s="406"/>
    </row>
    <row r="3919" spans="1:24" s="403" customFormat="1" ht="39.75" customHeight="1">
      <c r="A3919" s="404">
        <f t="shared" si="573"/>
        <v>18</v>
      </c>
      <c r="B3919" s="705" t="s">
        <v>2105</v>
      </c>
      <c r="C3919" s="455" t="s">
        <v>240</v>
      </c>
      <c r="D3919" s="747">
        <v>3308</v>
      </c>
      <c r="E3919" s="748">
        <v>736</v>
      </c>
      <c r="F3919" s="748" t="s">
        <v>252</v>
      </c>
      <c r="G3919" s="748">
        <v>656</v>
      </c>
      <c r="H3919" s="676">
        <v>2</v>
      </c>
      <c r="I3919" s="446">
        <v>2</v>
      </c>
      <c r="J3919" s="749">
        <v>12</v>
      </c>
      <c r="K3919" s="750" t="s">
        <v>33</v>
      </c>
      <c r="L3919" s="519">
        <f>SUM(M3919:Q3919)</f>
        <v>1888162</v>
      </c>
      <c r="M3919" s="751">
        <v>1836800</v>
      </c>
      <c r="N3919" s="752">
        <v>35000</v>
      </c>
      <c r="O3919" s="753"/>
      <c r="P3919" s="752"/>
      <c r="Q3919" s="752">
        <v>16362</v>
      </c>
      <c r="R3919" s="528">
        <f t="shared" si="575"/>
        <v>2800</v>
      </c>
      <c r="S3919" s="383">
        <f t="shared" si="572"/>
        <v>0</v>
      </c>
      <c r="T3919" s="391"/>
      <c r="U3919" s="406"/>
    </row>
    <row r="3920" spans="1:24" s="403" customFormat="1" ht="39.75" customHeight="1">
      <c r="A3920" s="404">
        <f t="shared" si="573"/>
        <v>19</v>
      </c>
      <c r="B3920" s="705" t="s">
        <v>3036</v>
      </c>
      <c r="C3920" s="455" t="s">
        <v>240</v>
      </c>
      <c r="D3920" s="747">
        <v>1928</v>
      </c>
      <c r="E3920" s="748">
        <v>416</v>
      </c>
      <c r="F3920" s="748" t="s">
        <v>252</v>
      </c>
      <c r="G3920" s="748">
        <v>374</v>
      </c>
      <c r="H3920" s="676">
        <v>2</v>
      </c>
      <c r="I3920" s="446">
        <v>1</v>
      </c>
      <c r="J3920" s="749">
        <v>8</v>
      </c>
      <c r="K3920" s="750" t="s">
        <v>33</v>
      </c>
      <c r="L3920" s="519">
        <f>SUM(M3920:Q3920)</f>
        <v>1091736</v>
      </c>
      <c r="M3920" s="751">
        <v>1047200</v>
      </c>
      <c r="N3920" s="752">
        <v>35000</v>
      </c>
      <c r="O3920" s="753"/>
      <c r="P3920" s="752"/>
      <c r="Q3920" s="752">
        <v>9536</v>
      </c>
      <c r="R3920" s="528">
        <f t="shared" si="575"/>
        <v>2800</v>
      </c>
      <c r="S3920" s="383">
        <f t="shared" si="572"/>
        <v>0</v>
      </c>
      <c r="T3920" s="391"/>
      <c r="U3920" s="406"/>
    </row>
    <row r="3921" spans="1:23" s="403" customFormat="1" ht="39.75" customHeight="1">
      <c r="A3921" s="404">
        <f t="shared" si="573"/>
        <v>20</v>
      </c>
      <c r="B3921" s="705" t="s">
        <v>3039</v>
      </c>
      <c r="C3921" s="455" t="s">
        <v>240</v>
      </c>
      <c r="D3921" s="747">
        <v>1925</v>
      </c>
      <c r="E3921" s="748">
        <v>442</v>
      </c>
      <c r="F3921" s="748" t="s">
        <v>252</v>
      </c>
      <c r="G3921" s="748">
        <v>391</v>
      </c>
      <c r="H3921" s="676">
        <v>2</v>
      </c>
      <c r="I3921" s="446">
        <v>1</v>
      </c>
      <c r="J3921" s="749">
        <v>8</v>
      </c>
      <c r="K3921" s="750" t="s">
        <v>33</v>
      </c>
      <c r="L3921" s="519">
        <f>M3921+N3921+O3921+P3921+Q3921</f>
        <v>1139321</v>
      </c>
      <c r="M3921" s="751">
        <v>1094800</v>
      </c>
      <c r="N3921" s="752">
        <v>35000</v>
      </c>
      <c r="O3921" s="753"/>
      <c r="P3921" s="752"/>
      <c r="Q3921" s="752">
        <v>9521</v>
      </c>
      <c r="R3921" s="528">
        <f t="shared" ref="R3921:R3926" si="576">M3921/G3921</f>
        <v>2800</v>
      </c>
      <c r="S3921" s="383">
        <f t="shared" si="572"/>
        <v>0</v>
      </c>
      <c r="T3921" s="391"/>
      <c r="U3921" s="406"/>
    </row>
    <row r="3922" spans="1:23" s="403" customFormat="1" ht="39.75" customHeight="1">
      <c r="A3922" s="404">
        <f t="shared" si="573"/>
        <v>21</v>
      </c>
      <c r="B3922" s="705" t="s">
        <v>3040</v>
      </c>
      <c r="C3922" s="455" t="s">
        <v>240</v>
      </c>
      <c r="D3922" s="747">
        <v>3256</v>
      </c>
      <c r="E3922" s="748">
        <v>680</v>
      </c>
      <c r="F3922" s="748" t="s">
        <v>252</v>
      </c>
      <c r="G3922" s="748">
        <v>657</v>
      </c>
      <c r="H3922" s="676">
        <v>2</v>
      </c>
      <c r="I3922" s="446">
        <v>2</v>
      </c>
      <c r="J3922" s="749">
        <v>12</v>
      </c>
      <c r="K3922" s="750" t="s">
        <v>33</v>
      </c>
      <c r="L3922" s="519">
        <f t="shared" ref="L3922:L3930" si="577">SUM(M3922:Q3922)</f>
        <v>1890705</v>
      </c>
      <c r="M3922" s="751">
        <v>1839600</v>
      </c>
      <c r="N3922" s="752">
        <v>35000</v>
      </c>
      <c r="O3922" s="753"/>
      <c r="P3922" s="752"/>
      <c r="Q3922" s="752">
        <v>16105</v>
      </c>
      <c r="R3922" s="528">
        <f t="shared" si="576"/>
        <v>2800</v>
      </c>
      <c r="S3922" s="383">
        <f t="shared" si="572"/>
        <v>0</v>
      </c>
      <c r="T3922" s="391"/>
      <c r="U3922" s="406"/>
    </row>
    <row r="3923" spans="1:23" s="403" customFormat="1" ht="37.5" customHeight="1">
      <c r="A3923" s="404">
        <f t="shared" si="573"/>
        <v>22</v>
      </c>
      <c r="B3923" s="705" t="s">
        <v>3041</v>
      </c>
      <c r="C3923" s="455" t="s">
        <v>222</v>
      </c>
      <c r="D3923" s="747">
        <v>9779</v>
      </c>
      <c r="E3923" s="748">
        <v>2450</v>
      </c>
      <c r="F3923" s="748" t="s">
        <v>228</v>
      </c>
      <c r="G3923" s="748">
        <v>1038</v>
      </c>
      <c r="H3923" s="676">
        <v>5</v>
      </c>
      <c r="I3923" s="446">
        <v>4</v>
      </c>
      <c r="J3923" s="749">
        <v>64</v>
      </c>
      <c r="K3923" s="750" t="s">
        <v>33</v>
      </c>
      <c r="L3923" s="519">
        <f t="shared" si="577"/>
        <v>2321060</v>
      </c>
      <c r="M3923" s="751">
        <v>2283600</v>
      </c>
      <c r="N3923" s="752"/>
      <c r="O3923" s="753">
        <f>ROUND(M3923*0.3%,0)</f>
        <v>6851</v>
      </c>
      <c r="P3923" s="752"/>
      <c r="Q3923" s="752">
        <v>30609</v>
      </c>
      <c r="R3923" s="528">
        <f t="shared" si="576"/>
        <v>2200</v>
      </c>
      <c r="S3923" s="383">
        <f t="shared" si="572"/>
        <v>0</v>
      </c>
      <c r="T3923" s="391"/>
      <c r="U3923" s="406"/>
    </row>
    <row r="3924" spans="1:23" s="403" customFormat="1" ht="37.5" customHeight="1">
      <c r="A3924" s="404">
        <f t="shared" si="573"/>
        <v>23</v>
      </c>
      <c r="B3924" s="705" t="s">
        <v>3042</v>
      </c>
      <c r="C3924" s="455" t="s">
        <v>222</v>
      </c>
      <c r="D3924" s="747">
        <v>12534</v>
      </c>
      <c r="E3924" s="748">
        <v>2400</v>
      </c>
      <c r="F3924" s="748" t="s">
        <v>228</v>
      </c>
      <c r="G3924" s="748">
        <v>1055</v>
      </c>
      <c r="H3924" s="676">
        <v>5</v>
      </c>
      <c r="I3924" s="446">
        <v>4</v>
      </c>
      <c r="J3924" s="749">
        <v>79</v>
      </c>
      <c r="K3924" s="750" t="s">
        <v>33</v>
      </c>
      <c r="L3924" s="519">
        <f t="shared" si="577"/>
        <v>2362804</v>
      </c>
      <c r="M3924" s="751">
        <v>2321000</v>
      </c>
      <c r="N3924" s="752"/>
      <c r="O3924" s="753">
        <f>ROUND(M3924*0.3%,0)</f>
        <v>6963</v>
      </c>
      <c r="P3924" s="752"/>
      <c r="Q3924" s="752">
        <v>34841</v>
      </c>
      <c r="R3924" s="528">
        <f t="shared" si="576"/>
        <v>2200</v>
      </c>
      <c r="S3924" s="383">
        <f t="shared" si="572"/>
        <v>0</v>
      </c>
      <c r="T3924" s="391"/>
      <c r="U3924" s="406"/>
    </row>
    <row r="3925" spans="1:23" s="403" customFormat="1" ht="35.25" customHeight="1">
      <c r="A3925" s="404">
        <f t="shared" si="573"/>
        <v>24</v>
      </c>
      <c r="B3925" s="705" t="s">
        <v>3043</v>
      </c>
      <c r="C3925" s="455" t="s">
        <v>218</v>
      </c>
      <c r="D3925" s="747">
        <v>11957</v>
      </c>
      <c r="E3925" s="748">
        <v>2328</v>
      </c>
      <c r="F3925" s="748" t="s">
        <v>228</v>
      </c>
      <c r="G3925" s="748">
        <v>1052</v>
      </c>
      <c r="H3925" s="676">
        <v>5</v>
      </c>
      <c r="I3925" s="446">
        <v>4</v>
      </c>
      <c r="J3925" s="749">
        <v>79</v>
      </c>
      <c r="K3925" s="750" t="s">
        <v>33</v>
      </c>
      <c r="L3925" s="519">
        <f t="shared" si="577"/>
        <v>2341343</v>
      </c>
      <c r="M3925" s="751">
        <v>2314400</v>
      </c>
      <c r="N3925" s="752"/>
      <c r="O3925" s="753">
        <f>ROUND(M3925*0.3%,0)</f>
        <v>6943</v>
      </c>
      <c r="P3925" s="752"/>
      <c r="Q3925" s="752">
        <v>20000</v>
      </c>
      <c r="R3925" s="528">
        <f t="shared" si="576"/>
        <v>2200</v>
      </c>
      <c r="S3925" s="383">
        <f t="shared" si="572"/>
        <v>0</v>
      </c>
      <c r="T3925" s="391"/>
      <c r="U3925" s="406"/>
    </row>
    <row r="3926" spans="1:23" s="403" customFormat="1" ht="35.25" customHeight="1">
      <c r="A3926" s="404">
        <f t="shared" si="573"/>
        <v>25</v>
      </c>
      <c r="B3926" s="705" t="s">
        <v>3044</v>
      </c>
      <c r="C3926" s="455" t="s">
        <v>218</v>
      </c>
      <c r="D3926" s="747">
        <v>12225</v>
      </c>
      <c r="E3926" s="748">
        <v>2346</v>
      </c>
      <c r="F3926" s="748" t="s">
        <v>228</v>
      </c>
      <c r="G3926" s="748">
        <v>1060</v>
      </c>
      <c r="H3926" s="676">
        <v>5</v>
      </c>
      <c r="I3926" s="446">
        <v>4</v>
      </c>
      <c r="J3926" s="749">
        <v>79</v>
      </c>
      <c r="K3926" s="750" t="s">
        <v>33</v>
      </c>
      <c r="L3926" s="519">
        <f t="shared" si="577"/>
        <v>2358996</v>
      </c>
      <c r="M3926" s="751">
        <v>2332000</v>
      </c>
      <c r="N3926" s="752"/>
      <c r="O3926" s="753">
        <f>ROUND(M3926*0.3%,0)</f>
        <v>6996</v>
      </c>
      <c r="P3926" s="752"/>
      <c r="Q3926" s="752">
        <v>20000</v>
      </c>
      <c r="R3926" s="528">
        <f t="shared" si="576"/>
        <v>2200</v>
      </c>
      <c r="S3926" s="383">
        <f t="shared" si="572"/>
        <v>0</v>
      </c>
      <c r="T3926" s="391"/>
      <c r="U3926" s="406"/>
    </row>
    <row r="3927" spans="1:23" s="403" customFormat="1" ht="35.25" customHeight="1">
      <c r="A3927" s="404">
        <f t="shared" si="573"/>
        <v>26</v>
      </c>
      <c r="B3927" s="705" t="s">
        <v>3045</v>
      </c>
      <c r="C3927" s="455" t="s">
        <v>218</v>
      </c>
      <c r="D3927" s="747">
        <v>12067</v>
      </c>
      <c r="E3927" s="748">
        <v>2330</v>
      </c>
      <c r="F3927" s="748" t="s">
        <v>228</v>
      </c>
      <c r="G3927" s="748">
        <v>1060</v>
      </c>
      <c r="H3927" s="676">
        <v>5</v>
      </c>
      <c r="I3927" s="446">
        <v>4</v>
      </c>
      <c r="J3927" s="749">
        <v>78</v>
      </c>
      <c r="K3927" s="750" t="s">
        <v>225</v>
      </c>
      <c r="L3927" s="519">
        <f t="shared" si="577"/>
        <v>1849000</v>
      </c>
      <c r="M3927" s="751">
        <v>1794000</v>
      </c>
      <c r="N3927" s="752">
        <v>35000</v>
      </c>
      <c r="O3927" s="753"/>
      <c r="P3927" s="752"/>
      <c r="Q3927" s="752">
        <v>20000</v>
      </c>
      <c r="R3927" s="528">
        <f>M3927/J3927</f>
        <v>23000</v>
      </c>
      <c r="S3927" s="383">
        <f t="shared" si="572"/>
        <v>0</v>
      </c>
      <c r="T3927" s="391"/>
      <c r="U3927" s="406"/>
    </row>
    <row r="3928" spans="1:23" s="403" customFormat="1" ht="35.25" customHeight="1">
      <c r="A3928" s="404">
        <f t="shared" si="573"/>
        <v>27</v>
      </c>
      <c r="B3928" s="705" t="s">
        <v>3046</v>
      </c>
      <c r="C3928" s="455" t="s">
        <v>218</v>
      </c>
      <c r="D3928" s="747">
        <v>12116</v>
      </c>
      <c r="E3928" s="748">
        <v>2490</v>
      </c>
      <c r="F3928" s="748" t="s">
        <v>228</v>
      </c>
      <c r="G3928" s="748">
        <v>1060</v>
      </c>
      <c r="H3928" s="676">
        <v>5</v>
      </c>
      <c r="I3928" s="446">
        <v>4</v>
      </c>
      <c r="J3928" s="749">
        <v>80</v>
      </c>
      <c r="K3928" s="750" t="s">
        <v>33</v>
      </c>
      <c r="L3928" s="519">
        <f t="shared" si="577"/>
        <v>2358996</v>
      </c>
      <c r="M3928" s="751">
        <v>2332000</v>
      </c>
      <c r="N3928" s="752"/>
      <c r="O3928" s="753">
        <f>ROUND(M3928*0.3%,0)</f>
        <v>6996</v>
      </c>
      <c r="P3928" s="752"/>
      <c r="Q3928" s="752">
        <v>20000</v>
      </c>
      <c r="R3928" s="528">
        <f>M3928/G3928</f>
        <v>2200</v>
      </c>
      <c r="S3928" s="383">
        <f t="shared" si="572"/>
        <v>0</v>
      </c>
      <c r="T3928" s="391"/>
      <c r="U3928" s="406"/>
    </row>
    <row r="3929" spans="1:23" s="403" customFormat="1" ht="51.75" customHeight="1">
      <c r="A3929" s="404">
        <f t="shared" si="573"/>
        <v>28</v>
      </c>
      <c r="B3929" s="705" t="s">
        <v>3048</v>
      </c>
      <c r="C3929" s="455" t="s">
        <v>240</v>
      </c>
      <c r="D3929" s="747">
        <v>6446</v>
      </c>
      <c r="E3929" s="748">
        <v>1445</v>
      </c>
      <c r="F3929" s="748" t="s">
        <v>252</v>
      </c>
      <c r="G3929" s="748">
        <v>1240</v>
      </c>
      <c r="H3929" s="676">
        <v>2</v>
      </c>
      <c r="I3929" s="446">
        <v>3</v>
      </c>
      <c r="J3929" s="749">
        <v>18</v>
      </c>
      <c r="K3929" s="750" t="s">
        <v>33</v>
      </c>
      <c r="L3929" s="519">
        <f t="shared" si="577"/>
        <v>3538884</v>
      </c>
      <c r="M3929" s="751">
        <v>3472000</v>
      </c>
      <c r="N3929" s="752">
        <v>35000</v>
      </c>
      <c r="O3929" s="753"/>
      <c r="P3929" s="752"/>
      <c r="Q3929" s="752">
        <v>31884</v>
      </c>
      <c r="R3929" s="528">
        <f>M3929/G3929</f>
        <v>2800</v>
      </c>
      <c r="S3929" s="383">
        <f t="shared" si="572"/>
        <v>0</v>
      </c>
      <c r="T3929" s="391"/>
      <c r="U3929" s="406"/>
    </row>
    <row r="3930" spans="1:23" s="403" customFormat="1" ht="41.25" customHeight="1">
      <c r="A3930" s="404">
        <f t="shared" si="573"/>
        <v>29</v>
      </c>
      <c r="B3930" s="705" t="s">
        <v>3049</v>
      </c>
      <c r="C3930" s="455" t="s">
        <v>240</v>
      </c>
      <c r="D3930" s="747">
        <v>2118</v>
      </c>
      <c r="E3930" s="748">
        <v>448</v>
      </c>
      <c r="F3930" s="748" t="s">
        <v>252</v>
      </c>
      <c r="G3930" s="748">
        <v>404</v>
      </c>
      <c r="H3930" s="676">
        <v>2</v>
      </c>
      <c r="I3930" s="446">
        <v>2</v>
      </c>
      <c r="J3930" s="749">
        <v>8</v>
      </c>
      <c r="K3930" s="750" t="s">
        <v>33</v>
      </c>
      <c r="L3930" s="519">
        <f t="shared" si="577"/>
        <v>1179843</v>
      </c>
      <c r="M3930" s="751">
        <v>1131200</v>
      </c>
      <c r="N3930" s="752">
        <v>35000</v>
      </c>
      <c r="O3930" s="753"/>
      <c r="P3930" s="752"/>
      <c r="Q3930" s="752">
        <v>13643</v>
      </c>
      <c r="R3930" s="528">
        <f>M3930/G3930</f>
        <v>2800</v>
      </c>
      <c r="S3930" s="383">
        <f t="shared" si="572"/>
        <v>0</v>
      </c>
      <c r="T3930" s="391"/>
      <c r="U3930" s="406"/>
    </row>
    <row r="3931" spans="1:23" s="403" customFormat="1" ht="56.25" customHeight="1">
      <c r="A3931" s="404">
        <f t="shared" si="573"/>
        <v>30</v>
      </c>
      <c r="B3931" s="705" t="s">
        <v>3050</v>
      </c>
      <c r="C3931" s="455" t="s">
        <v>222</v>
      </c>
      <c r="D3931" s="747">
        <v>5212</v>
      </c>
      <c r="E3931" s="748">
        <v>1095</v>
      </c>
      <c r="F3931" s="748" t="s">
        <v>252</v>
      </c>
      <c r="G3931" s="748">
        <v>558</v>
      </c>
      <c r="H3931" s="676">
        <v>4</v>
      </c>
      <c r="I3931" s="446">
        <v>2</v>
      </c>
      <c r="J3931" s="749">
        <v>30</v>
      </c>
      <c r="K3931" s="750" t="s">
        <v>30</v>
      </c>
      <c r="L3931" s="519">
        <f>M3931+N3931+O3931+P3931+Q3931</f>
        <v>765750</v>
      </c>
      <c r="M3931" s="751">
        <v>750000</v>
      </c>
      <c r="N3931" s="752"/>
      <c r="O3931" s="753">
        <f>ROUND(M3931*0.3%,0)</f>
        <v>2250</v>
      </c>
      <c r="P3931" s="752"/>
      <c r="Q3931" s="752">
        <v>13500</v>
      </c>
      <c r="R3931" s="528">
        <f>M3931/J3931</f>
        <v>25000</v>
      </c>
      <c r="S3931" s="383">
        <f t="shared" si="572"/>
        <v>0</v>
      </c>
      <c r="T3931" s="391"/>
      <c r="U3931" s="406"/>
    </row>
    <row r="3932" spans="1:23" s="403" customFormat="1" ht="42.75" customHeight="1">
      <c r="A3932" s="404">
        <f t="shared" si="573"/>
        <v>31</v>
      </c>
      <c r="B3932" s="705" t="s">
        <v>2101</v>
      </c>
      <c r="C3932" s="455" t="s">
        <v>240</v>
      </c>
      <c r="D3932" s="747">
        <v>1937</v>
      </c>
      <c r="E3932" s="748">
        <v>449</v>
      </c>
      <c r="F3932" s="748" t="s">
        <v>252</v>
      </c>
      <c r="G3932" s="748">
        <v>384</v>
      </c>
      <c r="H3932" s="676">
        <v>2</v>
      </c>
      <c r="I3932" s="446">
        <v>1</v>
      </c>
      <c r="J3932" s="749">
        <v>8</v>
      </c>
      <c r="K3932" s="750" t="s">
        <v>33</v>
      </c>
      <c r="L3932" s="519">
        <f>SUM(M3932:Q3932)</f>
        <v>964333.5</v>
      </c>
      <c r="M3932" s="751">
        <v>912000</v>
      </c>
      <c r="N3932" s="752">
        <v>27869</v>
      </c>
      <c r="O3932" s="753">
        <v>12173.82</v>
      </c>
      <c r="P3932" s="752"/>
      <c r="Q3932" s="752">
        <v>12290.68</v>
      </c>
      <c r="R3932" s="528">
        <f>M3932/E3932</f>
        <v>2031.1804008908687</v>
      </c>
      <c r="S3932" s="383">
        <f t="shared" si="572"/>
        <v>0</v>
      </c>
      <c r="T3932" s="391"/>
      <c r="U3932" s="406"/>
      <c r="V3932" s="390"/>
      <c r="W3932" s="393"/>
    </row>
    <row r="3933" spans="1:23" s="403" customFormat="1" ht="42.75" customHeight="1">
      <c r="A3933" s="404">
        <f t="shared" si="573"/>
        <v>32</v>
      </c>
      <c r="B3933" s="705" t="s">
        <v>4255</v>
      </c>
      <c r="C3933" s="379" t="s">
        <v>240</v>
      </c>
      <c r="D3933" s="838">
        <v>3255</v>
      </c>
      <c r="E3933" s="748">
        <v>669</v>
      </c>
      <c r="F3933" s="748" t="s">
        <v>252</v>
      </c>
      <c r="G3933" s="748">
        <v>652</v>
      </c>
      <c r="H3933" s="676" t="s">
        <v>4256</v>
      </c>
      <c r="I3933" s="382">
        <v>2</v>
      </c>
      <c r="J3933" s="749">
        <v>12</v>
      </c>
      <c r="K3933" s="750" t="s">
        <v>33</v>
      </c>
      <c r="L3933" s="519">
        <f>M3933+N3933+O3933+Q3933</f>
        <v>1872150.44</v>
      </c>
      <c r="M3933" s="473">
        <v>1856198.44</v>
      </c>
      <c r="N3933" s="752"/>
      <c r="O3933" s="753"/>
      <c r="P3933" s="752"/>
      <c r="Q3933" s="752">
        <v>15952</v>
      </c>
      <c r="R3933" s="528"/>
      <c r="S3933" s="383">
        <f t="shared" si="572"/>
        <v>0</v>
      </c>
      <c r="T3933" s="391"/>
      <c r="U3933" s="406"/>
      <c r="V3933" s="390"/>
      <c r="W3933" s="393"/>
    </row>
    <row r="3934" spans="1:23" s="403" customFormat="1" ht="42.75" customHeight="1">
      <c r="A3934" s="404">
        <f t="shared" si="573"/>
        <v>33</v>
      </c>
      <c r="B3934" s="705" t="s">
        <v>4258</v>
      </c>
      <c r="C3934" s="379" t="s">
        <v>240</v>
      </c>
      <c r="D3934" s="838">
        <v>9197</v>
      </c>
      <c r="E3934" s="748">
        <v>2490</v>
      </c>
      <c r="F3934" s="748" t="s">
        <v>252</v>
      </c>
      <c r="G3934" s="748">
        <v>1150</v>
      </c>
      <c r="H3934" s="676">
        <v>3</v>
      </c>
      <c r="I3934" s="382">
        <v>3</v>
      </c>
      <c r="J3934" s="749">
        <v>36</v>
      </c>
      <c r="K3934" s="750" t="s">
        <v>33</v>
      </c>
      <c r="L3934" s="519">
        <f>M3934+N3934+O3934+Q3934</f>
        <v>3542748.37</v>
      </c>
      <c r="M3934" s="473">
        <v>3478961.37</v>
      </c>
      <c r="N3934" s="752">
        <v>35000</v>
      </c>
      <c r="O3934" s="753"/>
      <c r="P3934" s="752"/>
      <c r="Q3934" s="752">
        <v>28787</v>
      </c>
      <c r="R3934" s="528"/>
      <c r="S3934" s="383">
        <f>L3934-M3934-N3934-O3934-P3934-Q3934</f>
        <v>0</v>
      </c>
      <c r="T3934" s="391"/>
      <c r="U3934" s="406"/>
      <c r="V3934" s="390"/>
      <c r="W3934" s="393"/>
    </row>
    <row r="3935" spans="1:23" s="403" customFormat="1" ht="42.75" customHeight="1">
      <c r="A3935" s="404">
        <f t="shared" si="573"/>
        <v>34</v>
      </c>
      <c r="B3935" s="705" t="s">
        <v>4324</v>
      </c>
      <c r="C3935" s="379" t="s">
        <v>240</v>
      </c>
      <c r="D3935" s="838">
        <v>9661</v>
      </c>
      <c r="E3935" s="748">
        <v>1655</v>
      </c>
      <c r="F3935" s="748" t="s">
        <v>252</v>
      </c>
      <c r="G3935" s="748">
        <v>1240</v>
      </c>
      <c r="H3935" s="676">
        <v>3</v>
      </c>
      <c r="I3935" s="382">
        <v>3</v>
      </c>
      <c r="J3935" s="749">
        <v>31</v>
      </c>
      <c r="K3935" s="750" t="s">
        <v>33</v>
      </c>
      <c r="L3935" s="519">
        <f>M3935+N3935+O3935+Q3935</f>
        <v>3537239</v>
      </c>
      <c r="M3935" s="473">
        <v>3472000</v>
      </c>
      <c r="N3935" s="752">
        <v>35000</v>
      </c>
      <c r="O3935" s="753"/>
      <c r="P3935" s="752"/>
      <c r="Q3935" s="752">
        <v>30239</v>
      </c>
      <c r="R3935" s="528"/>
      <c r="S3935" s="383"/>
      <c r="T3935" s="391"/>
      <c r="U3935" s="406"/>
      <c r="V3935" s="390"/>
      <c r="W3935" s="393"/>
    </row>
    <row r="3936" spans="1:23" s="403" customFormat="1" ht="42.75" customHeight="1">
      <c r="A3936" s="404">
        <f t="shared" si="573"/>
        <v>35</v>
      </c>
      <c r="B3936" s="705" t="s">
        <v>4325</v>
      </c>
      <c r="C3936" s="379" t="s">
        <v>240</v>
      </c>
      <c r="D3936" s="838">
        <v>1893</v>
      </c>
      <c r="E3936" s="748">
        <v>444</v>
      </c>
      <c r="F3936" s="748" t="s">
        <v>252</v>
      </c>
      <c r="G3936" s="748">
        <v>376</v>
      </c>
      <c r="H3936" s="676">
        <v>2</v>
      </c>
      <c r="I3936" s="382">
        <v>1</v>
      </c>
      <c r="J3936" s="749">
        <v>8</v>
      </c>
      <c r="K3936" s="750" t="s">
        <v>33</v>
      </c>
      <c r="L3936" s="519">
        <f>M3936+N3936+O3936+Q3936</f>
        <v>1093725</v>
      </c>
      <c r="M3936" s="473">
        <v>1052800</v>
      </c>
      <c r="N3936" s="752">
        <v>35000</v>
      </c>
      <c r="O3936" s="753"/>
      <c r="P3936" s="752"/>
      <c r="Q3936" s="752">
        <v>5925</v>
      </c>
      <c r="R3936" s="528"/>
      <c r="S3936" s="383"/>
      <c r="T3936" s="391"/>
      <c r="U3936" s="406"/>
      <c r="V3936" s="390"/>
      <c r="W3936" s="393"/>
    </row>
    <row r="3937" spans="1:23" s="403" customFormat="1" ht="42.75" customHeight="1">
      <c r="A3937" s="404">
        <f t="shared" si="573"/>
        <v>36</v>
      </c>
      <c r="B3937" s="705" t="s">
        <v>4326</v>
      </c>
      <c r="C3937" s="379" t="s">
        <v>222</v>
      </c>
      <c r="D3937" s="838">
        <v>12590</v>
      </c>
      <c r="E3937" s="748">
        <v>2341</v>
      </c>
      <c r="F3937" s="748" t="s">
        <v>228</v>
      </c>
      <c r="G3937" s="748">
        <v>1050</v>
      </c>
      <c r="H3937" s="676">
        <v>5</v>
      </c>
      <c r="I3937" s="382">
        <v>4</v>
      </c>
      <c r="J3937" s="749">
        <v>80</v>
      </c>
      <c r="K3937" s="750" t="s">
        <v>33</v>
      </c>
      <c r="L3937" s="519">
        <f>M3937+N3937+O3937+Q3937</f>
        <v>2570000</v>
      </c>
      <c r="M3937" s="473">
        <v>2520000</v>
      </c>
      <c r="N3937" s="752">
        <v>30000</v>
      </c>
      <c r="O3937" s="753"/>
      <c r="P3937" s="752"/>
      <c r="Q3937" s="752">
        <v>20000</v>
      </c>
      <c r="R3937" s="528"/>
      <c r="S3937" s="383"/>
      <c r="T3937" s="391"/>
      <c r="U3937" s="406"/>
      <c r="V3937" s="390"/>
      <c r="W3937" s="393"/>
    </row>
    <row r="3938" spans="1:23" s="403" customFormat="1" ht="42.75" customHeight="1">
      <c r="A3938" s="1112" t="s">
        <v>143</v>
      </c>
      <c r="B3938" s="1112"/>
      <c r="C3938" s="388" t="s">
        <v>28</v>
      </c>
      <c r="D3938" s="388">
        <f>SUM(D3902:D3937)</f>
        <v>639608</v>
      </c>
      <c r="E3938" s="388">
        <f>SUM(E3902:E3937)</f>
        <v>107114.6</v>
      </c>
      <c r="F3938" s="388" t="s">
        <v>28</v>
      </c>
      <c r="G3938" s="388">
        <f>SUM(G3902:G3937)</f>
        <v>36248.300000000003</v>
      </c>
      <c r="H3938" s="446" t="s">
        <v>28</v>
      </c>
      <c r="I3938" s="446" t="s">
        <v>28</v>
      </c>
      <c r="J3938" s="446">
        <f>SUM(J3902:J3937)</f>
        <v>3109</v>
      </c>
      <c r="K3938" s="458" t="s">
        <v>28</v>
      </c>
      <c r="L3938" s="388">
        <f t="shared" ref="L3938:Q3938" si="578">SUM(L3902:L3937)</f>
        <v>177427826.31</v>
      </c>
      <c r="M3938" s="388">
        <f t="shared" si="578"/>
        <v>174104199.81</v>
      </c>
      <c r="N3938" s="388">
        <f t="shared" si="578"/>
        <v>2816619</v>
      </c>
      <c r="O3938" s="388">
        <f t="shared" si="578"/>
        <v>49172.82</v>
      </c>
      <c r="P3938" s="388">
        <f t="shared" si="578"/>
        <v>0</v>
      </c>
      <c r="Q3938" s="388">
        <f t="shared" si="578"/>
        <v>457834.68</v>
      </c>
      <c r="R3938" s="446" t="s">
        <v>28</v>
      </c>
      <c r="S3938" s="383">
        <f>L3938-M3938-N3938-O3938-P3938-Q3938</f>
        <v>0</v>
      </c>
      <c r="T3938" s="387" t="e">
        <f>'1.перечень МКД'!#REF!</f>
        <v>#REF!</v>
      </c>
      <c r="U3938" s="390" t="e">
        <f>L3938-T3938</f>
        <v>#REF!</v>
      </c>
    </row>
    <row r="3939" spans="1:23" s="403" customFormat="1" ht="30" customHeight="1">
      <c r="A3939" s="1113" t="s">
        <v>166</v>
      </c>
      <c r="B3939" s="1113"/>
      <c r="C3939" s="1113"/>
      <c r="D3939" s="1113"/>
      <c r="E3939" s="1113"/>
      <c r="F3939" s="1113"/>
      <c r="G3939" s="1113"/>
      <c r="H3939" s="1113"/>
      <c r="I3939" s="1113"/>
      <c r="J3939" s="1113"/>
      <c r="K3939" s="1113"/>
      <c r="L3939" s="1113"/>
      <c r="M3939" s="1113"/>
      <c r="N3939" s="1113"/>
      <c r="O3939" s="1113"/>
      <c r="P3939" s="1113"/>
      <c r="Q3939" s="1113"/>
      <c r="R3939" s="458"/>
      <c r="U3939" s="404"/>
    </row>
    <row r="3940" spans="1:23" s="403" customFormat="1" ht="37.5" customHeight="1">
      <c r="A3940" s="404">
        <v>1</v>
      </c>
      <c r="B3940" s="403" t="s">
        <v>3861</v>
      </c>
      <c r="C3940" s="531" t="s">
        <v>296</v>
      </c>
      <c r="D3940" s="747">
        <v>1999</v>
      </c>
      <c r="E3940" s="748">
        <v>4777</v>
      </c>
      <c r="F3940" s="748" t="s">
        <v>234</v>
      </c>
      <c r="G3940" s="748">
        <v>1137</v>
      </c>
      <c r="H3940" s="764">
        <v>9</v>
      </c>
      <c r="I3940" s="764">
        <v>3</v>
      </c>
      <c r="J3940" s="749">
        <v>114</v>
      </c>
      <c r="K3940" s="750" t="s">
        <v>220</v>
      </c>
      <c r="L3940" s="519">
        <f>SUM(M3940:Q3940)</f>
        <v>6127500</v>
      </c>
      <c r="M3940" s="751">
        <v>6000000</v>
      </c>
      <c r="N3940" s="752">
        <v>127500</v>
      </c>
      <c r="O3940" s="753"/>
      <c r="P3940" s="752"/>
      <c r="Q3940" s="391"/>
      <c r="R3940" s="528">
        <f>M3940/I3940</f>
        <v>2000000</v>
      </c>
      <c r="S3940" s="479"/>
      <c r="T3940" s="391"/>
      <c r="U3940" s="406"/>
      <c r="V3940" s="1004"/>
    </row>
    <row r="3941" spans="1:23" s="403" customFormat="1" ht="37.5" customHeight="1">
      <c r="A3941" s="404">
        <f t="shared" ref="A3941:A3949" si="579">A3940+1</f>
        <v>2</v>
      </c>
      <c r="B3941" s="403" t="s">
        <v>3862</v>
      </c>
      <c r="C3941" s="531" t="s">
        <v>296</v>
      </c>
      <c r="D3941" s="747">
        <v>1997</v>
      </c>
      <c r="E3941" s="748">
        <v>4986</v>
      </c>
      <c r="F3941" s="748" t="s">
        <v>234</v>
      </c>
      <c r="G3941" s="748">
        <v>1210</v>
      </c>
      <c r="H3941" s="764">
        <v>9</v>
      </c>
      <c r="I3941" s="764">
        <v>3</v>
      </c>
      <c r="J3941" s="749">
        <v>117</v>
      </c>
      <c r="K3941" s="750" t="s">
        <v>220</v>
      </c>
      <c r="L3941" s="519">
        <f>SUM(M3941:Q3941)</f>
        <v>6127500</v>
      </c>
      <c r="M3941" s="751">
        <v>6000000</v>
      </c>
      <c r="N3941" s="752">
        <v>127500</v>
      </c>
      <c r="O3941" s="753"/>
      <c r="P3941" s="752"/>
      <c r="Q3941" s="391"/>
      <c r="R3941" s="528">
        <f>M3941/I3941</f>
        <v>2000000</v>
      </c>
      <c r="S3941" s="479"/>
      <c r="T3941" s="391"/>
      <c r="U3941" s="406"/>
      <c r="V3941" s="1004"/>
    </row>
    <row r="3942" spans="1:23" s="403" customFormat="1" ht="37.5" customHeight="1">
      <c r="A3942" s="404">
        <f t="shared" si="579"/>
        <v>3</v>
      </c>
      <c r="B3942" s="403" t="s">
        <v>3052</v>
      </c>
      <c r="C3942" s="531" t="s">
        <v>296</v>
      </c>
      <c r="D3942" s="747"/>
      <c r="E3942" s="748">
        <v>1416</v>
      </c>
      <c r="F3942" s="748" t="s">
        <v>252</v>
      </c>
      <c r="G3942" s="748">
        <v>965</v>
      </c>
      <c r="H3942" s="764">
        <v>3</v>
      </c>
      <c r="I3942" s="764">
        <v>4</v>
      </c>
      <c r="J3942" s="749">
        <v>26</v>
      </c>
      <c r="K3942" s="750" t="s">
        <v>33</v>
      </c>
      <c r="L3942" s="519">
        <f t="shared" ref="L3942:L3948" si="580">SUM(M3942:Q3942)</f>
        <v>2760585</v>
      </c>
      <c r="M3942" s="751">
        <v>2702000</v>
      </c>
      <c r="N3942" s="752">
        <v>35000</v>
      </c>
      <c r="O3942" s="753"/>
      <c r="P3942" s="752"/>
      <c r="Q3942" s="391">
        <v>23585</v>
      </c>
      <c r="R3942" s="765">
        <f>M3942/G3942</f>
        <v>2800</v>
      </c>
      <c r="S3942" s="479"/>
      <c r="T3942" s="391"/>
      <c r="U3942" s="406"/>
    </row>
    <row r="3943" spans="1:23" s="403" customFormat="1" ht="37.5" customHeight="1">
      <c r="A3943" s="404">
        <f t="shared" si="579"/>
        <v>4</v>
      </c>
      <c r="B3943" s="403" t="s">
        <v>3053</v>
      </c>
      <c r="C3943" s="531" t="s">
        <v>341</v>
      </c>
      <c r="D3943" s="747"/>
      <c r="E3943" s="748">
        <v>1290</v>
      </c>
      <c r="F3943" s="748" t="s">
        <v>292</v>
      </c>
      <c r="G3943" s="748">
        <v>1147</v>
      </c>
      <c r="H3943" s="764">
        <v>5</v>
      </c>
      <c r="I3943" s="764">
        <v>4</v>
      </c>
      <c r="J3943" s="749">
        <v>71</v>
      </c>
      <c r="K3943" s="750" t="s">
        <v>33</v>
      </c>
      <c r="L3943" s="519">
        <f t="shared" si="580"/>
        <v>4074028</v>
      </c>
      <c r="M3943" s="751">
        <v>3999028</v>
      </c>
      <c r="N3943" s="752">
        <v>35000</v>
      </c>
      <c r="O3943" s="753"/>
      <c r="P3943" s="752"/>
      <c r="Q3943" s="391">
        <v>40000</v>
      </c>
      <c r="R3943" s="765">
        <f>M3943/G3943</f>
        <v>3486.510897994769</v>
      </c>
      <c r="S3943" s="479"/>
      <c r="T3943" s="391"/>
      <c r="U3943" s="406"/>
    </row>
    <row r="3944" spans="1:23" s="403" customFormat="1" ht="37.5" customHeight="1">
      <c r="A3944" s="404">
        <f t="shared" si="579"/>
        <v>5</v>
      </c>
      <c r="B3944" s="403" t="s">
        <v>3054</v>
      </c>
      <c r="C3944" s="531" t="s">
        <v>222</v>
      </c>
      <c r="D3944" s="747"/>
      <c r="E3944" s="748">
        <v>3263</v>
      </c>
      <c r="F3944" s="748" t="s">
        <v>292</v>
      </c>
      <c r="G3944" s="748">
        <v>1577</v>
      </c>
      <c r="H3944" s="764">
        <v>5</v>
      </c>
      <c r="I3944" s="764">
        <v>7</v>
      </c>
      <c r="J3944" s="749">
        <v>94</v>
      </c>
      <c r="K3944" s="750" t="s">
        <v>33</v>
      </c>
      <c r="L3944" s="519">
        <f t="shared" si="580"/>
        <v>4490600</v>
      </c>
      <c r="M3944" s="751">
        <v>4415600</v>
      </c>
      <c r="N3944" s="752">
        <v>35000</v>
      </c>
      <c r="O3944" s="753"/>
      <c r="P3944" s="752"/>
      <c r="Q3944" s="391">
        <v>40000</v>
      </c>
      <c r="R3944" s="765">
        <f>M3944/G3944</f>
        <v>2800</v>
      </c>
      <c r="S3944" s="479"/>
      <c r="T3944" s="391"/>
      <c r="U3944" s="406"/>
    </row>
    <row r="3945" spans="1:23" s="403" customFormat="1" ht="37.5" customHeight="1">
      <c r="A3945" s="404">
        <f t="shared" si="579"/>
        <v>6</v>
      </c>
      <c r="B3945" s="403" t="s">
        <v>3055</v>
      </c>
      <c r="C3945" s="531" t="s">
        <v>341</v>
      </c>
      <c r="D3945" s="747"/>
      <c r="E3945" s="748">
        <v>763</v>
      </c>
      <c r="F3945" s="748" t="s">
        <v>292</v>
      </c>
      <c r="G3945" s="748">
        <v>915</v>
      </c>
      <c r="H3945" s="764">
        <v>2</v>
      </c>
      <c r="I3945" s="764">
        <v>1</v>
      </c>
      <c r="J3945" s="749">
        <v>34</v>
      </c>
      <c r="K3945" s="750" t="s">
        <v>239</v>
      </c>
      <c r="L3945" s="519">
        <f t="shared" si="580"/>
        <v>1071658</v>
      </c>
      <c r="M3945" s="751">
        <v>1020000</v>
      </c>
      <c r="N3945" s="752">
        <v>30000</v>
      </c>
      <c r="O3945" s="753"/>
      <c r="P3945" s="752"/>
      <c r="Q3945" s="391">
        <v>21658</v>
      </c>
      <c r="R3945" s="765">
        <f>M3945/J3945</f>
        <v>30000</v>
      </c>
      <c r="S3945" s="479"/>
      <c r="T3945" s="391"/>
      <c r="U3945" s="406"/>
    </row>
    <row r="3946" spans="1:23" s="403" customFormat="1" ht="37.5" customHeight="1">
      <c r="A3946" s="404">
        <f t="shared" si="579"/>
        <v>7</v>
      </c>
      <c r="B3946" s="403" t="s">
        <v>3056</v>
      </c>
      <c r="C3946" s="531" t="s">
        <v>315</v>
      </c>
      <c r="D3946" s="747"/>
      <c r="E3946" s="748">
        <v>3640</v>
      </c>
      <c r="F3946" s="748" t="s">
        <v>292</v>
      </c>
      <c r="G3946" s="748">
        <v>2403</v>
      </c>
      <c r="H3946" s="764">
        <v>5</v>
      </c>
      <c r="I3946" s="764">
        <v>8</v>
      </c>
      <c r="J3946" s="749">
        <v>121</v>
      </c>
      <c r="K3946" s="750" t="s">
        <v>269</v>
      </c>
      <c r="L3946" s="519">
        <f t="shared" si="580"/>
        <v>2831349</v>
      </c>
      <c r="M3946" s="751">
        <v>2783000</v>
      </c>
      <c r="N3946" s="752"/>
      <c r="O3946" s="753">
        <f>ROUND(M3946*0.3%,0)</f>
        <v>8349</v>
      </c>
      <c r="P3946" s="752"/>
      <c r="Q3946" s="391">
        <v>40000</v>
      </c>
      <c r="R3946" s="765">
        <f>M3946/J3946</f>
        <v>23000</v>
      </c>
      <c r="S3946" s="479"/>
      <c r="T3946" s="391"/>
      <c r="U3946" s="406"/>
    </row>
    <row r="3947" spans="1:23" s="403" customFormat="1" ht="37.5" customHeight="1">
      <c r="A3947" s="404">
        <f t="shared" si="579"/>
        <v>8</v>
      </c>
      <c r="B3947" s="403" t="s">
        <v>3058</v>
      </c>
      <c r="C3947" s="531" t="s">
        <v>296</v>
      </c>
      <c r="D3947" s="747"/>
      <c r="E3947" s="748">
        <v>713</v>
      </c>
      <c r="F3947" s="748" t="s">
        <v>292</v>
      </c>
      <c r="G3947" s="748">
        <v>723</v>
      </c>
      <c r="H3947" s="764">
        <v>2</v>
      </c>
      <c r="I3947" s="764">
        <v>2</v>
      </c>
      <c r="J3947" s="749">
        <v>14</v>
      </c>
      <c r="K3947" s="750" t="s">
        <v>33</v>
      </c>
      <c r="L3947" s="519">
        <f t="shared" si="580"/>
        <v>2075475</v>
      </c>
      <c r="M3947" s="751">
        <v>2024400</v>
      </c>
      <c r="N3947" s="752">
        <v>35000</v>
      </c>
      <c r="O3947" s="753"/>
      <c r="P3947" s="752"/>
      <c r="Q3947" s="391">
        <v>16075</v>
      </c>
      <c r="R3947" s="765">
        <f>M3947/G3947</f>
        <v>2800</v>
      </c>
      <c r="S3947" s="479"/>
      <c r="T3947" s="391"/>
      <c r="U3947" s="406"/>
    </row>
    <row r="3948" spans="1:23" s="403" customFormat="1" ht="37.5" customHeight="1">
      <c r="A3948" s="404">
        <f t="shared" si="579"/>
        <v>9</v>
      </c>
      <c r="B3948" s="403" t="s">
        <v>3059</v>
      </c>
      <c r="C3948" s="531" t="s">
        <v>296</v>
      </c>
      <c r="D3948" s="747"/>
      <c r="E3948" s="748">
        <v>713</v>
      </c>
      <c r="F3948" s="748" t="s">
        <v>292</v>
      </c>
      <c r="G3948" s="748">
        <v>723</v>
      </c>
      <c r="H3948" s="764">
        <v>2</v>
      </c>
      <c r="I3948" s="764">
        <v>2</v>
      </c>
      <c r="J3948" s="749">
        <v>13</v>
      </c>
      <c r="K3948" s="750" t="s">
        <v>33</v>
      </c>
      <c r="L3948" s="519">
        <f t="shared" si="580"/>
        <v>2075945</v>
      </c>
      <c r="M3948" s="751">
        <v>2024400</v>
      </c>
      <c r="N3948" s="752">
        <v>35000</v>
      </c>
      <c r="O3948" s="753"/>
      <c r="P3948" s="752"/>
      <c r="Q3948" s="391">
        <v>16545</v>
      </c>
      <c r="R3948" s="765">
        <f>M3948/G3948</f>
        <v>2800</v>
      </c>
      <c r="S3948" s="479"/>
      <c r="T3948" s="391"/>
      <c r="U3948" s="406"/>
    </row>
    <row r="3949" spans="1:23" s="403" customFormat="1" ht="37.5" customHeight="1">
      <c r="A3949" s="404">
        <f t="shared" si="579"/>
        <v>10</v>
      </c>
      <c r="B3949" s="403" t="s">
        <v>3060</v>
      </c>
      <c r="C3949" s="531" t="s">
        <v>294</v>
      </c>
      <c r="D3949" s="747"/>
      <c r="E3949" s="748">
        <v>883.3</v>
      </c>
      <c r="F3949" s="748" t="s">
        <v>252</v>
      </c>
      <c r="G3949" s="748">
        <v>779</v>
      </c>
      <c r="H3949" s="764">
        <v>2</v>
      </c>
      <c r="I3949" s="764">
        <v>2</v>
      </c>
      <c r="J3949" s="749">
        <v>12</v>
      </c>
      <c r="K3949" s="750" t="s">
        <v>33</v>
      </c>
      <c r="L3949" s="1129">
        <f>SUM(M3949:Q3949)+SUM(M3950:Q3950)</f>
        <v>3685549</v>
      </c>
      <c r="M3949" s="751">
        <v>2181200</v>
      </c>
      <c r="N3949" s="752">
        <v>35000</v>
      </c>
      <c r="O3949" s="753"/>
      <c r="P3949" s="752"/>
      <c r="Q3949" s="391">
        <v>16970</v>
      </c>
      <c r="R3949" s="765">
        <f>M3949/G3949</f>
        <v>2800</v>
      </c>
      <c r="S3949" s="479"/>
      <c r="T3949" s="391"/>
      <c r="U3949" s="406"/>
    </row>
    <row r="3950" spans="1:23" s="403" customFormat="1" ht="32.25" customHeight="1">
      <c r="A3950" s="404"/>
      <c r="C3950" s="531"/>
      <c r="D3950" s="747"/>
      <c r="E3950" s="748"/>
      <c r="F3950" s="748"/>
      <c r="G3950" s="748"/>
      <c r="H3950" s="764"/>
      <c r="I3950" s="764"/>
      <c r="J3950" s="749"/>
      <c r="K3950" s="750" t="s">
        <v>38</v>
      </c>
      <c r="L3950" s="1129"/>
      <c r="M3950" s="751">
        <v>1426000</v>
      </c>
      <c r="N3950" s="752"/>
      <c r="O3950" s="753">
        <f>ROUND(M3950*0.3%,0)</f>
        <v>4278</v>
      </c>
      <c r="P3950" s="752"/>
      <c r="Q3950" s="391">
        <v>22101</v>
      </c>
      <c r="R3950" s="528">
        <f>M3950/E3949</f>
        <v>1614.4005434167327</v>
      </c>
      <c r="S3950" s="479"/>
      <c r="T3950" s="391"/>
      <c r="U3950" s="406"/>
    </row>
    <row r="3951" spans="1:23" s="403" customFormat="1" ht="37.5" customHeight="1">
      <c r="A3951" s="404">
        <v>11</v>
      </c>
      <c r="B3951" s="403" t="s">
        <v>3061</v>
      </c>
      <c r="C3951" s="531" t="s">
        <v>323</v>
      </c>
      <c r="D3951" s="747"/>
      <c r="E3951" s="748">
        <v>1023</v>
      </c>
      <c r="F3951" s="748" t="s">
        <v>252</v>
      </c>
      <c r="G3951" s="748">
        <v>703</v>
      </c>
      <c r="H3951" s="764">
        <v>2</v>
      </c>
      <c r="I3951" s="764">
        <v>2</v>
      </c>
      <c r="J3951" s="749">
        <v>13</v>
      </c>
      <c r="K3951" s="750" t="s">
        <v>33</v>
      </c>
      <c r="L3951" s="1129">
        <f>M3951+N3951+O3951+Q3951+M3952+N3952+O3952+Q3952</f>
        <v>3651566</v>
      </c>
      <c r="M3951" s="751">
        <v>1899924</v>
      </c>
      <c r="N3951" s="752">
        <v>35000</v>
      </c>
      <c r="O3951" s="753"/>
      <c r="P3951" s="752"/>
      <c r="Q3951" s="391">
        <v>11164</v>
      </c>
      <c r="R3951" s="765">
        <f>M3951/G3951</f>
        <v>2702.5945945945946</v>
      </c>
      <c r="S3951" s="479"/>
      <c r="T3951" s="391"/>
      <c r="U3951" s="406"/>
    </row>
    <row r="3952" spans="1:23" s="403" customFormat="1" ht="37.5" customHeight="1">
      <c r="A3952" s="404"/>
      <c r="C3952" s="531"/>
      <c r="D3952" s="747"/>
      <c r="E3952" s="748"/>
      <c r="F3952" s="748"/>
      <c r="G3952" s="748"/>
      <c r="H3952" s="764"/>
      <c r="I3952" s="764"/>
      <c r="J3952" s="749"/>
      <c r="K3952" s="750" t="s">
        <v>38</v>
      </c>
      <c r="L3952" s="1129"/>
      <c r="M3952" s="751">
        <v>1682500</v>
      </c>
      <c r="N3952" s="752"/>
      <c r="O3952" s="753"/>
      <c r="P3952" s="752"/>
      <c r="Q3952" s="391">
        <v>22978</v>
      </c>
      <c r="R3952" s="765"/>
      <c r="S3952" s="479"/>
      <c r="T3952" s="391"/>
      <c r="U3952" s="406"/>
    </row>
    <row r="3953" spans="1:22" s="403" customFormat="1" ht="37.5" customHeight="1">
      <c r="A3953" s="404">
        <v>12</v>
      </c>
      <c r="B3953" s="404" t="s">
        <v>4327</v>
      </c>
      <c r="C3953" s="506" t="s">
        <v>222</v>
      </c>
      <c r="D3953" s="838">
        <v>14981</v>
      </c>
      <c r="E3953" s="748">
        <v>2020</v>
      </c>
      <c r="F3953" s="748" t="s">
        <v>292</v>
      </c>
      <c r="G3953" s="748">
        <v>1404</v>
      </c>
      <c r="H3953" s="764">
        <v>5</v>
      </c>
      <c r="I3953" s="764">
        <v>6</v>
      </c>
      <c r="J3953" s="749">
        <v>79</v>
      </c>
      <c r="K3953" s="909" t="s">
        <v>33</v>
      </c>
      <c r="L3953" s="519">
        <f>SUM(M3953:Q3953)</f>
        <v>4006200</v>
      </c>
      <c r="M3953" s="751">
        <v>3931200</v>
      </c>
      <c r="N3953" s="752">
        <v>35000</v>
      </c>
      <c r="O3953" s="753"/>
      <c r="P3953" s="752"/>
      <c r="Q3953" s="391">
        <v>40000</v>
      </c>
      <c r="R3953" s="765"/>
      <c r="S3953" s="479"/>
      <c r="T3953" s="391"/>
      <c r="U3953" s="406"/>
    </row>
    <row r="3954" spans="1:22" s="403" customFormat="1" ht="37.5" customHeight="1">
      <c r="A3954" s="404">
        <v>13</v>
      </c>
      <c r="B3954" s="1130" t="s">
        <v>4328</v>
      </c>
      <c r="C3954" s="910" t="s">
        <v>222</v>
      </c>
      <c r="D3954" s="838">
        <v>4466</v>
      </c>
      <c r="E3954" s="748">
        <v>1110</v>
      </c>
      <c r="F3954" s="748" t="s">
        <v>292</v>
      </c>
      <c r="G3954" s="748">
        <v>866</v>
      </c>
      <c r="H3954" s="764">
        <v>2</v>
      </c>
      <c r="I3954" s="764">
        <v>3</v>
      </c>
      <c r="J3954" s="749">
        <v>16</v>
      </c>
      <c r="K3954" s="909" t="s">
        <v>33</v>
      </c>
      <c r="L3954" s="1129">
        <f>M3954+N3954+O3954+Q3954+M3955+N3955+O3955+Q3955</f>
        <v>4277547</v>
      </c>
      <c r="M3954" s="751">
        <v>2424800</v>
      </c>
      <c r="N3954" s="752">
        <v>35000</v>
      </c>
      <c r="O3954" s="753"/>
      <c r="P3954" s="752"/>
      <c r="Q3954" s="391">
        <v>13978</v>
      </c>
      <c r="R3954" s="765"/>
      <c r="S3954" s="479"/>
      <c r="T3954" s="391"/>
      <c r="U3954" s="406"/>
    </row>
    <row r="3955" spans="1:22" s="403" customFormat="1" ht="37.5" customHeight="1">
      <c r="A3955" s="404"/>
      <c r="B3955" s="1130"/>
      <c r="C3955" s="910"/>
      <c r="D3955" s="838"/>
      <c r="E3955" s="748"/>
      <c r="F3955" s="748"/>
      <c r="G3955" s="748"/>
      <c r="H3955" s="764"/>
      <c r="I3955" s="764"/>
      <c r="J3955" s="749"/>
      <c r="K3955" s="909" t="s">
        <v>38</v>
      </c>
      <c r="L3955" s="1129"/>
      <c r="M3955" s="751">
        <v>1775000</v>
      </c>
      <c r="N3955" s="752"/>
      <c r="O3955" s="753"/>
      <c r="P3955" s="752"/>
      <c r="Q3955" s="391">
        <v>28769</v>
      </c>
      <c r="R3955" s="765"/>
      <c r="S3955" s="479"/>
      <c r="T3955" s="391"/>
      <c r="U3955" s="406"/>
    </row>
    <row r="3956" spans="1:22" s="403" customFormat="1" ht="37.5" customHeight="1">
      <c r="A3956" s="404">
        <v>14</v>
      </c>
      <c r="B3956" s="1130" t="s">
        <v>4330</v>
      </c>
      <c r="C3956" s="910" t="s">
        <v>4329</v>
      </c>
      <c r="D3956" s="838">
        <v>1753</v>
      </c>
      <c r="E3956" s="748">
        <v>660</v>
      </c>
      <c r="F3956" s="748" t="s">
        <v>234</v>
      </c>
      <c r="G3956" s="748">
        <v>368</v>
      </c>
      <c r="H3956" s="764">
        <v>2</v>
      </c>
      <c r="I3956" s="764">
        <v>1</v>
      </c>
      <c r="J3956" s="749">
        <v>9</v>
      </c>
      <c r="K3956" s="909" t="s">
        <v>33</v>
      </c>
      <c r="L3956" s="1129">
        <f>SUM(M3956,M3957,N3956,N3957,O3957,O3956,Q3957,Q3956)</f>
        <v>2135363</v>
      </c>
      <c r="M3956" s="751">
        <v>1030400</v>
      </c>
      <c r="N3956" s="752">
        <v>35000</v>
      </c>
      <c r="O3956" s="753"/>
      <c r="P3956" s="752"/>
      <c r="Q3956" s="391">
        <v>8671</v>
      </c>
      <c r="R3956" s="765"/>
      <c r="S3956" s="479"/>
      <c r="T3956" s="391"/>
      <c r="U3956" s="406"/>
    </row>
    <row r="3957" spans="1:22" s="403" customFormat="1" ht="37.5" customHeight="1">
      <c r="A3957" s="404"/>
      <c r="B3957" s="1130"/>
      <c r="C3957" s="910"/>
      <c r="D3957" s="838"/>
      <c r="E3957" s="748"/>
      <c r="F3957" s="748"/>
      <c r="G3957" s="748"/>
      <c r="H3957" s="764"/>
      <c r="I3957" s="764"/>
      <c r="J3957" s="749"/>
      <c r="K3957" s="909" t="s">
        <v>38</v>
      </c>
      <c r="L3957" s="1129"/>
      <c r="M3957" s="751">
        <v>1050000</v>
      </c>
      <c r="N3957" s="752"/>
      <c r="O3957" s="753"/>
      <c r="P3957" s="752"/>
      <c r="Q3957" s="391">
        <v>11292</v>
      </c>
      <c r="R3957" s="765"/>
      <c r="S3957" s="479"/>
      <c r="T3957" s="391"/>
      <c r="U3957" s="406"/>
    </row>
    <row r="3958" spans="1:22" s="403" customFormat="1" ht="37.5" customHeight="1">
      <c r="A3958" s="404">
        <v>15</v>
      </c>
      <c r="B3958" s="1130" t="s">
        <v>4331</v>
      </c>
      <c r="C3958" s="910" t="s">
        <v>4329</v>
      </c>
      <c r="D3958" s="838">
        <v>1733</v>
      </c>
      <c r="E3958" s="748">
        <v>590</v>
      </c>
      <c r="F3958" s="748" t="s">
        <v>252</v>
      </c>
      <c r="G3958" s="748">
        <v>352</v>
      </c>
      <c r="H3958" s="764">
        <v>2</v>
      </c>
      <c r="I3958" s="764">
        <v>2</v>
      </c>
      <c r="J3958" s="749">
        <v>8</v>
      </c>
      <c r="K3958" s="909" t="s">
        <v>33</v>
      </c>
      <c r="L3958" s="1129">
        <f>SUM(M3958,M3959,N3958,N3959,O3958,O3959,Q3958,Q3959)</f>
        <v>2015335</v>
      </c>
      <c r="M3958" s="751">
        <v>985600</v>
      </c>
      <c r="N3958" s="752">
        <v>35000</v>
      </c>
      <c r="O3958" s="753"/>
      <c r="P3958" s="752"/>
      <c r="Q3958" s="391">
        <v>11163</v>
      </c>
      <c r="R3958" s="765"/>
      <c r="S3958" s="479"/>
      <c r="T3958" s="391"/>
      <c r="U3958" s="406"/>
    </row>
    <row r="3959" spans="1:22" s="403" customFormat="1" ht="37.5" customHeight="1">
      <c r="A3959" s="404"/>
      <c r="B3959" s="1130"/>
      <c r="C3959" s="910"/>
      <c r="D3959" s="838"/>
      <c r="E3959" s="748"/>
      <c r="F3959" s="748"/>
      <c r="G3959" s="748"/>
      <c r="H3959" s="764"/>
      <c r="I3959" s="764"/>
      <c r="J3959" s="749"/>
      <c r="K3959" s="909" t="s">
        <v>38</v>
      </c>
      <c r="L3959" s="1129"/>
      <c r="M3959" s="751">
        <v>975000</v>
      </c>
      <c r="N3959" s="752"/>
      <c r="O3959" s="753"/>
      <c r="P3959" s="752"/>
      <c r="Q3959" s="391">
        <v>8572</v>
      </c>
      <c r="R3959" s="765"/>
      <c r="S3959" s="479"/>
      <c r="T3959" s="391"/>
      <c r="U3959" s="406"/>
    </row>
    <row r="3960" spans="1:22" s="403" customFormat="1" ht="37.5" customHeight="1">
      <c r="A3960" s="404">
        <v>16</v>
      </c>
      <c r="B3960" s="911" t="s">
        <v>4332</v>
      </c>
      <c r="C3960" s="910" t="s">
        <v>323</v>
      </c>
      <c r="D3960" s="838">
        <v>10305</v>
      </c>
      <c r="E3960" s="748">
        <v>1710</v>
      </c>
      <c r="F3960" s="748" t="s">
        <v>292</v>
      </c>
      <c r="G3960" s="748">
        <v>1647</v>
      </c>
      <c r="H3960" s="764">
        <v>5</v>
      </c>
      <c r="I3960" s="764">
        <v>4</v>
      </c>
      <c r="J3960" s="749">
        <v>71</v>
      </c>
      <c r="K3960" s="909" t="s">
        <v>33</v>
      </c>
      <c r="L3960" s="519">
        <f>SUM(M3960:Q3960)</f>
        <v>2718855</v>
      </c>
      <c r="M3960" s="752">
        <v>2651600</v>
      </c>
      <c r="N3960" s="752">
        <v>35000</v>
      </c>
      <c r="O3960" s="753"/>
      <c r="P3960" s="752"/>
      <c r="Q3960" s="391">
        <v>32255</v>
      </c>
      <c r="R3960" s="765"/>
      <c r="S3960" s="479"/>
      <c r="T3960" s="391"/>
      <c r="U3960" s="406"/>
    </row>
    <row r="3961" spans="1:22" s="403" customFormat="1" ht="37.5" customHeight="1">
      <c r="A3961" s="404">
        <v>17</v>
      </c>
      <c r="B3961" s="1130" t="s">
        <v>4333</v>
      </c>
      <c r="C3961" s="1132" t="s">
        <v>222</v>
      </c>
      <c r="D3961" s="838">
        <v>3359</v>
      </c>
      <c r="E3961" s="748">
        <v>859.3</v>
      </c>
      <c r="F3961" s="748" t="s">
        <v>292</v>
      </c>
      <c r="G3961" s="748">
        <v>641</v>
      </c>
      <c r="H3961" s="764">
        <v>2</v>
      </c>
      <c r="I3961" s="764">
        <v>2</v>
      </c>
      <c r="J3961" s="749">
        <v>12</v>
      </c>
      <c r="K3961" s="909" t="s">
        <v>33</v>
      </c>
      <c r="L3961" s="1129">
        <f>SUM(M3961,M3962,N3961,N3962,O3961,O3962,Q3961,Q3962)</f>
        <v>3260202</v>
      </c>
      <c r="M3961" s="751">
        <v>1794800</v>
      </c>
      <c r="N3961" s="752">
        <v>35000</v>
      </c>
      <c r="O3961" s="753"/>
      <c r="P3961" s="752"/>
      <c r="Q3961" s="391">
        <v>10514</v>
      </c>
      <c r="R3961" s="765"/>
      <c r="S3961" s="479"/>
      <c r="T3961" s="391"/>
      <c r="U3961" s="406"/>
    </row>
    <row r="3962" spans="1:22" s="403" customFormat="1" ht="37.5" customHeight="1">
      <c r="A3962" s="404"/>
      <c r="B3962" s="1130"/>
      <c r="C3962" s="1132"/>
      <c r="D3962" s="838"/>
      <c r="E3962" s="748"/>
      <c r="F3962" s="748"/>
      <c r="G3962" s="748"/>
      <c r="H3962" s="764"/>
      <c r="I3962" s="764"/>
      <c r="J3962" s="749"/>
      <c r="K3962" s="909" t="s">
        <v>38</v>
      </c>
      <c r="L3962" s="1129"/>
      <c r="M3962" s="751">
        <v>1398250</v>
      </c>
      <c r="N3962" s="752"/>
      <c r="O3962" s="753"/>
      <c r="P3962" s="752"/>
      <c r="Q3962" s="391">
        <v>21638</v>
      </c>
      <c r="R3962" s="765"/>
      <c r="S3962" s="479"/>
      <c r="T3962" s="391"/>
      <c r="U3962" s="406"/>
    </row>
    <row r="3963" spans="1:22" s="403" customFormat="1" ht="37.5" customHeight="1">
      <c r="A3963" s="404">
        <v>18</v>
      </c>
      <c r="B3963" s="911" t="s">
        <v>4334</v>
      </c>
      <c r="C3963" s="910" t="s">
        <v>4329</v>
      </c>
      <c r="D3963" s="838">
        <v>24313</v>
      </c>
      <c r="E3963" s="748">
        <v>3696</v>
      </c>
      <c r="F3963" s="748" t="s">
        <v>292</v>
      </c>
      <c r="G3963" s="748">
        <v>2010</v>
      </c>
      <c r="H3963" s="764">
        <v>5</v>
      </c>
      <c r="I3963" s="764">
        <v>8</v>
      </c>
      <c r="J3963" s="749">
        <v>87</v>
      </c>
      <c r="K3963" s="909" t="s">
        <v>33</v>
      </c>
      <c r="L3963" s="519">
        <f>SUM(M3963:Q3963)</f>
        <v>5703000</v>
      </c>
      <c r="M3963" s="751">
        <v>5628000</v>
      </c>
      <c r="N3963" s="752">
        <v>35000</v>
      </c>
      <c r="O3963" s="753"/>
      <c r="P3963" s="752"/>
      <c r="Q3963" s="391">
        <v>40000</v>
      </c>
      <c r="R3963" s="765"/>
      <c r="S3963" s="479"/>
      <c r="T3963" s="391"/>
      <c r="U3963" s="406"/>
    </row>
    <row r="3964" spans="1:22" s="403" customFormat="1" ht="42.75" customHeight="1">
      <c r="A3964" s="1112" t="s">
        <v>144</v>
      </c>
      <c r="B3964" s="1112"/>
      <c r="C3964" s="455" t="s">
        <v>28</v>
      </c>
      <c r="D3964" s="912">
        <f>SUM(D3940:D3963)</f>
        <v>64906</v>
      </c>
      <c r="E3964" s="388">
        <f>SUM(E3940:E3963)</f>
        <v>34112.6</v>
      </c>
      <c r="F3964" s="388" t="s">
        <v>28</v>
      </c>
      <c r="G3964" s="388">
        <f>SUM(G3940:G3963)</f>
        <v>19570</v>
      </c>
      <c r="H3964" s="446" t="s">
        <v>28</v>
      </c>
      <c r="I3964" s="446" t="s">
        <v>28</v>
      </c>
      <c r="J3964" s="446">
        <f>SUM(J3940:J3963)</f>
        <v>911</v>
      </c>
      <c r="K3964" s="458" t="s">
        <v>28</v>
      </c>
      <c r="L3964" s="912">
        <f t="shared" ref="L3964:Q3964" si="581">SUM(L3940:L3963)</f>
        <v>63088257</v>
      </c>
      <c r="M3964" s="912">
        <f t="shared" si="581"/>
        <v>61802702</v>
      </c>
      <c r="N3964" s="912">
        <f t="shared" si="581"/>
        <v>775000</v>
      </c>
      <c r="O3964" s="912">
        <f t="shared" si="581"/>
        <v>12627</v>
      </c>
      <c r="P3964" s="912">
        <f t="shared" si="581"/>
        <v>0</v>
      </c>
      <c r="Q3964" s="912">
        <f t="shared" si="581"/>
        <v>497928</v>
      </c>
      <c r="R3964" s="446" t="s">
        <v>28</v>
      </c>
      <c r="S3964" s="383">
        <f>L3964-M3964-N3964-O3964-P3964-Q3964</f>
        <v>0</v>
      </c>
      <c r="T3964" s="387" t="e">
        <f>'1.перечень МКД'!#REF!</f>
        <v>#REF!</v>
      </c>
      <c r="U3964" s="390" t="e">
        <f>L3964-T3964</f>
        <v>#REF!</v>
      </c>
    </row>
    <row r="3965" spans="1:22" s="403" customFormat="1" ht="42.75" customHeight="1">
      <c r="A3965" s="1113" t="s">
        <v>167</v>
      </c>
      <c r="B3965" s="1113"/>
      <c r="C3965" s="1113"/>
      <c r="D3965" s="1113"/>
      <c r="E3965" s="1113"/>
      <c r="F3965" s="1113"/>
      <c r="G3965" s="1113"/>
      <c r="H3965" s="1113"/>
      <c r="I3965" s="1113"/>
      <c r="J3965" s="1113"/>
      <c r="K3965" s="1113"/>
      <c r="L3965" s="1113"/>
      <c r="M3965" s="1113"/>
      <c r="N3965" s="1113"/>
      <c r="O3965" s="1113"/>
      <c r="P3965" s="1113"/>
      <c r="Q3965" s="1113"/>
      <c r="R3965" s="458"/>
      <c r="U3965" s="404"/>
    </row>
    <row r="3966" spans="1:22" s="455" customFormat="1" ht="37.5" customHeight="1">
      <c r="A3966" s="404">
        <v>1</v>
      </c>
      <c r="B3966" s="403" t="s">
        <v>3068</v>
      </c>
      <c r="C3966" s="455" t="s">
        <v>299</v>
      </c>
      <c r="D3966" s="772">
        <f t="shared" ref="D3966:D3972" si="582">E3966/1.16/2*13</f>
        <v>40809.913793103457</v>
      </c>
      <c r="E3966" s="388">
        <v>7283</v>
      </c>
      <c r="F3966" s="388" t="s">
        <v>219</v>
      </c>
      <c r="G3966" s="388">
        <v>1350</v>
      </c>
      <c r="H3966" s="528">
        <v>9</v>
      </c>
      <c r="I3966" s="528">
        <v>3</v>
      </c>
      <c r="J3966" s="528">
        <v>121</v>
      </c>
      <c r="K3966" s="397" t="s">
        <v>220</v>
      </c>
      <c r="L3966" s="384">
        <f t="shared" ref="L3966:L3973" si="583">SUM(M3966:Q3966)</f>
        <v>6127500</v>
      </c>
      <c r="M3966" s="529">
        <v>6000000</v>
      </c>
      <c r="N3966" s="383">
        <v>127500</v>
      </c>
      <c r="O3966" s="385"/>
      <c r="P3966" s="383"/>
      <c r="Q3966" s="388"/>
      <c r="R3966" s="446">
        <f t="shared" ref="R3966:R3972" si="584">M3966/I3966</f>
        <v>2000000</v>
      </c>
      <c r="U3966" s="404"/>
      <c r="V3966" s="390"/>
    </row>
    <row r="3967" spans="1:22" s="455" customFormat="1" ht="37.5" customHeight="1">
      <c r="A3967" s="404">
        <f>A3966+1</f>
        <v>2</v>
      </c>
      <c r="B3967" s="403" t="s">
        <v>3069</v>
      </c>
      <c r="C3967" s="455" t="s">
        <v>299</v>
      </c>
      <c r="D3967" s="772">
        <f t="shared" si="582"/>
        <v>40809.913793103457</v>
      </c>
      <c r="E3967" s="388">
        <v>7283</v>
      </c>
      <c r="F3967" s="388" t="s">
        <v>219</v>
      </c>
      <c r="G3967" s="388">
        <v>1350</v>
      </c>
      <c r="H3967" s="528">
        <v>9</v>
      </c>
      <c r="I3967" s="528">
        <v>3</v>
      </c>
      <c r="J3967" s="528">
        <v>123</v>
      </c>
      <c r="K3967" s="397" t="s">
        <v>220</v>
      </c>
      <c r="L3967" s="384">
        <f t="shared" si="583"/>
        <v>6127500</v>
      </c>
      <c r="M3967" s="529">
        <v>6000000</v>
      </c>
      <c r="N3967" s="383">
        <v>127500</v>
      </c>
      <c r="O3967" s="385"/>
      <c r="P3967" s="383"/>
      <c r="Q3967" s="388"/>
      <c r="R3967" s="446">
        <f t="shared" si="584"/>
        <v>2000000</v>
      </c>
      <c r="U3967" s="404"/>
      <c r="V3967" s="390"/>
    </row>
    <row r="3968" spans="1:22" s="455" customFormat="1" ht="37.5" customHeight="1">
      <c r="A3968" s="404">
        <f>A3967+1</f>
        <v>3</v>
      </c>
      <c r="B3968" s="403" t="s">
        <v>3070</v>
      </c>
      <c r="C3968" s="455" t="s">
        <v>299</v>
      </c>
      <c r="D3968" s="772">
        <f t="shared" si="582"/>
        <v>40809.913793103457</v>
      </c>
      <c r="E3968" s="388">
        <v>7283</v>
      </c>
      <c r="F3968" s="388" t="s">
        <v>219</v>
      </c>
      <c r="G3968" s="388">
        <v>1343</v>
      </c>
      <c r="H3968" s="446">
        <v>9</v>
      </c>
      <c r="I3968" s="446">
        <v>3</v>
      </c>
      <c r="J3968" s="446">
        <v>123</v>
      </c>
      <c r="K3968" s="397" t="s">
        <v>220</v>
      </c>
      <c r="L3968" s="384">
        <f t="shared" si="583"/>
        <v>6127500</v>
      </c>
      <c r="M3968" s="529">
        <v>6000000</v>
      </c>
      <c r="N3968" s="383">
        <v>127500</v>
      </c>
      <c r="O3968" s="385"/>
      <c r="P3968" s="383"/>
      <c r="Q3968" s="388"/>
      <c r="R3968" s="446">
        <f t="shared" si="584"/>
        <v>2000000</v>
      </c>
      <c r="U3968" s="404"/>
      <c r="V3968" s="390"/>
    </row>
    <row r="3969" spans="1:22" s="455" customFormat="1" ht="37.5" customHeight="1">
      <c r="A3969" s="404">
        <f t="shared" ref="A3969:A3974" si="585">A3968+1</f>
        <v>4</v>
      </c>
      <c r="B3969" s="403" t="s">
        <v>2156</v>
      </c>
      <c r="C3969" s="455" t="s">
        <v>299</v>
      </c>
      <c r="D3969" s="772">
        <f t="shared" si="582"/>
        <v>19595.258620689659</v>
      </c>
      <c r="E3969" s="388">
        <v>3497</v>
      </c>
      <c r="F3969" s="388" t="s">
        <v>219</v>
      </c>
      <c r="G3969" s="388">
        <v>500</v>
      </c>
      <c r="H3969" s="528">
        <v>9</v>
      </c>
      <c r="I3969" s="528">
        <v>1</v>
      </c>
      <c r="J3969" s="528">
        <v>71</v>
      </c>
      <c r="K3969" s="397" t="s">
        <v>220</v>
      </c>
      <c r="L3969" s="384">
        <f t="shared" si="583"/>
        <v>2085000</v>
      </c>
      <c r="M3969" s="529">
        <v>2000000</v>
      </c>
      <c r="N3969" s="383">
        <v>85000</v>
      </c>
      <c r="O3969" s="473"/>
      <c r="P3969" s="388"/>
      <c r="Q3969" s="388"/>
      <c r="R3969" s="446">
        <f t="shared" si="584"/>
        <v>2000000</v>
      </c>
      <c r="U3969" s="404" t="s">
        <v>3495</v>
      </c>
      <c r="V3969" s="390"/>
    </row>
    <row r="3970" spans="1:22" s="455" customFormat="1" ht="37.5" customHeight="1">
      <c r="A3970" s="404">
        <f t="shared" si="585"/>
        <v>5</v>
      </c>
      <c r="B3970" s="403" t="s">
        <v>3081</v>
      </c>
      <c r="C3970" s="455" t="s">
        <v>299</v>
      </c>
      <c r="D3970" s="772">
        <f t="shared" si="582"/>
        <v>22189.655172413797</v>
      </c>
      <c r="E3970" s="388">
        <v>3960</v>
      </c>
      <c r="F3970" s="388" t="s">
        <v>219</v>
      </c>
      <c r="G3970" s="388">
        <v>650</v>
      </c>
      <c r="H3970" s="446">
        <v>9</v>
      </c>
      <c r="I3970" s="446">
        <v>2</v>
      </c>
      <c r="J3970" s="446">
        <v>113</v>
      </c>
      <c r="K3970" s="397" t="s">
        <v>220</v>
      </c>
      <c r="L3970" s="384">
        <f t="shared" si="583"/>
        <v>4106250</v>
      </c>
      <c r="M3970" s="529">
        <v>4000000</v>
      </c>
      <c r="N3970" s="383">
        <v>106250</v>
      </c>
      <c r="O3970" s="385"/>
      <c r="P3970" s="383"/>
      <c r="Q3970" s="388"/>
      <c r="R3970" s="446">
        <f t="shared" si="584"/>
        <v>2000000</v>
      </c>
      <c r="U3970" s="404"/>
      <c r="V3970" s="390"/>
    </row>
    <row r="3971" spans="1:22" s="455" customFormat="1" ht="37.5" customHeight="1">
      <c r="A3971" s="404">
        <f t="shared" si="585"/>
        <v>6</v>
      </c>
      <c r="B3971" s="403" t="s">
        <v>2167</v>
      </c>
      <c r="C3971" s="455" t="s">
        <v>299</v>
      </c>
      <c r="D3971" s="772">
        <f t="shared" si="582"/>
        <v>19163.793103448275</v>
      </c>
      <c r="E3971" s="388">
        <v>3420</v>
      </c>
      <c r="F3971" s="388" t="s">
        <v>219</v>
      </c>
      <c r="G3971" s="388">
        <v>654</v>
      </c>
      <c r="H3971" s="528">
        <v>9</v>
      </c>
      <c r="I3971" s="446">
        <v>2</v>
      </c>
      <c r="J3971" s="446">
        <v>73</v>
      </c>
      <c r="K3971" s="397" t="s">
        <v>220</v>
      </c>
      <c r="L3971" s="384">
        <f t="shared" si="583"/>
        <v>4106250</v>
      </c>
      <c r="M3971" s="529">
        <v>4000000</v>
      </c>
      <c r="N3971" s="383">
        <v>106250</v>
      </c>
      <c r="O3971" s="385"/>
      <c r="P3971" s="383"/>
      <c r="Q3971" s="388"/>
      <c r="R3971" s="446">
        <f t="shared" si="584"/>
        <v>2000000</v>
      </c>
      <c r="U3971" s="404"/>
      <c r="V3971" s="390"/>
    </row>
    <row r="3972" spans="1:22" s="455" customFormat="1" ht="37.5" customHeight="1">
      <c r="A3972" s="404">
        <f t="shared" si="585"/>
        <v>7</v>
      </c>
      <c r="B3972" s="403" t="s">
        <v>3082</v>
      </c>
      <c r="C3972" s="455" t="s">
        <v>299</v>
      </c>
      <c r="D3972" s="772">
        <f t="shared" si="582"/>
        <v>22357.758620689659</v>
      </c>
      <c r="E3972" s="388">
        <v>3990</v>
      </c>
      <c r="F3972" s="388" t="s">
        <v>219</v>
      </c>
      <c r="G3972" s="388">
        <v>743</v>
      </c>
      <c r="H3972" s="446">
        <v>9</v>
      </c>
      <c r="I3972" s="446">
        <v>2</v>
      </c>
      <c r="J3972" s="446">
        <v>112</v>
      </c>
      <c r="K3972" s="397" t="s">
        <v>220</v>
      </c>
      <c r="L3972" s="384">
        <f t="shared" si="583"/>
        <v>4106250</v>
      </c>
      <c r="M3972" s="529">
        <v>4000000</v>
      </c>
      <c r="N3972" s="383">
        <v>106250</v>
      </c>
      <c r="O3972" s="385"/>
      <c r="P3972" s="383"/>
      <c r="Q3972" s="388"/>
      <c r="R3972" s="446">
        <f t="shared" si="584"/>
        <v>2000000</v>
      </c>
      <c r="U3972" s="404"/>
      <c r="V3972" s="390"/>
    </row>
    <row r="3973" spans="1:22" s="455" customFormat="1" ht="56.25" customHeight="1">
      <c r="A3973" s="404">
        <f t="shared" si="585"/>
        <v>8</v>
      </c>
      <c r="B3973" s="403" t="s">
        <v>3083</v>
      </c>
      <c r="C3973" s="455" t="s">
        <v>299</v>
      </c>
      <c r="D3973" s="772">
        <f>E3973/1.16/2*13</f>
        <v>19062.931034482761</v>
      </c>
      <c r="E3973" s="391">
        <v>3402</v>
      </c>
      <c r="F3973" s="388" t="s">
        <v>219</v>
      </c>
      <c r="G3973" s="391">
        <v>743</v>
      </c>
      <c r="H3973" s="528"/>
      <c r="I3973" s="528"/>
      <c r="J3973" s="528"/>
      <c r="K3973" s="458" t="s">
        <v>220</v>
      </c>
      <c r="L3973" s="384">
        <f t="shared" si="583"/>
        <v>4106250</v>
      </c>
      <c r="M3973" s="519">
        <v>4000000</v>
      </c>
      <c r="N3973" s="383">
        <v>106250</v>
      </c>
      <c r="O3973" s="473"/>
      <c r="P3973" s="388"/>
      <c r="Q3973" s="388"/>
      <c r="R3973" s="446" t="e">
        <f>M3973/#REF!</f>
        <v>#REF!</v>
      </c>
      <c r="U3973" s="404"/>
    </row>
    <row r="3974" spans="1:22" s="455" customFormat="1" ht="37.5" customHeight="1">
      <c r="A3974" s="404">
        <f t="shared" si="585"/>
        <v>9</v>
      </c>
      <c r="B3974" s="403" t="s">
        <v>3084</v>
      </c>
      <c r="C3974" s="455" t="s">
        <v>299</v>
      </c>
      <c r="D3974" s="531">
        <f>E3974/1.16/2*13</f>
        <v>21853.448275862069</v>
      </c>
      <c r="E3974" s="388">
        <v>3900</v>
      </c>
      <c r="F3974" s="388" t="s">
        <v>219</v>
      </c>
      <c r="G3974" s="388">
        <v>547</v>
      </c>
      <c r="H3974" s="446">
        <v>9</v>
      </c>
      <c r="I3974" s="446">
        <v>1</v>
      </c>
      <c r="J3974" s="446">
        <v>133</v>
      </c>
      <c r="K3974" s="397" t="s">
        <v>220</v>
      </c>
      <c r="L3974" s="384">
        <f>SUM(M3974:Q3974)</f>
        <v>2085000</v>
      </c>
      <c r="M3974" s="529">
        <v>2000000</v>
      </c>
      <c r="N3974" s="383">
        <v>85000</v>
      </c>
      <c r="O3974" s="473"/>
      <c r="P3974" s="388"/>
      <c r="Q3974" s="388"/>
      <c r="R3974" s="446">
        <f>M3974/I3974</f>
        <v>2000000</v>
      </c>
      <c r="U3974" s="404" t="s">
        <v>3495</v>
      </c>
      <c r="V3974" s="390"/>
    </row>
    <row r="3975" spans="1:22" s="455" customFormat="1" ht="37.5" customHeight="1">
      <c r="A3975" s="404">
        <f>A3974+1</f>
        <v>10</v>
      </c>
      <c r="B3975" s="403" t="s">
        <v>3110</v>
      </c>
      <c r="C3975" s="455" t="s">
        <v>299</v>
      </c>
      <c r="D3975" s="772">
        <f>E3975/1.16/2*13</f>
        <v>23416.810344827587</v>
      </c>
      <c r="E3975" s="388">
        <v>4179</v>
      </c>
      <c r="F3975" s="388" t="s">
        <v>219</v>
      </c>
      <c r="G3975" s="388">
        <v>902</v>
      </c>
      <c r="H3975" s="528">
        <v>9</v>
      </c>
      <c r="I3975" s="528">
        <v>3</v>
      </c>
      <c r="J3975" s="528">
        <v>106</v>
      </c>
      <c r="K3975" s="397" t="s">
        <v>220</v>
      </c>
      <c r="L3975" s="384">
        <f>SUM(M3975:Q3975)</f>
        <v>6127500</v>
      </c>
      <c r="M3975" s="529">
        <v>6000000</v>
      </c>
      <c r="N3975" s="383">
        <v>127500</v>
      </c>
      <c r="O3975" s="385"/>
      <c r="P3975" s="383"/>
      <c r="Q3975" s="388"/>
      <c r="R3975" s="446">
        <f>M3975/I3975</f>
        <v>2000000</v>
      </c>
      <c r="U3975" s="404"/>
      <c r="V3975" s="390"/>
    </row>
    <row r="3976" spans="1:22" s="455" customFormat="1" ht="70.5" customHeight="1">
      <c r="A3976" s="404">
        <f>A3975+1</f>
        <v>11</v>
      </c>
      <c r="B3976" s="403" t="s">
        <v>3860</v>
      </c>
      <c r="C3976" s="455" t="s">
        <v>218</v>
      </c>
      <c r="D3976" s="772">
        <v>51452.508960573468</v>
      </c>
      <c r="E3976" s="388">
        <v>8834</v>
      </c>
      <c r="F3976" s="388" t="s">
        <v>3556</v>
      </c>
      <c r="G3976" s="388">
        <v>1800</v>
      </c>
      <c r="H3976" s="446">
        <v>9</v>
      </c>
      <c r="I3976" s="528">
        <v>5</v>
      </c>
      <c r="J3976" s="528">
        <v>194</v>
      </c>
      <c r="K3976" s="397" t="s">
        <v>220</v>
      </c>
      <c r="L3976" s="384">
        <f>SUM(M3976:Q3976)</f>
        <v>10170000</v>
      </c>
      <c r="M3976" s="529">
        <v>10000000</v>
      </c>
      <c r="N3976" s="383">
        <v>170000</v>
      </c>
      <c r="O3976" s="385"/>
      <c r="P3976" s="383"/>
      <c r="Q3976" s="388"/>
      <c r="R3976" s="446">
        <f>M3976/I3976</f>
        <v>2000000</v>
      </c>
      <c r="U3976" s="404"/>
      <c r="V3976" s="390"/>
    </row>
    <row r="3977" spans="1:22" s="455" customFormat="1" ht="76.5" customHeight="1">
      <c r="A3977" s="404">
        <f>A3976+1</f>
        <v>12</v>
      </c>
      <c r="B3977" s="403" t="s">
        <v>2185</v>
      </c>
      <c r="C3977" s="455" t="s">
        <v>299</v>
      </c>
      <c r="D3977" s="772">
        <v>17332.025862068967</v>
      </c>
      <c r="E3977" s="388">
        <v>3093.1</v>
      </c>
      <c r="F3977" s="388" t="s">
        <v>219</v>
      </c>
      <c r="G3977" s="388">
        <v>657.8</v>
      </c>
      <c r="H3977" s="446">
        <v>5</v>
      </c>
      <c r="I3977" s="446">
        <v>2</v>
      </c>
      <c r="J3977" s="446">
        <v>72</v>
      </c>
      <c r="K3977" s="397" t="s">
        <v>220</v>
      </c>
      <c r="L3977" s="384">
        <f>SUM(M3977:Q3977)</f>
        <v>4106250</v>
      </c>
      <c r="M3977" s="529">
        <v>4000000</v>
      </c>
      <c r="N3977" s="383">
        <v>106250</v>
      </c>
      <c r="O3977" s="385"/>
      <c r="P3977" s="383"/>
      <c r="Q3977" s="388"/>
      <c r="R3977" s="446">
        <f>M3977/I3977</f>
        <v>2000000</v>
      </c>
      <c r="U3977" s="404"/>
      <c r="V3977" s="390"/>
    </row>
    <row r="3978" spans="1:22" s="455" customFormat="1" ht="37.5" customHeight="1">
      <c r="A3978" s="404">
        <f>A3977+1</f>
        <v>13</v>
      </c>
      <c r="B3978" s="403" t="s">
        <v>3129</v>
      </c>
      <c r="C3978" s="455" t="s">
        <v>299</v>
      </c>
      <c r="D3978" s="772">
        <f>E3978/1.16/2*13</f>
        <v>12775.862068965518</v>
      </c>
      <c r="E3978" s="388">
        <v>2280</v>
      </c>
      <c r="F3978" s="388" t="s">
        <v>219</v>
      </c>
      <c r="G3978" s="388">
        <v>300</v>
      </c>
      <c r="H3978" s="446">
        <v>9</v>
      </c>
      <c r="I3978" s="446">
        <v>1</v>
      </c>
      <c r="J3978" s="446">
        <v>32</v>
      </c>
      <c r="K3978" s="397" t="s">
        <v>220</v>
      </c>
      <c r="L3978" s="384">
        <f>SUM(M3978:Q3978)</f>
        <v>2085000</v>
      </c>
      <c r="M3978" s="529">
        <v>2000000</v>
      </c>
      <c r="N3978" s="383">
        <v>85000</v>
      </c>
      <c r="O3978" s="473"/>
      <c r="P3978" s="388"/>
      <c r="Q3978" s="388"/>
      <c r="R3978" s="446">
        <f>M3978/I3978</f>
        <v>2000000</v>
      </c>
      <c r="U3978" s="404" t="s">
        <v>3495</v>
      </c>
      <c r="V3978" s="390"/>
    </row>
    <row r="3979" spans="1:22" s="455" customFormat="1" ht="37.5" customHeight="1">
      <c r="A3979" s="404">
        <f>A3978+1</f>
        <v>14</v>
      </c>
      <c r="B3979" s="403" t="s">
        <v>3130</v>
      </c>
      <c r="C3979" s="455" t="s">
        <v>299</v>
      </c>
      <c r="D3979" s="772">
        <f>E3979/1.16/2*13</f>
        <v>10506.46551724138</v>
      </c>
      <c r="E3979" s="391">
        <v>1875</v>
      </c>
      <c r="F3979" s="388" t="s">
        <v>219</v>
      </c>
      <c r="G3979" s="391">
        <v>432</v>
      </c>
      <c r="H3979" s="528">
        <v>9</v>
      </c>
      <c r="I3979" s="528">
        <v>1</v>
      </c>
      <c r="J3979" s="528">
        <v>32</v>
      </c>
      <c r="K3979" s="397" t="s">
        <v>33</v>
      </c>
      <c r="L3979" s="1114">
        <f>M3979+N3979+O3979+P3979+Q3979+Q3980+P3980+O3980+N3980+M3980</f>
        <v>3142284</v>
      </c>
      <c r="M3979" s="519">
        <v>1035621</v>
      </c>
      <c r="N3979" s="388"/>
      <c r="O3979" s="473">
        <f>ROUND(M3979*0.3%,0)</f>
        <v>3107</v>
      </c>
      <c r="P3979" s="388"/>
      <c r="Q3979" s="388">
        <v>18556</v>
      </c>
      <c r="R3979" s="446">
        <f>M3979/G3979</f>
        <v>2397.2708333333335</v>
      </c>
      <c r="U3979" s="404"/>
    </row>
    <row r="3980" spans="1:22" s="455" customFormat="1" ht="37.5" customHeight="1">
      <c r="A3980" s="404"/>
      <c r="B3980" s="403"/>
      <c r="D3980" s="772"/>
      <c r="E3980" s="391"/>
      <c r="F3980" s="388"/>
      <c r="G3980" s="391"/>
      <c r="H3980" s="528"/>
      <c r="I3980" s="528"/>
      <c r="J3980" s="528"/>
      <c r="K3980" s="397" t="s">
        <v>220</v>
      </c>
      <c r="L3980" s="1114"/>
      <c r="M3980" s="519">
        <v>2000000</v>
      </c>
      <c r="N3980" s="388">
        <v>85000</v>
      </c>
      <c r="O3980" s="473"/>
      <c r="P3980" s="388"/>
      <c r="Q3980" s="388"/>
      <c r="R3980" s="446"/>
      <c r="U3980" s="404"/>
    </row>
    <row r="3981" spans="1:22" s="455" customFormat="1" ht="37.5">
      <c r="A3981" s="404">
        <v>15</v>
      </c>
      <c r="B3981" s="403" t="s">
        <v>3143</v>
      </c>
      <c r="C3981" s="455" t="s">
        <v>299</v>
      </c>
      <c r="D3981" s="772">
        <f>E3981/1.16/2*13</f>
        <v>23024.568965517243</v>
      </c>
      <c r="E3981" s="388">
        <v>4109</v>
      </c>
      <c r="F3981" s="388" t="s">
        <v>219</v>
      </c>
      <c r="G3981" s="388">
        <v>650</v>
      </c>
      <c r="H3981" s="528">
        <v>9</v>
      </c>
      <c r="I3981" s="528">
        <v>2</v>
      </c>
      <c r="J3981" s="528">
        <v>64</v>
      </c>
      <c r="K3981" s="397" t="s">
        <v>220</v>
      </c>
      <c r="L3981" s="384">
        <f>SUM(M3981:Q3981)</f>
        <v>4106250</v>
      </c>
      <c r="M3981" s="529">
        <v>4000000</v>
      </c>
      <c r="N3981" s="383">
        <v>106250</v>
      </c>
      <c r="O3981" s="385"/>
      <c r="P3981" s="383"/>
      <c r="Q3981" s="388"/>
      <c r="R3981" s="446">
        <f>M3981/I3981</f>
        <v>2000000</v>
      </c>
      <c r="U3981" s="404"/>
      <c r="V3981" s="390"/>
    </row>
    <row r="3982" spans="1:22" s="455" customFormat="1" ht="56.25" customHeight="1">
      <c r="A3982" s="404">
        <f>A3981+1</f>
        <v>16</v>
      </c>
      <c r="B3982" s="403" t="s">
        <v>3148</v>
      </c>
      <c r="C3982" s="455" t="s">
        <v>299</v>
      </c>
      <c r="D3982" s="772">
        <f>E3982/1.16/2*13</f>
        <v>18872.413793103449</v>
      </c>
      <c r="E3982" s="391">
        <v>3368</v>
      </c>
      <c r="F3982" s="388" t="s">
        <v>219</v>
      </c>
      <c r="G3982" s="391">
        <v>845</v>
      </c>
      <c r="H3982" s="528">
        <v>9</v>
      </c>
      <c r="I3982" s="528">
        <v>2</v>
      </c>
      <c r="J3982" s="528">
        <v>64</v>
      </c>
      <c r="K3982" s="458" t="s">
        <v>30</v>
      </c>
      <c r="L3982" s="1114">
        <f>M3982+N3982+O3982+P3982+Q3982+M3983+N3983+O3983+P3983+Q3983</f>
        <v>5879434</v>
      </c>
      <c r="M3982" s="519">
        <v>1728000</v>
      </c>
      <c r="N3982" s="388"/>
      <c r="O3982" s="473">
        <f>ROUND(M3982*0.3%,0)</f>
        <v>5184</v>
      </c>
      <c r="P3982" s="388"/>
      <c r="Q3982" s="388">
        <v>40000</v>
      </c>
      <c r="R3982" s="446">
        <f>M3982/J3982</f>
        <v>27000</v>
      </c>
      <c r="U3982" s="404"/>
    </row>
    <row r="3983" spans="1:22" s="455" customFormat="1" ht="37.5">
      <c r="A3983" s="404"/>
      <c r="B3983" s="403"/>
      <c r="D3983" s="772"/>
      <c r="E3983" s="388"/>
      <c r="F3983" s="388"/>
      <c r="G3983" s="388"/>
      <c r="H3983" s="528"/>
      <c r="I3983" s="528"/>
      <c r="J3983" s="528"/>
      <c r="K3983" s="397" t="s">
        <v>220</v>
      </c>
      <c r="L3983" s="1114"/>
      <c r="M3983" s="529">
        <v>4000000</v>
      </c>
      <c r="N3983" s="383">
        <v>106250</v>
      </c>
      <c r="O3983" s="385"/>
      <c r="P3983" s="383"/>
      <c r="Q3983" s="388"/>
      <c r="R3983" s="446">
        <f>M3983/I3982</f>
        <v>2000000</v>
      </c>
      <c r="U3983" s="404"/>
      <c r="V3983" s="390"/>
    </row>
    <row r="3984" spans="1:22" ht="37.5">
      <c r="A3984" s="404">
        <v>17</v>
      </c>
      <c r="B3984" s="403" t="s">
        <v>3863</v>
      </c>
      <c r="C3984" s="414" t="s">
        <v>315</v>
      </c>
      <c r="D3984" s="382">
        <f>E3984/1.16/2*13</f>
        <v>21382.758620689659</v>
      </c>
      <c r="E3984" s="383">
        <v>3816</v>
      </c>
      <c r="F3984" s="383" t="s">
        <v>3556</v>
      </c>
      <c r="G3984" s="383">
        <v>708</v>
      </c>
      <c r="H3984" s="843">
        <v>2</v>
      </c>
      <c r="I3984" s="528">
        <v>9</v>
      </c>
      <c r="J3984" s="528">
        <v>106</v>
      </c>
      <c r="K3984" s="397" t="s">
        <v>220</v>
      </c>
      <c r="L3984" s="384">
        <f>M3984+N3984+O3984+Q3984</f>
        <v>4106250</v>
      </c>
      <c r="M3984" s="519">
        <v>4000000</v>
      </c>
      <c r="N3984" s="383">
        <v>106250</v>
      </c>
      <c r="O3984" s="473"/>
      <c r="P3984" s="388"/>
      <c r="Q3984" s="388"/>
      <c r="R3984" s="446">
        <v>2000000</v>
      </c>
      <c r="S3984" s="381"/>
      <c r="T3984" s="379"/>
      <c r="U3984" s="381"/>
    </row>
    <row r="3985" spans="1:21" ht="37.5">
      <c r="A3985" s="404">
        <f t="shared" ref="A3985:A3993" si="586">A3984+1</f>
        <v>18</v>
      </c>
      <c r="B3985" s="403" t="s">
        <v>3864</v>
      </c>
      <c r="C3985" s="414" t="s">
        <v>218</v>
      </c>
      <c r="D3985" s="382">
        <f t="shared" ref="D3985:D3992" si="587">E3985/1.16/2*13</f>
        <v>16552.586206896551</v>
      </c>
      <c r="E3985" s="383">
        <v>2954</v>
      </c>
      <c r="F3985" s="383" t="s">
        <v>3556</v>
      </c>
      <c r="G3985" s="383">
        <v>660</v>
      </c>
      <c r="H3985" s="845">
        <v>4</v>
      </c>
      <c r="I3985" s="528">
        <v>9</v>
      </c>
      <c r="J3985" s="528">
        <v>138</v>
      </c>
      <c r="K3985" s="397" t="s">
        <v>220</v>
      </c>
      <c r="L3985" s="384">
        <f t="shared" ref="L3985:L4048" si="588">M3985+N3985+O3985+Q3985</f>
        <v>4106250</v>
      </c>
      <c r="M3985" s="519">
        <v>4000000</v>
      </c>
      <c r="N3985" s="383">
        <v>106250</v>
      </c>
      <c r="O3985" s="473"/>
      <c r="P3985" s="388"/>
      <c r="Q3985" s="388"/>
      <c r="R3985" s="446">
        <v>2000000</v>
      </c>
      <c r="S3985" s="381"/>
      <c r="T3985" s="379"/>
      <c r="U3985" s="381"/>
    </row>
    <row r="3986" spans="1:21" ht="37.5">
      <c r="A3986" s="404">
        <f t="shared" si="586"/>
        <v>19</v>
      </c>
      <c r="B3986" s="403" t="s">
        <v>3865</v>
      </c>
      <c r="C3986" s="414" t="s">
        <v>218</v>
      </c>
      <c r="D3986" s="382">
        <f t="shared" si="587"/>
        <v>23809.051724137935</v>
      </c>
      <c r="E3986" s="383">
        <v>4249</v>
      </c>
      <c r="F3986" s="383" t="s">
        <v>3556</v>
      </c>
      <c r="G3986" s="383">
        <v>1020</v>
      </c>
      <c r="H3986" s="843">
        <v>2</v>
      </c>
      <c r="I3986" s="528">
        <v>9</v>
      </c>
      <c r="J3986" s="528">
        <v>76</v>
      </c>
      <c r="K3986" s="397" t="s">
        <v>220</v>
      </c>
      <c r="L3986" s="384">
        <f t="shared" si="588"/>
        <v>6127500</v>
      </c>
      <c r="M3986" s="519">
        <v>6000000</v>
      </c>
      <c r="N3986" s="383">
        <v>127500</v>
      </c>
      <c r="O3986" s="473"/>
      <c r="P3986" s="388"/>
      <c r="Q3986" s="388"/>
      <c r="R3986" s="446">
        <v>2000000</v>
      </c>
      <c r="S3986" s="381"/>
      <c r="T3986" s="379"/>
      <c r="U3986" s="381"/>
    </row>
    <row r="3987" spans="1:21" ht="37.5">
      <c r="A3987" s="404">
        <f t="shared" si="586"/>
        <v>20</v>
      </c>
      <c r="B3987" s="403" t="s">
        <v>3866</v>
      </c>
      <c r="C3987" s="414" t="s">
        <v>218</v>
      </c>
      <c r="D3987" s="382">
        <f t="shared" si="587"/>
        <v>34096.982758620688</v>
      </c>
      <c r="E3987" s="383">
        <v>6085</v>
      </c>
      <c r="F3987" s="383" t="s">
        <v>3556</v>
      </c>
      <c r="G3987" s="383">
        <v>615</v>
      </c>
      <c r="H3987" s="843">
        <v>2</v>
      </c>
      <c r="I3987" s="528">
        <v>9</v>
      </c>
      <c r="J3987" s="528">
        <v>72</v>
      </c>
      <c r="K3987" s="397" t="s">
        <v>220</v>
      </c>
      <c r="L3987" s="384">
        <f t="shared" si="588"/>
        <v>4106250</v>
      </c>
      <c r="M3987" s="519">
        <v>4000000</v>
      </c>
      <c r="N3987" s="383">
        <v>106250</v>
      </c>
      <c r="O3987" s="473"/>
      <c r="P3987" s="388"/>
      <c r="Q3987" s="388"/>
      <c r="R3987" s="446">
        <v>2000000</v>
      </c>
      <c r="S3987" s="381"/>
      <c r="T3987" s="379"/>
      <c r="U3987" s="381"/>
    </row>
    <row r="3988" spans="1:21" ht="37.5">
      <c r="A3988" s="404">
        <f t="shared" si="586"/>
        <v>21</v>
      </c>
      <c r="B3988" s="913" t="s">
        <v>3461</v>
      </c>
      <c r="C3988" s="414" t="s">
        <v>218</v>
      </c>
      <c r="D3988" s="382">
        <f t="shared" si="587"/>
        <v>19841.810344827587</v>
      </c>
      <c r="E3988" s="383">
        <v>3541</v>
      </c>
      <c r="F3988" s="383" t="s">
        <v>3556</v>
      </c>
      <c r="G3988" s="383">
        <v>967</v>
      </c>
      <c r="H3988" s="844">
        <v>3</v>
      </c>
      <c r="I3988" s="446">
        <v>9</v>
      </c>
      <c r="J3988" s="446">
        <v>108</v>
      </c>
      <c r="K3988" s="397" t="s">
        <v>220</v>
      </c>
      <c r="L3988" s="384">
        <f t="shared" si="588"/>
        <v>6127500</v>
      </c>
      <c r="M3988" s="519">
        <v>6000000</v>
      </c>
      <c r="N3988" s="383">
        <v>127500</v>
      </c>
      <c r="O3988" s="473"/>
      <c r="P3988" s="388"/>
      <c r="Q3988" s="388"/>
      <c r="R3988" s="446">
        <v>2000000</v>
      </c>
      <c r="S3988" s="381"/>
      <c r="T3988" s="379"/>
      <c r="U3988" s="381"/>
    </row>
    <row r="3989" spans="1:21" ht="37.5">
      <c r="A3989" s="404">
        <f t="shared" si="586"/>
        <v>22</v>
      </c>
      <c r="B3989" s="403" t="s">
        <v>3867</v>
      </c>
      <c r="C3989" s="414" t="s">
        <v>218</v>
      </c>
      <c r="D3989" s="382">
        <f t="shared" si="587"/>
        <v>20402.155172413797</v>
      </c>
      <c r="E3989" s="383">
        <v>3641</v>
      </c>
      <c r="F3989" s="383" t="s">
        <v>3556</v>
      </c>
      <c r="G3989" s="383">
        <v>684</v>
      </c>
      <c r="H3989" s="843">
        <v>2</v>
      </c>
      <c r="I3989" s="528">
        <v>9</v>
      </c>
      <c r="J3989" s="528">
        <v>72</v>
      </c>
      <c r="K3989" s="397" t="s">
        <v>220</v>
      </c>
      <c r="L3989" s="384">
        <f t="shared" si="588"/>
        <v>4106250</v>
      </c>
      <c r="M3989" s="519">
        <v>4000000</v>
      </c>
      <c r="N3989" s="383">
        <v>106250</v>
      </c>
      <c r="O3989" s="473"/>
      <c r="P3989" s="388"/>
      <c r="Q3989" s="388"/>
      <c r="R3989" s="446">
        <v>2000000</v>
      </c>
      <c r="S3989" s="381"/>
      <c r="T3989" s="379"/>
      <c r="U3989" s="381"/>
    </row>
    <row r="3990" spans="1:21" ht="37.5">
      <c r="A3990" s="404">
        <f t="shared" si="586"/>
        <v>23</v>
      </c>
      <c r="B3990" s="403" t="s">
        <v>3868</v>
      </c>
      <c r="C3990" s="414" t="s">
        <v>218</v>
      </c>
      <c r="D3990" s="382">
        <f t="shared" si="587"/>
        <v>20402.155172413797</v>
      </c>
      <c r="E3990" s="383">
        <v>3641</v>
      </c>
      <c r="F3990" s="383" t="s">
        <v>3556</v>
      </c>
      <c r="G3990" s="383">
        <v>694</v>
      </c>
      <c r="H3990" s="843">
        <v>2</v>
      </c>
      <c r="I3990" s="528">
        <v>9</v>
      </c>
      <c r="J3990" s="528">
        <v>71</v>
      </c>
      <c r="K3990" s="397" t="s">
        <v>220</v>
      </c>
      <c r="L3990" s="384">
        <f t="shared" si="588"/>
        <v>4106250</v>
      </c>
      <c r="M3990" s="519">
        <v>4000000</v>
      </c>
      <c r="N3990" s="383">
        <v>106250</v>
      </c>
      <c r="O3990" s="473"/>
      <c r="P3990" s="388"/>
      <c r="Q3990" s="388"/>
      <c r="R3990" s="446">
        <v>2000000</v>
      </c>
      <c r="S3990" s="381"/>
      <c r="T3990" s="379"/>
      <c r="U3990" s="381"/>
    </row>
    <row r="3991" spans="1:21" ht="37.5">
      <c r="A3991" s="404">
        <f t="shared" si="586"/>
        <v>24</v>
      </c>
      <c r="B3991" s="913" t="s">
        <v>3869</v>
      </c>
      <c r="C3991" s="414" t="s">
        <v>218</v>
      </c>
      <c r="D3991" s="382">
        <f t="shared" si="587"/>
        <v>26341.810344827587</v>
      </c>
      <c r="E3991" s="383">
        <v>4701</v>
      </c>
      <c r="F3991" s="383" t="s">
        <v>3556</v>
      </c>
      <c r="G3991" s="383">
        <v>979</v>
      </c>
      <c r="H3991" s="844">
        <v>3</v>
      </c>
      <c r="I3991" s="446">
        <v>9</v>
      </c>
      <c r="J3991" s="446">
        <v>110</v>
      </c>
      <c r="K3991" s="397" t="s">
        <v>220</v>
      </c>
      <c r="L3991" s="384">
        <f t="shared" si="588"/>
        <v>6127500</v>
      </c>
      <c r="M3991" s="519">
        <v>6000000</v>
      </c>
      <c r="N3991" s="383">
        <v>127500</v>
      </c>
      <c r="O3991" s="473"/>
      <c r="P3991" s="388"/>
      <c r="Q3991" s="388"/>
      <c r="R3991" s="446">
        <v>2000000</v>
      </c>
      <c r="S3991" s="381"/>
      <c r="T3991" s="379"/>
      <c r="U3991" s="381"/>
    </row>
    <row r="3992" spans="1:21" ht="37.5">
      <c r="A3992" s="404">
        <f t="shared" si="586"/>
        <v>25</v>
      </c>
      <c r="B3992" s="403" t="s">
        <v>3870</v>
      </c>
      <c r="C3992" s="506" t="s">
        <v>315</v>
      </c>
      <c r="D3992" s="382">
        <f t="shared" si="587"/>
        <v>12675.000000000002</v>
      </c>
      <c r="E3992" s="383">
        <v>2262</v>
      </c>
      <c r="F3992" s="383" t="s">
        <v>3556</v>
      </c>
      <c r="G3992" s="383">
        <v>990</v>
      </c>
      <c r="H3992" s="843">
        <v>1</v>
      </c>
      <c r="I3992" s="528">
        <v>9</v>
      </c>
      <c r="J3992" s="528">
        <v>37</v>
      </c>
      <c r="K3992" s="397" t="s">
        <v>220</v>
      </c>
      <c r="L3992" s="384">
        <f t="shared" si="588"/>
        <v>2085000</v>
      </c>
      <c r="M3992" s="519">
        <v>2000000</v>
      </c>
      <c r="N3992" s="383">
        <v>85000</v>
      </c>
      <c r="O3992" s="473"/>
      <c r="P3992" s="388"/>
      <c r="Q3992" s="388"/>
      <c r="R3992" s="446">
        <v>2000000</v>
      </c>
      <c r="S3992" s="381"/>
      <c r="T3992" s="379"/>
      <c r="U3992" s="381"/>
    </row>
    <row r="3993" spans="1:21" ht="37.5">
      <c r="A3993" s="404">
        <f t="shared" si="586"/>
        <v>26</v>
      </c>
      <c r="B3993" s="403" t="s">
        <v>3871</v>
      </c>
      <c r="C3993" s="414" t="s">
        <v>218</v>
      </c>
      <c r="D3993" s="382">
        <f>E3993/1.16/2*13</f>
        <v>23103.017241379312</v>
      </c>
      <c r="E3993" s="383">
        <v>4123</v>
      </c>
      <c r="F3993" s="383" t="s">
        <v>3556</v>
      </c>
      <c r="G3993" s="383">
        <v>655</v>
      </c>
      <c r="H3993" s="843">
        <v>2</v>
      </c>
      <c r="I3993" s="528">
        <v>9</v>
      </c>
      <c r="J3993" s="528">
        <v>72</v>
      </c>
      <c r="K3993" s="397" t="s">
        <v>220</v>
      </c>
      <c r="L3993" s="384">
        <f t="shared" si="588"/>
        <v>4106250</v>
      </c>
      <c r="M3993" s="519">
        <v>4000000</v>
      </c>
      <c r="N3993" s="383">
        <v>106250</v>
      </c>
      <c r="O3993" s="473"/>
      <c r="P3993" s="388"/>
      <c r="Q3993" s="388"/>
      <c r="R3993" s="446">
        <v>2000000</v>
      </c>
      <c r="S3993" s="381"/>
      <c r="T3993" s="379"/>
      <c r="U3993" s="381"/>
    </row>
    <row r="3994" spans="1:21" s="455" customFormat="1" ht="37.5" customHeight="1">
      <c r="A3994" s="404">
        <f>A3993+1</f>
        <v>27</v>
      </c>
      <c r="B3994" s="403" t="s">
        <v>3062</v>
      </c>
      <c r="C3994" s="455" t="s">
        <v>299</v>
      </c>
      <c r="D3994" s="772">
        <f t="shared" ref="D3994:D4043" si="589">E3994/1.16/2*13</f>
        <v>10960.344827586207</v>
      </c>
      <c r="E3994" s="388">
        <v>1956</v>
      </c>
      <c r="F3994" s="388" t="s">
        <v>252</v>
      </c>
      <c r="G3994" s="388">
        <v>1327</v>
      </c>
      <c r="H3994" s="446">
        <v>5</v>
      </c>
      <c r="I3994" s="446">
        <v>4</v>
      </c>
      <c r="J3994" s="446">
        <v>76</v>
      </c>
      <c r="K3994" s="504" t="s">
        <v>33</v>
      </c>
      <c r="L3994" s="384">
        <f t="shared" si="588"/>
        <v>3784905</v>
      </c>
      <c r="M3994" s="519">
        <v>3715600</v>
      </c>
      <c r="N3994" s="383">
        <v>35000</v>
      </c>
      <c r="O3994" s="385"/>
      <c r="P3994" s="383"/>
      <c r="Q3994" s="388">
        <v>34305</v>
      </c>
      <c r="R3994" s="446">
        <f>M3994/G3994</f>
        <v>2800</v>
      </c>
      <c r="T3994" s="388"/>
      <c r="U3994" s="404"/>
    </row>
    <row r="3995" spans="1:21" s="455" customFormat="1" ht="37.5" customHeight="1">
      <c r="A3995" s="404">
        <f>A3994+1</f>
        <v>28</v>
      </c>
      <c r="B3995" s="403" t="s">
        <v>3063</v>
      </c>
      <c r="C3995" s="455" t="s">
        <v>299</v>
      </c>
      <c r="D3995" s="772">
        <f t="shared" si="589"/>
        <v>21741.37931034483</v>
      </c>
      <c r="E3995" s="388">
        <v>3880</v>
      </c>
      <c r="F3995" s="388" t="s">
        <v>219</v>
      </c>
      <c r="G3995" s="388">
        <v>1800</v>
      </c>
      <c r="H3995" s="446">
        <v>5</v>
      </c>
      <c r="I3995" s="446">
        <v>7</v>
      </c>
      <c r="J3995" s="446">
        <v>105</v>
      </c>
      <c r="K3995" s="397" t="s">
        <v>33</v>
      </c>
      <c r="L3995" s="384">
        <f t="shared" si="588"/>
        <v>4348031</v>
      </c>
      <c r="M3995" s="519">
        <v>4315086</v>
      </c>
      <c r="N3995" s="388"/>
      <c r="O3995" s="473">
        <f>ROUND(M3995*0.3%,0)</f>
        <v>12945</v>
      </c>
      <c r="P3995" s="388"/>
      <c r="Q3995" s="388">
        <v>20000</v>
      </c>
      <c r="R3995" s="446">
        <f>M3995/G3995</f>
        <v>2397.27</v>
      </c>
      <c r="T3995" s="388"/>
      <c r="U3995" s="404"/>
    </row>
    <row r="3996" spans="1:21" s="455" customFormat="1" ht="37.5" customHeight="1">
      <c r="A3996" s="404">
        <f t="shared" ref="A3996:A4048" si="590">A3995+1</f>
        <v>29</v>
      </c>
      <c r="B3996" s="403" t="s">
        <v>3064</v>
      </c>
      <c r="C3996" s="455" t="s">
        <v>299</v>
      </c>
      <c r="D3996" s="772">
        <f t="shared" si="589"/>
        <v>18244.827586206899</v>
      </c>
      <c r="E3996" s="391">
        <v>3256</v>
      </c>
      <c r="F3996" s="388" t="s">
        <v>219</v>
      </c>
      <c r="G3996" s="391">
        <v>1463</v>
      </c>
      <c r="H3996" s="528">
        <v>5</v>
      </c>
      <c r="I3996" s="528">
        <v>6</v>
      </c>
      <c r="J3996" s="528">
        <v>119</v>
      </c>
      <c r="K3996" s="397" t="s">
        <v>33</v>
      </c>
      <c r="L3996" s="384">
        <f t="shared" si="588"/>
        <v>3537728</v>
      </c>
      <c r="M3996" s="519">
        <v>3507206</v>
      </c>
      <c r="N3996" s="388"/>
      <c r="O3996" s="473">
        <f>ROUND(M3996*0.3%,0)</f>
        <v>10522</v>
      </c>
      <c r="P3996" s="388"/>
      <c r="Q3996" s="388">
        <v>20000</v>
      </c>
      <c r="R3996" s="446">
        <f>M3996/G3996</f>
        <v>2397.2699931647298</v>
      </c>
      <c r="T3996" s="388"/>
      <c r="U3996" s="404"/>
    </row>
    <row r="3997" spans="1:21" s="455" customFormat="1" ht="37.5">
      <c r="A3997" s="404">
        <f t="shared" si="590"/>
        <v>30</v>
      </c>
      <c r="B3997" s="403" t="s">
        <v>3065</v>
      </c>
      <c r="C3997" s="455" t="s">
        <v>299</v>
      </c>
      <c r="D3997" s="772">
        <f t="shared" si="589"/>
        <v>12843.103448275864</v>
      </c>
      <c r="E3997" s="391">
        <v>2292</v>
      </c>
      <c r="F3997" s="388" t="s">
        <v>219</v>
      </c>
      <c r="G3997" s="391">
        <v>938</v>
      </c>
      <c r="H3997" s="528">
        <v>5</v>
      </c>
      <c r="I3997" s="528">
        <v>4</v>
      </c>
      <c r="J3997" s="528">
        <v>79</v>
      </c>
      <c r="K3997" s="397" t="s">
        <v>33</v>
      </c>
      <c r="L3997" s="384">
        <f t="shared" si="588"/>
        <v>2275385</v>
      </c>
      <c r="M3997" s="519">
        <v>2248639</v>
      </c>
      <c r="N3997" s="388"/>
      <c r="O3997" s="473">
        <f>ROUND(M3997*0.3%,0)</f>
        <v>6746</v>
      </c>
      <c r="P3997" s="388"/>
      <c r="Q3997" s="388">
        <v>20000</v>
      </c>
      <c r="R3997" s="446">
        <f>M3997/G3997</f>
        <v>2397.2697228144989</v>
      </c>
      <c r="T3997" s="388"/>
      <c r="U3997" s="404"/>
    </row>
    <row r="3998" spans="1:21" s="455" customFormat="1" ht="37.5" customHeight="1">
      <c r="A3998" s="404">
        <f t="shared" si="590"/>
        <v>31</v>
      </c>
      <c r="B3998" s="403" t="s">
        <v>3066</v>
      </c>
      <c r="C3998" s="455" t="s">
        <v>299</v>
      </c>
      <c r="D3998" s="772">
        <f t="shared" si="589"/>
        <v>18384.913793103449</v>
      </c>
      <c r="E3998" s="391">
        <v>3281</v>
      </c>
      <c r="F3998" s="388" t="s">
        <v>219</v>
      </c>
      <c r="G3998" s="391">
        <v>1442</v>
      </c>
      <c r="H3998" s="528">
        <v>5</v>
      </c>
      <c r="I3998" s="528">
        <v>6</v>
      </c>
      <c r="J3998" s="528">
        <v>114</v>
      </c>
      <c r="K3998" s="397" t="s">
        <v>33</v>
      </c>
      <c r="L3998" s="384">
        <f t="shared" si="588"/>
        <v>3487234</v>
      </c>
      <c r="M3998" s="519">
        <v>3456863</v>
      </c>
      <c r="N3998" s="388"/>
      <c r="O3998" s="473">
        <f>ROUND(M3998*0.3%,0)</f>
        <v>10371</v>
      </c>
      <c r="P3998" s="388"/>
      <c r="Q3998" s="388">
        <v>20000</v>
      </c>
      <c r="R3998" s="446">
        <f>M3998/G3998</f>
        <v>2397.2697642163662</v>
      </c>
      <c r="U3998" s="404"/>
    </row>
    <row r="3999" spans="1:21" s="455" customFormat="1" ht="37.5" customHeight="1">
      <c r="A3999" s="404">
        <f t="shared" si="590"/>
        <v>32</v>
      </c>
      <c r="B3999" s="403" t="s">
        <v>3067</v>
      </c>
      <c r="C3999" s="455" t="s">
        <v>299</v>
      </c>
      <c r="D3999" s="772">
        <f t="shared" si="589"/>
        <v>17650.862068965518</v>
      </c>
      <c r="E3999" s="391">
        <v>3150</v>
      </c>
      <c r="F3999" s="388" t="s">
        <v>219</v>
      </c>
      <c r="G3999" s="391">
        <v>1250</v>
      </c>
      <c r="H3999" s="528">
        <v>5</v>
      </c>
      <c r="I3999" s="528">
        <v>6</v>
      </c>
      <c r="J3999" s="528">
        <v>100</v>
      </c>
      <c r="K3999" s="397" t="s">
        <v>239</v>
      </c>
      <c r="L3999" s="384">
        <f t="shared" si="588"/>
        <v>3363070</v>
      </c>
      <c r="M3999" s="519">
        <v>3300000</v>
      </c>
      <c r="N3999" s="383">
        <v>40000</v>
      </c>
      <c r="O3999" s="385"/>
      <c r="P3999" s="383"/>
      <c r="Q3999" s="388">
        <v>23070</v>
      </c>
      <c r="R3999" s="382">
        <f>M3999/J3999</f>
        <v>33000</v>
      </c>
      <c r="U3999" s="404"/>
    </row>
    <row r="4000" spans="1:21" s="455" customFormat="1" ht="37.5" customHeight="1">
      <c r="A4000" s="404">
        <f t="shared" si="590"/>
        <v>33</v>
      </c>
      <c r="B4000" s="403" t="s">
        <v>3071</v>
      </c>
      <c r="C4000" s="455" t="s">
        <v>218</v>
      </c>
      <c r="D4000" s="772">
        <f t="shared" si="589"/>
        <v>20844.827586206899</v>
      </c>
      <c r="E4000" s="391">
        <v>3720</v>
      </c>
      <c r="F4000" s="388" t="s">
        <v>219</v>
      </c>
      <c r="G4000" s="391">
        <v>638</v>
      </c>
      <c r="H4000" s="528">
        <v>9</v>
      </c>
      <c r="I4000" s="528">
        <v>2</v>
      </c>
      <c r="J4000" s="528">
        <v>72</v>
      </c>
      <c r="K4000" s="397" t="s">
        <v>33</v>
      </c>
      <c r="L4000" s="384">
        <f t="shared" si="588"/>
        <v>1554046</v>
      </c>
      <c r="M4000" s="519">
        <v>1529458</v>
      </c>
      <c r="N4000" s="388"/>
      <c r="O4000" s="473">
        <f t="shared" ref="O4000:O4006" si="591">ROUND(M4000*0.3%,0)</f>
        <v>4588</v>
      </c>
      <c r="P4000" s="388"/>
      <c r="Q4000" s="388">
        <v>20000</v>
      </c>
      <c r="R4000" s="446">
        <f t="shared" ref="R4000:R4006" si="592">M4000/G4000</f>
        <v>2397.2695924764889</v>
      </c>
      <c r="U4000" s="404"/>
    </row>
    <row r="4001" spans="1:21" s="455" customFormat="1" ht="37.5" customHeight="1">
      <c r="A4001" s="404">
        <f t="shared" si="590"/>
        <v>34</v>
      </c>
      <c r="B4001" s="403" t="s">
        <v>3072</v>
      </c>
      <c r="C4001" s="455" t="s">
        <v>299</v>
      </c>
      <c r="D4001" s="772">
        <f t="shared" si="589"/>
        <v>34253.879310344826</v>
      </c>
      <c r="E4001" s="383">
        <v>6113</v>
      </c>
      <c r="F4001" s="383" t="s">
        <v>219</v>
      </c>
      <c r="G4001" s="383">
        <v>1129</v>
      </c>
      <c r="H4001" s="382">
        <v>9</v>
      </c>
      <c r="I4001" s="382">
        <v>4</v>
      </c>
      <c r="J4001" s="382">
        <v>177</v>
      </c>
      <c r="K4001" s="397" t="s">
        <v>33</v>
      </c>
      <c r="L4001" s="384">
        <f t="shared" si="588"/>
        <v>2734638</v>
      </c>
      <c r="M4001" s="519">
        <v>2706518</v>
      </c>
      <c r="N4001" s="388"/>
      <c r="O4001" s="473">
        <f t="shared" si="591"/>
        <v>8120</v>
      </c>
      <c r="P4001" s="388"/>
      <c r="Q4001" s="388">
        <v>20000</v>
      </c>
      <c r="R4001" s="446">
        <f t="shared" si="592"/>
        <v>2397.2701505757309</v>
      </c>
      <c r="U4001" s="404"/>
    </row>
    <row r="4002" spans="1:21" s="455" customFormat="1" ht="51" customHeight="1">
      <c r="A4002" s="404">
        <f t="shared" si="590"/>
        <v>35</v>
      </c>
      <c r="B4002" s="403" t="s">
        <v>3073</v>
      </c>
      <c r="C4002" s="455" t="s">
        <v>218</v>
      </c>
      <c r="D4002" s="772">
        <f t="shared" si="589"/>
        <v>27378.448275862072</v>
      </c>
      <c r="E4002" s="391">
        <v>4886</v>
      </c>
      <c r="F4002" s="388" t="s">
        <v>219</v>
      </c>
      <c r="G4002" s="391">
        <v>956</v>
      </c>
      <c r="H4002" s="528">
        <v>9</v>
      </c>
      <c r="I4002" s="528">
        <v>3</v>
      </c>
      <c r="J4002" s="528">
        <v>108</v>
      </c>
      <c r="K4002" s="397" t="s">
        <v>33</v>
      </c>
      <c r="L4002" s="384">
        <f t="shared" si="588"/>
        <v>2318665</v>
      </c>
      <c r="M4002" s="519">
        <v>2291790</v>
      </c>
      <c r="N4002" s="388"/>
      <c r="O4002" s="473">
        <f t="shared" si="591"/>
        <v>6875</v>
      </c>
      <c r="P4002" s="388"/>
      <c r="Q4002" s="388">
        <v>20000</v>
      </c>
      <c r="R4002" s="446">
        <f t="shared" si="592"/>
        <v>2397.2698744769873</v>
      </c>
      <c r="U4002" s="404"/>
    </row>
    <row r="4003" spans="1:21" s="455" customFormat="1" ht="37.5" customHeight="1">
      <c r="A4003" s="404">
        <f t="shared" si="590"/>
        <v>36</v>
      </c>
      <c r="B4003" s="403" t="s">
        <v>3074</v>
      </c>
      <c r="C4003" s="455" t="s">
        <v>299</v>
      </c>
      <c r="D4003" s="772">
        <f t="shared" si="589"/>
        <v>13336.206896551725</v>
      </c>
      <c r="E4003" s="391">
        <v>2380</v>
      </c>
      <c r="F4003" s="388" t="s">
        <v>219</v>
      </c>
      <c r="G4003" s="391">
        <v>918</v>
      </c>
      <c r="H4003" s="528">
        <v>5</v>
      </c>
      <c r="I4003" s="528">
        <v>4</v>
      </c>
      <c r="J4003" s="528">
        <v>56</v>
      </c>
      <c r="K4003" s="397" t="s">
        <v>33</v>
      </c>
      <c r="L4003" s="384">
        <f t="shared" si="588"/>
        <v>2227296</v>
      </c>
      <c r="M4003" s="519">
        <v>2200694</v>
      </c>
      <c r="N4003" s="388"/>
      <c r="O4003" s="473">
        <f t="shared" si="591"/>
        <v>6602</v>
      </c>
      <c r="P4003" s="388"/>
      <c r="Q4003" s="388">
        <v>20000</v>
      </c>
      <c r="R4003" s="446">
        <f t="shared" si="592"/>
        <v>2397.2701525054467</v>
      </c>
      <c r="U4003" s="404"/>
    </row>
    <row r="4004" spans="1:21" s="455" customFormat="1" ht="37.5" customHeight="1">
      <c r="A4004" s="404">
        <f t="shared" si="590"/>
        <v>37</v>
      </c>
      <c r="B4004" s="403" t="s">
        <v>3075</v>
      </c>
      <c r="C4004" s="455" t="s">
        <v>299</v>
      </c>
      <c r="D4004" s="772">
        <f t="shared" si="589"/>
        <v>13336.206896551725</v>
      </c>
      <c r="E4004" s="391">
        <v>2380</v>
      </c>
      <c r="F4004" s="388" t="s">
        <v>219</v>
      </c>
      <c r="G4004" s="391">
        <v>918</v>
      </c>
      <c r="H4004" s="528">
        <v>5</v>
      </c>
      <c r="I4004" s="528">
        <v>4</v>
      </c>
      <c r="J4004" s="528">
        <v>70</v>
      </c>
      <c r="K4004" s="397" t="s">
        <v>33</v>
      </c>
      <c r="L4004" s="384">
        <f t="shared" si="588"/>
        <v>2227296</v>
      </c>
      <c r="M4004" s="519">
        <v>2200694</v>
      </c>
      <c r="N4004" s="388"/>
      <c r="O4004" s="473">
        <f t="shared" si="591"/>
        <v>6602</v>
      </c>
      <c r="P4004" s="388"/>
      <c r="Q4004" s="388">
        <v>20000</v>
      </c>
      <c r="R4004" s="446">
        <f t="shared" si="592"/>
        <v>2397.2701525054467</v>
      </c>
      <c r="U4004" s="404"/>
    </row>
    <row r="4005" spans="1:21" s="455" customFormat="1" ht="37.5" customHeight="1">
      <c r="A4005" s="404">
        <f t="shared" si="590"/>
        <v>38</v>
      </c>
      <c r="B4005" s="403" t="s">
        <v>3076</v>
      </c>
      <c r="C4005" s="455" t="s">
        <v>299</v>
      </c>
      <c r="D4005" s="772">
        <f t="shared" si="589"/>
        <v>12190.301724137933</v>
      </c>
      <c r="E4005" s="388">
        <v>2175.5</v>
      </c>
      <c r="F4005" s="388" t="s">
        <v>219</v>
      </c>
      <c r="G4005" s="388">
        <v>845</v>
      </c>
      <c r="H4005" s="446">
        <v>5</v>
      </c>
      <c r="I4005" s="446">
        <v>4</v>
      </c>
      <c r="J4005" s="446">
        <v>80</v>
      </c>
      <c r="K4005" s="504" t="s">
        <v>33</v>
      </c>
      <c r="L4005" s="384">
        <f t="shared" si="588"/>
        <v>2051770</v>
      </c>
      <c r="M4005" s="519">
        <v>2025693</v>
      </c>
      <c r="N4005" s="388"/>
      <c r="O4005" s="473">
        <f t="shared" si="591"/>
        <v>6077</v>
      </c>
      <c r="P4005" s="388"/>
      <c r="Q4005" s="388">
        <v>20000</v>
      </c>
      <c r="R4005" s="446">
        <f t="shared" si="592"/>
        <v>2397.269822485207</v>
      </c>
      <c r="U4005" s="404"/>
    </row>
    <row r="4006" spans="1:21" s="455" customFormat="1" ht="37.5" customHeight="1">
      <c r="A4006" s="404">
        <f t="shared" si="590"/>
        <v>39</v>
      </c>
      <c r="B4006" s="403" t="s">
        <v>3077</v>
      </c>
      <c r="C4006" s="455" t="s">
        <v>299</v>
      </c>
      <c r="D4006" s="772">
        <f t="shared" si="589"/>
        <v>13459.48275862069</v>
      </c>
      <c r="E4006" s="388">
        <v>2402</v>
      </c>
      <c r="F4006" s="388" t="s">
        <v>219</v>
      </c>
      <c r="G4006" s="388">
        <v>994</v>
      </c>
      <c r="H4006" s="446">
        <v>5</v>
      </c>
      <c r="I4006" s="446">
        <v>4</v>
      </c>
      <c r="J4006" s="446">
        <v>70</v>
      </c>
      <c r="K4006" s="504" t="s">
        <v>33</v>
      </c>
      <c r="L4006" s="384">
        <f t="shared" si="588"/>
        <v>2410035</v>
      </c>
      <c r="M4006" s="519">
        <v>2382886</v>
      </c>
      <c r="N4006" s="388"/>
      <c r="O4006" s="473">
        <f t="shared" si="591"/>
        <v>7149</v>
      </c>
      <c r="P4006" s="388"/>
      <c r="Q4006" s="388">
        <v>20000</v>
      </c>
      <c r="R4006" s="446">
        <f t="shared" si="592"/>
        <v>2397.2696177062376</v>
      </c>
      <c r="U4006" s="404"/>
    </row>
    <row r="4007" spans="1:21" s="455" customFormat="1" ht="37.5" customHeight="1">
      <c r="A4007" s="404">
        <f t="shared" si="590"/>
        <v>40</v>
      </c>
      <c r="B4007" s="403" t="s">
        <v>3078</v>
      </c>
      <c r="C4007" s="455" t="s">
        <v>299</v>
      </c>
      <c r="D4007" s="772">
        <f t="shared" si="589"/>
        <v>3989.9353448275865</v>
      </c>
      <c r="E4007" s="391">
        <v>712.05</v>
      </c>
      <c r="F4007" s="391" t="s">
        <v>252</v>
      </c>
      <c r="G4007" s="391">
        <v>741.2</v>
      </c>
      <c r="H4007" s="528">
        <v>2</v>
      </c>
      <c r="I4007" s="528">
        <v>2</v>
      </c>
      <c r="J4007" s="528">
        <v>12</v>
      </c>
      <c r="K4007" s="397" t="s">
        <v>33</v>
      </c>
      <c r="L4007" s="384">
        <f t="shared" si="588"/>
        <v>2125096</v>
      </c>
      <c r="M4007" s="519">
        <v>2075360.0000000002</v>
      </c>
      <c r="N4007" s="383">
        <v>30000</v>
      </c>
      <c r="O4007" s="385"/>
      <c r="P4007" s="383"/>
      <c r="Q4007" s="388">
        <v>19736</v>
      </c>
      <c r="R4007" s="446">
        <f>M4007/G4007</f>
        <v>2800</v>
      </c>
      <c r="U4007" s="404"/>
    </row>
    <row r="4008" spans="1:21" s="455" customFormat="1" ht="37.5" customHeight="1">
      <c r="A4008" s="404">
        <f t="shared" si="590"/>
        <v>41</v>
      </c>
      <c r="B4008" s="403" t="s">
        <v>3079</v>
      </c>
      <c r="C4008" s="544" t="s">
        <v>299</v>
      </c>
      <c r="D4008" s="531">
        <f t="shared" si="589"/>
        <v>13706.034482758621</v>
      </c>
      <c r="E4008" s="388">
        <v>2446</v>
      </c>
      <c r="F4008" s="388" t="s">
        <v>219</v>
      </c>
      <c r="G4008" s="388">
        <v>1508</v>
      </c>
      <c r="H4008" s="446">
        <v>5</v>
      </c>
      <c r="I4008" s="446">
        <v>7</v>
      </c>
      <c r="J4008" s="446">
        <v>102</v>
      </c>
      <c r="K4008" s="537" t="s">
        <v>33</v>
      </c>
      <c r="L4008" s="384">
        <f t="shared" si="588"/>
        <v>3645928</v>
      </c>
      <c r="M4008" s="519">
        <v>3615083</v>
      </c>
      <c r="N4008" s="388"/>
      <c r="O4008" s="473">
        <f>ROUND(M4008*0.3%,0)</f>
        <v>10845</v>
      </c>
      <c r="P4008" s="388"/>
      <c r="Q4008" s="388">
        <v>20000</v>
      </c>
      <c r="R4008" s="446">
        <f>M4008/G4008</f>
        <v>2397.2698938992044</v>
      </c>
      <c r="U4008" s="404"/>
    </row>
    <row r="4009" spans="1:21" s="455" customFormat="1" ht="56.25" customHeight="1">
      <c r="A4009" s="404">
        <f t="shared" si="590"/>
        <v>42</v>
      </c>
      <c r="B4009" s="403" t="s">
        <v>3080</v>
      </c>
      <c r="C4009" s="455" t="s">
        <v>299</v>
      </c>
      <c r="D4009" s="772">
        <f t="shared" si="589"/>
        <v>16877.586206896551</v>
      </c>
      <c r="E4009" s="391">
        <v>3012</v>
      </c>
      <c r="F4009" s="388" t="s">
        <v>219</v>
      </c>
      <c r="G4009" s="391">
        <v>618</v>
      </c>
      <c r="H4009" s="528">
        <v>9</v>
      </c>
      <c r="I4009" s="528">
        <v>2</v>
      </c>
      <c r="J4009" s="528">
        <v>72</v>
      </c>
      <c r="K4009" s="458" t="s">
        <v>30</v>
      </c>
      <c r="L4009" s="384">
        <f t="shared" si="588"/>
        <v>2206480</v>
      </c>
      <c r="M4009" s="519">
        <v>2160000</v>
      </c>
      <c r="N4009" s="388"/>
      <c r="O4009" s="473">
        <f>ROUND(M4009*0.3%,0)</f>
        <v>6480</v>
      </c>
      <c r="P4009" s="388"/>
      <c r="Q4009" s="388">
        <v>40000</v>
      </c>
      <c r="R4009" s="446">
        <f>M4009/J4009</f>
        <v>30000</v>
      </c>
      <c r="U4009" s="404"/>
    </row>
    <row r="4010" spans="1:21" s="455" customFormat="1" ht="37.5" customHeight="1">
      <c r="A4010" s="404">
        <f t="shared" si="590"/>
        <v>43</v>
      </c>
      <c r="B4010" s="403" t="s">
        <v>3085</v>
      </c>
      <c r="C4010" s="455" t="s">
        <v>299</v>
      </c>
      <c r="D4010" s="772">
        <f t="shared" si="589"/>
        <v>19365.517241379312</v>
      </c>
      <c r="E4010" s="391">
        <v>3456</v>
      </c>
      <c r="F4010" s="388" t="s">
        <v>219</v>
      </c>
      <c r="G4010" s="391">
        <v>705</v>
      </c>
      <c r="H4010" s="528">
        <v>9</v>
      </c>
      <c r="I4010" s="528">
        <v>2</v>
      </c>
      <c r="J4010" s="528">
        <v>72</v>
      </c>
      <c r="K4010" s="397" t="s">
        <v>33</v>
      </c>
      <c r="L4010" s="384">
        <f t="shared" si="588"/>
        <v>1715145</v>
      </c>
      <c r="M4010" s="519">
        <v>1690075</v>
      </c>
      <c r="N4010" s="388"/>
      <c r="O4010" s="473">
        <f>ROUND(M4010*0.3%,0)</f>
        <v>5070</v>
      </c>
      <c r="P4010" s="388"/>
      <c r="Q4010" s="388">
        <v>20000</v>
      </c>
      <c r="R4010" s="446">
        <f t="shared" ref="R4010:R4016" si="593">M4010/G4010</f>
        <v>2397.2695035460993</v>
      </c>
      <c r="U4010" s="404"/>
    </row>
    <row r="4011" spans="1:21" s="455" customFormat="1" ht="37.5" customHeight="1">
      <c r="A4011" s="404">
        <f t="shared" si="590"/>
        <v>44</v>
      </c>
      <c r="B4011" s="403" t="s">
        <v>3086</v>
      </c>
      <c r="C4011" s="455" t="s">
        <v>299</v>
      </c>
      <c r="D4011" s="772">
        <f t="shared" si="589"/>
        <v>19320.689655172413</v>
      </c>
      <c r="E4011" s="391">
        <v>3448</v>
      </c>
      <c r="F4011" s="388" t="s">
        <v>219</v>
      </c>
      <c r="G4011" s="391">
        <v>703</v>
      </c>
      <c r="H4011" s="528">
        <v>9</v>
      </c>
      <c r="I4011" s="528">
        <v>2</v>
      </c>
      <c r="J4011" s="528">
        <v>108</v>
      </c>
      <c r="K4011" s="397" t="s">
        <v>33</v>
      </c>
      <c r="L4011" s="384">
        <f t="shared" si="588"/>
        <v>1710337</v>
      </c>
      <c r="M4011" s="519">
        <v>1685281</v>
      </c>
      <c r="N4011" s="388"/>
      <c r="O4011" s="473">
        <f>ROUND(M4011*0.3%,0)</f>
        <v>5056</v>
      </c>
      <c r="P4011" s="388"/>
      <c r="Q4011" s="388">
        <v>20000</v>
      </c>
      <c r="R4011" s="446">
        <f t="shared" si="593"/>
        <v>2397.2702702702704</v>
      </c>
      <c r="U4011" s="404"/>
    </row>
    <row r="4012" spans="1:21" s="455" customFormat="1" ht="37.5" customHeight="1">
      <c r="A4012" s="404">
        <f t="shared" si="590"/>
        <v>45</v>
      </c>
      <c r="B4012" s="403" t="s">
        <v>3087</v>
      </c>
      <c r="C4012" s="455" t="s">
        <v>299</v>
      </c>
      <c r="D4012" s="772">
        <f t="shared" si="589"/>
        <v>9632.3275862068986</v>
      </c>
      <c r="E4012" s="391">
        <v>1719</v>
      </c>
      <c r="F4012" s="391" t="s">
        <v>252</v>
      </c>
      <c r="G4012" s="391">
        <v>1325</v>
      </c>
      <c r="H4012" s="528">
        <v>5</v>
      </c>
      <c r="I4012" s="528">
        <v>4</v>
      </c>
      <c r="J4012" s="528">
        <v>80</v>
      </c>
      <c r="K4012" s="504" t="s">
        <v>33</v>
      </c>
      <c r="L4012" s="384">
        <f t="shared" si="588"/>
        <v>3775148</v>
      </c>
      <c r="M4012" s="519">
        <v>3710000</v>
      </c>
      <c r="N4012" s="383">
        <v>35000</v>
      </c>
      <c r="O4012" s="385"/>
      <c r="P4012" s="383"/>
      <c r="Q4012" s="388">
        <v>30148</v>
      </c>
      <c r="R4012" s="446">
        <f t="shared" si="593"/>
        <v>2800</v>
      </c>
      <c r="U4012" s="404"/>
    </row>
    <row r="4013" spans="1:21" s="455" customFormat="1" ht="37.5" customHeight="1">
      <c r="A4013" s="404">
        <f t="shared" si="590"/>
        <v>46</v>
      </c>
      <c r="B4013" s="403" t="s">
        <v>3088</v>
      </c>
      <c r="C4013" s="455" t="s">
        <v>299</v>
      </c>
      <c r="D4013" s="772">
        <f t="shared" si="589"/>
        <v>6314.7500000000009</v>
      </c>
      <c r="E4013" s="391">
        <v>1126.94</v>
      </c>
      <c r="F4013" s="391" t="s">
        <v>252</v>
      </c>
      <c r="G4013" s="391">
        <v>890</v>
      </c>
      <c r="H4013" s="528">
        <v>3</v>
      </c>
      <c r="I4013" s="528">
        <v>3</v>
      </c>
      <c r="J4013" s="914">
        <v>36</v>
      </c>
      <c r="K4013" s="397" t="s">
        <v>33</v>
      </c>
      <c r="L4013" s="384">
        <f t="shared" si="588"/>
        <v>2541766</v>
      </c>
      <c r="M4013" s="519">
        <v>2492000</v>
      </c>
      <c r="N4013" s="383">
        <v>30000</v>
      </c>
      <c r="O4013" s="385"/>
      <c r="P4013" s="383"/>
      <c r="Q4013" s="388">
        <v>19766</v>
      </c>
      <c r="R4013" s="446">
        <f t="shared" si="593"/>
        <v>2800</v>
      </c>
      <c r="U4013" s="404"/>
    </row>
    <row r="4014" spans="1:21" s="455" customFormat="1" ht="37.5" customHeight="1">
      <c r="A4014" s="404">
        <f t="shared" si="590"/>
        <v>47</v>
      </c>
      <c r="B4014" s="403" t="s">
        <v>3089</v>
      </c>
      <c r="C4014" s="455" t="s">
        <v>299</v>
      </c>
      <c r="D4014" s="772">
        <f t="shared" si="589"/>
        <v>16237.112068965516</v>
      </c>
      <c r="E4014" s="388">
        <v>2897.7</v>
      </c>
      <c r="F4014" s="388" t="s">
        <v>219</v>
      </c>
      <c r="G4014" s="388">
        <v>1312</v>
      </c>
      <c r="H4014" s="446">
        <v>5</v>
      </c>
      <c r="I4014" s="446">
        <v>5</v>
      </c>
      <c r="J4014" s="446">
        <v>55</v>
      </c>
      <c r="K4014" s="397" t="s">
        <v>33</v>
      </c>
      <c r="L4014" s="384">
        <f t="shared" si="588"/>
        <v>3174654</v>
      </c>
      <c r="M4014" s="519">
        <v>3145218</v>
      </c>
      <c r="N4014" s="388"/>
      <c r="O4014" s="473">
        <f>ROUND(M4014*0.3%,0)</f>
        <v>9436</v>
      </c>
      <c r="P4014" s="388"/>
      <c r="Q4014" s="388">
        <v>20000</v>
      </c>
      <c r="R4014" s="446">
        <f t="shared" si="593"/>
        <v>2397.2698170731705</v>
      </c>
      <c r="U4014" s="404"/>
    </row>
    <row r="4015" spans="1:21" s="455" customFormat="1" ht="37.5" customHeight="1">
      <c r="A4015" s="404">
        <f t="shared" si="590"/>
        <v>48</v>
      </c>
      <c r="B4015" s="403" t="s">
        <v>3090</v>
      </c>
      <c r="C4015" s="455" t="s">
        <v>299</v>
      </c>
      <c r="D4015" s="772">
        <f t="shared" si="589"/>
        <v>9637.9310344827591</v>
      </c>
      <c r="E4015" s="391">
        <v>1720</v>
      </c>
      <c r="F4015" s="391" t="s">
        <v>252</v>
      </c>
      <c r="G4015" s="391">
        <v>1325</v>
      </c>
      <c r="H4015" s="528">
        <v>5</v>
      </c>
      <c r="I4015" s="528">
        <v>4</v>
      </c>
      <c r="J4015" s="528">
        <v>79</v>
      </c>
      <c r="K4015" s="504" t="s">
        <v>33</v>
      </c>
      <c r="L4015" s="384">
        <f t="shared" si="588"/>
        <v>3775167</v>
      </c>
      <c r="M4015" s="519">
        <v>3710000</v>
      </c>
      <c r="N4015" s="383">
        <v>35000</v>
      </c>
      <c r="O4015" s="385"/>
      <c r="P4015" s="383"/>
      <c r="Q4015" s="388">
        <v>30167</v>
      </c>
      <c r="R4015" s="446">
        <f t="shared" si="593"/>
        <v>2800</v>
      </c>
      <c r="U4015" s="404"/>
    </row>
    <row r="4016" spans="1:21" s="455" customFormat="1" ht="37.5" customHeight="1">
      <c r="A4016" s="404">
        <f t="shared" si="590"/>
        <v>49</v>
      </c>
      <c r="B4016" s="403" t="s">
        <v>3091</v>
      </c>
      <c r="C4016" s="455" t="s">
        <v>299</v>
      </c>
      <c r="D4016" s="772">
        <f t="shared" si="589"/>
        <v>17561.206896551728</v>
      </c>
      <c r="E4016" s="388">
        <v>3134</v>
      </c>
      <c r="F4016" s="388" t="s">
        <v>219</v>
      </c>
      <c r="G4016" s="388">
        <v>2100</v>
      </c>
      <c r="H4016" s="446">
        <v>5</v>
      </c>
      <c r="I4016" s="446">
        <v>8</v>
      </c>
      <c r="J4016" s="446">
        <v>160</v>
      </c>
      <c r="K4016" s="670" t="s">
        <v>33</v>
      </c>
      <c r="L4016" s="384">
        <f t="shared" si="588"/>
        <v>5069370</v>
      </c>
      <c r="M4016" s="519">
        <v>5034267</v>
      </c>
      <c r="N4016" s="388"/>
      <c r="O4016" s="473">
        <f t="shared" ref="O4016:O4024" si="594">ROUND(M4016*0.3%,0)</f>
        <v>15103</v>
      </c>
      <c r="P4016" s="388"/>
      <c r="Q4016" s="388">
        <v>20000</v>
      </c>
      <c r="R4016" s="446">
        <f t="shared" si="593"/>
        <v>2397.27</v>
      </c>
      <c r="U4016" s="404"/>
    </row>
    <row r="4017" spans="1:21" s="455" customFormat="1" ht="56.25" customHeight="1">
      <c r="A4017" s="404">
        <f t="shared" si="590"/>
        <v>50</v>
      </c>
      <c r="B4017" s="403" t="s">
        <v>3092</v>
      </c>
      <c r="C4017" s="455" t="s">
        <v>299</v>
      </c>
      <c r="D4017" s="772">
        <f t="shared" si="589"/>
        <v>5203.8103448275861</v>
      </c>
      <c r="E4017" s="388">
        <v>928.68</v>
      </c>
      <c r="F4017" s="388" t="s">
        <v>342</v>
      </c>
      <c r="G4017" s="388">
        <v>216.4</v>
      </c>
      <c r="H4017" s="446">
        <v>5</v>
      </c>
      <c r="I4017" s="446">
        <v>1</v>
      </c>
      <c r="J4017" s="446">
        <v>20</v>
      </c>
      <c r="K4017" s="397" t="s">
        <v>30</v>
      </c>
      <c r="L4017" s="384">
        <f t="shared" si="588"/>
        <v>623458</v>
      </c>
      <c r="M4017" s="519">
        <v>600000</v>
      </c>
      <c r="N4017" s="388"/>
      <c r="O4017" s="473">
        <f t="shared" si="594"/>
        <v>1800</v>
      </c>
      <c r="P4017" s="388"/>
      <c r="Q4017" s="388">
        <v>21658</v>
      </c>
      <c r="R4017" s="446">
        <f>M4017/J4017</f>
        <v>30000</v>
      </c>
      <c r="U4017" s="404"/>
    </row>
    <row r="4018" spans="1:21" s="455" customFormat="1" ht="56.25" customHeight="1">
      <c r="A4018" s="404">
        <f t="shared" si="590"/>
        <v>51</v>
      </c>
      <c r="B4018" s="403" t="s">
        <v>3093</v>
      </c>
      <c r="C4018" s="455" t="s">
        <v>299</v>
      </c>
      <c r="D4018" s="772">
        <f t="shared" si="589"/>
        <v>4674.620689655173</v>
      </c>
      <c r="E4018" s="388">
        <v>834.24</v>
      </c>
      <c r="F4018" s="388" t="s">
        <v>342</v>
      </c>
      <c r="G4018" s="388">
        <v>217.7</v>
      </c>
      <c r="H4018" s="446">
        <v>5.0999999999999996</v>
      </c>
      <c r="I4018" s="446">
        <v>1</v>
      </c>
      <c r="J4018" s="446">
        <v>20</v>
      </c>
      <c r="K4018" s="397" t="s">
        <v>30</v>
      </c>
      <c r="L4018" s="384">
        <f t="shared" si="588"/>
        <v>623458</v>
      </c>
      <c r="M4018" s="519">
        <v>600000</v>
      </c>
      <c r="N4018" s="388"/>
      <c r="O4018" s="473">
        <f t="shared" si="594"/>
        <v>1800</v>
      </c>
      <c r="P4018" s="388"/>
      <c r="Q4018" s="388">
        <v>21658</v>
      </c>
      <c r="R4018" s="446">
        <f>M4018/J4018</f>
        <v>30000</v>
      </c>
      <c r="U4018" s="404"/>
    </row>
    <row r="4019" spans="1:21" s="455" customFormat="1" ht="56.25" customHeight="1">
      <c r="A4019" s="404">
        <f t="shared" si="590"/>
        <v>52</v>
      </c>
      <c r="B4019" s="403" t="s">
        <v>3094</v>
      </c>
      <c r="C4019" s="455" t="s">
        <v>299</v>
      </c>
      <c r="D4019" s="772">
        <f t="shared" si="589"/>
        <v>4670.5862068965516</v>
      </c>
      <c r="E4019" s="388">
        <v>833.52</v>
      </c>
      <c r="F4019" s="388" t="s">
        <v>342</v>
      </c>
      <c r="G4019" s="388">
        <v>216.6</v>
      </c>
      <c r="H4019" s="446">
        <v>5</v>
      </c>
      <c r="I4019" s="446">
        <v>1</v>
      </c>
      <c r="J4019" s="446">
        <v>20</v>
      </c>
      <c r="K4019" s="397" t="s">
        <v>30</v>
      </c>
      <c r="L4019" s="384">
        <f t="shared" si="588"/>
        <v>623458</v>
      </c>
      <c r="M4019" s="519">
        <v>600000</v>
      </c>
      <c r="N4019" s="388"/>
      <c r="O4019" s="473">
        <f t="shared" si="594"/>
        <v>1800</v>
      </c>
      <c r="P4019" s="388"/>
      <c r="Q4019" s="388">
        <v>21658</v>
      </c>
      <c r="R4019" s="446">
        <f>M4019/J4019</f>
        <v>30000</v>
      </c>
      <c r="U4019" s="404"/>
    </row>
    <row r="4020" spans="1:21" s="455" customFormat="1" ht="37.5" customHeight="1">
      <c r="A4020" s="404">
        <f t="shared" si="590"/>
        <v>53</v>
      </c>
      <c r="B4020" s="403" t="s">
        <v>3095</v>
      </c>
      <c r="C4020" s="455" t="s">
        <v>299</v>
      </c>
      <c r="D4020" s="772">
        <f t="shared" si="589"/>
        <v>8419.741379310346</v>
      </c>
      <c r="E4020" s="388">
        <v>1502.6</v>
      </c>
      <c r="F4020" s="388" t="s">
        <v>219</v>
      </c>
      <c r="G4020" s="388">
        <v>953</v>
      </c>
      <c r="H4020" s="446">
        <v>5</v>
      </c>
      <c r="I4020" s="446">
        <v>4</v>
      </c>
      <c r="J4020" s="446">
        <v>80</v>
      </c>
      <c r="K4020" s="397" t="s">
        <v>33</v>
      </c>
      <c r="L4020" s="384">
        <f t="shared" si="588"/>
        <v>2311452</v>
      </c>
      <c r="M4020" s="519">
        <v>2284598</v>
      </c>
      <c r="N4020" s="388"/>
      <c r="O4020" s="473">
        <f t="shared" si="594"/>
        <v>6854</v>
      </c>
      <c r="P4020" s="388"/>
      <c r="Q4020" s="388">
        <v>20000</v>
      </c>
      <c r="R4020" s="446">
        <f t="shared" ref="R4020:R4026" si="595">M4020/G4020</f>
        <v>2397.2696747114373</v>
      </c>
      <c r="U4020" s="404"/>
    </row>
    <row r="4021" spans="1:21" s="455" customFormat="1" ht="37.5" customHeight="1">
      <c r="A4021" s="404">
        <f t="shared" si="590"/>
        <v>54</v>
      </c>
      <c r="B4021" s="403" t="s">
        <v>3096</v>
      </c>
      <c r="C4021" s="455" t="s">
        <v>299</v>
      </c>
      <c r="D4021" s="772">
        <f t="shared" si="589"/>
        <v>19382.327586206899</v>
      </c>
      <c r="E4021" s="391">
        <v>3459</v>
      </c>
      <c r="F4021" s="388" t="s">
        <v>219</v>
      </c>
      <c r="G4021" s="391">
        <v>1317.9</v>
      </c>
      <c r="H4021" s="528">
        <v>5</v>
      </c>
      <c r="I4021" s="528">
        <v>6</v>
      </c>
      <c r="J4021" s="446">
        <v>120</v>
      </c>
      <c r="K4021" s="504" t="s">
        <v>33</v>
      </c>
      <c r="L4021" s="384">
        <f t="shared" si="588"/>
        <v>3188840</v>
      </c>
      <c r="M4021" s="519">
        <v>3159362</v>
      </c>
      <c r="N4021" s="388"/>
      <c r="O4021" s="473">
        <f t="shared" si="594"/>
        <v>9478</v>
      </c>
      <c r="P4021" s="388"/>
      <c r="Q4021" s="388">
        <v>20000</v>
      </c>
      <c r="R4021" s="446">
        <f t="shared" si="595"/>
        <v>2397.2698990818726</v>
      </c>
      <c r="U4021" s="404"/>
    </row>
    <row r="4022" spans="1:21" s="455" customFormat="1" ht="37.5" customHeight="1">
      <c r="A4022" s="404">
        <f t="shared" si="590"/>
        <v>55</v>
      </c>
      <c r="B4022" s="403" t="s">
        <v>3097</v>
      </c>
      <c r="C4022" s="455" t="s">
        <v>299</v>
      </c>
      <c r="D4022" s="772">
        <f t="shared" si="589"/>
        <v>19382.327586206899</v>
      </c>
      <c r="E4022" s="391">
        <v>3459</v>
      </c>
      <c r="F4022" s="388" t="s">
        <v>219</v>
      </c>
      <c r="G4022" s="391">
        <v>1318.4</v>
      </c>
      <c r="H4022" s="528">
        <v>5</v>
      </c>
      <c r="I4022" s="528">
        <v>6</v>
      </c>
      <c r="J4022" s="446">
        <v>120</v>
      </c>
      <c r="K4022" s="500" t="s">
        <v>33</v>
      </c>
      <c r="L4022" s="384">
        <f t="shared" si="588"/>
        <v>3190043</v>
      </c>
      <c r="M4022" s="519">
        <v>3160561</v>
      </c>
      <c r="N4022" s="388"/>
      <c r="O4022" s="473">
        <f t="shared" si="594"/>
        <v>9482</v>
      </c>
      <c r="P4022" s="388"/>
      <c r="Q4022" s="388">
        <v>20000</v>
      </c>
      <c r="R4022" s="446">
        <f t="shared" si="595"/>
        <v>2397.2701759708734</v>
      </c>
      <c r="U4022" s="404"/>
    </row>
    <row r="4023" spans="1:21" s="455" customFormat="1" ht="37.5" customHeight="1">
      <c r="A4023" s="404">
        <f t="shared" si="590"/>
        <v>56</v>
      </c>
      <c r="B4023" s="403" t="s">
        <v>3098</v>
      </c>
      <c r="C4023" s="455" t="s">
        <v>299</v>
      </c>
      <c r="D4023" s="772">
        <f t="shared" si="589"/>
        <v>8375.5862068965525</v>
      </c>
      <c r="E4023" s="388">
        <v>1494.72</v>
      </c>
      <c r="F4023" s="388" t="s">
        <v>219</v>
      </c>
      <c r="G4023" s="388">
        <v>742.4</v>
      </c>
      <c r="H4023" s="446">
        <v>5</v>
      </c>
      <c r="I4023" s="446">
        <v>3</v>
      </c>
      <c r="J4023" s="446">
        <v>55</v>
      </c>
      <c r="K4023" s="397" t="s">
        <v>33</v>
      </c>
      <c r="L4023" s="384">
        <f t="shared" si="588"/>
        <v>1805072</v>
      </c>
      <c r="M4023" s="519">
        <v>1779733</v>
      </c>
      <c r="N4023" s="388"/>
      <c r="O4023" s="473">
        <f t="shared" si="594"/>
        <v>5339</v>
      </c>
      <c r="P4023" s="388"/>
      <c r="Q4023" s="388">
        <v>20000</v>
      </c>
      <c r="R4023" s="446">
        <f t="shared" si="595"/>
        <v>2397.2696659482758</v>
      </c>
      <c r="U4023" s="404"/>
    </row>
    <row r="4024" spans="1:21" s="455" customFormat="1" ht="37.5" customHeight="1">
      <c r="A4024" s="404">
        <f t="shared" si="590"/>
        <v>57</v>
      </c>
      <c r="B4024" s="403" t="s">
        <v>3099</v>
      </c>
      <c r="C4024" s="455" t="s">
        <v>299</v>
      </c>
      <c r="D4024" s="772">
        <f t="shared" si="589"/>
        <v>14838.827586206899</v>
      </c>
      <c r="E4024" s="388">
        <v>2648.16</v>
      </c>
      <c r="F4024" s="388" t="s">
        <v>219</v>
      </c>
      <c r="G4024" s="388">
        <v>1253</v>
      </c>
      <c r="H4024" s="446">
        <v>5</v>
      </c>
      <c r="I4024" s="446">
        <v>6</v>
      </c>
      <c r="J4024" s="446">
        <v>100</v>
      </c>
      <c r="K4024" s="397" t="s">
        <v>33</v>
      </c>
      <c r="L4024" s="384">
        <f t="shared" si="588"/>
        <v>3032790</v>
      </c>
      <c r="M4024" s="519">
        <v>3003779</v>
      </c>
      <c r="N4024" s="388"/>
      <c r="O4024" s="473">
        <f t="shared" si="594"/>
        <v>9011</v>
      </c>
      <c r="P4024" s="388"/>
      <c r="Q4024" s="388">
        <v>20000</v>
      </c>
      <c r="R4024" s="446">
        <f t="shared" si="595"/>
        <v>2397.2697525937751</v>
      </c>
      <c r="U4024" s="404"/>
    </row>
    <row r="4025" spans="1:21" s="455" customFormat="1" ht="37.5" customHeight="1">
      <c r="A4025" s="404">
        <f t="shared" si="590"/>
        <v>58</v>
      </c>
      <c r="B4025" s="403" t="s">
        <v>3100</v>
      </c>
      <c r="C4025" s="455" t="s">
        <v>299</v>
      </c>
      <c r="D4025" s="772">
        <f t="shared" si="589"/>
        <v>5244.8275862068967</v>
      </c>
      <c r="E4025" s="388">
        <v>936</v>
      </c>
      <c r="F4025" s="915" t="s">
        <v>252</v>
      </c>
      <c r="G4025" s="391">
        <v>863</v>
      </c>
      <c r="H4025" s="446">
        <v>3</v>
      </c>
      <c r="I4025" s="528">
        <v>2</v>
      </c>
      <c r="J4025" s="528">
        <v>19</v>
      </c>
      <c r="K4025" s="397" t="s">
        <v>33</v>
      </c>
      <c r="L4025" s="384">
        <f t="shared" si="588"/>
        <v>2462817</v>
      </c>
      <c r="M4025" s="519">
        <v>2416400</v>
      </c>
      <c r="N4025" s="383">
        <v>30000</v>
      </c>
      <c r="O4025" s="385"/>
      <c r="P4025" s="383"/>
      <c r="Q4025" s="388">
        <v>16417</v>
      </c>
      <c r="R4025" s="446">
        <f t="shared" si="595"/>
        <v>2800</v>
      </c>
      <c r="U4025" s="404"/>
    </row>
    <row r="4026" spans="1:21" s="455" customFormat="1" ht="37.5" customHeight="1">
      <c r="A4026" s="404">
        <f t="shared" si="590"/>
        <v>59</v>
      </c>
      <c r="B4026" s="403" t="s">
        <v>3101</v>
      </c>
      <c r="C4026" s="455" t="s">
        <v>299</v>
      </c>
      <c r="D4026" s="772">
        <f t="shared" si="589"/>
        <v>14625</v>
      </c>
      <c r="E4026" s="391">
        <v>2610</v>
      </c>
      <c r="F4026" s="388" t="s">
        <v>219</v>
      </c>
      <c r="G4026" s="391">
        <v>962</v>
      </c>
      <c r="H4026" s="528">
        <v>5</v>
      </c>
      <c r="I4026" s="528">
        <v>4</v>
      </c>
      <c r="J4026" s="528">
        <v>70</v>
      </c>
      <c r="K4026" s="397" t="s">
        <v>33</v>
      </c>
      <c r="L4026" s="384">
        <f t="shared" si="588"/>
        <v>2333093</v>
      </c>
      <c r="M4026" s="519">
        <v>2306174</v>
      </c>
      <c r="N4026" s="388"/>
      <c r="O4026" s="473">
        <f>ROUND(M4026*0.3%,0)</f>
        <v>6919</v>
      </c>
      <c r="P4026" s="388"/>
      <c r="Q4026" s="388">
        <v>20000</v>
      </c>
      <c r="R4026" s="446">
        <f t="shared" si="595"/>
        <v>2397.2702702702704</v>
      </c>
      <c r="U4026" s="404"/>
    </row>
    <row r="4027" spans="1:21" s="455" customFormat="1" ht="37.5" customHeight="1">
      <c r="A4027" s="404">
        <f t="shared" si="590"/>
        <v>60</v>
      </c>
      <c r="B4027" s="403" t="s">
        <v>3102</v>
      </c>
      <c r="C4027" s="455" t="s">
        <v>299</v>
      </c>
      <c r="D4027" s="531">
        <f t="shared" si="589"/>
        <v>7413.3620689655181</v>
      </c>
      <c r="E4027" s="388">
        <v>1323</v>
      </c>
      <c r="F4027" s="388" t="s">
        <v>219</v>
      </c>
      <c r="G4027" s="388">
        <v>2992</v>
      </c>
      <c r="H4027" s="446">
        <v>9</v>
      </c>
      <c r="I4027" s="446">
        <v>7</v>
      </c>
      <c r="J4027" s="446">
        <v>379</v>
      </c>
      <c r="K4027" s="397" t="s">
        <v>227</v>
      </c>
      <c r="L4027" s="384">
        <f t="shared" si="588"/>
        <v>3369016</v>
      </c>
      <c r="M4027" s="384">
        <v>3307500</v>
      </c>
      <c r="N4027" s="388">
        <v>45000</v>
      </c>
      <c r="O4027" s="473"/>
      <c r="P4027" s="388"/>
      <c r="Q4027" s="388">
        <v>16516</v>
      </c>
      <c r="R4027" s="528">
        <f>M4027/E4027</f>
        <v>2500</v>
      </c>
      <c r="U4027" s="404"/>
    </row>
    <row r="4028" spans="1:21" s="455" customFormat="1" ht="37.5" customHeight="1">
      <c r="A4028" s="404">
        <f t="shared" si="590"/>
        <v>61</v>
      </c>
      <c r="B4028" s="403" t="s">
        <v>3103</v>
      </c>
      <c r="C4028" s="455" t="s">
        <v>299</v>
      </c>
      <c r="D4028" s="772">
        <f t="shared" si="589"/>
        <v>19567.241379310344</v>
      </c>
      <c r="E4028" s="388">
        <v>3492</v>
      </c>
      <c r="F4028" s="388" t="s">
        <v>219</v>
      </c>
      <c r="G4028" s="388">
        <v>1099</v>
      </c>
      <c r="H4028" s="528">
        <v>5</v>
      </c>
      <c r="I4028" s="446">
        <v>4</v>
      </c>
      <c r="J4028" s="446">
        <v>76</v>
      </c>
      <c r="K4028" s="377" t="s">
        <v>260</v>
      </c>
      <c r="L4028" s="384">
        <f t="shared" si="588"/>
        <v>9149200</v>
      </c>
      <c r="M4028" s="529">
        <v>9079200</v>
      </c>
      <c r="N4028" s="383">
        <v>40000</v>
      </c>
      <c r="O4028" s="385"/>
      <c r="P4028" s="383"/>
      <c r="Q4028" s="388">
        <v>30000</v>
      </c>
      <c r="R4028" s="528">
        <f>M4028/E4028</f>
        <v>2600</v>
      </c>
      <c r="U4028" s="404"/>
    </row>
    <row r="4029" spans="1:21" s="455" customFormat="1" ht="56.25" customHeight="1">
      <c r="A4029" s="404">
        <f t="shared" si="590"/>
        <v>62</v>
      </c>
      <c r="B4029" s="403" t="s">
        <v>3104</v>
      </c>
      <c r="C4029" s="455" t="s">
        <v>299</v>
      </c>
      <c r="D4029" s="772">
        <f>E4029/1.16/2*13</f>
        <v>40294.396551724138</v>
      </c>
      <c r="E4029" s="388">
        <v>7191</v>
      </c>
      <c r="F4029" s="388" t="s">
        <v>219</v>
      </c>
      <c r="G4029" s="388">
        <v>1654</v>
      </c>
      <c r="H4029" s="528">
        <v>9</v>
      </c>
      <c r="I4029" s="446">
        <v>4</v>
      </c>
      <c r="J4029" s="446">
        <v>143</v>
      </c>
      <c r="K4029" s="377" t="s">
        <v>30</v>
      </c>
      <c r="L4029" s="384">
        <f t="shared" si="588"/>
        <v>3912583</v>
      </c>
      <c r="M4029" s="529">
        <v>3861000</v>
      </c>
      <c r="N4029" s="383"/>
      <c r="O4029" s="473">
        <f>ROUND(M4029*0.3%,0)</f>
        <v>11583</v>
      </c>
      <c r="P4029" s="383"/>
      <c r="Q4029" s="388">
        <v>40000</v>
      </c>
      <c r="R4029" s="382">
        <f>M4029/J4029</f>
        <v>27000</v>
      </c>
      <c r="U4029" s="404"/>
    </row>
    <row r="4030" spans="1:21" s="455" customFormat="1" ht="37.5" customHeight="1">
      <c r="A4030" s="404">
        <f t="shared" si="590"/>
        <v>63</v>
      </c>
      <c r="B4030" s="403" t="s">
        <v>3105</v>
      </c>
      <c r="C4030" s="455" t="s">
        <v>299</v>
      </c>
      <c r="D4030" s="772">
        <f t="shared" si="589"/>
        <v>7741.7241379310344</v>
      </c>
      <c r="E4030" s="388">
        <v>1381.6</v>
      </c>
      <c r="F4030" s="388" t="s">
        <v>252</v>
      </c>
      <c r="G4030" s="388">
        <v>686</v>
      </c>
      <c r="H4030" s="446">
        <v>3</v>
      </c>
      <c r="I4030" s="446">
        <v>2</v>
      </c>
      <c r="J4030" s="446">
        <v>45</v>
      </c>
      <c r="K4030" s="504" t="s">
        <v>33</v>
      </c>
      <c r="L4030" s="384">
        <f t="shared" si="588"/>
        <v>1975032</v>
      </c>
      <c r="M4030" s="519">
        <v>1920800</v>
      </c>
      <c r="N4030" s="383">
        <v>30000</v>
      </c>
      <c r="O4030" s="385"/>
      <c r="P4030" s="383"/>
      <c r="Q4030" s="388">
        <v>24232</v>
      </c>
      <c r="R4030" s="446">
        <f t="shared" ref="R4030:R4036" si="596">M4030/G4030</f>
        <v>2800</v>
      </c>
      <c r="U4030" s="404"/>
    </row>
    <row r="4031" spans="1:21" s="455" customFormat="1" ht="69" customHeight="1">
      <c r="A4031" s="404">
        <f t="shared" si="590"/>
        <v>64</v>
      </c>
      <c r="B4031" s="403" t="s">
        <v>3106</v>
      </c>
      <c r="C4031" s="455" t="s">
        <v>299</v>
      </c>
      <c r="D4031" s="772">
        <f t="shared" si="589"/>
        <v>15131.551724137935</v>
      </c>
      <c r="E4031" s="388">
        <v>2700.4</v>
      </c>
      <c r="F4031" s="388" t="s">
        <v>252</v>
      </c>
      <c r="G4031" s="388">
        <v>1154.5</v>
      </c>
      <c r="H4031" s="446">
        <v>5</v>
      </c>
      <c r="I4031" s="446">
        <v>4</v>
      </c>
      <c r="J4031" s="446">
        <v>64</v>
      </c>
      <c r="K4031" s="504" t="s">
        <v>30</v>
      </c>
      <c r="L4031" s="384">
        <f t="shared" si="588"/>
        <v>3302441</v>
      </c>
      <c r="M4031" s="519">
        <v>3232600</v>
      </c>
      <c r="N4031" s="383">
        <v>35000</v>
      </c>
      <c r="O4031" s="385"/>
      <c r="P4031" s="383"/>
      <c r="Q4031" s="388">
        <v>34841</v>
      </c>
      <c r="R4031" s="446">
        <f t="shared" si="596"/>
        <v>2800</v>
      </c>
      <c r="U4031" s="404"/>
    </row>
    <row r="4032" spans="1:21" s="455" customFormat="1" ht="37.5" customHeight="1">
      <c r="A4032" s="404">
        <f t="shared" si="590"/>
        <v>65</v>
      </c>
      <c r="B4032" s="403" t="s">
        <v>3107</v>
      </c>
      <c r="C4032" s="455" t="s">
        <v>299</v>
      </c>
      <c r="D4032" s="772">
        <f t="shared" si="589"/>
        <v>11348.663793103449</v>
      </c>
      <c r="E4032" s="388">
        <v>2025.3</v>
      </c>
      <c r="F4032" s="388" t="s">
        <v>219</v>
      </c>
      <c r="G4032" s="388">
        <v>890</v>
      </c>
      <c r="H4032" s="446">
        <v>5</v>
      </c>
      <c r="I4032" s="446">
        <v>3</v>
      </c>
      <c r="J4032" s="446">
        <v>35</v>
      </c>
      <c r="K4032" s="397" t="s">
        <v>33</v>
      </c>
      <c r="L4032" s="384">
        <f t="shared" si="588"/>
        <v>2159971</v>
      </c>
      <c r="M4032" s="519">
        <v>2133570</v>
      </c>
      <c r="N4032" s="388"/>
      <c r="O4032" s="473">
        <f>ROUND(M4032*0.3%,0)</f>
        <v>6401</v>
      </c>
      <c r="P4032" s="388"/>
      <c r="Q4032" s="388">
        <v>20000</v>
      </c>
      <c r="R4032" s="446">
        <f t="shared" si="596"/>
        <v>2397.2696629213483</v>
      </c>
      <c r="U4032" s="404"/>
    </row>
    <row r="4033" spans="1:21" s="455" customFormat="1" ht="37.5" customHeight="1">
      <c r="A4033" s="404">
        <f t="shared" si="590"/>
        <v>66</v>
      </c>
      <c r="B4033" s="403" t="s">
        <v>3108</v>
      </c>
      <c r="C4033" s="455" t="s">
        <v>299</v>
      </c>
      <c r="D4033" s="772">
        <f t="shared" si="589"/>
        <v>13336.206896551725</v>
      </c>
      <c r="E4033" s="391">
        <v>2380</v>
      </c>
      <c r="F4033" s="388" t="s">
        <v>219</v>
      </c>
      <c r="G4033" s="391">
        <v>928</v>
      </c>
      <c r="H4033" s="528">
        <v>5</v>
      </c>
      <c r="I4033" s="528">
        <v>4</v>
      </c>
      <c r="J4033" s="528">
        <v>70</v>
      </c>
      <c r="K4033" s="397" t="s">
        <v>33</v>
      </c>
      <c r="L4033" s="384">
        <f t="shared" si="588"/>
        <v>2251341</v>
      </c>
      <c r="M4033" s="519">
        <v>2224667</v>
      </c>
      <c r="N4033" s="388"/>
      <c r="O4033" s="473">
        <f>ROUND(M4033*0.3%,0)</f>
        <v>6674</v>
      </c>
      <c r="P4033" s="388"/>
      <c r="Q4033" s="388">
        <v>20000</v>
      </c>
      <c r="R4033" s="446">
        <f t="shared" si="596"/>
        <v>2397.2704741379312</v>
      </c>
      <c r="U4033" s="404"/>
    </row>
    <row r="4034" spans="1:21" s="455" customFormat="1" ht="37.5" customHeight="1">
      <c r="A4034" s="404">
        <f t="shared" si="590"/>
        <v>67</v>
      </c>
      <c r="B4034" s="403" t="s">
        <v>3109</v>
      </c>
      <c r="C4034" s="455" t="s">
        <v>299</v>
      </c>
      <c r="D4034" s="772">
        <f t="shared" si="589"/>
        <v>13336.206896551725</v>
      </c>
      <c r="E4034" s="391">
        <v>2380</v>
      </c>
      <c r="F4034" s="388" t="s">
        <v>219</v>
      </c>
      <c r="G4034" s="391">
        <v>938</v>
      </c>
      <c r="H4034" s="528">
        <v>5</v>
      </c>
      <c r="I4034" s="528">
        <v>4</v>
      </c>
      <c r="J4034" s="528">
        <v>70</v>
      </c>
      <c r="K4034" s="397" t="s">
        <v>33</v>
      </c>
      <c r="L4034" s="384">
        <f t="shared" si="588"/>
        <v>2275385</v>
      </c>
      <c r="M4034" s="519">
        <v>2248639</v>
      </c>
      <c r="N4034" s="388"/>
      <c r="O4034" s="473">
        <f>ROUND(M4034*0.3%,0)</f>
        <v>6746</v>
      </c>
      <c r="P4034" s="388"/>
      <c r="Q4034" s="388">
        <v>20000</v>
      </c>
      <c r="R4034" s="446">
        <f t="shared" si="596"/>
        <v>2397.2697228144989</v>
      </c>
      <c r="U4034" s="404"/>
    </row>
    <row r="4035" spans="1:21" s="455" customFormat="1" ht="37.5" customHeight="1">
      <c r="A4035" s="404">
        <f t="shared" si="590"/>
        <v>68</v>
      </c>
      <c r="B4035" s="403" t="s">
        <v>3111</v>
      </c>
      <c r="C4035" s="455" t="s">
        <v>299</v>
      </c>
      <c r="D4035" s="531">
        <f t="shared" si="589"/>
        <v>43034.482758620688</v>
      </c>
      <c r="E4035" s="388">
        <v>7680</v>
      </c>
      <c r="F4035" s="388" t="s">
        <v>219</v>
      </c>
      <c r="G4035" s="388">
        <v>1790</v>
      </c>
      <c r="H4035" s="446">
        <v>9</v>
      </c>
      <c r="I4035" s="446">
        <v>4</v>
      </c>
      <c r="J4035" s="446">
        <v>196</v>
      </c>
      <c r="K4035" s="458" t="s">
        <v>33</v>
      </c>
      <c r="L4035" s="384">
        <f t="shared" si="588"/>
        <v>4321867</v>
      </c>
      <c r="M4035" s="519">
        <v>4289000</v>
      </c>
      <c r="N4035" s="388"/>
      <c r="O4035" s="473">
        <f>ROUND(M4035*0.3%,0)</f>
        <v>12867</v>
      </c>
      <c r="P4035" s="388"/>
      <c r="Q4035" s="388">
        <v>20000</v>
      </c>
      <c r="R4035" s="446">
        <f t="shared" si="596"/>
        <v>2396.0893854748601</v>
      </c>
      <c r="U4035" s="404"/>
    </row>
    <row r="4036" spans="1:21" s="455" customFormat="1" ht="37.5" customHeight="1">
      <c r="A4036" s="404">
        <f t="shared" si="590"/>
        <v>69</v>
      </c>
      <c r="B4036" s="403" t="s">
        <v>3112</v>
      </c>
      <c r="C4036" s="455" t="s">
        <v>299</v>
      </c>
      <c r="D4036" s="772">
        <f t="shared" si="589"/>
        <v>11044.396551724138</v>
      </c>
      <c r="E4036" s="391">
        <v>1971</v>
      </c>
      <c r="F4036" s="383" t="s">
        <v>252</v>
      </c>
      <c r="G4036" s="391">
        <v>927</v>
      </c>
      <c r="H4036" s="528">
        <v>4</v>
      </c>
      <c r="I4036" s="528">
        <v>3</v>
      </c>
      <c r="J4036" s="528">
        <v>48</v>
      </c>
      <c r="K4036" s="397" t="s">
        <v>33</v>
      </c>
      <c r="L4036" s="384">
        <f t="shared" si="588"/>
        <v>2655748</v>
      </c>
      <c r="M4036" s="519">
        <v>2595600</v>
      </c>
      <c r="N4036" s="383">
        <v>30000</v>
      </c>
      <c r="O4036" s="385"/>
      <c r="P4036" s="383"/>
      <c r="Q4036" s="388">
        <v>30148</v>
      </c>
      <c r="R4036" s="446">
        <f t="shared" si="596"/>
        <v>2800</v>
      </c>
      <c r="U4036" s="404"/>
    </row>
    <row r="4037" spans="1:21" s="455" customFormat="1" ht="37.5" customHeight="1">
      <c r="A4037" s="404">
        <f t="shared" si="590"/>
        <v>70</v>
      </c>
      <c r="B4037" s="403" t="s">
        <v>3113</v>
      </c>
      <c r="C4037" s="455" t="s">
        <v>299</v>
      </c>
      <c r="D4037" s="531">
        <f t="shared" si="589"/>
        <v>13767.672413793105</v>
      </c>
      <c r="E4037" s="388">
        <v>2457</v>
      </c>
      <c r="F4037" s="388" t="s">
        <v>219</v>
      </c>
      <c r="G4037" s="388">
        <v>1800</v>
      </c>
      <c r="H4037" s="446">
        <v>5</v>
      </c>
      <c r="I4037" s="446">
        <v>7</v>
      </c>
      <c r="J4037" s="446">
        <v>96</v>
      </c>
      <c r="K4037" s="504" t="s">
        <v>239</v>
      </c>
      <c r="L4037" s="384">
        <f t="shared" si="588"/>
        <v>2950833</v>
      </c>
      <c r="M4037" s="519">
        <v>2892000</v>
      </c>
      <c r="N4037" s="383">
        <v>40000</v>
      </c>
      <c r="O4037" s="473"/>
      <c r="P4037" s="388"/>
      <c r="Q4037" s="388">
        <v>18833</v>
      </c>
      <c r="R4037" s="382">
        <f>M4037/J4037</f>
        <v>30125</v>
      </c>
      <c r="U4037" s="404"/>
    </row>
    <row r="4038" spans="1:21" s="455" customFormat="1" ht="56.25" customHeight="1">
      <c r="A4038" s="404">
        <f t="shared" si="590"/>
        <v>71</v>
      </c>
      <c r="B4038" s="403" t="s">
        <v>3114</v>
      </c>
      <c r="C4038" s="455" t="s">
        <v>299</v>
      </c>
      <c r="D4038" s="772">
        <f t="shared" si="589"/>
        <v>10424.094827586207</v>
      </c>
      <c r="E4038" s="388">
        <v>1860.3</v>
      </c>
      <c r="F4038" s="388" t="s">
        <v>252</v>
      </c>
      <c r="G4038" s="388">
        <v>820</v>
      </c>
      <c r="H4038" s="446">
        <v>2</v>
      </c>
      <c r="I4038" s="446">
        <v>2</v>
      </c>
      <c r="J4038" s="446">
        <v>14</v>
      </c>
      <c r="K4038" s="397" t="s">
        <v>30</v>
      </c>
      <c r="L4038" s="384">
        <f t="shared" si="588"/>
        <v>308618</v>
      </c>
      <c r="M4038" s="519">
        <v>280000</v>
      </c>
      <c r="N4038" s="388"/>
      <c r="O4038" s="473">
        <f>ROUND(M4038*0.3%,0)</f>
        <v>840</v>
      </c>
      <c r="P4038" s="388"/>
      <c r="Q4038" s="388">
        <v>27778</v>
      </c>
      <c r="R4038" s="446">
        <f>M4038/J4038</f>
        <v>20000</v>
      </c>
      <c r="U4038" s="404"/>
    </row>
    <row r="4039" spans="1:21" s="455" customFormat="1" ht="37.5" customHeight="1">
      <c r="A4039" s="404">
        <f t="shared" si="590"/>
        <v>72</v>
      </c>
      <c r="B4039" s="403" t="s">
        <v>3115</v>
      </c>
      <c r="C4039" s="455" t="s">
        <v>299</v>
      </c>
      <c r="D4039" s="772">
        <f t="shared" si="589"/>
        <v>10419.051724137933</v>
      </c>
      <c r="E4039" s="388">
        <v>1859.4</v>
      </c>
      <c r="F4039" s="388" t="s">
        <v>252</v>
      </c>
      <c r="G4039" s="388">
        <v>820</v>
      </c>
      <c r="H4039" s="446">
        <v>2</v>
      </c>
      <c r="I4039" s="446">
        <v>2</v>
      </c>
      <c r="J4039" s="446">
        <v>14</v>
      </c>
      <c r="K4039" s="397" t="s">
        <v>33</v>
      </c>
      <c r="L4039" s="384">
        <f t="shared" si="588"/>
        <v>2366000</v>
      </c>
      <c r="M4039" s="519">
        <v>2296000</v>
      </c>
      <c r="N4039" s="383">
        <v>30000</v>
      </c>
      <c r="O4039" s="385"/>
      <c r="P4039" s="383"/>
      <c r="Q4039" s="388">
        <v>40000</v>
      </c>
      <c r="R4039" s="446">
        <f>M4039/G4039</f>
        <v>2800</v>
      </c>
      <c r="U4039" s="404"/>
    </row>
    <row r="4040" spans="1:21" s="455" customFormat="1" ht="37.5" customHeight="1">
      <c r="A4040" s="404">
        <f t="shared" si="590"/>
        <v>73</v>
      </c>
      <c r="B4040" s="403" t="s">
        <v>3116</v>
      </c>
      <c r="C4040" s="455" t="s">
        <v>299</v>
      </c>
      <c r="D4040" s="772">
        <f t="shared" si="589"/>
        <v>9922.1379310344837</v>
      </c>
      <c r="E4040" s="388">
        <v>1770.72</v>
      </c>
      <c r="F4040" s="388" t="s">
        <v>219</v>
      </c>
      <c r="G4040" s="388">
        <v>723</v>
      </c>
      <c r="H4040" s="446">
        <v>5</v>
      </c>
      <c r="I4040" s="446">
        <v>4</v>
      </c>
      <c r="J4040" s="446">
        <v>56</v>
      </c>
      <c r="K4040" s="397" t="s">
        <v>33</v>
      </c>
      <c r="L4040" s="384">
        <f t="shared" si="588"/>
        <v>1758426</v>
      </c>
      <c r="M4040" s="519">
        <v>1733226</v>
      </c>
      <c r="N4040" s="388"/>
      <c r="O4040" s="473">
        <f t="shared" ref="O4040:O4045" si="597">ROUND(M4040*0.3%,0)</f>
        <v>5200</v>
      </c>
      <c r="P4040" s="388"/>
      <c r="Q4040" s="388">
        <v>20000</v>
      </c>
      <c r="R4040" s="446">
        <f>M4040/G4040</f>
        <v>2397.2697095435683</v>
      </c>
      <c r="U4040" s="404"/>
    </row>
    <row r="4041" spans="1:21" s="455" customFormat="1" ht="56.25" customHeight="1">
      <c r="A4041" s="404">
        <f t="shared" si="590"/>
        <v>74</v>
      </c>
      <c r="B4041" s="403" t="s">
        <v>3117</v>
      </c>
      <c r="C4041" s="455" t="s">
        <v>299</v>
      </c>
      <c r="D4041" s="772">
        <f t="shared" si="589"/>
        <v>16877.586206896551</v>
      </c>
      <c r="E4041" s="391">
        <v>3012</v>
      </c>
      <c r="F4041" s="388" t="s">
        <v>219</v>
      </c>
      <c r="G4041" s="391">
        <v>594</v>
      </c>
      <c r="H4041" s="528">
        <v>9</v>
      </c>
      <c r="I4041" s="528">
        <v>2</v>
      </c>
      <c r="J4041" s="528">
        <v>72</v>
      </c>
      <c r="K4041" s="458" t="s">
        <v>30</v>
      </c>
      <c r="L4041" s="384">
        <f t="shared" si="588"/>
        <v>2206480</v>
      </c>
      <c r="M4041" s="519">
        <v>2160000</v>
      </c>
      <c r="N4041" s="388"/>
      <c r="O4041" s="473">
        <f t="shared" si="597"/>
        <v>6480</v>
      </c>
      <c r="P4041" s="388"/>
      <c r="Q4041" s="388">
        <v>40000</v>
      </c>
      <c r="R4041" s="446">
        <f>M4041/J4041</f>
        <v>30000</v>
      </c>
      <c r="U4041" s="404"/>
    </row>
    <row r="4042" spans="1:21" s="455" customFormat="1" ht="56.25" customHeight="1">
      <c r="A4042" s="404">
        <f t="shared" si="590"/>
        <v>75</v>
      </c>
      <c r="B4042" s="403" t="s">
        <v>3118</v>
      </c>
      <c r="C4042" s="455" t="s">
        <v>299</v>
      </c>
      <c r="D4042" s="772">
        <f t="shared" si="589"/>
        <v>8741.3793103448297</v>
      </c>
      <c r="E4042" s="388">
        <v>1560</v>
      </c>
      <c r="F4042" s="388" t="s">
        <v>219</v>
      </c>
      <c r="G4042" s="388">
        <v>804</v>
      </c>
      <c r="H4042" s="446">
        <v>4</v>
      </c>
      <c r="I4042" s="446">
        <v>4</v>
      </c>
      <c r="J4042" s="446">
        <v>64</v>
      </c>
      <c r="K4042" s="397" t="s">
        <v>30</v>
      </c>
      <c r="L4042" s="384">
        <f t="shared" si="588"/>
        <v>1311618</v>
      </c>
      <c r="M4042" s="519">
        <v>1280000</v>
      </c>
      <c r="N4042" s="388"/>
      <c r="O4042" s="473">
        <f t="shared" si="597"/>
        <v>3840</v>
      </c>
      <c r="P4042" s="388"/>
      <c r="Q4042" s="388">
        <v>27778</v>
      </c>
      <c r="R4042" s="446">
        <f>M4042/J4042</f>
        <v>20000</v>
      </c>
      <c r="U4042" s="404"/>
    </row>
    <row r="4043" spans="1:21" s="455" customFormat="1" ht="37.5" customHeight="1">
      <c r="A4043" s="404">
        <f t="shared" si="590"/>
        <v>76</v>
      </c>
      <c r="B4043" s="403" t="s">
        <v>3119</v>
      </c>
      <c r="C4043" s="455" t="s">
        <v>299</v>
      </c>
      <c r="D4043" s="772">
        <f t="shared" si="589"/>
        <v>13593.96551724138</v>
      </c>
      <c r="E4043" s="391">
        <v>2426</v>
      </c>
      <c r="F4043" s="388" t="s">
        <v>219</v>
      </c>
      <c r="G4043" s="391">
        <v>900</v>
      </c>
      <c r="H4043" s="528">
        <v>5</v>
      </c>
      <c r="I4043" s="528">
        <v>4</v>
      </c>
      <c r="J4043" s="528">
        <v>60</v>
      </c>
      <c r="K4043" s="397" t="s">
        <v>33</v>
      </c>
      <c r="L4043" s="384">
        <f t="shared" si="588"/>
        <v>2184016</v>
      </c>
      <c r="M4043" s="519">
        <v>2157543</v>
      </c>
      <c r="N4043" s="388"/>
      <c r="O4043" s="473">
        <f t="shared" si="597"/>
        <v>6473</v>
      </c>
      <c r="P4043" s="388"/>
      <c r="Q4043" s="388">
        <v>20000</v>
      </c>
      <c r="R4043" s="446">
        <f>M4043/G4043</f>
        <v>2397.27</v>
      </c>
      <c r="U4043" s="404"/>
    </row>
    <row r="4044" spans="1:21" s="455" customFormat="1" ht="37.5" customHeight="1">
      <c r="A4044" s="404">
        <f t="shared" si="590"/>
        <v>77</v>
      </c>
      <c r="B4044" s="403" t="s">
        <v>3120</v>
      </c>
      <c r="C4044" s="455" t="s">
        <v>299</v>
      </c>
      <c r="D4044" s="772">
        <f t="shared" ref="D4044:D4074" si="598">E4044/1.16/2*13</f>
        <v>6937.0689655172418</v>
      </c>
      <c r="E4044" s="391">
        <v>1238</v>
      </c>
      <c r="F4044" s="388" t="s">
        <v>219</v>
      </c>
      <c r="G4044" s="391">
        <v>936</v>
      </c>
      <c r="H4044" s="528">
        <v>5</v>
      </c>
      <c r="I4044" s="528">
        <v>5</v>
      </c>
      <c r="J4044" s="528">
        <v>75</v>
      </c>
      <c r="K4044" s="397" t="s">
        <v>33</v>
      </c>
      <c r="L4044" s="384">
        <f t="shared" si="588"/>
        <v>2270577</v>
      </c>
      <c r="M4044" s="519">
        <v>2243845</v>
      </c>
      <c r="N4044" s="388"/>
      <c r="O4044" s="473">
        <f t="shared" si="597"/>
        <v>6732</v>
      </c>
      <c r="P4044" s="388"/>
      <c r="Q4044" s="388">
        <v>20000</v>
      </c>
      <c r="R4044" s="446">
        <f>M4044/G4044</f>
        <v>2397.2702991452993</v>
      </c>
      <c r="U4044" s="404"/>
    </row>
    <row r="4045" spans="1:21" s="455" customFormat="1" ht="37.5" customHeight="1">
      <c r="A4045" s="404">
        <f t="shared" si="590"/>
        <v>78</v>
      </c>
      <c r="B4045" s="403" t="s">
        <v>3121</v>
      </c>
      <c r="C4045" s="455" t="s">
        <v>299</v>
      </c>
      <c r="D4045" s="772">
        <f t="shared" si="598"/>
        <v>24909.568965517239</v>
      </c>
      <c r="E4045" s="388">
        <v>4445.3999999999996</v>
      </c>
      <c r="F4045" s="388" t="s">
        <v>219</v>
      </c>
      <c r="G4045" s="388">
        <v>1880</v>
      </c>
      <c r="H4045" s="446">
        <v>5</v>
      </c>
      <c r="I4045" s="446">
        <v>8</v>
      </c>
      <c r="J4045" s="446">
        <v>134</v>
      </c>
      <c r="K4045" s="397" t="s">
        <v>33</v>
      </c>
      <c r="L4045" s="384">
        <f t="shared" si="588"/>
        <v>4540389</v>
      </c>
      <c r="M4045" s="519">
        <v>4506868</v>
      </c>
      <c r="N4045" s="388"/>
      <c r="O4045" s="473">
        <f t="shared" si="597"/>
        <v>13521</v>
      </c>
      <c r="P4045" s="388"/>
      <c r="Q4045" s="388">
        <v>20000</v>
      </c>
      <c r="R4045" s="446">
        <f>M4045/G4045</f>
        <v>2397.2702127659572</v>
      </c>
      <c r="U4045" s="404"/>
    </row>
    <row r="4046" spans="1:21" s="455" customFormat="1" ht="37.5" customHeight="1">
      <c r="A4046" s="404">
        <f t="shared" si="590"/>
        <v>79</v>
      </c>
      <c r="B4046" s="403" t="s">
        <v>3123</v>
      </c>
      <c r="C4046" s="455" t="s">
        <v>299</v>
      </c>
      <c r="D4046" s="772">
        <f t="shared" si="598"/>
        <v>5834.870689655173</v>
      </c>
      <c r="E4046" s="388">
        <v>1041.3</v>
      </c>
      <c r="F4046" s="388" t="s">
        <v>252</v>
      </c>
      <c r="G4046" s="388">
        <v>700</v>
      </c>
      <c r="H4046" s="446">
        <v>5</v>
      </c>
      <c r="I4046" s="446">
        <v>1</v>
      </c>
      <c r="J4046" s="446">
        <v>20</v>
      </c>
      <c r="K4046" s="458" t="s">
        <v>225</v>
      </c>
      <c r="L4046" s="384">
        <f t="shared" si="588"/>
        <v>474524</v>
      </c>
      <c r="M4046" s="519">
        <v>440000</v>
      </c>
      <c r="N4046" s="383">
        <v>30000</v>
      </c>
      <c r="O4046" s="385"/>
      <c r="P4046" s="383"/>
      <c r="Q4046" s="388">
        <v>4524</v>
      </c>
      <c r="R4046" s="382">
        <f>M4046/J4046</f>
        <v>22000</v>
      </c>
      <c r="U4046" s="404"/>
    </row>
    <row r="4047" spans="1:21" s="455" customFormat="1" ht="37.5" customHeight="1">
      <c r="A4047" s="404">
        <f t="shared" si="590"/>
        <v>80</v>
      </c>
      <c r="B4047" s="403" t="s">
        <v>3124</v>
      </c>
      <c r="C4047" s="455" t="s">
        <v>299</v>
      </c>
      <c r="D4047" s="772">
        <f t="shared" si="598"/>
        <v>12367.370689655172</v>
      </c>
      <c r="E4047" s="388">
        <v>2207.1</v>
      </c>
      <c r="F4047" s="388" t="s">
        <v>219</v>
      </c>
      <c r="G4047" s="388">
        <v>600</v>
      </c>
      <c r="H4047" s="446">
        <v>5</v>
      </c>
      <c r="I4047" s="446">
        <v>1</v>
      </c>
      <c r="J4047" s="446">
        <v>69</v>
      </c>
      <c r="K4047" s="397" t="s">
        <v>33</v>
      </c>
      <c r="L4047" s="384">
        <f t="shared" si="588"/>
        <v>1462677</v>
      </c>
      <c r="M4047" s="519">
        <v>1438362</v>
      </c>
      <c r="N4047" s="388"/>
      <c r="O4047" s="473">
        <f>ROUND(M4047*0.3%,0)</f>
        <v>4315</v>
      </c>
      <c r="P4047" s="388"/>
      <c r="Q4047" s="388">
        <v>20000</v>
      </c>
      <c r="R4047" s="446">
        <f>M4047/G4047</f>
        <v>2397.27</v>
      </c>
      <c r="U4047" s="404"/>
    </row>
    <row r="4048" spans="1:21" s="455" customFormat="1" ht="56.25" customHeight="1">
      <c r="A4048" s="404">
        <f t="shared" si="590"/>
        <v>81</v>
      </c>
      <c r="B4048" s="403" t="s">
        <v>2213</v>
      </c>
      <c r="C4048" s="455" t="s">
        <v>299</v>
      </c>
      <c r="D4048" s="772">
        <f t="shared" si="598"/>
        <v>12871.120689655172</v>
      </c>
      <c r="E4048" s="391">
        <v>2297</v>
      </c>
      <c r="F4048" s="388" t="s">
        <v>219</v>
      </c>
      <c r="G4048" s="391">
        <v>500</v>
      </c>
      <c r="H4048" s="528">
        <v>9</v>
      </c>
      <c r="I4048" s="528">
        <v>1</v>
      </c>
      <c r="J4048" s="528">
        <v>71</v>
      </c>
      <c r="K4048" s="458" t="s">
        <v>30</v>
      </c>
      <c r="L4048" s="384">
        <f t="shared" si="588"/>
        <v>2171231</v>
      </c>
      <c r="M4048" s="519">
        <v>2130000</v>
      </c>
      <c r="N4048" s="388"/>
      <c r="O4048" s="473">
        <f>ROUND(M4048*0.3%,0)</f>
        <v>6390</v>
      </c>
      <c r="P4048" s="388"/>
      <c r="Q4048" s="388">
        <v>34841</v>
      </c>
      <c r="R4048" s="446">
        <f>M4048/J4048</f>
        <v>30000</v>
      </c>
      <c r="U4048" s="404"/>
    </row>
    <row r="4049" spans="1:21" s="455" customFormat="1" ht="37.5" customHeight="1">
      <c r="A4049" s="404">
        <f t="shared" ref="A4049:A4077" si="599">A4048+1</f>
        <v>82</v>
      </c>
      <c r="B4049" s="403" t="s">
        <v>3125</v>
      </c>
      <c r="C4049" s="455" t="s">
        <v>299</v>
      </c>
      <c r="D4049" s="772">
        <f t="shared" si="598"/>
        <v>10956.310344827587</v>
      </c>
      <c r="E4049" s="388">
        <v>1955.28</v>
      </c>
      <c r="F4049" s="388" t="s">
        <v>252</v>
      </c>
      <c r="G4049" s="388">
        <v>1147.3</v>
      </c>
      <c r="H4049" s="446">
        <v>5</v>
      </c>
      <c r="I4049" s="446">
        <v>4</v>
      </c>
      <c r="J4049" s="446">
        <v>80</v>
      </c>
      <c r="K4049" s="504" t="s">
        <v>239</v>
      </c>
      <c r="L4049" s="384">
        <f t="shared" ref="L4049:L4075" si="600">M4049+N4049+O4049+Q4049</f>
        <v>2753833</v>
      </c>
      <c r="M4049" s="519">
        <v>2700000</v>
      </c>
      <c r="N4049" s="383">
        <v>35000</v>
      </c>
      <c r="O4049" s="385"/>
      <c r="P4049" s="383"/>
      <c r="Q4049" s="388">
        <v>18833</v>
      </c>
      <c r="R4049" s="382">
        <f>M4049/J4049</f>
        <v>33750</v>
      </c>
      <c r="U4049" s="404"/>
    </row>
    <row r="4050" spans="1:21" s="455" customFormat="1" ht="37.5" customHeight="1">
      <c r="A4050" s="404">
        <f t="shared" si="599"/>
        <v>83</v>
      </c>
      <c r="B4050" s="403" t="s">
        <v>3126</v>
      </c>
      <c r="C4050" s="455" t="s">
        <v>299</v>
      </c>
      <c r="D4050" s="772">
        <f t="shared" si="598"/>
        <v>6415.6681034482763</v>
      </c>
      <c r="E4050" s="388">
        <v>1144.95</v>
      </c>
      <c r="F4050" s="388" t="s">
        <v>252</v>
      </c>
      <c r="G4050" s="388">
        <v>532.4</v>
      </c>
      <c r="H4050" s="446">
        <v>5</v>
      </c>
      <c r="I4050" s="446">
        <v>2</v>
      </c>
      <c r="J4050" s="446">
        <v>40</v>
      </c>
      <c r="K4050" s="504" t="s">
        <v>239</v>
      </c>
      <c r="L4050" s="384">
        <f t="shared" si="600"/>
        <v>1545537</v>
      </c>
      <c r="M4050" s="519">
        <v>1500000</v>
      </c>
      <c r="N4050" s="383">
        <f>M4050*0.02</f>
        <v>30000</v>
      </c>
      <c r="O4050" s="385"/>
      <c r="P4050" s="383"/>
      <c r="Q4050" s="388">
        <v>15537</v>
      </c>
      <c r="R4050" s="382">
        <f>M4050/J4050</f>
        <v>37500</v>
      </c>
      <c r="U4050" s="404"/>
    </row>
    <row r="4051" spans="1:21" s="455" customFormat="1" ht="37.5" customHeight="1">
      <c r="A4051" s="404">
        <f t="shared" si="599"/>
        <v>84</v>
      </c>
      <c r="B4051" s="403" t="s">
        <v>3127</v>
      </c>
      <c r="C4051" s="455" t="s">
        <v>299</v>
      </c>
      <c r="D4051" s="772">
        <f t="shared" si="598"/>
        <v>19729.96551724138</v>
      </c>
      <c r="E4051" s="388">
        <v>3521.04</v>
      </c>
      <c r="F4051" s="388" t="s">
        <v>219</v>
      </c>
      <c r="G4051" s="388">
        <v>1476.4</v>
      </c>
      <c r="H4051" s="446">
        <v>5</v>
      </c>
      <c r="I4051" s="446">
        <v>9</v>
      </c>
      <c r="J4051" s="446">
        <v>125</v>
      </c>
      <c r="K4051" s="504" t="s">
        <v>239</v>
      </c>
      <c r="L4051" s="384">
        <f t="shared" si="600"/>
        <v>4118070</v>
      </c>
      <c r="M4051" s="519">
        <v>4050000</v>
      </c>
      <c r="N4051" s="383">
        <v>45000</v>
      </c>
      <c r="O4051" s="385"/>
      <c r="P4051" s="383"/>
      <c r="Q4051" s="388">
        <v>23070</v>
      </c>
      <c r="R4051" s="382">
        <f>M4051/J4051</f>
        <v>32400</v>
      </c>
      <c r="U4051" s="404"/>
    </row>
    <row r="4052" spans="1:21" s="455" customFormat="1" ht="37.5" customHeight="1">
      <c r="A4052" s="404">
        <f t="shared" si="599"/>
        <v>85</v>
      </c>
      <c r="B4052" s="403" t="s">
        <v>3128</v>
      </c>
      <c r="C4052" s="455" t="s">
        <v>299</v>
      </c>
      <c r="D4052" s="772">
        <f t="shared" si="598"/>
        <v>27143.103448275862</v>
      </c>
      <c r="E4052" s="383">
        <v>4844</v>
      </c>
      <c r="F4052" s="383" t="s">
        <v>219</v>
      </c>
      <c r="G4052" s="383">
        <v>1746</v>
      </c>
      <c r="H4052" s="382">
        <v>6</v>
      </c>
      <c r="I4052" s="382">
        <v>4</v>
      </c>
      <c r="J4052" s="382">
        <v>56</v>
      </c>
      <c r="K4052" s="397" t="s">
        <v>33</v>
      </c>
      <c r="L4052" s="384">
        <f t="shared" si="600"/>
        <v>4218190</v>
      </c>
      <c r="M4052" s="519">
        <v>4185633</v>
      </c>
      <c r="N4052" s="388"/>
      <c r="O4052" s="473">
        <f>ROUND(M4052*0.3%,0)</f>
        <v>12557</v>
      </c>
      <c r="P4052" s="388"/>
      <c r="Q4052" s="388">
        <v>20000</v>
      </c>
      <c r="R4052" s="446">
        <f>M4052/G4052</f>
        <v>2397.2697594501719</v>
      </c>
      <c r="U4052" s="404"/>
    </row>
    <row r="4053" spans="1:21" s="455" customFormat="1" ht="37.5" customHeight="1">
      <c r="A4053" s="404">
        <f t="shared" si="599"/>
        <v>86</v>
      </c>
      <c r="B4053" s="403" t="s">
        <v>3131</v>
      </c>
      <c r="C4053" s="455" t="s">
        <v>343</v>
      </c>
      <c r="D4053" s="772">
        <f t="shared" si="598"/>
        <v>4788.1465517241377</v>
      </c>
      <c r="E4053" s="391">
        <v>854.5</v>
      </c>
      <c r="F4053" s="388" t="s">
        <v>252</v>
      </c>
      <c r="G4053" s="391">
        <v>792.4</v>
      </c>
      <c r="H4053" s="528">
        <v>2</v>
      </c>
      <c r="I4053" s="528">
        <v>2</v>
      </c>
      <c r="J4053" s="446">
        <v>12</v>
      </c>
      <c r="K4053" s="504" t="s">
        <v>33</v>
      </c>
      <c r="L4053" s="384">
        <f t="shared" si="600"/>
        <v>2272403</v>
      </c>
      <c r="M4053" s="519">
        <v>2218720</v>
      </c>
      <c r="N4053" s="383">
        <v>30000</v>
      </c>
      <c r="O4053" s="473"/>
      <c r="P4053" s="388"/>
      <c r="Q4053" s="388">
        <v>23683</v>
      </c>
      <c r="R4053" s="446">
        <f>M4053/G4053</f>
        <v>2800</v>
      </c>
      <c r="U4053" s="404"/>
    </row>
    <row r="4054" spans="1:21" s="455" customFormat="1" ht="37.5" customHeight="1">
      <c r="A4054" s="404">
        <f t="shared" si="599"/>
        <v>87</v>
      </c>
      <c r="B4054" s="403" t="s">
        <v>3132</v>
      </c>
      <c r="C4054" s="455" t="s">
        <v>299</v>
      </c>
      <c r="D4054" s="772">
        <f t="shared" si="598"/>
        <v>12889.051724137931</v>
      </c>
      <c r="E4054" s="388">
        <v>2300.1999999999998</v>
      </c>
      <c r="F4054" s="388" t="s">
        <v>219</v>
      </c>
      <c r="G4054" s="388">
        <v>1148</v>
      </c>
      <c r="H4054" s="446">
        <v>4</v>
      </c>
      <c r="I4054" s="446">
        <v>4</v>
      </c>
      <c r="J4054" s="446">
        <v>64</v>
      </c>
      <c r="K4054" s="504" t="s">
        <v>239</v>
      </c>
      <c r="L4054" s="384">
        <f t="shared" si="600"/>
        <v>2273333</v>
      </c>
      <c r="M4054" s="519">
        <v>2220000</v>
      </c>
      <c r="N4054" s="383">
        <v>35000</v>
      </c>
      <c r="O4054" s="385"/>
      <c r="P4054" s="383"/>
      <c r="Q4054" s="388">
        <v>18333</v>
      </c>
      <c r="R4054" s="382">
        <f>M4054/J4054</f>
        <v>34687.5</v>
      </c>
      <c r="U4054" s="404"/>
    </row>
    <row r="4055" spans="1:21" s="455" customFormat="1" ht="37.5">
      <c r="A4055" s="404">
        <f t="shared" si="599"/>
        <v>88</v>
      </c>
      <c r="B4055" s="403" t="s">
        <v>3133</v>
      </c>
      <c r="C4055" s="455" t="s">
        <v>299</v>
      </c>
      <c r="D4055" s="772">
        <f t="shared" si="598"/>
        <v>4027.1982758620697</v>
      </c>
      <c r="E4055" s="391">
        <v>718.7</v>
      </c>
      <c r="F4055" s="391" t="s">
        <v>252</v>
      </c>
      <c r="G4055" s="391">
        <v>741.2</v>
      </c>
      <c r="H4055" s="528">
        <v>2</v>
      </c>
      <c r="I4055" s="528">
        <v>2</v>
      </c>
      <c r="J4055" s="528">
        <v>13</v>
      </c>
      <c r="K4055" s="397" t="s">
        <v>33</v>
      </c>
      <c r="L4055" s="384">
        <f t="shared" si="600"/>
        <v>2125279</v>
      </c>
      <c r="M4055" s="519">
        <v>2075360.0000000002</v>
      </c>
      <c r="N4055" s="383">
        <v>30000</v>
      </c>
      <c r="O4055" s="385"/>
      <c r="P4055" s="383"/>
      <c r="Q4055" s="388">
        <v>19919</v>
      </c>
      <c r="R4055" s="446">
        <f>M4055/G4055</f>
        <v>2800</v>
      </c>
      <c r="U4055" s="404"/>
    </row>
    <row r="4056" spans="1:21" s="455" customFormat="1" ht="56.25" customHeight="1">
      <c r="A4056" s="404">
        <f t="shared" si="599"/>
        <v>89</v>
      </c>
      <c r="B4056" s="403" t="s">
        <v>3134</v>
      </c>
      <c r="C4056" s="455" t="s">
        <v>299</v>
      </c>
      <c r="D4056" s="772">
        <f t="shared" si="598"/>
        <v>17645.258620689659</v>
      </c>
      <c r="E4056" s="391">
        <v>3149</v>
      </c>
      <c r="F4056" s="388" t="s">
        <v>219</v>
      </c>
      <c r="G4056" s="391">
        <v>1268</v>
      </c>
      <c r="H4056" s="528">
        <v>5</v>
      </c>
      <c r="I4056" s="528">
        <v>6</v>
      </c>
      <c r="J4056" s="528">
        <v>100</v>
      </c>
      <c r="K4056" s="458" t="s">
        <v>30</v>
      </c>
      <c r="L4056" s="384">
        <f t="shared" si="600"/>
        <v>3049000</v>
      </c>
      <c r="M4056" s="519">
        <v>3000000</v>
      </c>
      <c r="N4056" s="388"/>
      <c r="O4056" s="473">
        <f>ROUND(M4056*0.3%,0)</f>
        <v>9000</v>
      </c>
      <c r="P4056" s="388"/>
      <c r="Q4056" s="388">
        <v>40000</v>
      </c>
      <c r="R4056" s="446">
        <f>M4056/J4056</f>
        <v>30000</v>
      </c>
      <c r="U4056" s="404"/>
    </row>
    <row r="4057" spans="1:21" s="455" customFormat="1" ht="37.5">
      <c r="A4057" s="404">
        <f t="shared" si="599"/>
        <v>90</v>
      </c>
      <c r="B4057" s="403" t="s">
        <v>3135</v>
      </c>
      <c r="C4057" s="455" t="s">
        <v>299</v>
      </c>
      <c r="D4057" s="772">
        <f t="shared" si="598"/>
        <v>21259.482758620692</v>
      </c>
      <c r="E4057" s="388">
        <v>3794</v>
      </c>
      <c r="F4057" s="388" t="s">
        <v>219</v>
      </c>
      <c r="G4057" s="388">
        <v>1271</v>
      </c>
      <c r="H4057" s="446">
        <v>5</v>
      </c>
      <c r="I4057" s="446">
        <v>6</v>
      </c>
      <c r="J4057" s="446">
        <v>95</v>
      </c>
      <c r="K4057" s="504" t="s">
        <v>33</v>
      </c>
      <c r="L4057" s="384">
        <f t="shared" si="600"/>
        <v>3076071</v>
      </c>
      <c r="M4057" s="519">
        <v>3046930</v>
      </c>
      <c r="N4057" s="388"/>
      <c r="O4057" s="473">
        <f>ROUND(M4057*0.3%,0)</f>
        <v>9141</v>
      </c>
      <c r="P4057" s="388"/>
      <c r="Q4057" s="388">
        <v>20000</v>
      </c>
      <c r="R4057" s="446">
        <f>M4057/G4057</f>
        <v>2397.2698662470498</v>
      </c>
      <c r="U4057" s="404"/>
    </row>
    <row r="4058" spans="1:21" s="455" customFormat="1" ht="37.5">
      <c r="A4058" s="404">
        <f t="shared" si="599"/>
        <v>91</v>
      </c>
      <c r="B4058" s="403" t="s">
        <v>3136</v>
      </c>
      <c r="C4058" s="455" t="s">
        <v>299</v>
      </c>
      <c r="D4058" s="772">
        <f t="shared" si="598"/>
        <v>14456.896551724138</v>
      </c>
      <c r="E4058" s="391">
        <v>2580</v>
      </c>
      <c r="F4058" s="388" t="s">
        <v>219</v>
      </c>
      <c r="G4058" s="391">
        <v>943.1</v>
      </c>
      <c r="H4058" s="528">
        <v>5</v>
      </c>
      <c r="I4058" s="528">
        <v>4</v>
      </c>
      <c r="J4058" s="528">
        <v>59</v>
      </c>
      <c r="K4058" s="500" t="s">
        <v>33</v>
      </c>
      <c r="L4058" s="384">
        <f t="shared" si="600"/>
        <v>2287648</v>
      </c>
      <c r="M4058" s="519">
        <v>2260865</v>
      </c>
      <c r="N4058" s="388"/>
      <c r="O4058" s="473">
        <f>ROUND(M4058*0.3%,0)</f>
        <v>6783</v>
      </c>
      <c r="P4058" s="388"/>
      <c r="Q4058" s="388">
        <v>20000</v>
      </c>
      <c r="R4058" s="446">
        <f>M4058/G4058</f>
        <v>2397.2696426677976</v>
      </c>
      <c r="U4058" s="404"/>
    </row>
    <row r="4059" spans="1:21" s="455" customFormat="1" ht="37.5" customHeight="1">
      <c r="A4059" s="493">
        <f t="shared" si="599"/>
        <v>92</v>
      </c>
      <c r="B4059" s="403" t="s">
        <v>3137</v>
      </c>
      <c r="C4059" s="455" t="s">
        <v>299</v>
      </c>
      <c r="D4059" s="772">
        <f t="shared" si="598"/>
        <v>5625.8620689655172</v>
      </c>
      <c r="E4059" s="388">
        <v>1004</v>
      </c>
      <c r="F4059" s="388" t="s">
        <v>219</v>
      </c>
      <c r="G4059" s="388">
        <v>612</v>
      </c>
      <c r="H4059" s="446">
        <v>3</v>
      </c>
      <c r="I4059" s="446">
        <v>2</v>
      </c>
      <c r="J4059" s="446">
        <v>24</v>
      </c>
      <c r="K4059" s="397" t="s">
        <v>227</v>
      </c>
      <c r="L4059" s="384">
        <f t="shared" si="600"/>
        <v>2663101</v>
      </c>
      <c r="M4059" s="529">
        <v>2610400</v>
      </c>
      <c r="N4059" s="383">
        <v>30000</v>
      </c>
      <c r="O4059" s="385"/>
      <c r="P4059" s="383"/>
      <c r="Q4059" s="388">
        <v>22701</v>
      </c>
      <c r="R4059" s="528">
        <f>M4059/E4059</f>
        <v>2600</v>
      </c>
      <c r="U4059" s="404"/>
    </row>
    <row r="4060" spans="1:21" s="455" customFormat="1" ht="37.5">
      <c r="A4060" s="404">
        <f t="shared" si="599"/>
        <v>93</v>
      </c>
      <c r="B4060" s="403" t="s">
        <v>3138</v>
      </c>
      <c r="C4060" s="455" t="s">
        <v>299</v>
      </c>
      <c r="D4060" s="772">
        <f t="shared" si="598"/>
        <v>14456.896551724138</v>
      </c>
      <c r="E4060" s="391">
        <v>2580</v>
      </c>
      <c r="F4060" s="388" t="s">
        <v>219</v>
      </c>
      <c r="G4060" s="391">
        <v>884.9</v>
      </c>
      <c r="H4060" s="528">
        <v>5</v>
      </c>
      <c r="I4060" s="528">
        <v>4</v>
      </c>
      <c r="J4060" s="446">
        <v>80</v>
      </c>
      <c r="K4060" s="504" t="s">
        <v>33</v>
      </c>
      <c r="L4060" s="384">
        <f t="shared" si="600"/>
        <v>2147708</v>
      </c>
      <c r="M4060" s="519">
        <v>2121344</v>
      </c>
      <c r="N4060" s="388"/>
      <c r="O4060" s="473">
        <f>ROUND(M4060*0.3%,0)</f>
        <v>6364</v>
      </c>
      <c r="P4060" s="388"/>
      <c r="Q4060" s="388">
        <v>20000</v>
      </c>
      <c r="R4060" s="446">
        <f>M4060/G4060</f>
        <v>2397.2697479941239</v>
      </c>
      <c r="U4060" s="404"/>
    </row>
    <row r="4061" spans="1:21" s="403" customFormat="1" ht="37.5">
      <c r="A4061" s="404">
        <f t="shared" si="599"/>
        <v>94</v>
      </c>
      <c r="B4061" s="403" t="s">
        <v>3139</v>
      </c>
      <c r="C4061" s="455" t="s">
        <v>299</v>
      </c>
      <c r="D4061" s="772">
        <f t="shared" si="598"/>
        <v>7794.3965517241377</v>
      </c>
      <c r="E4061" s="388">
        <v>1391</v>
      </c>
      <c r="F4061" s="388" t="s">
        <v>219</v>
      </c>
      <c r="G4061" s="388">
        <v>436.8</v>
      </c>
      <c r="H4061" s="446">
        <v>5</v>
      </c>
      <c r="I4061" s="446">
        <v>1</v>
      </c>
      <c r="J4061" s="446">
        <v>20</v>
      </c>
      <c r="K4061" s="397" t="s">
        <v>33</v>
      </c>
      <c r="L4061" s="384">
        <f t="shared" si="600"/>
        <v>1070269</v>
      </c>
      <c r="M4061" s="519">
        <v>1047128</v>
      </c>
      <c r="N4061" s="388"/>
      <c r="O4061" s="473">
        <f>ROUND(M4061*0.3%,0)</f>
        <v>3141</v>
      </c>
      <c r="P4061" s="388"/>
      <c r="Q4061" s="388">
        <v>20000</v>
      </c>
      <c r="R4061" s="446">
        <f>M4061/G4061</f>
        <v>2397.2710622710624</v>
      </c>
      <c r="U4061" s="404"/>
    </row>
    <row r="4062" spans="1:21" s="455" customFormat="1" ht="56.25" customHeight="1">
      <c r="A4062" s="404">
        <f t="shared" si="599"/>
        <v>95</v>
      </c>
      <c r="B4062" s="403" t="s">
        <v>3140</v>
      </c>
      <c r="C4062" s="455" t="s">
        <v>299</v>
      </c>
      <c r="D4062" s="772">
        <f t="shared" si="598"/>
        <v>7788.7931034482763</v>
      </c>
      <c r="E4062" s="388">
        <v>1390</v>
      </c>
      <c r="F4062" s="388" t="s">
        <v>219</v>
      </c>
      <c r="G4062" s="388">
        <v>466.3</v>
      </c>
      <c r="H4062" s="446">
        <v>5</v>
      </c>
      <c r="I4062" s="446">
        <v>1</v>
      </c>
      <c r="J4062" s="446">
        <v>20</v>
      </c>
      <c r="K4062" s="397" t="s">
        <v>33</v>
      </c>
      <c r="L4062" s="384">
        <f t="shared" si="600"/>
        <v>621800</v>
      </c>
      <c r="M4062" s="519">
        <v>600000</v>
      </c>
      <c r="N4062" s="388"/>
      <c r="O4062" s="473">
        <f>ROUND(M4062*0.3%,0)</f>
        <v>1800</v>
      </c>
      <c r="P4062" s="388"/>
      <c r="Q4062" s="388">
        <v>20000</v>
      </c>
      <c r="R4062" s="446">
        <f>M4062/J4062</f>
        <v>30000</v>
      </c>
      <c r="U4062" s="404"/>
    </row>
    <row r="4063" spans="1:21" s="403" customFormat="1" ht="37.5">
      <c r="A4063" s="404">
        <f t="shared" si="599"/>
        <v>96</v>
      </c>
      <c r="B4063" s="403" t="s">
        <v>3141</v>
      </c>
      <c r="C4063" s="455" t="s">
        <v>299</v>
      </c>
      <c r="D4063" s="772">
        <f t="shared" si="598"/>
        <v>7318.1034482758623</v>
      </c>
      <c r="E4063" s="388">
        <v>1306</v>
      </c>
      <c r="F4063" s="388" t="s">
        <v>219</v>
      </c>
      <c r="G4063" s="388">
        <v>435</v>
      </c>
      <c r="H4063" s="446">
        <v>5</v>
      </c>
      <c r="I4063" s="446">
        <v>1</v>
      </c>
      <c r="J4063" s="446">
        <v>20</v>
      </c>
      <c r="K4063" s="397" t="s">
        <v>33</v>
      </c>
      <c r="L4063" s="384">
        <f t="shared" si="600"/>
        <v>1065940</v>
      </c>
      <c r="M4063" s="519">
        <v>1042812</v>
      </c>
      <c r="N4063" s="388"/>
      <c r="O4063" s="473">
        <f>ROUND(M4063*0.3%,0)</f>
        <v>3128</v>
      </c>
      <c r="P4063" s="388"/>
      <c r="Q4063" s="388">
        <v>20000</v>
      </c>
      <c r="R4063" s="446">
        <f>M4063/G4063</f>
        <v>2397.2689655172412</v>
      </c>
      <c r="U4063" s="404"/>
    </row>
    <row r="4064" spans="1:21" s="403" customFormat="1" ht="37.5" customHeight="1">
      <c r="A4064" s="493">
        <f t="shared" si="599"/>
        <v>97</v>
      </c>
      <c r="B4064" s="916" t="s">
        <v>3142</v>
      </c>
      <c r="C4064" s="455" t="s">
        <v>299</v>
      </c>
      <c r="D4064" s="760">
        <f t="shared" si="598"/>
        <v>7535.0689655172418</v>
      </c>
      <c r="E4064" s="388">
        <v>1344.72</v>
      </c>
      <c r="F4064" s="388" t="s">
        <v>252</v>
      </c>
      <c r="G4064" s="388">
        <v>534</v>
      </c>
      <c r="H4064" s="446">
        <v>3</v>
      </c>
      <c r="I4064" s="446">
        <v>2</v>
      </c>
      <c r="J4064" s="446">
        <v>54</v>
      </c>
      <c r="K4064" s="504" t="s">
        <v>33</v>
      </c>
      <c r="L4064" s="384">
        <f t="shared" si="600"/>
        <v>1548785</v>
      </c>
      <c r="M4064" s="519">
        <v>1495200</v>
      </c>
      <c r="N4064" s="756">
        <v>30000</v>
      </c>
      <c r="O4064" s="917"/>
      <c r="P4064" s="756"/>
      <c r="Q4064" s="388">
        <v>23585</v>
      </c>
      <c r="R4064" s="446">
        <f>M4064/G4064</f>
        <v>2800</v>
      </c>
      <c r="U4064" s="404"/>
    </row>
    <row r="4065" spans="1:21" s="455" customFormat="1" ht="37.5">
      <c r="A4065" s="493">
        <f t="shared" si="599"/>
        <v>98</v>
      </c>
      <c r="B4065" s="403" t="s">
        <v>3144</v>
      </c>
      <c r="C4065" s="455" t="s">
        <v>299</v>
      </c>
      <c r="D4065" s="531">
        <f t="shared" si="598"/>
        <v>41331.034482758623</v>
      </c>
      <c r="E4065" s="388">
        <v>7376</v>
      </c>
      <c r="F4065" s="388" t="s">
        <v>219</v>
      </c>
      <c r="G4065" s="388">
        <v>3300</v>
      </c>
      <c r="H4065" s="446">
        <v>5</v>
      </c>
      <c r="I4065" s="446">
        <v>14</v>
      </c>
      <c r="J4065" s="446">
        <v>190</v>
      </c>
      <c r="K4065" s="458" t="s">
        <v>33</v>
      </c>
      <c r="L4065" s="384">
        <f t="shared" si="600"/>
        <v>7954724</v>
      </c>
      <c r="M4065" s="519">
        <v>7910991</v>
      </c>
      <c r="N4065" s="388"/>
      <c r="O4065" s="473">
        <f>ROUND(M4065*0.3%,0)</f>
        <v>23733</v>
      </c>
      <c r="P4065" s="388"/>
      <c r="Q4065" s="388">
        <v>20000</v>
      </c>
      <c r="R4065" s="446">
        <f>M4065/G4065</f>
        <v>2397.27</v>
      </c>
      <c r="U4065" s="404"/>
    </row>
    <row r="4066" spans="1:21" s="455" customFormat="1" ht="56.25" customHeight="1">
      <c r="A4066" s="493">
        <f t="shared" si="599"/>
        <v>99</v>
      </c>
      <c r="B4066" s="403" t="s">
        <v>3145</v>
      </c>
      <c r="C4066" s="455" t="s">
        <v>299</v>
      </c>
      <c r="D4066" s="772">
        <f t="shared" si="598"/>
        <v>8389.4827586206902</v>
      </c>
      <c r="E4066" s="388">
        <v>1497.2</v>
      </c>
      <c r="F4066" s="388" t="s">
        <v>252</v>
      </c>
      <c r="G4066" s="388">
        <v>1504</v>
      </c>
      <c r="H4066" s="446">
        <v>4</v>
      </c>
      <c r="I4066" s="446">
        <v>4</v>
      </c>
      <c r="J4066" s="446">
        <v>64</v>
      </c>
      <c r="K4066" s="397" t="s">
        <v>30</v>
      </c>
      <c r="L4066" s="384">
        <f t="shared" si="600"/>
        <v>1311618</v>
      </c>
      <c r="M4066" s="519">
        <v>1280000</v>
      </c>
      <c r="N4066" s="388"/>
      <c r="O4066" s="473">
        <f>ROUND(M4066*0.3%,0)</f>
        <v>3840</v>
      </c>
      <c r="P4066" s="388"/>
      <c r="Q4066" s="388">
        <v>27778</v>
      </c>
      <c r="R4066" s="446">
        <f>M4066/J4066</f>
        <v>20000</v>
      </c>
      <c r="U4066" s="404"/>
    </row>
    <row r="4067" spans="1:21" s="455" customFormat="1" ht="56.25" customHeight="1">
      <c r="A4067" s="404">
        <f t="shared" si="599"/>
        <v>100</v>
      </c>
      <c r="B4067" s="403" t="s">
        <v>3146</v>
      </c>
      <c r="C4067" s="455" t="s">
        <v>299</v>
      </c>
      <c r="D4067" s="772">
        <f t="shared" si="598"/>
        <v>6402.7241379310353</v>
      </c>
      <c r="E4067" s="388">
        <v>1142.6400000000001</v>
      </c>
      <c r="F4067" s="388" t="s">
        <v>219</v>
      </c>
      <c r="G4067" s="388">
        <v>390</v>
      </c>
      <c r="H4067" s="446">
        <v>4</v>
      </c>
      <c r="I4067" s="446">
        <v>2</v>
      </c>
      <c r="J4067" s="446">
        <v>32</v>
      </c>
      <c r="K4067" s="397" t="s">
        <v>30</v>
      </c>
      <c r="L4067" s="384">
        <f t="shared" si="600"/>
        <v>663578</v>
      </c>
      <c r="M4067" s="519">
        <v>640000</v>
      </c>
      <c r="N4067" s="388"/>
      <c r="O4067" s="473">
        <f>ROUND(M4067*0.3%,0)</f>
        <v>1920</v>
      </c>
      <c r="P4067" s="388"/>
      <c r="Q4067" s="388">
        <v>21658</v>
      </c>
      <c r="R4067" s="446">
        <f>M4067/J4067</f>
        <v>20000</v>
      </c>
      <c r="U4067" s="404"/>
    </row>
    <row r="4068" spans="1:21" s="455" customFormat="1" ht="37.5">
      <c r="A4068" s="404">
        <f t="shared" si="599"/>
        <v>101</v>
      </c>
      <c r="B4068" s="403" t="s">
        <v>3147</v>
      </c>
      <c r="C4068" s="455" t="s">
        <v>299</v>
      </c>
      <c r="D4068" s="772">
        <f t="shared" si="598"/>
        <v>13616.37931034483</v>
      </c>
      <c r="E4068" s="388">
        <v>2430</v>
      </c>
      <c r="F4068" s="388" t="s">
        <v>219</v>
      </c>
      <c r="G4068" s="388">
        <v>1155</v>
      </c>
      <c r="H4068" s="446">
        <v>5</v>
      </c>
      <c r="I4068" s="446">
        <v>4</v>
      </c>
      <c r="J4068" s="446">
        <v>78</v>
      </c>
      <c r="K4068" s="397" t="s">
        <v>33</v>
      </c>
      <c r="L4068" s="384">
        <f t="shared" si="600"/>
        <v>2797154</v>
      </c>
      <c r="M4068" s="519">
        <v>2768847</v>
      </c>
      <c r="N4068" s="388"/>
      <c r="O4068" s="473">
        <f>ROUND(M4068*0.3%,0)</f>
        <v>8307</v>
      </c>
      <c r="P4068" s="388"/>
      <c r="Q4068" s="388">
        <v>20000</v>
      </c>
      <c r="R4068" s="446">
        <f>M4068/G4068</f>
        <v>2397.2701298701299</v>
      </c>
      <c r="U4068" s="404"/>
    </row>
    <row r="4069" spans="1:21" s="455" customFormat="1" ht="37.5">
      <c r="A4069" s="404">
        <f t="shared" si="599"/>
        <v>102</v>
      </c>
      <c r="B4069" s="403" t="s">
        <v>3149</v>
      </c>
      <c r="C4069" s="455" t="s">
        <v>299</v>
      </c>
      <c r="D4069" s="772">
        <f t="shared" si="598"/>
        <v>10049.224137931036</v>
      </c>
      <c r="E4069" s="388">
        <v>1793.4</v>
      </c>
      <c r="F4069" s="388" t="s">
        <v>219</v>
      </c>
      <c r="G4069" s="388">
        <v>1260</v>
      </c>
      <c r="H4069" s="446">
        <v>5</v>
      </c>
      <c r="I4069" s="446">
        <v>4</v>
      </c>
      <c r="J4069" s="446">
        <v>70</v>
      </c>
      <c r="K4069" s="397" t="s">
        <v>33</v>
      </c>
      <c r="L4069" s="384">
        <f t="shared" si="600"/>
        <v>3049622</v>
      </c>
      <c r="M4069" s="519">
        <v>3020560</v>
      </c>
      <c r="N4069" s="388"/>
      <c r="O4069" s="473">
        <f t="shared" ref="O4069:O4075" si="601">ROUND(M4069*0.3%,0)</f>
        <v>9062</v>
      </c>
      <c r="P4069" s="388"/>
      <c r="Q4069" s="388">
        <v>20000</v>
      </c>
      <c r="R4069" s="446">
        <f t="shared" ref="R4069:R4075" si="602">M4069/G4069</f>
        <v>2397.2698412698414</v>
      </c>
      <c r="U4069" s="404"/>
    </row>
    <row r="4070" spans="1:21" s="455" customFormat="1" ht="37.5">
      <c r="A4070" s="404">
        <f t="shared" si="599"/>
        <v>103</v>
      </c>
      <c r="B4070" s="403" t="s">
        <v>3150</v>
      </c>
      <c r="C4070" s="455" t="s">
        <v>299</v>
      </c>
      <c r="D4070" s="772">
        <f t="shared" si="598"/>
        <v>8463.4482758620707</v>
      </c>
      <c r="E4070" s="388">
        <v>1510.4</v>
      </c>
      <c r="F4070" s="388" t="s">
        <v>219</v>
      </c>
      <c r="G4070" s="388">
        <v>1029.4000000000001</v>
      </c>
      <c r="H4070" s="446">
        <v>5</v>
      </c>
      <c r="I4070" s="446">
        <v>4</v>
      </c>
      <c r="J4070" s="446">
        <v>70</v>
      </c>
      <c r="K4070" s="397" t="s">
        <v>33</v>
      </c>
      <c r="L4070" s="384">
        <f t="shared" si="600"/>
        <v>2495153</v>
      </c>
      <c r="M4070" s="519">
        <v>2467750</v>
      </c>
      <c r="N4070" s="388"/>
      <c r="O4070" s="473">
        <f t="shared" si="601"/>
        <v>7403</v>
      </c>
      <c r="P4070" s="388"/>
      <c r="Q4070" s="388">
        <v>20000</v>
      </c>
      <c r="R4070" s="446">
        <f t="shared" si="602"/>
        <v>2397.2702545171942</v>
      </c>
      <c r="U4070" s="404"/>
    </row>
    <row r="4071" spans="1:21" s="455" customFormat="1" ht="37.5">
      <c r="A4071" s="404">
        <f t="shared" si="599"/>
        <v>104</v>
      </c>
      <c r="B4071" s="403" t="s">
        <v>3151</v>
      </c>
      <c r="C4071" s="455" t="s">
        <v>299</v>
      </c>
      <c r="D4071" s="772">
        <f t="shared" si="598"/>
        <v>10087.327586206899</v>
      </c>
      <c r="E4071" s="388">
        <v>1800.2</v>
      </c>
      <c r="F4071" s="388" t="s">
        <v>219</v>
      </c>
      <c r="G4071" s="388">
        <v>884.2</v>
      </c>
      <c r="H4071" s="446">
        <v>5</v>
      </c>
      <c r="I4071" s="446">
        <v>4</v>
      </c>
      <c r="J4071" s="446">
        <v>60</v>
      </c>
      <c r="K4071" s="397" t="s">
        <v>33</v>
      </c>
      <c r="L4071" s="384">
        <f t="shared" si="600"/>
        <v>2145422</v>
      </c>
      <c r="M4071" s="519">
        <v>2119065</v>
      </c>
      <c r="N4071" s="388"/>
      <c r="O4071" s="473">
        <f t="shared" si="601"/>
        <v>6357</v>
      </c>
      <c r="P4071" s="388"/>
      <c r="Q4071" s="388">
        <v>20000</v>
      </c>
      <c r="R4071" s="446">
        <f t="shared" si="602"/>
        <v>2396.5901379778329</v>
      </c>
      <c r="U4071" s="404"/>
    </row>
    <row r="4072" spans="1:21" s="455" customFormat="1" ht="37.5">
      <c r="A4072" s="404">
        <f t="shared" si="599"/>
        <v>105</v>
      </c>
      <c r="B4072" s="403" t="s">
        <v>3152</v>
      </c>
      <c r="C4072" s="455" t="s">
        <v>299</v>
      </c>
      <c r="D4072" s="531">
        <f t="shared" si="598"/>
        <v>12798.275862068967</v>
      </c>
      <c r="E4072" s="388">
        <v>2284</v>
      </c>
      <c r="F4072" s="388" t="s">
        <v>219</v>
      </c>
      <c r="G4072" s="388">
        <v>968</v>
      </c>
      <c r="H4072" s="446">
        <v>5</v>
      </c>
      <c r="I4072" s="446">
        <v>4</v>
      </c>
      <c r="J4072" s="446">
        <v>80</v>
      </c>
      <c r="K4072" s="458" t="s">
        <v>33</v>
      </c>
      <c r="L4072" s="384">
        <f t="shared" si="600"/>
        <v>2347519</v>
      </c>
      <c r="M4072" s="519">
        <v>2320557</v>
      </c>
      <c r="N4072" s="388"/>
      <c r="O4072" s="473">
        <f t="shared" si="601"/>
        <v>6962</v>
      </c>
      <c r="P4072" s="388"/>
      <c r="Q4072" s="388">
        <v>20000</v>
      </c>
      <c r="R4072" s="446">
        <f t="shared" si="602"/>
        <v>2397.2696280991736</v>
      </c>
      <c r="U4072" s="404"/>
    </row>
    <row r="4073" spans="1:21" s="455" customFormat="1" ht="37.5">
      <c r="A4073" s="404">
        <f t="shared" si="599"/>
        <v>106</v>
      </c>
      <c r="B4073" s="403" t="s">
        <v>3153</v>
      </c>
      <c r="C4073" s="455" t="s">
        <v>299</v>
      </c>
      <c r="D4073" s="531">
        <f t="shared" si="598"/>
        <v>12764.655172413793</v>
      </c>
      <c r="E4073" s="388">
        <v>2278</v>
      </c>
      <c r="F4073" s="388" t="s">
        <v>219</v>
      </c>
      <c r="G4073" s="388">
        <v>961</v>
      </c>
      <c r="H4073" s="446">
        <v>5</v>
      </c>
      <c r="I4073" s="446">
        <v>4</v>
      </c>
      <c r="J4073" s="446">
        <v>80</v>
      </c>
      <c r="K4073" s="458" t="s">
        <v>33</v>
      </c>
      <c r="L4073" s="384">
        <f t="shared" si="600"/>
        <v>2330687</v>
      </c>
      <c r="M4073" s="519">
        <v>2303776</v>
      </c>
      <c r="N4073" s="388"/>
      <c r="O4073" s="473">
        <f t="shared" si="601"/>
        <v>6911</v>
      </c>
      <c r="P4073" s="388"/>
      <c r="Q4073" s="388">
        <v>20000</v>
      </c>
      <c r="R4073" s="446">
        <f t="shared" si="602"/>
        <v>2397.2695109261185</v>
      </c>
      <c r="U4073" s="404"/>
    </row>
    <row r="4074" spans="1:21" s="455" customFormat="1" ht="37.5">
      <c r="A4074" s="404">
        <f t="shared" si="599"/>
        <v>107</v>
      </c>
      <c r="B4074" s="403" t="s">
        <v>3154</v>
      </c>
      <c r="C4074" s="455" t="s">
        <v>299</v>
      </c>
      <c r="D4074" s="772">
        <f t="shared" si="598"/>
        <v>10568.103448275864</v>
      </c>
      <c r="E4074" s="391">
        <v>1886</v>
      </c>
      <c r="F4074" s="388" t="s">
        <v>219</v>
      </c>
      <c r="G4074" s="391">
        <v>1053</v>
      </c>
      <c r="H4074" s="528">
        <v>5</v>
      </c>
      <c r="I4074" s="528">
        <v>1</v>
      </c>
      <c r="J4074" s="528">
        <v>160</v>
      </c>
      <c r="K4074" s="397" t="s">
        <v>33</v>
      </c>
      <c r="L4074" s="384">
        <f t="shared" si="600"/>
        <v>2551898</v>
      </c>
      <c r="M4074" s="519">
        <v>2524325</v>
      </c>
      <c r="N4074" s="388"/>
      <c r="O4074" s="473">
        <f t="shared" si="601"/>
        <v>7573</v>
      </c>
      <c r="P4074" s="388"/>
      <c r="Q4074" s="388">
        <v>20000</v>
      </c>
      <c r="R4074" s="446">
        <f t="shared" si="602"/>
        <v>2397.2697056030388</v>
      </c>
      <c r="U4074" s="404"/>
    </row>
    <row r="4075" spans="1:21" s="455" customFormat="1" ht="37.5">
      <c r="A4075" s="404">
        <f t="shared" si="599"/>
        <v>108</v>
      </c>
      <c r="B4075" s="403" t="s">
        <v>3155</v>
      </c>
      <c r="C4075" s="455" t="s">
        <v>299</v>
      </c>
      <c r="D4075" s="772">
        <f>E4075/1.16/2*13</f>
        <v>13569.310344827585</v>
      </c>
      <c r="E4075" s="388">
        <v>2421.6</v>
      </c>
      <c r="F4075" s="388" t="s">
        <v>219</v>
      </c>
      <c r="G4075" s="388">
        <v>1032</v>
      </c>
      <c r="H4075" s="446">
        <v>5</v>
      </c>
      <c r="I4075" s="446">
        <v>5</v>
      </c>
      <c r="J4075" s="446">
        <v>65</v>
      </c>
      <c r="K4075" s="504" t="s">
        <v>33</v>
      </c>
      <c r="L4075" s="384">
        <f t="shared" si="600"/>
        <v>2501405</v>
      </c>
      <c r="M4075" s="519">
        <v>2473983</v>
      </c>
      <c r="N4075" s="388"/>
      <c r="O4075" s="473">
        <f t="shared" si="601"/>
        <v>7422</v>
      </c>
      <c r="P4075" s="388"/>
      <c r="Q4075" s="388">
        <v>20000</v>
      </c>
      <c r="R4075" s="446">
        <f t="shared" si="602"/>
        <v>2397.2703488372094</v>
      </c>
      <c r="U4075" s="404"/>
    </row>
    <row r="4076" spans="1:21" ht="37.5">
      <c r="A4076" s="404">
        <f t="shared" si="599"/>
        <v>109</v>
      </c>
      <c r="B4076" s="403" t="s">
        <v>4156</v>
      </c>
      <c r="C4076" s="404" t="s">
        <v>222</v>
      </c>
      <c r="D4076" s="382">
        <v>23327.155172413797</v>
      </c>
      <c r="E4076" s="383">
        <v>4163</v>
      </c>
      <c r="F4076" s="383" t="s">
        <v>219</v>
      </c>
      <c r="G4076" s="383">
        <v>1866</v>
      </c>
      <c r="H4076" s="843">
        <v>5</v>
      </c>
      <c r="I4076" s="528">
        <v>5</v>
      </c>
      <c r="J4076" s="528">
        <v>74</v>
      </c>
      <c r="K4076" s="397" t="s">
        <v>33</v>
      </c>
      <c r="L4076" s="384">
        <f>M4076+N4076+O4076+Q4076</f>
        <v>4334800</v>
      </c>
      <c r="M4076" s="519">
        <v>4291800</v>
      </c>
      <c r="O4076" s="473">
        <v>23000</v>
      </c>
      <c r="P4076" s="388"/>
      <c r="Q4076" s="388">
        <v>20000</v>
      </c>
      <c r="R4076" s="446">
        <f>M4076/G4076</f>
        <v>2300</v>
      </c>
      <c r="S4076" s="381"/>
      <c r="T4076" s="379"/>
      <c r="U4076" s="381"/>
    </row>
    <row r="4077" spans="1:21" ht="50.25" customHeight="1">
      <c r="A4077" s="404">
        <f t="shared" si="599"/>
        <v>110</v>
      </c>
      <c r="B4077" s="403" t="s">
        <v>4155</v>
      </c>
      <c r="C4077" s="617" t="s">
        <v>299</v>
      </c>
      <c r="D4077" s="766">
        <v>19087</v>
      </c>
      <c r="E4077" s="388">
        <v>4894.6499999999996</v>
      </c>
      <c r="F4077" s="388" t="s">
        <v>219</v>
      </c>
      <c r="G4077" s="388">
        <v>2012.78</v>
      </c>
      <c r="H4077" s="446">
        <v>5</v>
      </c>
      <c r="I4077" s="446">
        <v>5</v>
      </c>
      <c r="J4077" s="446">
        <v>263</v>
      </c>
      <c r="K4077" s="767" t="s">
        <v>253</v>
      </c>
      <c r="L4077" s="1114">
        <f>M4077+N4077+O4077+Q4077+M4078+N4078+O4078+Q4078</f>
        <v>16668758.02</v>
      </c>
      <c r="M4077" s="519">
        <v>8381654</v>
      </c>
      <c r="N4077" s="383">
        <v>29648</v>
      </c>
      <c r="O4077" s="473"/>
      <c r="P4077" s="388"/>
      <c r="Q4077" s="388">
        <v>20000</v>
      </c>
      <c r="R4077" s="446"/>
      <c r="S4077" s="381"/>
      <c r="T4077" s="379"/>
      <c r="U4077" s="381"/>
    </row>
    <row r="4078" spans="1:21" ht="31.5" customHeight="1">
      <c r="A4078" s="404"/>
      <c r="B4078" s="403"/>
      <c r="C4078" s="617"/>
      <c r="D4078" s="766"/>
      <c r="E4078" s="388"/>
      <c r="F4078" s="388"/>
      <c r="G4078" s="388"/>
      <c r="H4078" s="446"/>
      <c r="I4078" s="446"/>
      <c r="J4078" s="446"/>
      <c r="K4078" s="767" t="s">
        <v>38</v>
      </c>
      <c r="L4078" s="1114"/>
      <c r="M4078" s="519">
        <v>8189300</v>
      </c>
      <c r="O4078" s="473">
        <v>18156.02</v>
      </c>
      <c r="P4078" s="388"/>
      <c r="Q4078" s="388">
        <v>30000</v>
      </c>
      <c r="R4078" s="446"/>
      <c r="S4078" s="381"/>
      <c r="T4078" s="379"/>
      <c r="U4078" s="381"/>
    </row>
    <row r="4079" spans="1:21" ht="67.5" customHeight="1">
      <c r="A4079" s="404">
        <v>111</v>
      </c>
      <c r="B4079" s="918" t="s">
        <v>1280</v>
      </c>
      <c r="C4079" s="617" t="s">
        <v>299</v>
      </c>
      <c r="D4079" s="766">
        <f>E4079/1.16/2*13</f>
        <v>60797.413793103449</v>
      </c>
      <c r="E4079" s="748">
        <v>10850</v>
      </c>
      <c r="F4079" s="388" t="s">
        <v>219</v>
      </c>
      <c r="G4079" s="388">
        <v>1070</v>
      </c>
      <c r="H4079" s="446">
        <v>9</v>
      </c>
      <c r="I4079" s="446">
        <v>4</v>
      </c>
      <c r="J4079" s="446">
        <v>144</v>
      </c>
      <c r="K4079" s="767" t="s">
        <v>285</v>
      </c>
      <c r="L4079" s="384">
        <f>M4079+N4079+O4079+Q4079</f>
        <v>18364241</v>
      </c>
      <c r="M4079" s="519">
        <v>18340000</v>
      </c>
      <c r="O4079" s="473">
        <v>24241</v>
      </c>
      <c r="P4079" s="388"/>
      <c r="Q4079" s="388"/>
      <c r="R4079" s="446"/>
      <c r="S4079" s="381"/>
      <c r="T4079" s="379"/>
      <c r="U4079" s="381"/>
    </row>
    <row r="4080" spans="1:21" s="455" customFormat="1" ht="42.75" customHeight="1">
      <c r="A4080" s="1112" t="s">
        <v>168</v>
      </c>
      <c r="B4080" s="1112"/>
      <c r="C4080" s="388" t="s">
        <v>28</v>
      </c>
      <c r="D4080" s="388">
        <f>SUM(D3966:D4079)</f>
        <v>1864721.9572364355</v>
      </c>
      <c r="E4080" s="388">
        <f>SUM(E3966:E4079)</f>
        <v>333921.21000000008</v>
      </c>
      <c r="F4080" s="388" t="s">
        <v>28</v>
      </c>
      <c r="G4080" s="388">
        <f>SUM(G3966:G4079)</f>
        <v>112400.07999999997</v>
      </c>
      <c r="H4080" s="446" t="s">
        <v>28</v>
      </c>
      <c r="I4080" s="446" t="s">
        <v>28</v>
      </c>
      <c r="J4080" s="446">
        <f>SUM(J3966:J4079)</f>
        <v>9084</v>
      </c>
      <c r="K4080" s="458" t="s">
        <v>28</v>
      </c>
      <c r="L4080" s="388">
        <f t="shared" ref="L4080:Q4080" si="603">SUM(L3966:L4079)</f>
        <v>371684408.01999998</v>
      </c>
      <c r="M4080" s="388">
        <f t="shared" si="603"/>
        <v>365530059</v>
      </c>
      <c r="N4080" s="388">
        <f t="shared" si="603"/>
        <v>3678398</v>
      </c>
      <c r="O4080" s="388">
        <f t="shared" si="603"/>
        <v>504224.02</v>
      </c>
      <c r="P4080" s="388">
        <f t="shared" si="603"/>
        <v>0</v>
      </c>
      <c r="Q4080" s="388">
        <f t="shared" si="603"/>
        <v>1971727</v>
      </c>
      <c r="R4080" s="446" t="s">
        <v>28</v>
      </c>
      <c r="S4080" s="383">
        <f>L4080-M4080-N4080-O4080-P4080-Q4080</f>
        <v>-1.909211277961731E-8</v>
      </c>
      <c r="T4080" s="387">
        <f>'1.перечень МКД'!N340</f>
        <v>371684408.01999998</v>
      </c>
      <c r="U4080" s="390">
        <f>L4080-T4080</f>
        <v>0</v>
      </c>
    </row>
    <row r="4081" spans="1:21" s="403" customFormat="1" ht="42.75" customHeight="1">
      <c r="A4081" s="1113" t="s">
        <v>169</v>
      </c>
      <c r="B4081" s="1113"/>
      <c r="C4081" s="1113"/>
      <c r="D4081" s="1113"/>
      <c r="E4081" s="1113"/>
      <c r="F4081" s="1113"/>
      <c r="G4081" s="1113"/>
      <c r="H4081" s="1113"/>
      <c r="I4081" s="1113"/>
      <c r="J4081" s="1113"/>
      <c r="K4081" s="1113"/>
      <c r="L4081" s="1113"/>
      <c r="M4081" s="1113"/>
      <c r="N4081" s="1113"/>
      <c r="O4081" s="1113"/>
      <c r="P4081" s="1113"/>
      <c r="Q4081" s="1113"/>
      <c r="R4081" s="458"/>
      <c r="U4081" s="404"/>
    </row>
    <row r="4082" spans="1:21" s="455" customFormat="1" ht="37.5">
      <c r="A4082" s="404">
        <v>1</v>
      </c>
      <c r="B4082" s="543" t="s">
        <v>3156</v>
      </c>
      <c r="D4082" s="919"/>
      <c r="E4082" s="388">
        <v>2433</v>
      </c>
      <c r="F4082" s="388" t="s">
        <v>234</v>
      </c>
      <c r="G4082" s="388">
        <v>820.7</v>
      </c>
      <c r="H4082" s="446">
        <v>5</v>
      </c>
      <c r="I4082" s="446">
        <v>4</v>
      </c>
      <c r="J4082" s="446">
        <v>58</v>
      </c>
      <c r="K4082" s="504" t="s">
        <v>33</v>
      </c>
      <c r="L4082" s="920">
        <f t="shared" ref="L4082:L4090" si="604">SUM(M4082:Q4082)</f>
        <v>1830957</v>
      </c>
      <c r="M4082" s="519">
        <v>1805540</v>
      </c>
      <c r="N4082" s="388"/>
      <c r="O4082" s="473">
        <v>5417</v>
      </c>
      <c r="P4082" s="388"/>
      <c r="Q4082" s="388">
        <v>20000</v>
      </c>
      <c r="R4082" s="446">
        <f>M4082/G4082</f>
        <v>2200</v>
      </c>
      <c r="U4082" s="404"/>
    </row>
    <row r="4083" spans="1:21" s="455" customFormat="1" ht="37.5">
      <c r="A4083" s="404">
        <f>A4082+1</f>
        <v>2</v>
      </c>
      <c r="B4083" s="543" t="s">
        <v>3157</v>
      </c>
      <c r="C4083" s="919" t="s">
        <v>218</v>
      </c>
      <c r="E4083" s="388">
        <v>2433.1999999999998</v>
      </c>
      <c r="F4083" s="388" t="s">
        <v>234</v>
      </c>
      <c r="G4083" s="388">
        <v>821</v>
      </c>
      <c r="H4083" s="446">
        <v>5</v>
      </c>
      <c r="I4083" s="446">
        <v>4</v>
      </c>
      <c r="J4083" s="446">
        <v>60</v>
      </c>
      <c r="K4083" s="504" t="s">
        <v>33</v>
      </c>
      <c r="L4083" s="920">
        <f t="shared" si="604"/>
        <v>1831619</v>
      </c>
      <c r="M4083" s="519">
        <v>1806200</v>
      </c>
      <c r="N4083" s="388"/>
      <c r="O4083" s="473">
        <v>5419</v>
      </c>
      <c r="P4083" s="388"/>
      <c r="Q4083" s="388">
        <v>20000</v>
      </c>
      <c r="R4083" s="446">
        <f>M4083/G4083</f>
        <v>2200</v>
      </c>
      <c r="U4083" s="404"/>
    </row>
    <row r="4084" spans="1:21" s="455" customFormat="1" ht="37.5">
      <c r="A4084" s="404">
        <f t="shared" ref="A4084:A4090" si="605">A4083+1</f>
        <v>3</v>
      </c>
      <c r="B4084" s="543" t="s">
        <v>3158</v>
      </c>
      <c r="C4084" s="919" t="s">
        <v>218</v>
      </c>
      <c r="E4084" s="388">
        <v>2433.1999999999998</v>
      </c>
      <c r="F4084" s="388" t="s">
        <v>234</v>
      </c>
      <c r="G4084" s="388">
        <v>821</v>
      </c>
      <c r="H4084" s="446">
        <v>5</v>
      </c>
      <c r="I4084" s="446">
        <v>4</v>
      </c>
      <c r="J4084" s="446">
        <v>60</v>
      </c>
      <c r="K4084" s="504" t="s">
        <v>33</v>
      </c>
      <c r="L4084" s="920">
        <f t="shared" si="604"/>
        <v>1831619</v>
      </c>
      <c r="M4084" s="519">
        <v>1806200</v>
      </c>
      <c r="N4084" s="388"/>
      <c r="O4084" s="473">
        <v>5419</v>
      </c>
      <c r="P4084" s="388"/>
      <c r="Q4084" s="388">
        <v>20000</v>
      </c>
      <c r="R4084" s="446">
        <f>M4084/G4084</f>
        <v>2200</v>
      </c>
      <c r="U4084" s="404"/>
    </row>
    <row r="4085" spans="1:21" s="455" customFormat="1" ht="37.5">
      <c r="A4085" s="404">
        <f t="shared" si="605"/>
        <v>4</v>
      </c>
      <c r="B4085" s="543" t="s">
        <v>3159</v>
      </c>
      <c r="C4085" s="919" t="s">
        <v>218</v>
      </c>
      <c r="E4085" s="388">
        <v>2179</v>
      </c>
      <c r="F4085" s="388" t="s">
        <v>234</v>
      </c>
      <c r="G4085" s="388">
        <v>819.5</v>
      </c>
      <c r="H4085" s="446">
        <v>5</v>
      </c>
      <c r="I4085" s="446">
        <v>4</v>
      </c>
      <c r="J4085" s="446">
        <v>60</v>
      </c>
      <c r="K4085" s="504" t="s">
        <v>33</v>
      </c>
      <c r="L4085" s="920">
        <f t="shared" si="604"/>
        <v>1828309</v>
      </c>
      <c r="M4085" s="519">
        <v>1802900</v>
      </c>
      <c r="N4085" s="388"/>
      <c r="O4085" s="473">
        <v>5409</v>
      </c>
      <c r="P4085" s="388"/>
      <c r="Q4085" s="388">
        <v>20000</v>
      </c>
      <c r="R4085" s="446">
        <f>M4085/G4085</f>
        <v>2200</v>
      </c>
      <c r="U4085" s="404"/>
    </row>
    <row r="4086" spans="1:21" s="455" customFormat="1" ht="37.5">
      <c r="A4086" s="404">
        <f t="shared" si="605"/>
        <v>5</v>
      </c>
      <c r="B4086" s="543" t="s">
        <v>3160</v>
      </c>
      <c r="C4086" s="919" t="s">
        <v>218</v>
      </c>
      <c r="E4086" s="388">
        <v>2219</v>
      </c>
      <c r="F4086" s="388" t="s">
        <v>234</v>
      </c>
      <c r="G4086" s="388">
        <v>925.7</v>
      </c>
      <c r="H4086" s="446">
        <v>5</v>
      </c>
      <c r="I4086" s="446">
        <v>5</v>
      </c>
      <c r="J4086" s="446">
        <v>74</v>
      </c>
      <c r="K4086" s="504" t="s">
        <v>33</v>
      </c>
      <c r="L4086" s="920">
        <f t="shared" si="604"/>
        <v>2062650</v>
      </c>
      <c r="M4086" s="519">
        <v>2036540</v>
      </c>
      <c r="N4086" s="388"/>
      <c r="O4086" s="473">
        <v>6110</v>
      </c>
      <c r="P4086" s="388"/>
      <c r="Q4086" s="388">
        <v>20000</v>
      </c>
      <c r="R4086" s="446">
        <f>M4086/G4086</f>
        <v>2200</v>
      </c>
      <c r="U4086" s="404"/>
    </row>
    <row r="4087" spans="1:21" s="455" customFormat="1" ht="36" customHeight="1">
      <c r="A4087" s="404">
        <f t="shared" si="605"/>
        <v>6</v>
      </c>
      <c r="B4087" s="543" t="s">
        <v>3161</v>
      </c>
      <c r="C4087" s="919" t="s">
        <v>218</v>
      </c>
      <c r="E4087" s="388">
        <v>3435.5</v>
      </c>
      <c r="F4087" s="388" t="s">
        <v>234</v>
      </c>
      <c r="G4087" s="388">
        <v>1213.2</v>
      </c>
      <c r="H4087" s="446">
        <v>5</v>
      </c>
      <c r="I4087" s="446">
        <v>6</v>
      </c>
      <c r="J4087" s="446">
        <v>89</v>
      </c>
      <c r="K4087" s="504" t="s">
        <v>38</v>
      </c>
      <c r="L4087" s="920">
        <f t="shared" si="604"/>
        <v>2627723</v>
      </c>
      <c r="M4087" s="519">
        <v>2589953</v>
      </c>
      <c r="N4087" s="388"/>
      <c r="O4087" s="473">
        <v>7770</v>
      </c>
      <c r="P4087" s="388"/>
      <c r="Q4087" s="388">
        <v>30000</v>
      </c>
      <c r="R4087" s="528">
        <f>M4087/E4087</f>
        <v>753.87949352350461</v>
      </c>
      <c r="U4087" s="404"/>
    </row>
    <row r="4088" spans="1:21" s="455" customFormat="1" ht="36" customHeight="1">
      <c r="A4088" s="404">
        <f t="shared" si="605"/>
        <v>7</v>
      </c>
      <c r="B4088" s="543" t="s">
        <v>3162</v>
      </c>
      <c r="C4088" s="919" t="s">
        <v>218</v>
      </c>
      <c r="E4088" s="388">
        <v>2218.5</v>
      </c>
      <c r="F4088" s="388" t="s">
        <v>234</v>
      </c>
      <c r="G4088" s="388">
        <v>938</v>
      </c>
      <c r="H4088" s="446">
        <v>5</v>
      </c>
      <c r="I4088" s="446">
        <v>5</v>
      </c>
      <c r="J4088" s="446">
        <v>75</v>
      </c>
      <c r="K4088" s="504" t="s">
        <v>33</v>
      </c>
      <c r="L4088" s="920">
        <f t="shared" si="604"/>
        <v>2089791</v>
      </c>
      <c r="M4088" s="519">
        <v>2063600</v>
      </c>
      <c r="N4088" s="388"/>
      <c r="O4088" s="473">
        <v>6191</v>
      </c>
      <c r="P4088" s="388"/>
      <c r="Q4088" s="388">
        <v>20000</v>
      </c>
      <c r="R4088" s="446">
        <f>M4088/G4088</f>
        <v>2200</v>
      </c>
      <c r="U4088" s="404"/>
    </row>
    <row r="4089" spans="1:21" s="455" customFormat="1" ht="36" customHeight="1">
      <c r="A4089" s="404">
        <f t="shared" si="605"/>
        <v>8</v>
      </c>
      <c r="B4089" s="543" t="s">
        <v>3163</v>
      </c>
      <c r="C4089" s="919" t="s">
        <v>218</v>
      </c>
      <c r="E4089" s="388">
        <v>2218.5</v>
      </c>
      <c r="F4089" s="388" t="s">
        <v>234</v>
      </c>
      <c r="G4089" s="388">
        <v>968</v>
      </c>
      <c r="H4089" s="446">
        <v>5</v>
      </c>
      <c r="I4089" s="446">
        <v>5</v>
      </c>
      <c r="J4089" s="446">
        <v>75</v>
      </c>
      <c r="K4089" s="504" t="s">
        <v>33</v>
      </c>
      <c r="L4089" s="920">
        <f t="shared" si="604"/>
        <v>2155989</v>
      </c>
      <c r="M4089" s="519">
        <v>2129600</v>
      </c>
      <c r="N4089" s="388"/>
      <c r="O4089" s="473">
        <v>6389</v>
      </c>
      <c r="P4089" s="388"/>
      <c r="Q4089" s="388">
        <v>20000</v>
      </c>
      <c r="R4089" s="446">
        <f>M4089/G4089</f>
        <v>2200</v>
      </c>
      <c r="U4089" s="404"/>
    </row>
    <row r="4090" spans="1:21" s="455" customFormat="1" ht="36" customHeight="1">
      <c r="A4090" s="404">
        <f t="shared" si="605"/>
        <v>9</v>
      </c>
      <c r="B4090" s="543" t="s">
        <v>3164</v>
      </c>
      <c r="C4090" s="919" t="s">
        <v>218</v>
      </c>
      <c r="E4090" s="388">
        <v>2218.5</v>
      </c>
      <c r="F4090" s="388" t="s">
        <v>234</v>
      </c>
      <c r="G4090" s="388">
        <v>933.6</v>
      </c>
      <c r="H4090" s="446">
        <v>5</v>
      </c>
      <c r="I4090" s="446">
        <v>5</v>
      </c>
      <c r="J4090" s="446">
        <v>75</v>
      </c>
      <c r="K4090" s="504" t="s">
        <v>33</v>
      </c>
      <c r="L4090" s="920">
        <f t="shared" si="604"/>
        <v>2080082</v>
      </c>
      <c r="M4090" s="519">
        <v>2053920</v>
      </c>
      <c r="N4090" s="388"/>
      <c r="O4090" s="473">
        <v>6162</v>
      </c>
      <c r="P4090" s="388"/>
      <c r="Q4090" s="388">
        <v>20000</v>
      </c>
      <c r="R4090" s="446">
        <f>M4090/G4090</f>
        <v>2200</v>
      </c>
      <c r="U4090" s="404"/>
    </row>
    <row r="4091" spans="1:21" s="403" customFormat="1" ht="42.75" customHeight="1">
      <c r="A4091" s="1112" t="s">
        <v>170</v>
      </c>
      <c r="B4091" s="1112"/>
      <c r="C4091" s="388" t="s">
        <v>28</v>
      </c>
      <c r="D4091" s="388">
        <f>SUM(C4082:C4090)</f>
        <v>0</v>
      </c>
      <c r="E4091" s="388">
        <f>SUM(E4082:E4090)</f>
        <v>21788.400000000001</v>
      </c>
      <c r="F4091" s="388" t="s">
        <v>28</v>
      </c>
      <c r="G4091" s="388">
        <f>SUM(G4082:G4090)</f>
        <v>8260.6999999999989</v>
      </c>
      <c r="H4091" s="446" t="s">
        <v>28</v>
      </c>
      <c r="I4091" s="446" t="s">
        <v>28</v>
      </c>
      <c r="J4091" s="446">
        <f>SUM(J4082:J4090)</f>
        <v>626</v>
      </c>
      <c r="K4091" s="458" t="s">
        <v>28</v>
      </c>
      <c r="L4091" s="519">
        <f t="shared" ref="L4091:Q4091" si="606">SUM(L4082:L4090)</f>
        <v>18338739</v>
      </c>
      <c r="M4091" s="519">
        <f t="shared" si="606"/>
        <v>18094453</v>
      </c>
      <c r="N4091" s="388">
        <f t="shared" si="606"/>
        <v>0</v>
      </c>
      <c r="O4091" s="473">
        <f t="shared" si="606"/>
        <v>54286</v>
      </c>
      <c r="P4091" s="388">
        <f t="shared" si="606"/>
        <v>0</v>
      </c>
      <c r="Q4091" s="388">
        <f t="shared" si="606"/>
        <v>190000</v>
      </c>
      <c r="R4091" s="446" t="s">
        <v>28</v>
      </c>
      <c r="S4091" s="383">
        <f>L4091-M4091-N4091-O4091-P4091-Q4091</f>
        <v>0</v>
      </c>
      <c r="T4091" s="387" t="e">
        <f>'1.перечень МКД'!#REF!</f>
        <v>#REF!</v>
      </c>
      <c r="U4091" s="390" t="e">
        <f>L4091-T4091</f>
        <v>#REF!</v>
      </c>
    </row>
    <row r="4092" spans="1:21" s="403" customFormat="1" ht="42.75" customHeight="1">
      <c r="A4092" s="1113" t="s">
        <v>171</v>
      </c>
      <c r="B4092" s="1113"/>
      <c r="C4092" s="1113"/>
      <c r="D4092" s="1113"/>
      <c r="E4092" s="1113"/>
      <c r="F4092" s="1113"/>
      <c r="G4092" s="1113"/>
      <c r="H4092" s="1113"/>
      <c r="I4092" s="1113"/>
      <c r="J4092" s="1113"/>
      <c r="K4092" s="1113"/>
      <c r="L4092" s="1113"/>
      <c r="M4092" s="1113"/>
      <c r="N4092" s="1113"/>
      <c r="O4092" s="1113"/>
      <c r="P4092" s="1113"/>
      <c r="Q4092" s="1113"/>
      <c r="R4092" s="458"/>
      <c r="U4092" s="404"/>
    </row>
    <row r="4093" spans="1:21" s="403" customFormat="1" ht="37.5" customHeight="1">
      <c r="A4093" s="774">
        <v>1</v>
      </c>
      <c r="B4093" s="775" t="s">
        <v>3165</v>
      </c>
      <c r="C4093" s="773" t="s">
        <v>222</v>
      </c>
      <c r="D4093" s="773">
        <v>1877</v>
      </c>
      <c r="E4093" s="539">
        <v>434.06</v>
      </c>
      <c r="F4093" s="539" t="s">
        <v>252</v>
      </c>
      <c r="G4093" s="675">
        <v>443</v>
      </c>
      <c r="H4093" s="726">
        <v>2</v>
      </c>
      <c r="I4093" s="726">
        <v>2</v>
      </c>
      <c r="J4093" s="599">
        <v>12</v>
      </c>
      <c r="K4093" s="612" t="s">
        <v>33</v>
      </c>
      <c r="L4093" s="677">
        <f>SUM(M4093:Q4093)</f>
        <v>1279684</v>
      </c>
      <c r="M4093" s="677">
        <v>1240400</v>
      </c>
      <c r="N4093" s="675">
        <v>30000</v>
      </c>
      <c r="O4093" s="473"/>
      <c r="P4093" s="388"/>
      <c r="Q4093" s="388">
        <v>9284</v>
      </c>
      <c r="R4093" s="446">
        <f>M4093/G4093</f>
        <v>2800</v>
      </c>
      <c r="U4093" s="404"/>
    </row>
    <row r="4094" spans="1:21" s="403" customFormat="1" ht="37.5" customHeight="1">
      <c r="A4094" s="404">
        <v>2</v>
      </c>
      <c r="B4094" s="403" t="s">
        <v>3166</v>
      </c>
      <c r="C4094" s="773" t="s">
        <v>300</v>
      </c>
      <c r="D4094" s="455">
        <v>2551</v>
      </c>
      <c r="E4094" s="388">
        <v>606</v>
      </c>
      <c r="F4094" s="388" t="s">
        <v>252</v>
      </c>
      <c r="G4094" s="388">
        <v>535</v>
      </c>
      <c r="H4094" s="446">
        <v>2</v>
      </c>
      <c r="I4094" s="446">
        <v>2</v>
      </c>
      <c r="J4094" s="446">
        <v>12</v>
      </c>
      <c r="K4094" s="504" t="s">
        <v>33</v>
      </c>
      <c r="L4094" s="519">
        <f>SUM(M4094:Q4094)</f>
        <v>1540618</v>
      </c>
      <c r="M4094" s="519">
        <v>1498000</v>
      </c>
      <c r="N4094" s="388">
        <v>30000</v>
      </c>
      <c r="O4094" s="473"/>
      <c r="P4094" s="388"/>
      <c r="Q4094" s="388">
        <v>12618</v>
      </c>
      <c r="R4094" s="446">
        <f>M4094/G4094</f>
        <v>2800</v>
      </c>
      <c r="S4094" s="393"/>
      <c r="T4094" s="393"/>
      <c r="U4094" s="404"/>
    </row>
    <row r="4095" spans="1:21" s="403" customFormat="1" ht="42.75" customHeight="1">
      <c r="A4095" s="1112" t="s">
        <v>172</v>
      </c>
      <c r="B4095" s="1112"/>
      <c r="C4095" s="388"/>
      <c r="D4095" s="388">
        <f>SUM(D4093:D4094)</f>
        <v>4428</v>
      </c>
      <c r="E4095" s="388">
        <f>SUM(E4093:E4094)</f>
        <v>1040.06</v>
      </c>
      <c r="F4095" s="388" t="s">
        <v>28</v>
      </c>
      <c r="G4095" s="388">
        <f>SUM(G4093:G4094)</f>
        <v>978</v>
      </c>
      <c r="H4095" s="446" t="s">
        <v>28</v>
      </c>
      <c r="I4095" s="446" t="s">
        <v>28</v>
      </c>
      <c r="J4095" s="446">
        <f>SUM(J4093:J4094)</f>
        <v>24</v>
      </c>
      <c r="K4095" s="458" t="s">
        <v>28</v>
      </c>
      <c r="L4095" s="519">
        <f t="shared" ref="L4095:Q4095" si="607">SUM(L4093:L4094)</f>
        <v>2820302</v>
      </c>
      <c r="M4095" s="519">
        <f t="shared" si="607"/>
        <v>2738400</v>
      </c>
      <c r="N4095" s="388">
        <f t="shared" si="607"/>
        <v>60000</v>
      </c>
      <c r="O4095" s="473">
        <f t="shared" si="607"/>
        <v>0</v>
      </c>
      <c r="P4095" s="388">
        <f t="shared" si="607"/>
        <v>0</v>
      </c>
      <c r="Q4095" s="388">
        <f t="shared" si="607"/>
        <v>21902</v>
      </c>
      <c r="R4095" s="446" t="s">
        <v>28</v>
      </c>
      <c r="S4095" s="383">
        <f>L4095-M4095-N4095-O4095-P4095-Q4095</f>
        <v>0</v>
      </c>
      <c r="T4095" s="387" t="e">
        <f>'1.перечень МКД'!#REF!</f>
        <v>#REF!</v>
      </c>
      <c r="U4095" s="390" t="e">
        <f>L4095-T4095</f>
        <v>#REF!</v>
      </c>
    </row>
    <row r="4096" spans="1:21" s="403" customFormat="1" ht="42.75" customHeight="1">
      <c r="A4096" s="1113" t="s">
        <v>173</v>
      </c>
      <c r="B4096" s="1113"/>
      <c r="C4096" s="1113"/>
      <c r="D4096" s="1113"/>
      <c r="E4096" s="1113"/>
      <c r="F4096" s="1113"/>
      <c r="G4096" s="1113"/>
      <c r="H4096" s="1113"/>
      <c r="I4096" s="1113"/>
      <c r="J4096" s="1113"/>
      <c r="K4096" s="1113"/>
      <c r="L4096" s="1113"/>
      <c r="M4096" s="1113"/>
      <c r="N4096" s="1113"/>
      <c r="O4096" s="1113"/>
      <c r="P4096" s="1113"/>
      <c r="Q4096" s="1113"/>
      <c r="R4096" s="458"/>
      <c r="U4096" s="404"/>
    </row>
    <row r="4097" spans="1:22" s="403" customFormat="1" ht="37.5" customHeight="1">
      <c r="A4097" s="774">
        <v>1</v>
      </c>
      <c r="B4097" s="775" t="s">
        <v>3167</v>
      </c>
      <c r="C4097" s="773" t="s">
        <v>222</v>
      </c>
      <c r="D4097" s="773"/>
      <c r="E4097" s="539">
        <v>1152</v>
      </c>
      <c r="F4097" s="539" t="s">
        <v>302</v>
      </c>
      <c r="G4097" s="675">
        <v>805</v>
      </c>
      <c r="H4097" s="726">
        <v>3</v>
      </c>
      <c r="I4097" s="726">
        <v>3</v>
      </c>
      <c r="J4097" s="599">
        <v>30</v>
      </c>
      <c r="K4097" s="612" t="s">
        <v>239</v>
      </c>
      <c r="L4097" s="677">
        <f>M4097+N4097+O4097+P4097+Q4097</f>
        <v>1090537</v>
      </c>
      <c r="M4097" s="677">
        <v>1050000</v>
      </c>
      <c r="N4097" s="675">
        <v>25000</v>
      </c>
      <c r="O4097" s="473"/>
      <c r="P4097" s="388"/>
      <c r="Q4097" s="388">
        <v>15537</v>
      </c>
      <c r="R4097" s="446">
        <f>M4097/J4097</f>
        <v>35000</v>
      </c>
      <c r="U4097" s="404"/>
    </row>
    <row r="4098" spans="1:22" s="403" customFormat="1" ht="42.75" customHeight="1">
      <c r="A4098" s="1112" t="s">
        <v>174</v>
      </c>
      <c r="B4098" s="1112"/>
      <c r="C4098" s="388" t="s">
        <v>28</v>
      </c>
      <c r="D4098" s="388">
        <f>SUM(D4097:D4097)</f>
        <v>0</v>
      </c>
      <c r="E4098" s="388">
        <f>SUM(E4097:E4097)</f>
        <v>1152</v>
      </c>
      <c r="F4098" s="388" t="s">
        <v>28</v>
      </c>
      <c r="G4098" s="388">
        <f>SUM(G4097:G4097)</f>
        <v>805</v>
      </c>
      <c r="H4098" s="446" t="s">
        <v>28</v>
      </c>
      <c r="I4098" s="446" t="s">
        <v>28</v>
      </c>
      <c r="J4098" s="446">
        <f>SUM(J4097:J4097)</f>
        <v>30</v>
      </c>
      <c r="K4098" s="458" t="s">
        <v>28</v>
      </c>
      <c r="L4098" s="519">
        <f t="shared" ref="L4098:Q4098" si="608">SUM(L4097:L4097)</f>
        <v>1090537</v>
      </c>
      <c r="M4098" s="519">
        <f t="shared" si="608"/>
        <v>1050000</v>
      </c>
      <c r="N4098" s="388">
        <f t="shared" si="608"/>
        <v>25000</v>
      </c>
      <c r="O4098" s="473">
        <f t="shared" si="608"/>
        <v>0</v>
      </c>
      <c r="P4098" s="388">
        <f t="shared" si="608"/>
        <v>0</v>
      </c>
      <c r="Q4098" s="388">
        <f t="shared" si="608"/>
        <v>15537</v>
      </c>
      <c r="R4098" s="446" t="s">
        <v>28</v>
      </c>
      <c r="S4098" s="383">
        <f>L4098-M4098-N4098-O4098-P4098-Q4098</f>
        <v>0</v>
      </c>
      <c r="T4098" s="387" t="e">
        <f>'1.перечень МКД'!#REF!</f>
        <v>#REF!</v>
      </c>
      <c r="U4098" s="390" t="e">
        <f>L4098-T4098</f>
        <v>#REF!</v>
      </c>
    </row>
    <row r="4099" spans="1:22" s="403" customFormat="1" ht="42.75" customHeight="1">
      <c r="A4099" s="1113" t="s">
        <v>175</v>
      </c>
      <c r="B4099" s="1113"/>
      <c r="C4099" s="1113"/>
      <c r="D4099" s="1113"/>
      <c r="E4099" s="1113"/>
      <c r="F4099" s="1113"/>
      <c r="G4099" s="1113"/>
      <c r="H4099" s="1113"/>
      <c r="I4099" s="1113"/>
      <c r="J4099" s="1113"/>
      <c r="K4099" s="1113"/>
      <c r="L4099" s="1113"/>
      <c r="M4099" s="1113"/>
      <c r="N4099" s="1113"/>
      <c r="O4099" s="1113"/>
      <c r="P4099" s="1113"/>
      <c r="Q4099" s="1113"/>
      <c r="R4099" s="458"/>
      <c r="U4099" s="404"/>
    </row>
    <row r="4100" spans="1:22" s="403" customFormat="1" ht="37.5" customHeight="1">
      <c r="A4100" s="774">
        <v>1</v>
      </c>
      <c r="B4100" s="775" t="s">
        <v>3168</v>
      </c>
      <c r="C4100" s="773" t="s">
        <v>222</v>
      </c>
      <c r="D4100" s="773">
        <v>8066</v>
      </c>
      <c r="E4100" s="539">
        <v>6308.4</v>
      </c>
      <c r="F4100" s="539" t="s">
        <v>252</v>
      </c>
      <c r="G4100" s="675">
        <v>2140.4</v>
      </c>
      <c r="H4100" s="726">
        <v>3</v>
      </c>
      <c r="I4100" s="726">
        <v>4</v>
      </c>
      <c r="J4100" s="599">
        <v>36</v>
      </c>
      <c r="K4100" s="612" t="s">
        <v>225</v>
      </c>
      <c r="L4100" s="677">
        <f>M4100+N4100+O4100+P4100+Q4100</f>
        <v>830473</v>
      </c>
      <c r="M4100" s="677">
        <v>792000</v>
      </c>
      <c r="N4100" s="675">
        <v>30000</v>
      </c>
      <c r="O4100" s="473"/>
      <c r="P4100" s="388"/>
      <c r="Q4100" s="388">
        <v>8473</v>
      </c>
      <c r="R4100" s="446">
        <f>M4100/J4100</f>
        <v>22000</v>
      </c>
      <c r="U4100" s="404"/>
    </row>
    <row r="4101" spans="1:22" s="403" customFormat="1" ht="39" customHeight="1">
      <c r="A4101" s="774">
        <v>2</v>
      </c>
      <c r="B4101" s="775" t="s">
        <v>3169</v>
      </c>
      <c r="C4101" s="773" t="s">
        <v>218</v>
      </c>
      <c r="D4101" s="773">
        <v>2716</v>
      </c>
      <c r="E4101" s="539">
        <v>2380.3000000000002</v>
      </c>
      <c r="F4101" s="539" t="s">
        <v>252</v>
      </c>
      <c r="G4101" s="675">
        <v>581.04</v>
      </c>
      <c r="H4101" s="726">
        <v>2</v>
      </c>
      <c r="I4101" s="726">
        <v>2</v>
      </c>
      <c r="J4101" s="599">
        <v>16</v>
      </c>
      <c r="K4101" s="612" t="s">
        <v>33</v>
      </c>
      <c r="L4101" s="677">
        <f>M4101+N4101+O4101+P4101+Q4101</f>
        <v>1665346</v>
      </c>
      <c r="M4101" s="677">
        <v>1626912</v>
      </c>
      <c r="N4101" s="675">
        <v>25000</v>
      </c>
      <c r="O4101" s="473"/>
      <c r="P4101" s="388"/>
      <c r="Q4101" s="388">
        <v>13434</v>
      </c>
      <c r="R4101" s="446">
        <f>M4101/G4101</f>
        <v>2800</v>
      </c>
      <c r="U4101" s="404"/>
    </row>
    <row r="4102" spans="1:22" s="455" customFormat="1" ht="42.75" customHeight="1">
      <c r="A4102" s="1112" t="s">
        <v>176</v>
      </c>
      <c r="B4102" s="1112"/>
      <c r="C4102" s="679" t="s">
        <v>28</v>
      </c>
      <c r="D4102" s="388">
        <f t="shared" ref="D4102:J4102" si="609">SUM(D4100:D4101)</f>
        <v>10782</v>
      </c>
      <c r="E4102" s="388">
        <f t="shared" si="609"/>
        <v>8688.7000000000007</v>
      </c>
      <c r="F4102" s="388" t="s">
        <v>28</v>
      </c>
      <c r="G4102" s="388">
        <f t="shared" si="609"/>
        <v>2721.44</v>
      </c>
      <c r="H4102" s="446" t="s">
        <v>28</v>
      </c>
      <c r="I4102" s="446" t="s">
        <v>28</v>
      </c>
      <c r="J4102" s="446">
        <f t="shared" si="609"/>
        <v>52</v>
      </c>
      <c r="K4102" s="458" t="s">
        <v>28</v>
      </c>
      <c r="L4102" s="519">
        <f>SUM(L4100:L4101)</f>
        <v>2495819</v>
      </c>
      <c r="M4102" s="519">
        <f>SUM(M4100:M4101)</f>
        <v>2418912</v>
      </c>
      <c r="N4102" s="388">
        <f>SUM(N4100:N4101)</f>
        <v>55000</v>
      </c>
      <c r="O4102" s="473"/>
      <c r="P4102" s="388">
        <f>SUM(P4100:P4101)</f>
        <v>0</v>
      </c>
      <c r="Q4102" s="388">
        <f>SUM(Q4100:Q4101)</f>
        <v>21907</v>
      </c>
      <c r="R4102" s="446" t="s">
        <v>28</v>
      </c>
      <c r="S4102" s="383">
        <f>L4102-M4102-N4102-O4102-P4102-Q4102</f>
        <v>0</v>
      </c>
      <c r="T4102" s="387" t="e">
        <f>'1.перечень МКД'!#REF!</f>
        <v>#REF!</v>
      </c>
      <c r="U4102" s="390" t="e">
        <f>L4102-T4102</f>
        <v>#REF!</v>
      </c>
    </row>
    <row r="4103" spans="1:22" s="403" customFormat="1" ht="42.75" customHeight="1">
      <c r="A4103" s="1113" t="s">
        <v>177</v>
      </c>
      <c r="B4103" s="1113"/>
      <c r="C4103" s="1113"/>
      <c r="D4103" s="1113"/>
      <c r="E4103" s="1113"/>
      <c r="F4103" s="1113"/>
      <c r="G4103" s="1113"/>
      <c r="H4103" s="1113"/>
      <c r="I4103" s="1113"/>
      <c r="J4103" s="1113"/>
      <c r="K4103" s="1113"/>
      <c r="L4103" s="1113"/>
      <c r="M4103" s="1113"/>
      <c r="N4103" s="1113"/>
      <c r="O4103" s="1113"/>
      <c r="P4103" s="1113"/>
      <c r="Q4103" s="1113"/>
      <c r="R4103" s="458"/>
      <c r="U4103" s="404"/>
    </row>
    <row r="4104" spans="1:22" s="403" customFormat="1" ht="37.5" customHeight="1">
      <c r="A4104" s="774">
        <v>1</v>
      </c>
      <c r="B4104" s="775" t="s">
        <v>3844</v>
      </c>
      <c r="C4104" s="773" t="s">
        <v>315</v>
      </c>
      <c r="D4104" s="773"/>
      <c r="E4104" s="539">
        <v>6392.2</v>
      </c>
      <c r="F4104" s="539" t="s">
        <v>252</v>
      </c>
      <c r="G4104" s="675">
        <v>1338</v>
      </c>
      <c r="H4104" s="726">
        <v>5</v>
      </c>
      <c r="I4104" s="726">
        <v>6</v>
      </c>
      <c r="J4104" s="599">
        <v>79</v>
      </c>
      <c r="K4104" s="612" t="s">
        <v>33</v>
      </c>
      <c r="L4104" s="677">
        <f>M4104+N4104+O4104+P4104+Q4104</f>
        <v>3816400</v>
      </c>
      <c r="M4104" s="677">
        <v>3746400</v>
      </c>
      <c r="N4104" s="675">
        <v>30000</v>
      </c>
      <c r="O4104" s="473"/>
      <c r="P4104" s="388"/>
      <c r="Q4104" s="388">
        <v>40000</v>
      </c>
      <c r="R4104" s="446">
        <f>M4104/G4104</f>
        <v>2800</v>
      </c>
      <c r="U4104" s="404"/>
    </row>
    <row r="4105" spans="1:22" s="403" customFormat="1" ht="68.25" customHeight="1">
      <c r="A4105" s="774">
        <v>2</v>
      </c>
      <c r="B4105" s="775" t="s">
        <v>3845</v>
      </c>
      <c r="C4105" s="773" t="s">
        <v>315</v>
      </c>
      <c r="D4105" s="773"/>
      <c r="E4105" s="539">
        <v>5544.6</v>
      </c>
      <c r="F4105" s="539" t="s">
        <v>252</v>
      </c>
      <c r="G4105" s="675">
        <v>943.8</v>
      </c>
      <c r="H4105" s="726">
        <v>3</v>
      </c>
      <c r="I4105" s="726">
        <v>4</v>
      </c>
      <c r="J4105" s="599">
        <v>49</v>
      </c>
      <c r="K4105" s="612" t="s">
        <v>3848</v>
      </c>
      <c r="L4105" s="677">
        <f>M4105+N4105+O4105+P4105+Q4105</f>
        <v>1525000</v>
      </c>
      <c r="M4105" s="677">
        <v>1470000</v>
      </c>
      <c r="N4105" s="675"/>
      <c r="O4105" s="473">
        <v>15000</v>
      </c>
      <c r="P4105" s="388"/>
      <c r="Q4105" s="388">
        <v>40000</v>
      </c>
      <c r="R4105" s="446">
        <f>M4105/G4105</f>
        <v>1557.5333757151939</v>
      </c>
      <c r="U4105" s="404"/>
    </row>
    <row r="4106" spans="1:22" s="403" customFormat="1" ht="48.75" customHeight="1">
      <c r="A4106" s="774">
        <v>3</v>
      </c>
      <c r="B4106" s="775" t="s">
        <v>3846</v>
      </c>
      <c r="C4106" s="773" t="s">
        <v>240</v>
      </c>
      <c r="D4106" s="773"/>
      <c r="E4106" s="539">
        <v>500.1</v>
      </c>
      <c r="F4106" s="539" t="s">
        <v>252</v>
      </c>
      <c r="G4106" s="675">
        <v>632</v>
      </c>
      <c r="H4106" s="726">
        <v>2</v>
      </c>
      <c r="I4106" s="726">
        <v>2</v>
      </c>
      <c r="J4106" s="599">
        <v>16</v>
      </c>
      <c r="K4106" s="612" t="s">
        <v>225</v>
      </c>
      <c r="L4106" s="677">
        <f>M4106+N4106+O4106+P4106+Q4106</f>
        <v>512584</v>
      </c>
      <c r="M4106" s="677">
        <v>480000</v>
      </c>
      <c r="N4106" s="675">
        <v>30000</v>
      </c>
      <c r="O4106" s="473"/>
      <c r="P4106" s="388"/>
      <c r="Q4106" s="388">
        <v>2584</v>
      </c>
      <c r="R4106" s="446">
        <f>M4106/G4106</f>
        <v>759.49367088607596</v>
      </c>
      <c r="U4106" s="404"/>
    </row>
    <row r="4107" spans="1:22" s="403" customFormat="1" ht="56.25" customHeight="1">
      <c r="A4107" s="774">
        <v>4</v>
      </c>
      <c r="B4107" s="775" t="s">
        <v>3847</v>
      </c>
      <c r="C4107" s="773" t="s">
        <v>240</v>
      </c>
      <c r="D4107" s="773"/>
      <c r="E4107" s="539">
        <v>500.2</v>
      </c>
      <c r="F4107" s="539" t="s">
        <v>252</v>
      </c>
      <c r="G4107" s="675">
        <v>450</v>
      </c>
      <c r="H4107" s="726">
        <v>2</v>
      </c>
      <c r="I4107" s="726">
        <v>2</v>
      </c>
      <c r="J4107" s="599">
        <v>16</v>
      </c>
      <c r="K4107" s="612" t="s">
        <v>225</v>
      </c>
      <c r="L4107" s="677">
        <f>M4107+N4107+O4107+P4107+Q4107</f>
        <v>512623</v>
      </c>
      <c r="M4107" s="677">
        <v>480000</v>
      </c>
      <c r="N4107" s="675">
        <v>30000</v>
      </c>
      <c r="O4107" s="473"/>
      <c r="P4107" s="388"/>
      <c r="Q4107" s="388">
        <v>2623</v>
      </c>
      <c r="R4107" s="446">
        <f>M4107/G4107</f>
        <v>1066.6666666666667</v>
      </c>
      <c r="U4107" s="404"/>
    </row>
    <row r="4108" spans="1:22" s="403" customFormat="1" ht="42.75" customHeight="1">
      <c r="A4108" s="1112" t="s">
        <v>178</v>
      </c>
      <c r="B4108" s="1112"/>
      <c r="C4108" s="679" t="s">
        <v>28</v>
      </c>
      <c r="D4108" s="388">
        <f t="shared" ref="D4108:J4108" si="610">SUM(D4104)</f>
        <v>0</v>
      </c>
      <c r="E4108" s="388">
        <f t="shared" si="610"/>
        <v>6392.2</v>
      </c>
      <c r="F4108" s="388" t="s">
        <v>28</v>
      </c>
      <c r="G4108" s="388">
        <f t="shared" si="610"/>
        <v>1338</v>
      </c>
      <c r="H4108" s="446" t="s">
        <v>28</v>
      </c>
      <c r="I4108" s="446" t="s">
        <v>28</v>
      </c>
      <c r="J4108" s="446">
        <f t="shared" si="610"/>
        <v>79</v>
      </c>
      <c r="K4108" s="458" t="s">
        <v>28</v>
      </c>
      <c r="L4108" s="519">
        <f t="shared" ref="L4108:Q4108" si="611">SUM(L4104:L4107)</f>
        <v>6366607</v>
      </c>
      <c r="M4108" s="519">
        <f t="shared" si="611"/>
        <v>6176400</v>
      </c>
      <c r="N4108" s="388">
        <f t="shared" si="611"/>
        <v>90000</v>
      </c>
      <c r="O4108" s="473">
        <f t="shared" si="611"/>
        <v>15000</v>
      </c>
      <c r="P4108" s="388">
        <f t="shared" si="611"/>
        <v>0</v>
      </c>
      <c r="Q4108" s="388">
        <f t="shared" si="611"/>
        <v>85207</v>
      </c>
      <c r="R4108" s="446" t="s">
        <v>28</v>
      </c>
      <c r="S4108" s="383">
        <f>L4108-M4108-N4108-O4108-P4108-Q4108</f>
        <v>0</v>
      </c>
      <c r="T4108" s="387" t="e">
        <f>'1.перечень МКД'!#REF!</f>
        <v>#REF!</v>
      </c>
      <c r="U4108" s="390" t="e">
        <f>L4108-T4108</f>
        <v>#REF!</v>
      </c>
    </row>
    <row r="4109" spans="1:22" s="403" customFormat="1" ht="42.75" customHeight="1">
      <c r="A4109" s="1113" t="s">
        <v>179</v>
      </c>
      <c r="B4109" s="1113"/>
      <c r="C4109" s="1113"/>
      <c r="D4109" s="1113"/>
      <c r="E4109" s="1113"/>
      <c r="F4109" s="1113"/>
      <c r="G4109" s="1113"/>
      <c r="H4109" s="1113"/>
      <c r="I4109" s="1113"/>
      <c r="J4109" s="1113"/>
      <c r="K4109" s="1113"/>
      <c r="L4109" s="1113"/>
      <c r="M4109" s="1113"/>
      <c r="N4109" s="1113"/>
      <c r="O4109" s="1113"/>
      <c r="P4109" s="1113"/>
      <c r="Q4109" s="1113"/>
      <c r="R4109" s="458"/>
      <c r="U4109" s="404"/>
    </row>
    <row r="4110" spans="1:22" s="403" customFormat="1" ht="37.5" customHeight="1">
      <c r="A4110" s="404">
        <v>1</v>
      </c>
      <c r="B4110" s="403" t="s">
        <v>3170</v>
      </c>
      <c r="C4110" s="455" t="s">
        <v>222</v>
      </c>
      <c r="D4110" s="446">
        <v>8674</v>
      </c>
      <c r="E4110" s="388">
        <v>1093</v>
      </c>
      <c r="F4110" s="388" t="s">
        <v>228</v>
      </c>
      <c r="G4110" s="388">
        <v>356</v>
      </c>
      <c r="H4110" s="446">
        <v>9</v>
      </c>
      <c r="I4110" s="446">
        <v>1</v>
      </c>
      <c r="J4110" s="446">
        <v>36</v>
      </c>
      <c r="K4110" s="389" t="s">
        <v>220</v>
      </c>
      <c r="L4110" s="519">
        <f>M4110+N4110+O4110+Q4110</f>
        <v>2085000</v>
      </c>
      <c r="M4110" s="519">
        <v>2000000</v>
      </c>
      <c r="N4110" s="388">
        <v>85000</v>
      </c>
      <c r="O4110" s="473"/>
      <c r="P4110" s="388"/>
      <c r="Q4110" s="388"/>
      <c r="R4110" s="446">
        <f>M4110/1</f>
        <v>2000000</v>
      </c>
      <c r="U4110" s="404"/>
      <c r="V4110" s="390"/>
    </row>
    <row r="4111" spans="1:22" s="403" customFormat="1" ht="37.5" customHeight="1">
      <c r="A4111" s="404">
        <f>A4110+1</f>
        <v>2</v>
      </c>
      <c r="B4111" s="403" t="s">
        <v>1312</v>
      </c>
      <c r="C4111" s="455" t="s">
        <v>283</v>
      </c>
      <c r="D4111" s="446">
        <v>52538</v>
      </c>
      <c r="E4111" s="388">
        <v>7295</v>
      </c>
      <c r="F4111" s="388" t="s">
        <v>254</v>
      </c>
      <c r="G4111" s="388">
        <v>1510</v>
      </c>
      <c r="H4111" s="446">
        <v>9</v>
      </c>
      <c r="I4111" s="446">
        <v>6</v>
      </c>
      <c r="J4111" s="446">
        <v>219</v>
      </c>
      <c r="K4111" s="389" t="s">
        <v>220</v>
      </c>
      <c r="L4111" s="519">
        <f t="shared" ref="L4111:L4116" si="612">M4111+N4111+O4111+Q4111</f>
        <v>8148750</v>
      </c>
      <c r="M4111" s="519">
        <v>8000000</v>
      </c>
      <c r="N4111" s="388">
        <v>148750</v>
      </c>
      <c r="O4111" s="473"/>
      <c r="P4111" s="388"/>
      <c r="Q4111" s="388"/>
      <c r="R4111" s="528">
        <f>M4111/4</f>
        <v>2000000</v>
      </c>
      <c r="U4111" s="404"/>
      <c r="V4111" s="390"/>
    </row>
    <row r="4112" spans="1:22" s="403" customFormat="1" ht="37.5">
      <c r="A4112" s="404">
        <f t="shared" ref="A4112:A4117" si="613">A4111+1</f>
        <v>3</v>
      </c>
      <c r="B4112" s="848" t="s">
        <v>3935</v>
      </c>
      <c r="C4112" s="493" t="s">
        <v>315</v>
      </c>
      <c r="D4112" s="493">
        <v>9317</v>
      </c>
      <c r="E4112" s="388">
        <v>1093</v>
      </c>
      <c r="F4112" s="388" t="s">
        <v>304</v>
      </c>
      <c r="G4112" s="388">
        <v>356</v>
      </c>
      <c r="H4112" s="446">
        <v>9</v>
      </c>
      <c r="I4112" s="446">
        <v>1</v>
      </c>
      <c r="J4112" s="446">
        <v>36</v>
      </c>
      <c r="K4112" s="458" t="s">
        <v>220</v>
      </c>
      <c r="L4112" s="519">
        <f t="shared" si="612"/>
        <v>2085000</v>
      </c>
      <c r="M4112" s="519">
        <v>2000000</v>
      </c>
      <c r="N4112" s="388">
        <v>85000</v>
      </c>
      <c r="O4112" s="473"/>
      <c r="P4112" s="446"/>
      <c r="Q4112" s="446"/>
      <c r="R4112" s="921">
        <v>2000000</v>
      </c>
      <c r="U4112" s="455"/>
      <c r="V4112" s="390"/>
    </row>
    <row r="4113" spans="1:22" s="403" customFormat="1" ht="37.5">
      <c r="A4113" s="404">
        <f t="shared" si="613"/>
        <v>4</v>
      </c>
      <c r="B4113" s="849" t="s">
        <v>3904</v>
      </c>
      <c r="C4113" s="493" t="s">
        <v>3902</v>
      </c>
      <c r="D4113" s="493">
        <v>27368</v>
      </c>
      <c r="E4113" s="748">
        <v>3898</v>
      </c>
      <c r="F4113" s="388" t="s">
        <v>254</v>
      </c>
      <c r="G4113" s="388">
        <v>960</v>
      </c>
      <c r="H4113" s="446">
        <v>9</v>
      </c>
      <c r="I4113" s="446">
        <v>3</v>
      </c>
      <c r="J4113" s="446">
        <v>96</v>
      </c>
      <c r="K4113" s="458" t="s">
        <v>220</v>
      </c>
      <c r="L4113" s="519">
        <f t="shared" si="612"/>
        <v>4106250</v>
      </c>
      <c r="M4113" s="519">
        <v>4000000</v>
      </c>
      <c r="N4113" s="388">
        <v>106250</v>
      </c>
      <c r="O4113" s="473"/>
      <c r="P4113" s="446"/>
      <c r="Q4113" s="446"/>
      <c r="R4113" s="921">
        <v>2000000</v>
      </c>
      <c r="U4113" s="455"/>
      <c r="V4113" s="390"/>
    </row>
    <row r="4114" spans="1:22" s="403" customFormat="1" ht="37.5">
      <c r="A4114" s="404">
        <f t="shared" si="613"/>
        <v>5</v>
      </c>
      <c r="B4114" s="849" t="s">
        <v>3936</v>
      </c>
      <c r="C4114" s="493" t="s">
        <v>315</v>
      </c>
      <c r="D4114" s="922">
        <v>16979</v>
      </c>
      <c r="E4114" s="915">
        <v>3696</v>
      </c>
      <c r="F4114" s="915" t="s">
        <v>291</v>
      </c>
      <c r="G4114" s="915">
        <v>710</v>
      </c>
      <c r="H4114" s="923">
        <v>9</v>
      </c>
      <c r="I4114" s="923">
        <v>3</v>
      </c>
      <c r="J4114" s="923">
        <v>65</v>
      </c>
      <c r="K4114" s="458" t="s">
        <v>220</v>
      </c>
      <c r="L4114" s="519">
        <f t="shared" si="612"/>
        <v>2085000</v>
      </c>
      <c r="M4114" s="519">
        <v>2000000</v>
      </c>
      <c r="N4114" s="388">
        <v>85000</v>
      </c>
      <c r="O4114" s="473"/>
      <c r="P4114" s="446"/>
      <c r="Q4114" s="446"/>
      <c r="R4114" s="921">
        <v>2000000</v>
      </c>
      <c r="U4114" s="455"/>
      <c r="V4114" s="390"/>
    </row>
    <row r="4115" spans="1:22" s="403" customFormat="1" ht="37.5">
      <c r="A4115" s="404">
        <f t="shared" si="613"/>
        <v>6</v>
      </c>
      <c r="B4115" s="849" t="s">
        <v>1315</v>
      </c>
      <c r="C4115" s="493" t="s">
        <v>315</v>
      </c>
      <c r="D4115" s="493">
        <v>86724</v>
      </c>
      <c r="E4115" s="388">
        <v>13803.2</v>
      </c>
      <c r="F4115" s="388" t="s">
        <v>304</v>
      </c>
      <c r="G4115" s="388">
        <v>2662</v>
      </c>
      <c r="H4115" s="446">
        <v>9</v>
      </c>
      <c r="I4115" s="446">
        <v>11</v>
      </c>
      <c r="J4115" s="446">
        <v>365</v>
      </c>
      <c r="K4115" s="458" t="s">
        <v>220</v>
      </c>
      <c r="L4115" s="519">
        <f t="shared" si="612"/>
        <v>8148750</v>
      </c>
      <c r="M4115" s="519">
        <v>8000000</v>
      </c>
      <c r="N4115" s="388">
        <v>148750</v>
      </c>
      <c r="O4115" s="473"/>
      <c r="P4115" s="446"/>
      <c r="Q4115" s="446"/>
      <c r="R4115" s="921">
        <v>2000000</v>
      </c>
      <c r="U4115" s="455"/>
    </row>
    <row r="4116" spans="1:22" s="403" customFormat="1" ht="37.5" customHeight="1">
      <c r="A4116" s="404">
        <f t="shared" si="613"/>
        <v>7</v>
      </c>
      <c r="B4116" s="403" t="s">
        <v>3171</v>
      </c>
      <c r="C4116" s="455" t="s">
        <v>344</v>
      </c>
      <c r="D4116" s="446">
        <v>3637</v>
      </c>
      <c r="E4116" s="388">
        <v>1349</v>
      </c>
      <c r="F4116" s="388" t="s">
        <v>305</v>
      </c>
      <c r="G4116" s="388">
        <v>375</v>
      </c>
      <c r="H4116" s="446">
        <v>2</v>
      </c>
      <c r="I4116" s="446">
        <v>2</v>
      </c>
      <c r="J4116" s="446">
        <v>12</v>
      </c>
      <c r="K4116" s="389" t="s">
        <v>38</v>
      </c>
      <c r="L4116" s="519">
        <f t="shared" si="612"/>
        <v>2254981</v>
      </c>
      <c r="M4116" s="519">
        <v>2224750</v>
      </c>
      <c r="N4116" s="388"/>
      <c r="O4116" s="473">
        <f>ROUND(M4116*0.3%,0)</f>
        <v>6674</v>
      </c>
      <c r="P4116" s="388"/>
      <c r="Q4116" s="388">
        <v>23557</v>
      </c>
      <c r="R4116" s="528">
        <f>M4116/E4116</f>
        <v>1649.1845811712381</v>
      </c>
      <c r="U4116" s="404"/>
    </row>
    <row r="4117" spans="1:22" s="403" customFormat="1" ht="37.5">
      <c r="A4117" s="404">
        <f t="shared" si="613"/>
        <v>8</v>
      </c>
      <c r="B4117" s="403" t="s">
        <v>4261</v>
      </c>
      <c r="C4117" s="924" t="s">
        <v>240</v>
      </c>
      <c r="D4117" s="925">
        <v>8800</v>
      </c>
      <c r="E4117" s="816">
        <v>1450</v>
      </c>
      <c r="F4117" s="816" t="s">
        <v>223</v>
      </c>
      <c r="G4117" s="816">
        <v>1100</v>
      </c>
      <c r="H4117" s="926">
        <v>3</v>
      </c>
      <c r="I4117" s="926">
        <v>3</v>
      </c>
      <c r="J4117" s="926">
        <v>19</v>
      </c>
      <c r="K4117" s="927" t="s">
        <v>38</v>
      </c>
      <c r="L4117" s="1129">
        <f>M4117+N4117+O4117+Q4117+M4118+N4118+O4118+Q4118</f>
        <v>5725150</v>
      </c>
      <c r="M4117" s="816">
        <v>2904000</v>
      </c>
      <c r="N4117" s="816"/>
      <c r="O4117" s="473">
        <v>13606</v>
      </c>
      <c r="P4117" s="446"/>
      <c r="Q4117" s="641">
        <v>30000</v>
      </c>
      <c r="R4117" s="921"/>
      <c r="U4117" s="455"/>
    </row>
    <row r="4118" spans="1:22" s="403" customFormat="1" ht="54.75" customHeight="1">
      <c r="A4118" s="404"/>
      <c r="C4118" s="924"/>
      <c r="D4118" s="925"/>
      <c r="E4118" s="816"/>
      <c r="F4118" s="816"/>
      <c r="G4118" s="816"/>
      <c r="H4118" s="926"/>
      <c r="I4118" s="926"/>
      <c r="J4118" s="926"/>
      <c r="K4118" s="927" t="s">
        <v>33</v>
      </c>
      <c r="L4118" s="1129"/>
      <c r="M4118" s="816">
        <v>2750000</v>
      </c>
      <c r="N4118" s="816"/>
      <c r="O4118" s="388"/>
      <c r="P4118" s="388"/>
      <c r="Q4118" s="388">
        <v>27544</v>
      </c>
      <c r="R4118" s="921"/>
      <c r="U4118" s="455"/>
    </row>
    <row r="4119" spans="1:22" s="403" customFormat="1" ht="37.5">
      <c r="A4119" s="404">
        <f>A4117+1</f>
        <v>9</v>
      </c>
      <c r="B4119" s="403" t="s">
        <v>4262</v>
      </c>
      <c r="C4119" s="924" t="s">
        <v>240</v>
      </c>
      <c r="D4119" s="924">
        <v>9220</v>
      </c>
      <c r="E4119" s="928">
        <v>1986.5</v>
      </c>
      <c r="F4119" s="816" t="s">
        <v>223</v>
      </c>
      <c r="G4119" s="816">
        <v>962</v>
      </c>
      <c r="H4119" s="926">
        <v>3</v>
      </c>
      <c r="I4119" s="926">
        <v>3</v>
      </c>
      <c r="J4119" s="926">
        <v>25</v>
      </c>
      <c r="K4119" s="927" t="s">
        <v>38</v>
      </c>
      <c r="L4119" s="519">
        <f>M4119+N4119+O4119+Q4119</f>
        <v>3321588</v>
      </c>
      <c r="M4119" s="816">
        <v>3278000</v>
      </c>
      <c r="N4119" s="816"/>
      <c r="O4119" s="473">
        <v>13588</v>
      </c>
      <c r="P4119" s="446"/>
      <c r="Q4119" s="388">
        <v>30000</v>
      </c>
      <c r="R4119" s="921"/>
      <c r="U4119" s="455"/>
    </row>
    <row r="4120" spans="1:22" s="403" customFormat="1" ht="37.5">
      <c r="A4120" s="404">
        <f t="shared" ref="A4120:A4129" si="614">A4119+1</f>
        <v>10</v>
      </c>
      <c r="B4120" s="403" t="s">
        <v>4263</v>
      </c>
      <c r="C4120" s="924" t="s">
        <v>240</v>
      </c>
      <c r="D4120" s="925">
        <v>11356</v>
      </c>
      <c r="E4120" s="816">
        <v>2410</v>
      </c>
      <c r="F4120" s="816" t="s">
        <v>223</v>
      </c>
      <c r="G4120" s="816">
        <v>1238</v>
      </c>
      <c r="H4120" s="926">
        <v>3</v>
      </c>
      <c r="I4120" s="926">
        <v>4</v>
      </c>
      <c r="J4120" s="926">
        <v>30</v>
      </c>
      <c r="K4120" s="927" t="s">
        <v>38</v>
      </c>
      <c r="L4120" s="519">
        <f>M4120+N4120+O4120+Q4120</f>
        <v>4026048</v>
      </c>
      <c r="M4120" s="816">
        <v>3982006</v>
      </c>
      <c r="N4120" s="816"/>
      <c r="O4120" s="473">
        <v>14042</v>
      </c>
      <c r="P4120" s="446"/>
      <c r="Q4120" s="388">
        <v>30000</v>
      </c>
      <c r="R4120" s="921"/>
      <c r="U4120" s="455"/>
    </row>
    <row r="4121" spans="1:22" s="403" customFormat="1" ht="44.25" customHeight="1">
      <c r="A4121" s="404">
        <f t="shared" si="614"/>
        <v>11</v>
      </c>
      <c r="B4121" s="403" t="s">
        <v>3580</v>
      </c>
      <c r="C4121" s="929" t="s">
        <v>240</v>
      </c>
      <c r="D4121" s="925">
        <v>6109</v>
      </c>
      <c r="E4121" s="816">
        <v>1327</v>
      </c>
      <c r="F4121" s="816" t="s">
        <v>223</v>
      </c>
      <c r="G4121" s="816">
        <v>633</v>
      </c>
      <c r="H4121" s="926">
        <v>3</v>
      </c>
      <c r="I4121" s="926">
        <v>1</v>
      </c>
      <c r="J4121" s="926">
        <v>20</v>
      </c>
      <c r="K4121" s="898" t="s">
        <v>33</v>
      </c>
      <c r="L4121" s="1129">
        <f>M4121+N4121+O4121+Q4121+M4122+N4122+O4122+Q4122</f>
        <v>4175411</v>
      </c>
      <c r="M4121" s="816">
        <v>1888832</v>
      </c>
      <c r="N4121" s="816">
        <v>29850</v>
      </c>
      <c r="O4121" s="473"/>
      <c r="P4121" s="446"/>
      <c r="Q4121" s="388">
        <v>19121</v>
      </c>
      <c r="R4121" s="921"/>
      <c r="U4121" s="455"/>
    </row>
    <row r="4122" spans="1:22" s="403" customFormat="1" ht="50.25" customHeight="1">
      <c r="A4122" s="404"/>
      <c r="C4122" s="929"/>
      <c r="D4122" s="925"/>
      <c r="E4122" s="816"/>
      <c r="F4122" s="816"/>
      <c r="G4122" s="816"/>
      <c r="H4122" s="926"/>
      <c r="I4122" s="926"/>
      <c r="J4122" s="926"/>
      <c r="K4122" s="389" t="s">
        <v>38</v>
      </c>
      <c r="L4122" s="1129"/>
      <c r="M4122" s="388">
        <v>2200000</v>
      </c>
      <c r="N4122" s="388"/>
      <c r="O4122" s="473">
        <v>12958</v>
      </c>
      <c r="P4122" s="446"/>
      <c r="Q4122" s="388">
        <v>24650</v>
      </c>
      <c r="R4122" s="921"/>
      <c r="U4122" s="455"/>
    </row>
    <row r="4123" spans="1:22" s="403" customFormat="1" ht="37.5">
      <c r="A4123" s="404">
        <v>12</v>
      </c>
      <c r="B4123" s="403" t="s">
        <v>4264</v>
      </c>
      <c r="C4123" s="929" t="s">
        <v>240</v>
      </c>
      <c r="D4123" s="925">
        <v>5955</v>
      </c>
      <c r="E4123" s="816">
        <v>1365</v>
      </c>
      <c r="F4123" s="816" t="s">
        <v>234</v>
      </c>
      <c r="G4123" s="816">
        <v>671</v>
      </c>
      <c r="H4123" s="926">
        <v>3</v>
      </c>
      <c r="I4123" s="926">
        <v>2</v>
      </c>
      <c r="J4123" s="926">
        <v>18</v>
      </c>
      <c r="K4123" s="898" t="s">
        <v>38</v>
      </c>
      <c r="L4123" s="519">
        <f>M4123+N4123+O4123+Q4123</f>
        <v>2236854</v>
      </c>
      <c r="M4123" s="816">
        <v>2200000</v>
      </c>
      <c r="N4123" s="816"/>
      <c r="O4123" s="473">
        <v>12826</v>
      </c>
      <c r="P4123" s="446"/>
      <c r="Q4123" s="388">
        <v>24028</v>
      </c>
      <c r="R4123" s="921"/>
      <c r="U4123" s="455"/>
    </row>
    <row r="4124" spans="1:22" s="403" customFormat="1" ht="37.5">
      <c r="A4124" s="404">
        <f t="shared" si="614"/>
        <v>13</v>
      </c>
      <c r="B4124" s="403" t="s">
        <v>4265</v>
      </c>
      <c r="C4124" s="929" t="s">
        <v>240</v>
      </c>
      <c r="D4124" s="925">
        <v>8650</v>
      </c>
      <c r="E4124" s="816">
        <v>1736</v>
      </c>
      <c r="F4124" s="816" t="s">
        <v>223</v>
      </c>
      <c r="G4124" s="816">
        <v>996</v>
      </c>
      <c r="H4124" s="926">
        <v>3</v>
      </c>
      <c r="I4124" s="926">
        <v>3</v>
      </c>
      <c r="J4124" s="926">
        <v>28</v>
      </c>
      <c r="K4124" s="898" t="s">
        <v>38</v>
      </c>
      <c r="L4124" s="519">
        <f>M4124+N4124+O4124+Q4124</f>
        <v>2903492</v>
      </c>
      <c r="M4124" s="816">
        <v>2860000</v>
      </c>
      <c r="N4124" s="816"/>
      <c r="O4124" s="473">
        <v>13492</v>
      </c>
      <c r="P4124" s="446"/>
      <c r="Q4124" s="388">
        <v>30000</v>
      </c>
      <c r="R4124" s="921"/>
      <c r="U4124" s="455"/>
    </row>
    <row r="4125" spans="1:22" s="403" customFormat="1" ht="37.5">
      <c r="A4125" s="404">
        <f t="shared" si="614"/>
        <v>14</v>
      </c>
      <c r="B4125" s="403" t="s">
        <v>2269</v>
      </c>
      <c r="C4125" s="929" t="s">
        <v>222</v>
      </c>
      <c r="D4125" s="925">
        <v>12080</v>
      </c>
      <c r="E4125" s="816">
        <v>2392.6999999999998</v>
      </c>
      <c r="F4125" s="816" t="s">
        <v>223</v>
      </c>
      <c r="G4125" s="816">
        <v>1187.5</v>
      </c>
      <c r="H4125" s="926">
        <v>3</v>
      </c>
      <c r="I4125" s="926">
        <v>4</v>
      </c>
      <c r="J4125" s="926">
        <v>29</v>
      </c>
      <c r="K4125" s="898" t="s">
        <v>38</v>
      </c>
      <c r="L4125" s="519">
        <f t="shared" ref="L4125:L4131" si="615">M4125+N4125+O4125+Q4125</f>
        <v>4026155</v>
      </c>
      <c r="M4125" s="816">
        <v>3982006</v>
      </c>
      <c r="N4125" s="816"/>
      <c r="O4125" s="473">
        <v>14149</v>
      </c>
      <c r="P4125" s="446"/>
      <c r="Q4125" s="388">
        <v>30000</v>
      </c>
      <c r="R4125" s="921"/>
      <c r="U4125" s="455"/>
    </row>
    <row r="4126" spans="1:22" s="403" customFormat="1" ht="39.75" customHeight="1">
      <c r="A4126" s="404">
        <f t="shared" si="614"/>
        <v>15</v>
      </c>
      <c r="B4126" s="403" t="s">
        <v>2268</v>
      </c>
      <c r="C4126" s="403" t="s">
        <v>222</v>
      </c>
      <c r="D4126" s="427">
        <v>6116</v>
      </c>
      <c r="E4126" s="388">
        <v>1010</v>
      </c>
      <c r="F4126" s="388" t="s">
        <v>223</v>
      </c>
      <c r="G4126" s="388">
        <f>15*36*1.3</f>
        <v>702</v>
      </c>
      <c r="H4126" s="446">
        <v>3</v>
      </c>
      <c r="I4126" s="446">
        <v>2</v>
      </c>
      <c r="J4126" s="446">
        <v>18</v>
      </c>
      <c r="K4126" s="458" t="s">
        <v>239</v>
      </c>
      <c r="L4126" s="519">
        <f t="shared" si="615"/>
        <v>555537</v>
      </c>
      <c r="M4126" s="388">
        <v>540000</v>
      </c>
      <c r="N4126" s="388"/>
      <c r="O4126" s="473"/>
      <c r="P4126" s="446"/>
      <c r="Q4126" s="388">
        <v>15537</v>
      </c>
      <c r="R4126" s="427"/>
      <c r="U4126" s="455"/>
    </row>
    <row r="4127" spans="1:22" s="403" customFormat="1" ht="39.75" customHeight="1">
      <c r="A4127" s="404">
        <f t="shared" si="614"/>
        <v>16</v>
      </c>
      <c r="B4127" s="403" t="s">
        <v>4338</v>
      </c>
      <c r="C4127" s="427" t="s">
        <v>240</v>
      </c>
      <c r="D4127" s="427">
        <v>17699</v>
      </c>
      <c r="E4127" s="769">
        <v>3960</v>
      </c>
      <c r="F4127" s="388" t="s">
        <v>231</v>
      </c>
      <c r="G4127" s="769">
        <v>1642.3</v>
      </c>
      <c r="H4127" s="777">
        <v>3</v>
      </c>
      <c r="I4127" s="777">
        <v>4</v>
      </c>
      <c r="J4127" s="778">
        <v>34</v>
      </c>
      <c r="K4127" s="504" t="s">
        <v>38</v>
      </c>
      <c r="L4127" s="519">
        <f t="shared" si="615"/>
        <v>6680000</v>
      </c>
      <c r="M4127" s="388">
        <v>6650000</v>
      </c>
      <c r="N4127" s="388"/>
      <c r="O4127" s="473"/>
      <c r="P4127" s="446"/>
      <c r="Q4127" s="388">
        <v>30000</v>
      </c>
      <c r="R4127" s="427"/>
      <c r="U4127" s="455"/>
    </row>
    <row r="4128" spans="1:22" s="403" customFormat="1" ht="39.75" customHeight="1">
      <c r="A4128" s="404">
        <f t="shared" si="614"/>
        <v>17</v>
      </c>
      <c r="B4128" s="403" t="s">
        <v>4339</v>
      </c>
      <c r="C4128" s="498" t="s">
        <v>240</v>
      </c>
      <c r="D4128" s="427">
        <v>8982</v>
      </c>
      <c r="E4128" s="388">
        <v>2470</v>
      </c>
      <c r="F4128" s="388" t="s">
        <v>223</v>
      </c>
      <c r="G4128" s="388">
        <v>1240</v>
      </c>
      <c r="H4128" s="446">
        <v>3</v>
      </c>
      <c r="I4128" s="446">
        <v>4</v>
      </c>
      <c r="J4128" s="446">
        <v>28</v>
      </c>
      <c r="K4128" s="458" t="s">
        <v>38</v>
      </c>
      <c r="L4128" s="519">
        <f t="shared" si="615"/>
        <v>4105000</v>
      </c>
      <c r="M4128" s="388">
        <v>4075000</v>
      </c>
      <c r="N4128" s="388"/>
      <c r="O4128" s="473"/>
      <c r="P4128" s="446"/>
      <c r="Q4128" s="388">
        <v>30000</v>
      </c>
      <c r="R4128" s="427"/>
      <c r="U4128" s="455"/>
    </row>
    <row r="4129" spans="1:21" s="403" customFormat="1" ht="39.75" customHeight="1">
      <c r="A4129" s="1113">
        <f t="shared" si="614"/>
        <v>18</v>
      </c>
      <c r="B4129" s="1169" t="s">
        <v>4335</v>
      </c>
      <c r="C4129" s="1171" t="s">
        <v>240</v>
      </c>
      <c r="D4129" s="1124">
        <v>5492</v>
      </c>
      <c r="E4129" s="1172">
        <v>1500</v>
      </c>
      <c r="F4129" s="1121" t="s">
        <v>231</v>
      </c>
      <c r="G4129" s="1121">
        <v>565</v>
      </c>
      <c r="H4129" s="1148">
        <v>3</v>
      </c>
      <c r="I4129" s="1148">
        <v>2</v>
      </c>
      <c r="J4129" s="1148">
        <v>18</v>
      </c>
      <c r="K4129" s="458" t="s">
        <v>38</v>
      </c>
      <c r="L4129" s="1129">
        <f>M4129+N4129+O4129+Q4129+M4130+N4130+O4130+Q4130</f>
        <v>4055789.6100000003</v>
      </c>
      <c r="M4129" s="388">
        <v>2500000</v>
      </c>
      <c r="N4129" s="388"/>
      <c r="O4129" s="473">
        <v>18673.16</v>
      </c>
      <c r="P4129" s="446"/>
      <c r="Q4129" s="388">
        <v>22160</v>
      </c>
      <c r="R4129" s="427"/>
      <c r="U4129" s="455"/>
    </row>
    <row r="4130" spans="1:21" s="403" customFormat="1" ht="39.75" customHeight="1">
      <c r="A4130" s="1113"/>
      <c r="B4130" s="1170"/>
      <c r="C4130" s="1171"/>
      <c r="D4130" s="1124"/>
      <c r="E4130" s="1172"/>
      <c r="F4130" s="1121"/>
      <c r="G4130" s="1121"/>
      <c r="H4130" s="1148"/>
      <c r="I4130" s="1148"/>
      <c r="J4130" s="1148"/>
      <c r="K4130" s="458" t="s">
        <v>33</v>
      </c>
      <c r="L4130" s="1129"/>
      <c r="M4130" s="388">
        <v>1469000</v>
      </c>
      <c r="N4130" s="388">
        <v>28766.45</v>
      </c>
      <c r="O4130" s="473"/>
      <c r="P4130" s="446"/>
      <c r="Q4130" s="388">
        <v>17190</v>
      </c>
      <c r="R4130" s="427"/>
      <c r="U4130" s="455"/>
    </row>
    <row r="4131" spans="1:21" s="403" customFormat="1" ht="39.75" customHeight="1">
      <c r="A4131" s="404">
        <v>19</v>
      </c>
      <c r="B4131" s="403" t="s">
        <v>4337</v>
      </c>
      <c r="C4131" s="403" t="s">
        <v>230</v>
      </c>
      <c r="D4131" s="427">
        <v>1372</v>
      </c>
      <c r="E4131" s="388">
        <v>310</v>
      </c>
      <c r="F4131" s="388" t="s">
        <v>4336</v>
      </c>
      <c r="G4131" s="388">
        <v>810.94</v>
      </c>
      <c r="H4131" s="446">
        <v>1</v>
      </c>
      <c r="I4131" s="446">
        <v>3</v>
      </c>
      <c r="J4131" s="446">
        <v>12</v>
      </c>
      <c r="K4131" s="458" t="s">
        <v>33</v>
      </c>
      <c r="L4131" s="519">
        <f t="shared" si="615"/>
        <v>2111783</v>
      </c>
      <c r="M4131" s="388">
        <v>2106000</v>
      </c>
      <c r="N4131" s="388"/>
      <c r="O4131" s="473"/>
      <c r="P4131" s="446"/>
      <c r="Q4131" s="388">
        <v>5783</v>
      </c>
      <c r="R4131" s="427"/>
      <c r="U4131" s="455"/>
    </row>
    <row r="4132" spans="1:21" s="403" customFormat="1" ht="42.75" customHeight="1">
      <c r="A4132" s="1112" t="s">
        <v>180</v>
      </c>
      <c r="B4132" s="1112"/>
      <c r="C4132" s="455" t="s">
        <v>28</v>
      </c>
      <c r="D4132" s="388">
        <f>SUM(D4110:D4131)</f>
        <v>307068</v>
      </c>
      <c r="E4132" s="388">
        <f>SUM(E4110:E4131)</f>
        <v>54144.399999999994</v>
      </c>
      <c r="F4132" s="388" t="s">
        <v>28</v>
      </c>
      <c r="G4132" s="388">
        <f>SUM(G4110:G4131)</f>
        <v>18676.739999999998</v>
      </c>
      <c r="H4132" s="446" t="s">
        <v>28</v>
      </c>
      <c r="I4132" s="446" t="s">
        <v>28</v>
      </c>
      <c r="J4132" s="446">
        <f>SUM(J4110:J4131)</f>
        <v>1108</v>
      </c>
      <c r="K4132" s="458" t="s">
        <v>28</v>
      </c>
      <c r="L4132" s="519">
        <f t="shared" ref="L4132:Q4132" si="616">SUM(L4110:L4131)</f>
        <v>72836538.609999999</v>
      </c>
      <c r="M4132" s="519">
        <f t="shared" si="616"/>
        <v>71609594</v>
      </c>
      <c r="N4132" s="388">
        <f t="shared" si="616"/>
        <v>717366.45</v>
      </c>
      <c r="O4132" s="473">
        <f t="shared" si="616"/>
        <v>120008.16</v>
      </c>
      <c r="P4132" s="388">
        <f t="shared" si="616"/>
        <v>0</v>
      </c>
      <c r="Q4132" s="388">
        <f t="shared" si="616"/>
        <v>389570</v>
      </c>
      <c r="R4132" s="446" t="s">
        <v>28</v>
      </c>
      <c r="S4132" s="383">
        <f>L4132-M4132-N4132-O4132-P4132-Q4132</f>
        <v>-5.8207660913467407E-10</v>
      </c>
      <c r="T4132" s="387" t="e">
        <f>'1.перечень МКД'!#REF!</f>
        <v>#REF!</v>
      </c>
      <c r="U4132" s="390" t="e">
        <f>L4132-T4132</f>
        <v>#REF!</v>
      </c>
    </row>
    <row r="4133" spans="1:21" s="403" customFormat="1" ht="42.75" customHeight="1">
      <c r="A4133" s="1113" t="s">
        <v>181</v>
      </c>
      <c r="B4133" s="1113"/>
      <c r="C4133" s="1113"/>
      <c r="D4133" s="1113"/>
      <c r="E4133" s="1113"/>
      <c r="F4133" s="1113"/>
      <c r="G4133" s="1113"/>
      <c r="H4133" s="1113"/>
      <c r="I4133" s="1113"/>
      <c r="J4133" s="1113"/>
      <c r="K4133" s="1113"/>
      <c r="L4133" s="1113"/>
      <c r="M4133" s="1113"/>
      <c r="N4133" s="1113"/>
      <c r="O4133" s="1113"/>
      <c r="P4133" s="1113"/>
      <c r="Q4133" s="1113"/>
      <c r="R4133" s="458"/>
      <c r="U4133" s="404"/>
    </row>
    <row r="4134" spans="1:21" s="403" customFormat="1" ht="37.5" customHeight="1">
      <c r="A4134" s="404">
        <v>1</v>
      </c>
      <c r="B4134" s="403" t="s">
        <v>3494</v>
      </c>
      <c r="C4134" s="455" t="s">
        <v>222</v>
      </c>
      <c r="D4134" s="446"/>
      <c r="E4134" s="388"/>
      <c r="F4134" s="388" t="s">
        <v>231</v>
      </c>
      <c r="G4134" s="388">
        <v>926</v>
      </c>
      <c r="H4134" s="446">
        <v>2</v>
      </c>
      <c r="I4134" s="446">
        <v>2</v>
      </c>
      <c r="J4134" s="446">
        <v>16</v>
      </c>
      <c r="K4134" s="389" t="s">
        <v>225</v>
      </c>
      <c r="L4134" s="519">
        <f>SUM(M4134:Q4134)</f>
        <v>383831</v>
      </c>
      <c r="M4134" s="519">
        <v>352000</v>
      </c>
      <c r="N4134" s="388">
        <v>28160</v>
      </c>
      <c r="O4134" s="473"/>
      <c r="P4134" s="388"/>
      <c r="Q4134" s="388">
        <v>3671</v>
      </c>
      <c r="R4134" s="528">
        <f>M4134/J4134</f>
        <v>22000</v>
      </c>
      <c r="U4134" s="404"/>
    </row>
    <row r="4135" spans="1:21" s="403" customFormat="1" ht="42.75" customHeight="1">
      <c r="A4135" s="1112" t="s">
        <v>182</v>
      </c>
      <c r="B4135" s="1112"/>
      <c r="C4135" s="679" t="s">
        <v>28</v>
      </c>
      <c r="D4135" s="388">
        <f>SUM(D4134)</f>
        <v>0</v>
      </c>
      <c r="E4135" s="388">
        <f>SUM(E4134)</f>
        <v>0</v>
      </c>
      <c r="F4135" s="388" t="s">
        <v>28</v>
      </c>
      <c r="G4135" s="388">
        <f>SUM(G4134)</f>
        <v>926</v>
      </c>
      <c r="H4135" s="446" t="s">
        <v>28</v>
      </c>
      <c r="I4135" s="446" t="s">
        <v>28</v>
      </c>
      <c r="J4135" s="446">
        <f>SUM(J4134)</f>
        <v>16</v>
      </c>
      <c r="K4135" s="458" t="s">
        <v>28</v>
      </c>
      <c r="L4135" s="519">
        <f>SUM(L4134)</f>
        <v>383831</v>
      </c>
      <c r="M4135" s="519">
        <f>SUM(M4134)</f>
        <v>352000</v>
      </c>
      <c r="N4135" s="388">
        <f>SUM(N4134)</f>
        <v>28160</v>
      </c>
      <c r="O4135" s="473"/>
      <c r="P4135" s="388">
        <f>SUM(P4134)</f>
        <v>0</v>
      </c>
      <c r="Q4135" s="388">
        <f>SUM(Q4134)</f>
        <v>3671</v>
      </c>
      <c r="R4135" s="446" t="s">
        <v>28</v>
      </c>
      <c r="S4135" s="383">
        <f>L4135-M4135-N4135-O4135-P4135-Q4135</f>
        <v>0</v>
      </c>
      <c r="T4135" s="387" t="e">
        <f>'1.перечень МКД'!#REF!</f>
        <v>#REF!</v>
      </c>
      <c r="U4135" s="390" t="e">
        <f>L4135-T4135</f>
        <v>#REF!</v>
      </c>
    </row>
    <row r="4136" spans="1:21" s="403" customFormat="1" ht="42.75" customHeight="1">
      <c r="A4136" s="1113" t="s">
        <v>183</v>
      </c>
      <c r="B4136" s="1113"/>
      <c r="C4136" s="1113"/>
      <c r="D4136" s="1113"/>
      <c r="E4136" s="1113"/>
      <c r="F4136" s="1113"/>
      <c r="G4136" s="1113"/>
      <c r="H4136" s="1113"/>
      <c r="I4136" s="1113"/>
      <c r="J4136" s="1113"/>
      <c r="K4136" s="1113"/>
      <c r="L4136" s="1113"/>
      <c r="M4136" s="1113"/>
      <c r="N4136" s="1113"/>
      <c r="O4136" s="1113"/>
      <c r="P4136" s="1113"/>
      <c r="Q4136" s="1113"/>
      <c r="R4136" s="458"/>
      <c r="U4136" s="404"/>
    </row>
    <row r="4137" spans="1:21" s="403" customFormat="1" ht="37.5" customHeight="1">
      <c r="A4137" s="404">
        <v>1</v>
      </c>
      <c r="B4137" s="403" t="s">
        <v>3172</v>
      </c>
      <c r="C4137" s="455" t="s">
        <v>306</v>
      </c>
      <c r="D4137" s="446">
        <v>3215</v>
      </c>
      <c r="E4137" s="388">
        <v>519.84</v>
      </c>
      <c r="F4137" s="388" t="s">
        <v>252</v>
      </c>
      <c r="G4137" s="388">
        <v>491.7</v>
      </c>
      <c r="H4137" s="446">
        <v>2</v>
      </c>
      <c r="I4137" s="446">
        <v>2</v>
      </c>
      <c r="J4137" s="446">
        <v>16</v>
      </c>
      <c r="K4137" s="389" t="s">
        <v>33</v>
      </c>
      <c r="L4137" s="519">
        <f>M4137+N4137+O4137+P4137+Q4137+M4138+N4138+O4138+P4138+Q4138</f>
        <v>1625152</v>
      </c>
      <c r="M4137" s="519">
        <v>1229250</v>
      </c>
      <c r="N4137" s="388">
        <v>30000</v>
      </c>
      <c r="O4137" s="473"/>
      <c r="P4137" s="388"/>
      <c r="Q4137" s="388">
        <v>15902</v>
      </c>
      <c r="R4137" s="446">
        <f>M4137/G4137</f>
        <v>2500</v>
      </c>
      <c r="U4137" s="404"/>
    </row>
    <row r="4138" spans="1:21" s="403" customFormat="1" ht="75" customHeight="1">
      <c r="A4138" s="404"/>
      <c r="C4138" s="455"/>
      <c r="D4138" s="446"/>
      <c r="E4138" s="388"/>
      <c r="F4138" s="388"/>
      <c r="G4138" s="388"/>
      <c r="H4138" s="446"/>
      <c r="I4138" s="446"/>
      <c r="J4138" s="446"/>
      <c r="K4138" s="389" t="s">
        <v>3610</v>
      </c>
      <c r="L4138" s="519"/>
      <c r="M4138" s="519">
        <v>300000</v>
      </c>
      <c r="N4138" s="388">
        <v>25000</v>
      </c>
      <c r="O4138" s="473"/>
      <c r="P4138" s="388"/>
      <c r="Q4138" s="388">
        <v>25000</v>
      </c>
      <c r="R4138" s="446">
        <f>M4138/G4137</f>
        <v>610.12812690665044</v>
      </c>
      <c r="U4138" s="404"/>
    </row>
    <row r="4139" spans="1:21" s="403" customFormat="1" ht="57.75" customHeight="1">
      <c r="A4139" s="404">
        <v>2</v>
      </c>
      <c r="B4139" s="403" t="s">
        <v>2274</v>
      </c>
      <c r="C4139" s="455" t="s">
        <v>306</v>
      </c>
      <c r="D4139" s="446">
        <v>2137</v>
      </c>
      <c r="E4139" s="388">
        <v>494.76</v>
      </c>
      <c r="F4139" s="388" t="s">
        <v>252</v>
      </c>
      <c r="G4139" s="388">
        <v>487.31</v>
      </c>
      <c r="H4139" s="446">
        <v>2</v>
      </c>
      <c r="I4139" s="446">
        <v>2</v>
      </c>
      <c r="J4139" s="446">
        <v>12</v>
      </c>
      <c r="K4139" s="389" t="s">
        <v>33</v>
      </c>
      <c r="L4139" s="1129">
        <f>M4139+N4139+O4139+P4139+Q4139+M4140+N4140+O4140+P4140+Q4140</f>
        <v>1607845</v>
      </c>
      <c r="M4139" s="519">
        <v>1218275</v>
      </c>
      <c r="N4139" s="388">
        <v>25000</v>
      </c>
      <c r="O4139" s="473"/>
      <c r="P4139" s="388"/>
      <c r="Q4139" s="388">
        <v>14570</v>
      </c>
      <c r="R4139" s="446">
        <f>M4139/G4139</f>
        <v>2500</v>
      </c>
      <c r="U4139" s="404"/>
    </row>
    <row r="4140" spans="1:21" s="403" customFormat="1" ht="75" customHeight="1">
      <c r="A4140" s="404"/>
      <c r="C4140" s="455"/>
      <c r="D4140" s="446"/>
      <c r="E4140" s="388"/>
      <c r="F4140" s="388"/>
      <c r="G4140" s="388"/>
      <c r="H4140" s="446"/>
      <c r="I4140" s="446"/>
      <c r="J4140" s="446"/>
      <c r="K4140" s="389" t="s">
        <v>3610</v>
      </c>
      <c r="L4140" s="1129"/>
      <c r="M4140" s="519">
        <v>300000</v>
      </c>
      <c r="N4140" s="388">
        <v>25000</v>
      </c>
      <c r="O4140" s="473"/>
      <c r="P4140" s="388"/>
      <c r="Q4140" s="388">
        <v>25000</v>
      </c>
      <c r="R4140" s="446">
        <f>M4140/G4139</f>
        <v>615.62455110709811</v>
      </c>
      <c r="U4140" s="404"/>
    </row>
    <row r="4141" spans="1:21" s="403" customFormat="1" ht="42.75" customHeight="1">
      <c r="A4141" s="1112" t="s">
        <v>184</v>
      </c>
      <c r="B4141" s="1112"/>
      <c r="C4141" s="455" t="s">
        <v>28</v>
      </c>
      <c r="D4141" s="388">
        <f>SUM(D4137:D4140)</f>
        <v>5352</v>
      </c>
      <c r="E4141" s="388">
        <f>SUM(E4137:E4140)</f>
        <v>1014.6</v>
      </c>
      <c r="F4141" s="388" t="s">
        <v>28</v>
      </c>
      <c r="G4141" s="388">
        <f>SUM(G4137:G4140)</f>
        <v>979.01</v>
      </c>
      <c r="H4141" s="446" t="s">
        <v>28</v>
      </c>
      <c r="I4141" s="446" t="s">
        <v>28</v>
      </c>
      <c r="J4141" s="446">
        <f>SUM(J4137:J4140)</f>
        <v>28</v>
      </c>
      <c r="K4141" s="458" t="s">
        <v>28</v>
      </c>
      <c r="L4141" s="519">
        <f t="shared" ref="L4141:Q4141" si="617">SUM(L4137:L4140)</f>
        <v>3232997</v>
      </c>
      <c r="M4141" s="519">
        <f t="shared" si="617"/>
        <v>3047525</v>
      </c>
      <c r="N4141" s="388">
        <f t="shared" si="617"/>
        <v>105000</v>
      </c>
      <c r="O4141" s="473">
        <f t="shared" si="617"/>
        <v>0</v>
      </c>
      <c r="P4141" s="388">
        <f t="shared" si="617"/>
        <v>0</v>
      </c>
      <c r="Q4141" s="388">
        <f t="shared" si="617"/>
        <v>80472</v>
      </c>
      <c r="R4141" s="446" t="s">
        <v>28</v>
      </c>
      <c r="S4141" s="383">
        <f>L4141-M4141-N4141-O4141-P4141-Q4141</f>
        <v>0</v>
      </c>
      <c r="T4141" s="387" t="e">
        <f>'1.перечень МКД'!#REF!</f>
        <v>#REF!</v>
      </c>
      <c r="U4141" s="390" t="e">
        <f>L4141-T4141</f>
        <v>#REF!</v>
      </c>
    </row>
    <row r="4142" spans="1:21" s="403" customFormat="1" ht="42.75" customHeight="1">
      <c r="A4142" s="1113" t="s">
        <v>185</v>
      </c>
      <c r="B4142" s="1113"/>
      <c r="C4142" s="1113"/>
      <c r="D4142" s="1113"/>
      <c r="E4142" s="1113"/>
      <c r="F4142" s="1113"/>
      <c r="G4142" s="1113"/>
      <c r="H4142" s="1113"/>
      <c r="I4142" s="1113"/>
      <c r="J4142" s="1113"/>
      <c r="K4142" s="1113"/>
      <c r="L4142" s="1113"/>
      <c r="M4142" s="1113"/>
      <c r="N4142" s="1113"/>
      <c r="O4142" s="1113"/>
      <c r="P4142" s="1113"/>
      <c r="Q4142" s="1113"/>
      <c r="R4142" s="458"/>
      <c r="U4142" s="404"/>
    </row>
    <row r="4143" spans="1:21" s="403" customFormat="1" ht="37.5">
      <c r="A4143" s="506">
        <v>1</v>
      </c>
      <c r="B4143" s="543" t="s">
        <v>4340</v>
      </c>
      <c r="C4143" s="455" t="s">
        <v>306</v>
      </c>
      <c r="D4143" s="455">
        <v>2081</v>
      </c>
      <c r="E4143" s="388">
        <v>365</v>
      </c>
      <c r="F4143" s="388" t="s">
        <v>317</v>
      </c>
      <c r="G4143" s="388">
        <v>452</v>
      </c>
      <c r="H4143" s="446">
        <v>2</v>
      </c>
      <c r="I4143" s="446">
        <v>2</v>
      </c>
      <c r="J4143" s="446">
        <v>8</v>
      </c>
      <c r="K4143" s="458" t="s">
        <v>339</v>
      </c>
      <c r="L4143" s="519">
        <f>M4143+N4143+O4143+P4143+Q4143</f>
        <v>104000</v>
      </c>
      <c r="M4143" s="519">
        <v>104000</v>
      </c>
      <c r="N4143" s="388"/>
      <c r="O4143" s="473"/>
      <c r="P4143" s="388"/>
      <c r="Q4143" s="388"/>
      <c r="R4143" s="446">
        <f>M4143/G4143</f>
        <v>230.08849557522123</v>
      </c>
      <c r="U4143" s="404"/>
    </row>
    <row r="4144" spans="1:21" s="403" customFormat="1" ht="38.25" customHeight="1">
      <c r="A4144" s="506">
        <f>A4143+1</f>
        <v>2</v>
      </c>
      <c r="B4144" s="543" t="s">
        <v>4341</v>
      </c>
      <c r="C4144" s="455" t="s">
        <v>306</v>
      </c>
      <c r="D4144" s="455">
        <v>2926</v>
      </c>
      <c r="E4144" s="388">
        <v>513.29999999999995</v>
      </c>
      <c r="F4144" s="388" t="s">
        <v>317</v>
      </c>
      <c r="G4144" s="388">
        <v>634</v>
      </c>
      <c r="H4144" s="446">
        <v>2</v>
      </c>
      <c r="I4144" s="446">
        <v>3</v>
      </c>
      <c r="J4144" s="446">
        <v>16</v>
      </c>
      <c r="K4144" s="458" t="s">
        <v>339</v>
      </c>
      <c r="L4144" s="519">
        <f>M4144+N4144+O4144+P4144+Q4144</f>
        <v>208000</v>
      </c>
      <c r="M4144" s="519">
        <v>208000</v>
      </c>
      <c r="N4144" s="388"/>
      <c r="O4144" s="473"/>
      <c r="P4144" s="388"/>
      <c r="Q4144" s="388"/>
      <c r="R4144" s="446"/>
      <c r="U4144" s="404"/>
    </row>
    <row r="4145" spans="1:22" s="403" customFormat="1" ht="36.75" customHeight="1">
      <c r="A4145" s="506">
        <f>A4144+1</f>
        <v>3</v>
      </c>
      <c r="B4145" s="543" t="s">
        <v>4342</v>
      </c>
      <c r="C4145" s="455" t="s">
        <v>306</v>
      </c>
      <c r="D4145" s="455">
        <v>2119</v>
      </c>
      <c r="E4145" s="388">
        <v>83.2</v>
      </c>
      <c r="F4145" s="388" t="s">
        <v>317</v>
      </c>
      <c r="G4145" s="388">
        <v>458</v>
      </c>
      <c r="H4145" s="446">
        <v>2</v>
      </c>
      <c r="I4145" s="446">
        <v>2</v>
      </c>
      <c r="J4145" s="446">
        <v>8</v>
      </c>
      <c r="K4145" s="458" t="s">
        <v>339</v>
      </c>
      <c r="L4145" s="519">
        <f>M4145+N4145+O4145+P4145+Q4145</f>
        <v>104000</v>
      </c>
      <c r="M4145" s="519">
        <v>104000</v>
      </c>
      <c r="N4145" s="388"/>
      <c r="O4145" s="473"/>
      <c r="P4145" s="388"/>
      <c r="Q4145" s="388"/>
      <c r="R4145" s="446"/>
      <c r="U4145" s="404"/>
    </row>
    <row r="4146" spans="1:22" s="403" customFormat="1" ht="42.75" customHeight="1">
      <c r="A4146" s="1112" t="s">
        <v>186</v>
      </c>
      <c r="B4146" s="1112"/>
      <c r="C4146" s="455" t="s">
        <v>28</v>
      </c>
      <c r="D4146" s="388">
        <f>SUM(D4143:D4145)</f>
        <v>7126</v>
      </c>
      <c r="E4146" s="388">
        <f>SUM(E4143:E4145)</f>
        <v>961.5</v>
      </c>
      <c r="F4146" s="388" t="s">
        <v>28</v>
      </c>
      <c r="G4146" s="388">
        <f>SUM(G4143:G4145)</f>
        <v>1544</v>
      </c>
      <c r="H4146" s="446" t="s">
        <v>28</v>
      </c>
      <c r="I4146" s="446" t="s">
        <v>28</v>
      </c>
      <c r="J4146" s="446">
        <f>SUM(J4143:J4145)</f>
        <v>32</v>
      </c>
      <c r="K4146" s="458" t="s">
        <v>28</v>
      </c>
      <c r="L4146" s="388">
        <f t="shared" ref="L4146:Q4146" si="618">SUM(L4143:L4145)</f>
        <v>416000</v>
      </c>
      <c r="M4146" s="388">
        <f t="shared" si="618"/>
        <v>416000</v>
      </c>
      <c r="N4146" s="388">
        <f t="shared" si="618"/>
        <v>0</v>
      </c>
      <c r="O4146" s="388">
        <f t="shared" si="618"/>
        <v>0</v>
      </c>
      <c r="P4146" s="388">
        <f t="shared" si="618"/>
        <v>0</v>
      </c>
      <c r="Q4146" s="388">
        <f t="shared" si="618"/>
        <v>0</v>
      </c>
      <c r="R4146" s="446" t="s">
        <v>28</v>
      </c>
      <c r="S4146" s="383">
        <f>L4146-M4146-N4146-O4146-P4146-Q4146</f>
        <v>0</v>
      </c>
      <c r="T4146" s="387" t="e">
        <f>'1.перечень МКД'!#REF!</f>
        <v>#REF!</v>
      </c>
      <c r="U4146" s="390" t="e">
        <f>L4146-T4146</f>
        <v>#REF!</v>
      </c>
    </row>
    <row r="4147" spans="1:22" s="403" customFormat="1" ht="42.75" customHeight="1">
      <c r="A4147" s="1113" t="s">
        <v>187</v>
      </c>
      <c r="B4147" s="1113"/>
      <c r="C4147" s="1113"/>
      <c r="D4147" s="1113"/>
      <c r="E4147" s="1113"/>
      <c r="F4147" s="1113"/>
      <c r="G4147" s="1113"/>
      <c r="H4147" s="1113"/>
      <c r="I4147" s="1113"/>
      <c r="J4147" s="1113"/>
      <c r="K4147" s="1113"/>
      <c r="L4147" s="1113"/>
      <c r="M4147" s="1113"/>
      <c r="N4147" s="1113"/>
      <c r="O4147" s="1113"/>
      <c r="P4147" s="1113"/>
      <c r="Q4147" s="1113"/>
      <c r="R4147" s="458"/>
      <c r="U4147" s="404"/>
    </row>
    <row r="4148" spans="1:22" s="403" customFormat="1" ht="51" customHeight="1">
      <c r="A4148" s="506">
        <v>1</v>
      </c>
      <c r="B4148" s="543" t="s">
        <v>2277</v>
      </c>
      <c r="C4148" s="531" t="s">
        <v>240</v>
      </c>
      <c r="D4148" s="455"/>
      <c r="E4148" s="388">
        <v>764.2</v>
      </c>
      <c r="F4148" s="388" t="s">
        <v>223</v>
      </c>
      <c r="G4148" s="388">
        <v>750</v>
      </c>
      <c r="H4148" s="446">
        <v>2</v>
      </c>
      <c r="I4148" s="446">
        <v>3</v>
      </c>
      <c r="J4148" s="446">
        <v>41</v>
      </c>
      <c r="K4148" s="458" t="s">
        <v>38</v>
      </c>
      <c r="L4148" s="519">
        <f>M4148+N4148+O4148+P4148+Q4148</f>
        <v>1179739</v>
      </c>
      <c r="M4148" s="677">
        <v>1146300</v>
      </c>
      <c r="N4148" s="675"/>
      <c r="O4148" s="678">
        <v>3439</v>
      </c>
      <c r="P4148" s="675"/>
      <c r="Q4148" s="388">
        <v>30000</v>
      </c>
      <c r="R4148" s="528">
        <f>M4148/E4148</f>
        <v>1500</v>
      </c>
      <c r="U4148" s="404"/>
      <c r="V4148" s="390"/>
    </row>
    <row r="4149" spans="1:22" s="403" customFormat="1" ht="42.75" customHeight="1">
      <c r="A4149" s="1112" t="s">
        <v>188</v>
      </c>
      <c r="B4149" s="1112"/>
      <c r="C4149" s="455" t="s">
        <v>28</v>
      </c>
      <c r="D4149" s="388">
        <f>D4148</f>
        <v>0</v>
      </c>
      <c r="E4149" s="388">
        <f>E4148</f>
        <v>764.2</v>
      </c>
      <c r="F4149" s="388" t="s">
        <v>28</v>
      </c>
      <c r="G4149" s="388">
        <f>G4148</f>
        <v>750</v>
      </c>
      <c r="H4149" s="446" t="s">
        <v>28</v>
      </c>
      <c r="I4149" s="446" t="s">
        <v>28</v>
      </c>
      <c r="J4149" s="446">
        <f>J4148</f>
        <v>41</v>
      </c>
      <c r="K4149" s="458" t="s">
        <v>28</v>
      </c>
      <c r="L4149" s="519">
        <f t="shared" ref="L4149:Q4149" si="619">L4148</f>
        <v>1179739</v>
      </c>
      <c r="M4149" s="519">
        <f t="shared" si="619"/>
        <v>1146300</v>
      </c>
      <c r="N4149" s="388">
        <f t="shared" si="619"/>
        <v>0</v>
      </c>
      <c r="O4149" s="473">
        <f t="shared" si="619"/>
        <v>3439</v>
      </c>
      <c r="P4149" s="388">
        <f t="shared" si="619"/>
        <v>0</v>
      </c>
      <c r="Q4149" s="388">
        <f t="shared" si="619"/>
        <v>30000</v>
      </c>
      <c r="R4149" s="446" t="s">
        <v>28</v>
      </c>
      <c r="S4149" s="383">
        <f>L4149-M4149-N4149-O4149-P4149-Q4149</f>
        <v>0</v>
      </c>
      <c r="T4149" s="387" t="e">
        <f>'1.перечень МКД'!#REF!</f>
        <v>#REF!</v>
      </c>
      <c r="U4149" s="390" t="e">
        <f>L4149-T4149</f>
        <v>#REF!</v>
      </c>
    </row>
    <row r="4150" spans="1:22" s="403" customFormat="1" ht="42.75" customHeight="1">
      <c r="A4150" s="1113" t="s">
        <v>189</v>
      </c>
      <c r="B4150" s="1113"/>
      <c r="C4150" s="1113"/>
      <c r="D4150" s="1113"/>
      <c r="E4150" s="1113"/>
      <c r="F4150" s="1113"/>
      <c r="G4150" s="1113"/>
      <c r="H4150" s="1113"/>
      <c r="I4150" s="1113"/>
      <c r="J4150" s="1113"/>
      <c r="K4150" s="1113"/>
      <c r="L4150" s="1113"/>
      <c r="M4150" s="1113"/>
      <c r="N4150" s="1113"/>
      <c r="O4150" s="1113"/>
      <c r="P4150" s="1113"/>
      <c r="Q4150" s="1113"/>
      <c r="R4150" s="458"/>
      <c r="U4150" s="404"/>
    </row>
    <row r="4151" spans="1:22" s="403" customFormat="1" ht="37.5">
      <c r="A4151" s="404">
        <v>1</v>
      </c>
      <c r="B4151" s="403" t="s">
        <v>3178</v>
      </c>
      <c r="C4151" s="780" t="s">
        <v>222</v>
      </c>
      <c r="D4151" s="780">
        <v>39800</v>
      </c>
      <c r="E4151" s="781">
        <v>6641</v>
      </c>
      <c r="F4151" s="781" t="s">
        <v>234</v>
      </c>
      <c r="G4151" s="388">
        <v>1623</v>
      </c>
      <c r="H4151" s="446">
        <v>9</v>
      </c>
      <c r="I4151" s="446">
        <v>3</v>
      </c>
      <c r="J4151" s="446">
        <v>163</v>
      </c>
      <c r="K4151" s="458" t="s">
        <v>220</v>
      </c>
      <c r="L4151" s="519">
        <f>M4151+N4151+O4151+Q4151</f>
        <v>6127500</v>
      </c>
      <c r="M4151" s="853">
        <v>6000000</v>
      </c>
      <c r="N4151" s="794">
        <f>85000*1.5</f>
        <v>127500</v>
      </c>
      <c r="O4151" s="795"/>
      <c r="P4151" s="794"/>
      <c r="Q4151" s="388"/>
      <c r="R4151" s="796">
        <v>2000000</v>
      </c>
      <c r="S4151" s="383">
        <f t="shared" ref="S4151:S4178" si="620">L4151-M4151-N4151-O4151-P4151-Q4151</f>
        <v>0</v>
      </c>
      <c r="U4151" s="404"/>
      <c r="V4151" s="390"/>
    </row>
    <row r="4152" spans="1:22" s="403" customFormat="1" ht="37.5">
      <c r="A4152" s="404">
        <f>A4151+1</f>
        <v>2</v>
      </c>
      <c r="B4152" s="403" t="s">
        <v>3180</v>
      </c>
      <c r="C4152" s="780" t="s">
        <v>218</v>
      </c>
      <c r="D4152" s="780">
        <v>24196</v>
      </c>
      <c r="E4152" s="781">
        <v>4365.5</v>
      </c>
      <c r="F4152" s="781" t="s">
        <v>234</v>
      </c>
      <c r="G4152" s="388">
        <v>1100</v>
      </c>
      <c r="H4152" s="446">
        <v>9</v>
      </c>
      <c r="I4152" s="446">
        <v>3</v>
      </c>
      <c r="J4152" s="446">
        <v>108</v>
      </c>
      <c r="K4152" s="458" t="s">
        <v>220</v>
      </c>
      <c r="L4152" s="519">
        <f t="shared" ref="L4152:L4173" si="621">M4152+N4152+O4152+Q4152</f>
        <v>6127500</v>
      </c>
      <c r="M4152" s="853">
        <v>6000000</v>
      </c>
      <c r="N4152" s="794">
        <f>85000*1.5</f>
        <v>127500</v>
      </c>
      <c r="O4152" s="795"/>
      <c r="P4152" s="794"/>
      <c r="Q4152" s="388"/>
      <c r="R4152" s="796">
        <v>2000000</v>
      </c>
      <c r="S4152" s="383">
        <f t="shared" si="620"/>
        <v>0</v>
      </c>
      <c r="U4152" s="404"/>
      <c r="V4152" s="390"/>
    </row>
    <row r="4153" spans="1:22" s="403" customFormat="1" ht="37.5">
      <c r="A4153" s="404">
        <f t="shared" ref="A4153:A4178" si="622">A4152+1</f>
        <v>3</v>
      </c>
      <c r="B4153" s="403" t="s">
        <v>3181</v>
      </c>
      <c r="C4153" s="780" t="s">
        <v>218</v>
      </c>
      <c r="D4153" s="780">
        <v>41800</v>
      </c>
      <c r="E4153" s="781">
        <v>6831.85</v>
      </c>
      <c r="F4153" s="781" t="s">
        <v>234</v>
      </c>
      <c r="G4153" s="388">
        <v>1740</v>
      </c>
      <c r="H4153" s="446">
        <v>9</v>
      </c>
      <c r="I4153" s="446">
        <v>5</v>
      </c>
      <c r="J4153" s="446">
        <v>197</v>
      </c>
      <c r="K4153" s="458" t="s">
        <v>220</v>
      </c>
      <c r="L4153" s="519">
        <f t="shared" si="621"/>
        <v>10170000</v>
      </c>
      <c r="M4153" s="853">
        <v>10000000</v>
      </c>
      <c r="N4153" s="794">
        <f>85000*2</f>
        <v>170000</v>
      </c>
      <c r="O4153" s="795"/>
      <c r="P4153" s="794"/>
      <c r="Q4153" s="388"/>
      <c r="R4153" s="796">
        <v>2000000</v>
      </c>
      <c r="S4153" s="383">
        <f t="shared" si="620"/>
        <v>0</v>
      </c>
      <c r="U4153" s="404"/>
      <c r="V4153" s="390"/>
    </row>
    <row r="4154" spans="1:22" s="403" customFormat="1" ht="56.25">
      <c r="A4154" s="404">
        <f t="shared" si="622"/>
        <v>4</v>
      </c>
      <c r="B4154" s="403" t="s">
        <v>3182</v>
      </c>
      <c r="C4154" s="780" t="s">
        <v>218</v>
      </c>
      <c r="D4154" s="780">
        <v>31503</v>
      </c>
      <c r="E4154" s="781">
        <v>5234.1000000000004</v>
      </c>
      <c r="F4154" s="781" t="s">
        <v>234</v>
      </c>
      <c r="G4154" s="388">
        <v>1304.5</v>
      </c>
      <c r="H4154" s="446">
        <v>9</v>
      </c>
      <c r="I4154" s="446">
        <v>2</v>
      </c>
      <c r="J4154" s="446">
        <v>198</v>
      </c>
      <c r="K4154" s="458" t="s">
        <v>345</v>
      </c>
      <c r="L4154" s="519">
        <f t="shared" si="621"/>
        <v>2085000</v>
      </c>
      <c r="M4154" s="853">
        <v>2000000</v>
      </c>
      <c r="N4154" s="794">
        <v>85000</v>
      </c>
      <c r="O4154" s="795"/>
      <c r="P4154" s="794"/>
      <c r="Q4154" s="388"/>
      <c r="R4154" s="796">
        <v>2000000</v>
      </c>
      <c r="S4154" s="383">
        <f t="shared" si="620"/>
        <v>0</v>
      </c>
      <c r="U4154" s="404"/>
      <c r="V4154" s="390"/>
    </row>
    <row r="4155" spans="1:22" s="403" customFormat="1" ht="37.5">
      <c r="A4155" s="404">
        <f t="shared" si="622"/>
        <v>5</v>
      </c>
      <c r="B4155" s="403" t="s">
        <v>3186</v>
      </c>
      <c r="C4155" s="780" t="s">
        <v>222</v>
      </c>
      <c r="D4155" s="780">
        <v>18600</v>
      </c>
      <c r="E4155" s="781">
        <v>3752</v>
      </c>
      <c r="F4155" s="781" t="s">
        <v>234</v>
      </c>
      <c r="G4155" s="388">
        <v>719</v>
      </c>
      <c r="H4155" s="446">
        <v>9</v>
      </c>
      <c r="I4155" s="446">
        <v>1</v>
      </c>
      <c r="J4155" s="446">
        <v>40</v>
      </c>
      <c r="K4155" s="458" t="s">
        <v>220</v>
      </c>
      <c r="L4155" s="519">
        <f t="shared" si="621"/>
        <v>2085000</v>
      </c>
      <c r="M4155" s="853">
        <v>2000000</v>
      </c>
      <c r="N4155" s="794">
        <v>85000</v>
      </c>
      <c r="O4155" s="795"/>
      <c r="P4155" s="794"/>
      <c r="Q4155" s="388"/>
      <c r="R4155" s="796">
        <v>2000000</v>
      </c>
      <c r="S4155" s="383">
        <f t="shared" si="620"/>
        <v>0</v>
      </c>
      <c r="U4155" s="404"/>
      <c r="V4155" s="390"/>
    </row>
    <row r="4156" spans="1:22" s="403" customFormat="1" ht="37.5">
      <c r="A4156" s="404">
        <f t="shared" si="622"/>
        <v>6</v>
      </c>
      <c r="B4156" s="403" t="s">
        <v>3187</v>
      </c>
      <c r="C4156" s="780" t="s">
        <v>218</v>
      </c>
      <c r="D4156" s="780">
        <v>16800</v>
      </c>
      <c r="E4156" s="781">
        <v>3224</v>
      </c>
      <c r="F4156" s="781" t="s">
        <v>234</v>
      </c>
      <c r="G4156" s="388">
        <v>630</v>
      </c>
      <c r="H4156" s="446">
        <v>9</v>
      </c>
      <c r="I4156" s="446">
        <v>2</v>
      </c>
      <c r="J4156" s="446">
        <v>72</v>
      </c>
      <c r="K4156" s="458" t="s">
        <v>220</v>
      </c>
      <c r="L4156" s="519">
        <f t="shared" si="621"/>
        <v>4106250</v>
      </c>
      <c r="M4156" s="853">
        <v>4000000</v>
      </c>
      <c r="N4156" s="794">
        <v>106250</v>
      </c>
      <c r="O4156" s="795"/>
      <c r="P4156" s="794"/>
      <c r="Q4156" s="388"/>
      <c r="R4156" s="796">
        <v>2000000</v>
      </c>
      <c r="S4156" s="383">
        <f t="shared" si="620"/>
        <v>0</v>
      </c>
      <c r="U4156" s="404"/>
      <c r="V4156" s="390"/>
    </row>
    <row r="4157" spans="1:22" s="403" customFormat="1" ht="37.5">
      <c r="A4157" s="404">
        <f t="shared" si="622"/>
        <v>7</v>
      </c>
      <c r="B4157" s="403" t="s">
        <v>3188</v>
      </c>
      <c r="C4157" s="780" t="s">
        <v>218</v>
      </c>
      <c r="D4157" s="780">
        <v>16800</v>
      </c>
      <c r="E4157" s="781">
        <v>3224</v>
      </c>
      <c r="F4157" s="781" t="s">
        <v>234</v>
      </c>
      <c r="G4157" s="388">
        <v>630</v>
      </c>
      <c r="H4157" s="446">
        <v>9</v>
      </c>
      <c r="I4157" s="446">
        <v>2</v>
      </c>
      <c r="J4157" s="446">
        <v>72</v>
      </c>
      <c r="K4157" s="458" t="s">
        <v>220</v>
      </c>
      <c r="L4157" s="519">
        <f t="shared" si="621"/>
        <v>4106250</v>
      </c>
      <c r="M4157" s="853">
        <v>4000000</v>
      </c>
      <c r="N4157" s="794">
        <v>106250</v>
      </c>
      <c r="O4157" s="795"/>
      <c r="P4157" s="794"/>
      <c r="Q4157" s="388"/>
      <c r="R4157" s="796">
        <v>2000000</v>
      </c>
      <c r="S4157" s="383">
        <f t="shared" si="620"/>
        <v>0</v>
      </c>
      <c r="U4157" s="404"/>
      <c r="V4157" s="390"/>
    </row>
    <row r="4158" spans="1:22" s="403" customFormat="1" ht="48.75" customHeight="1">
      <c r="A4158" s="404">
        <f t="shared" si="622"/>
        <v>8</v>
      </c>
      <c r="B4158" s="403" t="s">
        <v>4348</v>
      </c>
      <c r="C4158" s="780" t="s">
        <v>218</v>
      </c>
      <c r="D4158" s="780">
        <v>43422</v>
      </c>
      <c r="E4158" s="781">
        <v>7338.6</v>
      </c>
      <c r="F4158" s="781" t="s">
        <v>234</v>
      </c>
      <c r="G4158" s="388">
        <v>2227.5</v>
      </c>
      <c r="H4158" s="446">
        <v>9</v>
      </c>
      <c r="I4158" s="446">
        <v>5</v>
      </c>
      <c r="J4158" s="446">
        <v>188</v>
      </c>
      <c r="K4158" s="458" t="s">
        <v>220</v>
      </c>
      <c r="L4158" s="519">
        <f t="shared" si="621"/>
        <v>10170000</v>
      </c>
      <c r="M4158" s="853">
        <v>10000000</v>
      </c>
      <c r="N4158" s="794">
        <v>170000</v>
      </c>
      <c r="O4158" s="795"/>
      <c r="P4158" s="794"/>
      <c r="Q4158" s="388"/>
      <c r="R4158" s="796"/>
      <c r="S4158" s="383">
        <f t="shared" si="620"/>
        <v>0</v>
      </c>
      <c r="U4158" s="404"/>
      <c r="V4158" s="390"/>
    </row>
    <row r="4159" spans="1:22" s="403" customFormat="1" ht="37.5">
      <c r="A4159" s="404">
        <f t="shared" si="622"/>
        <v>9</v>
      </c>
      <c r="B4159" s="403" t="s">
        <v>3174</v>
      </c>
      <c r="C4159" s="780" t="s">
        <v>240</v>
      </c>
      <c r="D4159" s="780">
        <v>3953</v>
      </c>
      <c r="E4159" s="781">
        <v>760</v>
      </c>
      <c r="F4159" s="781" t="s">
        <v>223</v>
      </c>
      <c r="G4159" s="388">
        <v>593</v>
      </c>
      <c r="H4159" s="446">
        <v>2</v>
      </c>
      <c r="I4159" s="446">
        <v>2</v>
      </c>
      <c r="J4159" s="446">
        <v>12</v>
      </c>
      <c r="K4159" s="458" t="s">
        <v>308</v>
      </c>
      <c r="L4159" s="519">
        <f t="shared" si="621"/>
        <v>1699878</v>
      </c>
      <c r="M4159" s="853">
        <v>1660400</v>
      </c>
      <c r="N4159" s="794">
        <v>19925</v>
      </c>
      <c r="O4159" s="795"/>
      <c r="P4159" s="794"/>
      <c r="Q4159" s="388">
        <v>19553</v>
      </c>
      <c r="R4159" s="796">
        <f>M4159/G4159</f>
        <v>2800</v>
      </c>
      <c r="S4159" s="383">
        <f t="shared" si="620"/>
        <v>0</v>
      </c>
      <c r="U4159" s="404"/>
    </row>
    <row r="4160" spans="1:22" s="403" customFormat="1" ht="37.5">
      <c r="A4160" s="404">
        <f t="shared" si="622"/>
        <v>10</v>
      </c>
      <c r="B4160" s="403" t="s">
        <v>3175</v>
      </c>
      <c r="C4160" s="780" t="s">
        <v>240</v>
      </c>
      <c r="D4160" s="780">
        <v>3953</v>
      </c>
      <c r="E4160" s="781">
        <v>760</v>
      </c>
      <c r="F4160" s="781" t="s">
        <v>223</v>
      </c>
      <c r="G4160" s="388">
        <v>593</v>
      </c>
      <c r="H4160" s="446">
        <v>2</v>
      </c>
      <c r="I4160" s="446">
        <v>2</v>
      </c>
      <c r="J4160" s="446">
        <v>12</v>
      </c>
      <c r="K4160" s="458" t="s">
        <v>308</v>
      </c>
      <c r="L4160" s="519">
        <f t="shared" si="621"/>
        <v>1699878</v>
      </c>
      <c r="M4160" s="853">
        <v>1660400</v>
      </c>
      <c r="N4160" s="794">
        <v>19925</v>
      </c>
      <c r="O4160" s="795"/>
      <c r="P4160" s="794"/>
      <c r="Q4160" s="388">
        <v>19553</v>
      </c>
      <c r="R4160" s="796">
        <f>M4160/G4160</f>
        <v>2800</v>
      </c>
      <c r="S4160" s="383">
        <f t="shared" si="620"/>
        <v>0</v>
      </c>
      <c r="U4160" s="404"/>
    </row>
    <row r="4161" spans="1:22" s="403" customFormat="1" ht="37.5" customHeight="1">
      <c r="A4161" s="404">
        <f t="shared" si="622"/>
        <v>11</v>
      </c>
      <c r="B4161" s="403" t="s">
        <v>3176</v>
      </c>
      <c r="C4161" s="780" t="s">
        <v>240</v>
      </c>
      <c r="D4161" s="780">
        <v>3953</v>
      </c>
      <c r="E4161" s="781">
        <v>1160</v>
      </c>
      <c r="F4161" s="781" t="s">
        <v>223</v>
      </c>
      <c r="G4161" s="388">
        <v>593</v>
      </c>
      <c r="H4161" s="446">
        <v>2</v>
      </c>
      <c r="I4161" s="446">
        <v>2</v>
      </c>
      <c r="J4161" s="446">
        <v>12</v>
      </c>
      <c r="K4161" s="458" t="s">
        <v>38</v>
      </c>
      <c r="L4161" s="519">
        <f t="shared" si="621"/>
        <v>1931165</v>
      </c>
      <c r="M4161" s="853">
        <v>1900000</v>
      </c>
      <c r="N4161" s="794"/>
      <c r="O4161" s="795">
        <v>5700</v>
      </c>
      <c r="P4161" s="794"/>
      <c r="Q4161" s="388">
        <v>25465</v>
      </c>
      <c r="R4161" s="528">
        <f>M4161/E4161</f>
        <v>1637.9310344827586</v>
      </c>
      <c r="S4161" s="383">
        <f t="shared" si="620"/>
        <v>0</v>
      </c>
      <c r="U4161" s="404"/>
    </row>
    <row r="4162" spans="1:22" s="403" customFormat="1" ht="37.5">
      <c r="A4162" s="404">
        <f t="shared" si="622"/>
        <v>12</v>
      </c>
      <c r="B4162" s="403" t="s">
        <v>3177</v>
      </c>
      <c r="C4162" s="780" t="s">
        <v>222</v>
      </c>
      <c r="D4162" s="780">
        <v>15372</v>
      </c>
      <c r="E4162" s="781">
        <v>2829</v>
      </c>
      <c r="F4162" s="781" t="s">
        <v>234</v>
      </c>
      <c r="G4162" s="388">
        <v>1223</v>
      </c>
      <c r="H4162" s="446">
        <v>5</v>
      </c>
      <c r="I4162" s="446">
        <v>6</v>
      </c>
      <c r="J4162" s="446">
        <v>80</v>
      </c>
      <c r="K4162" s="458" t="s">
        <v>308</v>
      </c>
      <c r="L4162" s="519">
        <f t="shared" si="621"/>
        <v>2841339</v>
      </c>
      <c r="M4162" s="853">
        <v>2812900</v>
      </c>
      <c r="N4162" s="794"/>
      <c r="O4162" s="795">
        <v>8439</v>
      </c>
      <c r="P4162" s="794"/>
      <c r="Q4162" s="388">
        <v>20000</v>
      </c>
      <c r="R4162" s="796">
        <f>M4162/G4162</f>
        <v>2300</v>
      </c>
      <c r="S4162" s="383">
        <f t="shared" si="620"/>
        <v>0</v>
      </c>
      <c r="U4162" s="404"/>
    </row>
    <row r="4163" spans="1:22" s="403" customFormat="1" ht="37.5">
      <c r="A4163" s="404">
        <f t="shared" si="622"/>
        <v>13</v>
      </c>
      <c r="B4163" s="403" t="s">
        <v>3179</v>
      </c>
      <c r="C4163" s="780" t="s">
        <v>222</v>
      </c>
      <c r="D4163" s="780">
        <v>31542</v>
      </c>
      <c r="E4163" s="781">
        <v>5028</v>
      </c>
      <c r="F4163" s="781" t="s">
        <v>234</v>
      </c>
      <c r="G4163" s="388">
        <v>2454</v>
      </c>
      <c r="H4163" s="446">
        <v>5</v>
      </c>
      <c r="I4163" s="446">
        <v>10</v>
      </c>
      <c r="J4163" s="446">
        <v>121</v>
      </c>
      <c r="K4163" s="458" t="s">
        <v>308</v>
      </c>
      <c r="L4163" s="519">
        <f t="shared" si="621"/>
        <v>5681133</v>
      </c>
      <c r="M4163" s="853">
        <v>5644200</v>
      </c>
      <c r="N4163" s="794"/>
      <c r="O4163" s="795">
        <v>16933</v>
      </c>
      <c r="P4163" s="794"/>
      <c r="Q4163" s="388">
        <v>20000</v>
      </c>
      <c r="R4163" s="796">
        <f>M4163/G4163</f>
        <v>2300</v>
      </c>
      <c r="S4163" s="383">
        <f t="shared" si="620"/>
        <v>0</v>
      </c>
      <c r="U4163" s="404"/>
    </row>
    <row r="4164" spans="1:22" s="403" customFormat="1" ht="37.5">
      <c r="A4164" s="404">
        <f t="shared" si="622"/>
        <v>14</v>
      </c>
      <c r="B4164" s="403" t="s">
        <v>1334</v>
      </c>
      <c r="C4164" s="780" t="s">
        <v>222</v>
      </c>
      <c r="D4164" s="780">
        <v>14999</v>
      </c>
      <c r="E4164" s="781">
        <v>2724</v>
      </c>
      <c r="F4164" s="781" t="s">
        <v>234</v>
      </c>
      <c r="G4164" s="388">
        <v>805</v>
      </c>
      <c r="H4164" s="446">
        <v>9</v>
      </c>
      <c r="I4164" s="446">
        <v>3</v>
      </c>
      <c r="J4164" s="446">
        <v>75</v>
      </c>
      <c r="K4164" s="458" t="s">
        <v>308</v>
      </c>
      <c r="L4164" s="519">
        <f t="shared" si="621"/>
        <v>2257693</v>
      </c>
      <c r="M4164" s="853">
        <v>2231000</v>
      </c>
      <c r="N4164" s="794"/>
      <c r="O4164" s="795">
        <v>6693</v>
      </c>
      <c r="P4164" s="794"/>
      <c r="Q4164" s="388">
        <v>20000</v>
      </c>
      <c r="R4164" s="796">
        <f>M4164/G4164</f>
        <v>2771.4285714285716</v>
      </c>
      <c r="S4164" s="383">
        <f t="shared" si="620"/>
        <v>0</v>
      </c>
      <c r="U4164" s="404"/>
    </row>
    <row r="4165" spans="1:22" s="403" customFormat="1" ht="37.5">
      <c r="A4165" s="404">
        <f t="shared" si="622"/>
        <v>15</v>
      </c>
      <c r="B4165" s="403" t="s">
        <v>2284</v>
      </c>
      <c r="C4165" s="780" t="s">
        <v>222</v>
      </c>
      <c r="D4165" s="780">
        <v>18459</v>
      </c>
      <c r="E4165" s="781">
        <v>3960</v>
      </c>
      <c r="F4165" s="781" t="s">
        <v>234</v>
      </c>
      <c r="G4165" s="388">
        <v>692</v>
      </c>
      <c r="H4165" s="446">
        <v>9</v>
      </c>
      <c r="I4165" s="446">
        <v>2</v>
      </c>
      <c r="J4165" s="446">
        <v>63</v>
      </c>
      <c r="K4165" s="458" t="s">
        <v>308</v>
      </c>
      <c r="L4165" s="519">
        <f t="shared" si="621"/>
        <v>2096210</v>
      </c>
      <c r="M4165" s="853">
        <v>2070000</v>
      </c>
      <c r="N4165" s="794"/>
      <c r="O4165" s="795">
        <v>6210</v>
      </c>
      <c r="P4165" s="794"/>
      <c r="Q4165" s="388">
        <v>20000</v>
      </c>
      <c r="R4165" s="796">
        <f>M4165/G4165</f>
        <v>2991.3294797687863</v>
      </c>
      <c r="S4165" s="383">
        <f t="shared" si="620"/>
        <v>0</v>
      </c>
      <c r="U4165" s="404"/>
    </row>
    <row r="4166" spans="1:22" s="403" customFormat="1" ht="37.5">
      <c r="A4166" s="404">
        <f t="shared" si="622"/>
        <v>16</v>
      </c>
      <c r="B4166" s="403" t="s">
        <v>3183</v>
      </c>
      <c r="C4166" s="780" t="s">
        <v>222</v>
      </c>
      <c r="D4166" s="780">
        <v>8500</v>
      </c>
      <c r="E4166" s="781">
        <v>1768.4</v>
      </c>
      <c r="F4166" s="781" t="s">
        <v>229</v>
      </c>
      <c r="G4166" s="388">
        <v>1055.3</v>
      </c>
      <c r="H4166" s="446">
        <v>3</v>
      </c>
      <c r="I4166" s="446">
        <v>3</v>
      </c>
      <c r="J4166" s="446">
        <v>26</v>
      </c>
      <c r="K4166" s="458" t="s">
        <v>225</v>
      </c>
      <c r="L4166" s="519">
        <f t="shared" si="621"/>
        <v>585915</v>
      </c>
      <c r="M4166" s="853">
        <v>572000</v>
      </c>
      <c r="N4166" s="794">
        <v>6864</v>
      </c>
      <c r="O4166" s="795"/>
      <c r="P4166" s="794"/>
      <c r="Q4166" s="388">
        <v>7051</v>
      </c>
      <c r="R4166" s="796">
        <f>M4166/J4166</f>
        <v>22000</v>
      </c>
      <c r="S4166" s="383">
        <f t="shared" si="620"/>
        <v>0</v>
      </c>
      <c r="U4166" s="404"/>
    </row>
    <row r="4167" spans="1:22" s="403" customFormat="1" ht="56.25" customHeight="1">
      <c r="A4167" s="404">
        <f t="shared" si="622"/>
        <v>17</v>
      </c>
      <c r="B4167" s="403" t="s">
        <v>3184</v>
      </c>
      <c r="C4167" s="780" t="s">
        <v>222</v>
      </c>
      <c r="D4167" s="780">
        <v>9737</v>
      </c>
      <c r="E4167" s="781">
        <v>1775</v>
      </c>
      <c r="F4167" s="781" t="s">
        <v>223</v>
      </c>
      <c r="G4167" s="388">
        <v>964</v>
      </c>
      <c r="H4167" s="446">
        <v>5</v>
      </c>
      <c r="I4167" s="446">
        <v>3</v>
      </c>
      <c r="J4167" s="446">
        <v>50</v>
      </c>
      <c r="K4167" s="458" t="s">
        <v>30</v>
      </c>
      <c r="L4167" s="519">
        <f t="shared" si="621"/>
        <v>1381828</v>
      </c>
      <c r="M4167" s="853">
        <v>1350000</v>
      </c>
      <c r="N4167" s="794"/>
      <c r="O4167" s="795">
        <v>4050</v>
      </c>
      <c r="P4167" s="794"/>
      <c r="Q4167" s="388">
        <v>27778</v>
      </c>
      <c r="R4167" s="796">
        <f>M4167/J4167</f>
        <v>27000</v>
      </c>
      <c r="S4167" s="383">
        <f t="shared" si="620"/>
        <v>0</v>
      </c>
      <c r="U4167" s="404"/>
    </row>
    <row r="4168" spans="1:22" s="403" customFormat="1" ht="37.5">
      <c r="A4168" s="404">
        <f t="shared" si="622"/>
        <v>18</v>
      </c>
      <c r="B4168" s="403" t="s">
        <v>3189</v>
      </c>
      <c r="C4168" s="780" t="s">
        <v>222</v>
      </c>
      <c r="D4168" s="780">
        <v>1617</v>
      </c>
      <c r="E4168" s="781">
        <v>448</v>
      </c>
      <c r="F4168" s="781" t="s">
        <v>223</v>
      </c>
      <c r="G4168" s="388">
        <v>520</v>
      </c>
      <c r="H4168" s="446">
        <v>2</v>
      </c>
      <c r="I4168" s="446">
        <v>1</v>
      </c>
      <c r="J4168" s="446">
        <v>6</v>
      </c>
      <c r="K4168" s="458" t="s">
        <v>308</v>
      </c>
      <c r="L4168" s="519">
        <f t="shared" si="621"/>
        <v>1481470</v>
      </c>
      <c r="M4168" s="853">
        <v>1456000</v>
      </c>
      <c r="N4168" s="794">
        <v>17472</v>
      </c>
      <c r="O4168" s="795"/>
      <c r="P4168" s="794"/>
      <c r="Q4168" s="388">
        <v>7998</v>
      </c>
      <c r="R4168" s="796">
        <f>M4168/G4168</f>
        <v>2800</v>
      </c>
      <c r="S4168" s="383">
        <f t="shared" si="620"/>
        <v>0</v>
      </c>
      <c r="U4168" s="404"/>
    </row>
    <row r="4169" spans="1:22" s="403" customFormat="1" ht="37.5">
      <c r="A4169" s="404">
        <f t="shared" si="622"/>
        <v>19</v>
      </c>
      <c r="B4169" s="403" t="s">
        <v>3190</v>
      </c>
      <c r="C4169" s="780" t="s">
        <v>240</v>
      </c>
      <c r="D4169" s="780">
        <v>3707</v>
      </c>
      <c r="E4169" s="781">
        <v>803</v>
      </c>
      <c r="F4169" s="781" t="s">
        <v>223</v>
      </c>
      <c r="G4169" s="388">
        <v>768</v>
      </c>
      <c r="H4169" s="446">
        <v>2</v>
      </c>
      <c r="I4169" s="446">
        <v>2</v>
      </c>
      <c r="J4169" s="446">
        <v>12</v>
      </c>
      <c r="K4169" s="458" t="s">
        <v>308</v>
      </c>
      <c r="L4169" s="519">
        <f t="shared" si="621"/>
        <v>2194541</v>
      </c>
      <c r="M4169" s="853">
        <v>2150400</v>
      </c>
      <c r="N4169" s="794">
        <v>25805</v>
      </c>
      <c r="O4169" s="795"/>
      <c r="P4169" s="794"/>
      <c r="Q4169" s="388">
        <v>18336</v>
      </c>
      <c r="R4169" s="796">
        <f>M4169/G4169</f>
        <v>2800</v>
      </c>
      <c r="S4169" s="383">
        <f t="shared" si="620"/>
        <v>0</v>
      </c>
      <c r="U4169" s="404"/>
    </row>
    <row r="4170" spans="1:22" s="403" customFormat="1" ht="37.5">
      <c r="A4170" s="404">
        <f t="shared" si="622"/>
        <v>20</v>
      </c>
      <c r="B4170" s="403" t="s">
        <v>3191</v>
      </c>
      <c r="C4170" s="780" t="s">
        <v>222</v>
      </c>
      <c r="D4170" s="780">
        <v>10934</v>
      </c>
      <c r="E4170" s="781">
        <v>1829</v>
      </c>
      <c r="F4170" s="781" t="s">
        <v>234</v>
      </c>
      <c r="G4170" s="388">
        <v>896</v>
      </c>
      <c r="H4170" s="446">
        <v>5</v>
      </c>
      <c r="I4170" s="446">
        <v>1</v>
      </c>
      <c r="J4170" s="446">
        <v>70</v>
      </c>
      <c r="K4170" s="458" t="s">
        <v>225</v>
      </c>
      <c r="L4170" s="519">
        <f t="shared" si="621"/>
        <v>1572089</v>
      </c>
      <c r="M4170" s="853">
        <v>1540000</v>
      </c>
      <c r="N4170" s="794">
        <v>18480</v>
      </c>
      <c r="O4170" s="795"/>
      <c r="P4170" s="794"/>
      <c r="Q4170" s="388">
        <v>13609</v>
      </c>
      <c r="R4170" s="796">
        <f>M4170/J4170</f>
        <v>22000</v>
      </c>
      <c r="S4170" s="383">
        <f t="shared" si="620"/>
        <v>0</v>
      </c>
      <c r="U4170" s="404"/>
    </row>
    <row r="4171" spans="1:22" s="480" customFormat="1" ht="41.25" customHeight="1">
      <c r="A4171" s="404">
        <f t="shared" si="622"/>
        <v>21</v>
      </c>
      <c r="B4171" s="381" t="s">
        <v>4161</v>
      </c>
      <c r="C4171" s="376" t="s">
        <v>222</v>
      </c>
      <c r="D4171" s="376">
        <v>20166</v>
      </c>
      <c r="E4171" s="383">
        <v>3515.4</v>
      </c>
      <c r="F4171" s="383" t="s">
        <v>234</v>
      </c>
      <c r="G4171" s="383">
        <v>1456</v>
      </c>
      <c r="H4171" s="382">
        <v>5</v>
      </c>
      <c r="I4171" s="382">
        <v>6</v>
      </c>
      <c r="J4171" s="382">
        <v>120</v>
      </c>
      <c r="K4171" s="377" t="s">
        <v>235</v>
      </c>
      <c r="L4171" s="519">
        <f t="shared" si="621"/>
        <v>3378846</v>
      </c>
      <c r="M4171" s="384">
        <v>3348800</v>
      </c>
      <c r="N4171" s="383"/>
      <c r="O4171" s="385">
        <v>10046</v>
      </c>
      <c r="P4171" s="383"/>
      <c r="Q4171" s="383">
        <v>20000</v>
      </c>
      <c r="R4171" s="796">
        <f>M4171/G4171</f>
        <v>2300</v>
      </c>
      <c r="S4171" s="383">
        <f t="shared" si="620"/>
        <v>0</v>
      </c>
      <c r="T4171" s="377"/>
      <c r="U4171" s="381"/>
    </row>
    <row r="4172" spans="1:22" s="403" customFormat="1" ht="37.5">
      <c r="A4172" s="404">
        <f t="shared" si="622"/>
        <v>22</v>
      </c>
      <c r="B4172" s="543" t="s">
        <v>2281</v>
      </c>
      <c r="C4172" s="531" t="s">
        <v>222</v>
      </c>
      <c r="D4172" s="455">
        <v>13007</v>
      </c>
      <c r="E4172" s="388">
        <v>2399.8000000000002</v>
      </c>
      <c r="F4172" s="388" t="s">
        <v>234</v>
      </c>
      <c r="G4172" s="388">
        <v>1015</v>
      </c>
      <c r="H4172" s="446">
        <v>5</v>
      </c>
      <c r="I4172" s="446">
        <v>4</v>
      </c>
      <c r="J4172" s="446">
        <v>70</v>
      </c>
      <c r="K4172" s="458" t="s">
        <v>308</v>
      </c>
      <c r="L4172" s="519">
        <f t="shared" si="621"/>
        <v>2376221</v>
      </c>
      <c r="M4172" s="677">
        <v>2334500</v>
      </c>
      <c r="N4172" s="675"/>
      <c r="O4172" s="678">
        <v>21721</v>
      </c>
      <c r="P4172" s="675"/>
      <c r="Q4172" s="388">
        <v>20000</v>
      </c>
      <c r="R4172" s="676">
        <f>M4172/G4172</f>
        <v>2300</v>
      </c>
      <c r="S4172" s="383">
        <f t="shared" si="620"/>
        <v>0</v>
      </c>
      <c r="U4172" s="404"/>
      <c r="V4172" s="390"/>
    </row>
    <row r="4173" spans="1:22" s="480" customFormat="1" ht="41.25" customHeight="1">
      <c r="A4173" s="404">
        <f t="shared" si="622"/>
        <v>23</v>
      </c>
      <c r="B4173" s="381" t="s">
        <v>4159</v>
      </c>
      <c r="C4173" s="376" t="s">
        <v>218</v>
      </c>
      <c r="D4173" s="376">
        <v>9145</v>
      </c>
      <c r="E4173" s="383">
        <v>1656</v>
      </c>
      <c r="F4173" s="383" t="s">
        <v>234</v>
      </c>
      <c r="G4173" s="383">
        <v>713</v>
      </c>
      <c r="H4173" s="382">
        <v>5</v>
      </c>
      <c r="I4173" s="382">
        <v>3</v>
      </c>
      <c r="J4173" s="382">
        <v>60</v>
      </c>
      <c r="K4173" s="377" t="s">
        <v>235</v>
      </c>
      <c r="L4173" s="519">
        <f t="shared" si="621"/>
        <v>1664820</v>
      </c>
      <c r="M4173" s="384">
        <v>1639900</v>
      </c>
      <c r="N4173" s="383"/>
      <c r="O4173" s="385">
        <v>4920</v>
      </c>
      <c r="P4173" s="383"/>
      <c r="Q4173" s="383">
        <v>20000</v>
      </c>
      <c r="R4173" s="796">
        <f>M4173/G4173</f>
        <v>2300</v>
      </c>
      <c r="S4173" s="383">
        <f t="shared" si="620"/>
        <v>0</v>
      </c>
      <c r="T4173" s="377"/>
      <c r="U4173" s="381"/>
    </row>
    <row r="4174" spans="1:22" s="480" customFormat="1" ht="41.25" customHeight="1">
      <c r="A4174" s="404">
        <f t="shared" si="622"/>
        <v>24</v>
      </c>
      <c r="B4174" s="381" t="s">
        <v>4346</v>
      </c>
      <c r="C4174" s="376" t="s">
        <v>222</v>
      </c>
      <c r="D4174" s="376">
        <v>20903</v>
      </c>
      <c r="E4174" s="383">
        <v>4172</v>
      </c>
      <c r="F4174" s="383" t="s">
        <v>234</v>
      </c>
      <c r="G4174" s="383">
        <v>2799.8</v>
      </c>
      <c r="H4174" s="382">
        <v>5</v>
      </c>
      <c r="I4174" s="382">
        <v>8</v>
      </c>
      <c r="J4174" s="382">
        <v>102</v>
      </c>
      <c r="K4174" s="377" t="s">
        <v>308</v>
      </c>
      <c r="L4174" s="519">
        <f>SUM(M4174:Q4174)</f>
        <v>6478859</v>
      </c>
      <c r="M4174" s="853">
        <v>6439540</v>
      </c>
      <c r="N4174" s="794"/>
      <c r="O4174" s="795">
        <v>19319</v>
      </c>
      <c r="P4174" s="794"/>
      <c r="Q4174" s="388">
        <v>20000</v>
      </c>
      <c r="R4174" s="796"/>
      <c r="S4174" s="383">
        <f t="shared" si="620"/>
        <v>0</v>
      </c>
      <c r="T4174" s="377"/>
      <c r="U4174" s="381"/>
    </row>
    <row r="4175" spans="1:22" s="480" customFormat="1" ht="41.25" customHeight="1">
      <c r="A4175" s="404">
        <f t="shared" si="622"/>
        <v>25</v>
      </c>
      <c r="B4175" s="381" t="s">
        <v>4344</v>
      </c>
      <c r="C4175" s="376" t="s">
        <v>315</v>
      </c>
      <c r="D4175" s="376">
        <v>7877</v>
      </c>
      <c r="E4175" s="383">
        <v>1732</v>
      </c>
      <c r="F4175" s="383" t="s">
        <v>223</v>
      </c>
      <c r="G4175" s="383">
        <v>1064</v>
      </c>
      <c r="H4175" s="382">
        <v>4</v>
      </c>
      <c r="I4175" s="382">
        <v>3</v>
      </c>
      <c r="J4175" s="382">
        <v>45</v>
      </c>
      <c r="K4175" s="377" t="s">
        <v>308</v>
      </c>
      <c r="L4175" s="519">
        <f>SUM(M4175:Q4175)</f>
        <v>3039605</v>
      </c>
      <c r="M4175" s="853">
        <v>2979200</v>
      </c>
      <c r="N4175" s="794">
        <v>35750</v>
      </c>
      <c r="O4175" s="795"/>
      <c r="P4175" s="794"/>
      <c r="Q4175" s="388">
        <v>24655</v>
      </c>
      <c r="R4175" s="796"/>
      <c r="S4175" s="383">
        <f t="shared" si="620"/>
        <v>0</v>
      </c>
      <c r="T4175" s="377"/>
      <c r="U4175" s="381"/>
    </row>
    <row r="4176" spans="1:22" s="480" customFormat="1" ht="41.25" customHeight="1">
      <c r="A4176" s="404">
        <f t="shared" si="622"/>
        <v>26</v>
      </c>
      <c r="B4176" s="381" t="s">
        <v>4343</v>
      </c>
      <c r="C4176" s="376" t="s">
        <v>222</v>
      </c>
      <c r="D4176" s="376">
        <v>9745</v>
      </c>
      <c r="E4176" s="383">
        <v>1968</v>
      </c>
      <c r="F4176" s="383" t="s">
        <v>234</v>
      </c>
      <c r="G4176" s="383">
        <v>667.8</v>
      </c>
      <c r="H4176" s="382">
        <v>5</v>
      </c>
      <c r="I4176" s="382">
        <v>3</v>
      </c>
      <c r="J4176" s="382">
        <v>60</v>
      </c>
      <c r="K4176" s="377" t="s">
        <v>361</v>
      </c>
      <c r="L4176" s="519">
        <f>SUM(M4176:Q4176)</f>
        <v>1761489</v>
      </c>
      <c r="M4176" s="853">
        <v>1736280</v>
      </c>
      <c r="N4176" s="794"/>
      <c r="O4176" s="795">
        <v>5209</v>
      </c>
      <c r="P4176" s="794"/>
      <c r="Q4176" s="388">
        <v>20000</v>
      </c>
      <c r="R4176" s="796"/>
      <c r="S4176" s="383">
        <f t="shared" si="620"/>
        <v>0</v>
      </c>
      <c r="T4176" s="377"/>
      <c r="U4176" s="381"/>
    </row>
    <row r="4177" spans="1:21" s="480" customFormat="1" ht="41.25" customHeight="1">
      <c r="A4177" s="404">
        <f t="shared" si="622"/>
        <v>27</v>
      </c>
      <c r="B4177" s="381" t="s">
        <v>4345</v>
      </c>
      <c r="C4177" s="376" t="s">
        <v>222</v>
      </c>
      <c r="D4177" s="376">
        <v>10068</v>
      </c>
      <c r="E4177" s="383">
        <v>2115</v>
      </c>
      <c r="F4177" s="383" t="s">
        <v>234</v>
      </c>
      <c r="G4177" s="383">
        <v>674.1</v>
      </c>
      <c r="H4177" s="382">
        <v>5</v>
      </c>
      <c r="I4177" s="382">
        <v>3</v>
      </c>
      <c r="J4177" s="382">
        <v>60</v>
      </c>
      <c r="K4177" s="377" t="s">
        <v>361</v>
      </c>
      <c r="L4177" s="519">
        <f>SUM(M4177:Q4177)</f>
        <v>1777918</v>
      </c>
      <c r="M4177" s="853">
        <v>1752660</v>
      </c>
      <c r="N4177" s="794"/>
      <c r="O4177" s="795">
        <v>5258</v>
      </c>
      <c r="P4177" s="794"/>
      <c r="Q4177" s="388">
        <v>20000</v>
      </c>
      <c r="R4177" s="796"/>
      <c r="S4177" s="383">
        <f t="shared" si="620"/>
        <v>0</v>
      </c>
      <c r="T4177" s="377"/>
      <c r="U4177" s="381"/>
    </row>
    <row r="4178" spans="1:21" s="480" customFormat="1" ht="41.25" customHeight="1">
      <c r="A4178" s="404">
        <f t="shared" si="622"/>
        <v>28</v>
      </c>
      <c r="B4178" s="381" t="s">
        <v>4347</v>
      </c>
      <c r="C4178" s="376" t="s">
        <v>222</v>
      </c>
      <c r="D4178" s="376">
        <v>14482</v>
      </c>
      <c r="E4178" s="383">
        <v>2663.6</v>
      </c>
      <c r="F4178" s="383" t="s">
        <v>4239</v>
      </c>
      <c r="G4178" s="383">
        <v>925</v>
      </c>
      <c r="H4178" s="382">
        <v>5</v>
      </c>
      <c r="I4178" s="382">
        <v>4</v>
      </c>
      <c r="J4178" s="382">
        <v>56</v>
      </c>
      <c r="K4178" s="377" t="s">
        <v>308</v>
      </c>
      <c r="L4178" s="519">
        <f>M4178+N4178+O4178+P4178+Q4178</f>
        <v>2153883</v>
      </c>
      <c r="M4178" s="384">
        <v>2127500</v>
      </c>
      <c r="N4178" s="383"/>
      <c r="O4178" s="385">
        <v>6383</v>
      </c>
      <c r="P4178" s="383"/>
      <c r="Q4178" s="383">
        <v>20000</v>
      </c>
      <c r="R4178" s="796"/>
      <c r="S4178" s="383">
        <f t="shared" si="620"/>
        <v>0</v>
      </c>
      <c r="T4178" s="377"/>
      <c r="U4178" s="381"/>
    </row>
    <row r="4179" spans="1:21" s="403" customFormat="1" ht="42.75" customHeight="1">
      <c r="A4179" s="1115" t="s">
        <v>152</v>
      </c>
      <c r="B4179" s="1115"/>
      <c r="C4179" s="455" t="s">
        <v>278</v>
      </c>
      <c r="D4179" s="388">
        <f>SUM(D4151:D4178)</f>
        <v>465040</v>
      </c>
      <c r="E4179" s="388">
        <f>SUM(E4151:E4178)</f>
        <v>84677.25</v>
      </c>
      <c r="F4179" s="388" t="s">
        <v>278</v>
      </c>
      <c r="G4179" s="388">
        <f>SUM(G4151:G4178)</f>
        <v>30444.999999999996</v>
      </c>
      <c r="H4179" s="446" t="s">
        <v>278</v>
      </c>
      <c r="I4179" s="446" t="s">
        <v>278</v>
      </c>
      <c r="J4179" s="446">
        <f>SUM(J4151:J4178)</f>
        <v>2150</v>
      </c>
      <c r="K4179" s="458" t="s">
        <v>28</v>
      </c>
      <c r="L4179" s="388">
        <f t="shared" ref="L4179:Q4179" si="623">SUM(L4151:L4178)</f>
        <v>93032280</v>
      </c>
      <c r="M4179" s="388">
        <f t="shared" si="623"/>
        <v>91405680</v>
      </c>
      <c r="N4179" s="388">
        <f t="shared" si="623"/>
        <v>1121721</v>
      </c>
      <c r="O4179" s="388">
        <f t="shared" si="623"/>
        <v>120881</v>
      </c>
      <c r="P4179" s="388">
        <f t="shared" si="623"/>
        <v>0</v>
      </c>
      <c r="Q4179" s="388">
        <f t="shared" si="623"/>
        <v>383998</v>
      </c>
      <c r="R4179" s="446" t="s">
        <v>28</v>
      </c>
      <c r="S4179" s="383">
        <f>L4179-M4179-N4179-O4179-P4179-Q4179</f>
        <v>0</v>
      </c>
      <c r="T4179" s="387" t="e">
        <f>'1.перечень МКД'!#REF!</f>
        <v>#REF!</v>
      </c>
      <c r="U4179" s="390" t="e">
        <f>L4179-T4179</f>
        <v>#REF!</v>
      </c>
    </row>
    <row r="4180" spans="1:21" s="403" customFormat="1" ht="42.75" customHeight="1">
      <c r="A4180" s="1113" t="s">
        <v>190</v>
      </c>
      <c r="B4180" s="1113"/>
      <c r="C4180" s="1113"/>
      <c r="D4180" s="1113"/>
      <c r="E4180" s="1113"/>
      <c r="F4180" s="1113"/>
      <c r="G4180" s="1113"/>
      <c r="H4180" s="1113"/>
      <c r="I4180" s="1113"/>
      <c r="J4180" s="1113"/>
      <c r="K4180" s="1113"/>
      <c r="L4180" s="1113"/>
      <c r="M4180" s="1113"/>
      <c r="N4180" s="1113"/>
      <c r="O4180" s="1113"/>
      <c r="P4180" s="1113"/>
      <c r="Q4180" s="1113"/>
      <c r="R4180" s="458"/>
      <c r="U4180" s="404"/>
    </row>
    <row r="4181" spans="1:21" s="403" customFormat="1" ht="37.5" customHeight="1">
      <c r="A4181" s="404">
        <v>1</v>
      </c>
      <c r="B4181" s="403" t="s">
        <v>3193</v>
      </c>
      <c r="C4181" s="780" t="s">
        <v>283</v>
      </c>
      <c r="D4181" s="780">
        <v>8743</v>
      </c>
      <c r="E4181" s="781">
        <v>431.2</v>
      </c>
      <c r="F4181" s="781" t="s">
        <v>252</v>
      </c>
      <c r="G4181" s="388">
        <v>1058</v>
      </c>
      <c r="H4181" s="446">
        <v>4</v>
      </c>
      <c r="I4181" s="446">
        <v>1</v>
      </c>
      <c r="J4181" s="446">
        <v>30</v>
      </c>
      <c r="K4181" s="458" t="s">
        <v>33</v>
      </c>
      <c r="L4181" s="519">
        <f>SUM(M4181:Q4181)</f>
        <v>2913966</v>
      </c>
      <c r="M4181" s="853">
        <v>2856600</v>
      </c>
      <c r="N4181" s="794">
        <v>30000</v>
      </c>
      <c r="O4181" s="795"/>
      <c r="P4181" s="794"/>
      <c r="Q4181" s="388">
        <v>27366</v>
      </c>
      <c r="R4181" s="796">
        <f>M4181/G4181</f>
        <v>2700</v>
      </c>
      <c r="U4181" s="404"/>
    </row>
    <row r="4182" spans="1:21" s="403" customFormat="1" ht="32.25" customHeight="1">
      <c r="A4182" s="404">
        <v>2</v>
      </c>
      <c r="B4182" s="403" t="s">
        <v>3195</v>
      </c>
      <c r="C4182" s="780" t="s">
        <v>346</v>
      </c>
      <c r="D4182" s="780">
        <v>2062</v>
      </c>
      <c r="E4182" s="781">
        <v>468.7</v>
      </c>
      <c r="F4182" s="781" t="s">
        <v>252</v>
      </c>
      <c r="G4182" s="388">
        <v>506</v>
      </c>
      <c r="H4182" s="446">
        <v>2</v>
      </c>
      <c r="I4182" s="446">
        <v>2</v>
      </c>
      <c r="J4182" s="446">
        <v>8</v>
      </c>
      <c r="K4182" s="458" t="s">
        <v>33</v>
      </c>
      <c r="L4182" s="519">
        <f>SUM(M4182:Q4182)</f>
        <v>1402654</v>
      </c>
      <c r="M4182" s="853">
        <v>1366200</v>
      </c>
      <c r="N4182" s="794">
        <v>30000</v>
      </c>
      <c r="O4182" s="795"/>
      <c r="P4182" s="794"/>
      <c r="Q4182" s="388">
        <v>6454</v>
      </c>
      <c r="R4182" s="796">
        <f>M4182/G4182</f>
        <v>2700</v>
      </c>
      <c r="U4182" s="404"/>
    </row>
    <row r="4183" spans="1:21" s="403" customFormat="1" ht="35.25" customHeight="1">
      <c r="A4183" s="404">
        <v>3</v>
      </c>
      <c r="B4183" s="403" t="s">
        <v>3196</v>
      </c>
      <c r="C4183" s="780" t="s">
        <v>283</v>
      </c>
      <c r="D4183" s="780">
        <v>2218</v>
      </c>
      <c r="E4183" s="781">
        <v>400</v>
      </c>
      <c r="F4183" s="781" t="s">
        <v>252</v>
      </c>
      <c r="G4183" s="388">
        <v>520</v>
      </c>
      <c r="H4183" s="446">
        <v>2</v>
      </c>
      <c r="I4183" s="446">
        <v>2</v>
      </c>
      <c r="J4183" s="446">
        <v>12</v>
      </c>
      <c r="K4183" s="458" t="s">
        <v>33</v>
      </c>
      <c r="L4183" s="519">
        <f>SUM(M4183:Q4183)</f>
        <v>1435942</v>
      </c>
      <c r="M4183" s="853">
        <v>1404000</v>
      </c>
      <c r="N4183" s="794">
        <v>25000</v>
      </c>
      <c r="O4183" s="795"/>
      <c r="P4183" s="794"/>
      <c r="Q4183" s="388">
        <v>6942</v>
      </c>
      <c r="R4183" s="796">
        <f>M4183/G4183</f>
        <v>2700</v>
      </c>
      <c r="U4183" s="404"/>
    </row>
    <row r="4184" spans="1:21" s="403" customFormat="1" ht="42.75" customHeight="1">
      <c r="A4184" s="1112" t="s">
        <v>191</v>
      </c>
      <c r="B4184" s="1112"/>
      <c r="C4184" s="455" t="s">
        <v>28</v>
      </c>
      <c r="D4184" s="388">
        <f>SUM(C4181:C4183)</f>
        <v>0</v>
      </c>
      <c r="E4184" s="388">
        <f>SUM(E4181:E4183)</f>
        <v>1299.9000000000001</v>
      </c>
      <c r="F4184" s="388" t="s">
        <v>28</v>
      </c>
      <c r="G4184" s="388">
        <f>SUM(G4181:G4183)</f>
        <v>2084</v>
      </c>
      <c r="H4184" s="446" t="s">
        <v>28</v>
      </c>
      <c r="I4184" s="446" t="s">
        <v>28</v>
      </c>
      <c r="J4184" s="446">
        <f>SUM(J4181:J4183)</f>
        <v>50</v>
      </c>
      <c r="K4184" s="458" t="s">
        <v>28</v>
      </c>
      <c r="L4184" s="519">
        <f>SUM(L4181:L4183)</f>
        <v>5752562</v>
      </c>
      <c r="M4184" s="519">
        <f>SUM(M4181:M4183)</f>
        <v>5626800</v>
      </c>
      <c r="N4184" s="388">
        <f>SUM(N4181:N4183)</f>
        <v>85000</v>
      </c>
      <c r="O4184" s="473"/>
      <c r="P4184" s="388">
        <f>SUM(P4181:P4183)</f>
        <v>0</v>
      </c>
      <c r="Q4184" s="388">
        <f>SUM(Q4181:Q4183)</f>
        <v>40762</v>
      </c>
      <c r="R4184" s="446" t="s">
        <v>28</v>
      </c>
      <c r="S4184" s="383">
        <f>L4184-M4184-N4184-O4184-P4184-Q4184</f>
        <v>0</v>
      </c>
      <c r="T4184" s="387" t="e">
        <f>'1.перечень МКД'!#REF!</f>
        <v>#REF!</v>
      </c>
      <c r="U4184" s="390" t="e">
        <f>L4184-T4184</f>
        <v>#REF!</v>
      </c>
    </row>
    <row r="4185" spans="1:21" s="403" customFormat="1" ht="42.75" customHeight="1">
      <c r="A4185" s="1113" t="s">
        <v>192</v>
      </c>
      <c r="B4185" s="1113"/>
      <c r="C4185" s="1113"/>
      <c r="D4185" s="1113"/>
      <c r="E4185" s="1113"/>
      <c r="F4185" s="1113"/>
      <c r="G4185" s="1113"/>
      <c r="H4185" s="1113"/>
      <c r="I4185" s="1113"/>
      <c r="J4185" s="1113"/>
      <c r="K4185" s="1113"/>
      <c r="L4185" s="1113"/>
      <c r="M4185" s="1113"/>
      <c r="N4185" s="1113"/>
      <c r="O4185" s="1113"/>
      <c r="P4185" s="1113"/>
      <c r="Q4185" s="1113"/>
      <c r="R4185" s="458"/>
      <c r="U4185" s="404"/>
    </row>
    <row r="4186" spans="1:21" s="403" customFormat="1" ht="37.5">
      <c r="A4186" s="404">
        <v>1</v>
      </c>
      <c r="B4186" s="884" t="s">
        <v>4349</v>
      </c>
      <c r="C4186" s="780" t="s">
        <v>222</v>
      </c>
      <c r="D4186" s="885">
        <v>6580</v>
      </c>
      <c r="E4186" s="539"/>
      <c r="F4186" s="539" t="s">
        <v>4350</v>
      </c>
      <c r="G4186" s="790">
        <v>860</v>
      </c>
      <c r="H4186" s="789">
        <v>3</v>
      </c>
      <c r="I4186" s="789">
        <v>3</v>
      </c>
      <c r="J4186" s="599">
        <v>27</v>
      </c>
      <c r="K4186" s="791" t="s">
        <v>253</v>
      </c>
      <c r="L4186" s="519">
        <f>SUM(M4186:Q4186)</f>
        <v>3486554</v>
      </c>
      <c r="M4186" s="792">
        <v>3440000</v>
      </c>
      <c r="N4186" s="790">
        <v>26153</v>
      </c>
      <c r="O4186" s="643"/>
      <c r="P4186" s="790"/>
      <c r="Q4186" s="388">
        <v>20401</v>
      </c>
      <c r="R4186" s="446">
        <f>M4186/G4186</f>
        <v>4000</v>
      </c>
      <c r="U4186" s="404"/>
    </row>
    <row r="4187" spans="1:21" s="403" customFormat="1" ht="42.75" customHeight="1">
      <c r="A4187" s="1112" t="s">
        <v>193</v>
      </c>
      <c r="B4187" s="1112"/>
      <c r="C4187" s="455" t="s">
        <v>28</v>
      </c>
      <c r="D4187" s="388">
        <f>SUM(D4186:D4186)</f>
        <v>6580</v>
      </c>
      <c r="E4187" s="388">
        <f>SUM(E4186:E4186)</f>
        <v>0</v>
      </c>
      <c r="F4187" s="388" t="s">
        <v>28</v>
      </c>
      <c r="G4187" s="388">
        <f>SUM(G4186:G4186)</f>
        <v>860</v>
      </c>
      <c r="H4187" s="446" t="s">
        <v>28</v>
      </c>
      <c r="I4187" s="446" t="s">
        <v>28</v>
      </c>
      <c r="J4187" s="446">
        <f>SUM(J4186:J4186)</f>
        <v>27</v>
      </c>
      <c r="K4187" s="458" t="s">
        <v>28</v>
      </c>
      <c r="L4187" s="519">
        <f t="shared" ref="L4187:Q4187" si="624">SUM(L4186:L4186)</f>
        <v>3486554</v>
      </c>
      <c r="M4187" s="519">
        <f t="shared" si="624"/>
        <v>3440000</v>
      </c>
      <c r="N4187" s="388">
        <f t="shared" si="624"/>
        <v>26153</v>
      </c>
      <c r="O4187" s="473">
        <f t="shared" si="624"/>
        <v>0</v>
      </c>
      <c r="P4187" s="388">
        <f t="shared" si="624"/>
        <v>0</v>
      </c>
      <c r="Q4187" s="388">
        <f t="shared" si="624"/>
        <v>20401</v>
      </c>
      <c r="R4187" s="446" t="s">
        <v>28</v>
      </c>
      <c r="S4187" s="383">
        <f>L4187-M4187-N4187-O4187-P4187-Q4187</f>
        <v>0</v>
      </c>
      <c r="T4187" s="387" t="e">
        <f>'1.перечень МКД'!#REF!</f>
        <v>#REF!</v>
      </c>
      <c r="U4187" s="390" t="e">
        <f>L4187-T4187</f>
        <v>#REF!</v>
      </c>
    </row>
    <row r="4188" spans="1:21" s="403" customFormat="1" ht="51.75" customHeight="1">
      <c r="A4188" s="1113" t="s">
        <v>194</v>
      </c>
      <c r="B4188" s="1113"/>
      <c r="C4188" s="1113"/>
      <c r="D4188" s="1113"/>
      <c r="E4188" s="1113"/>
      <c r="F4188" s="1113"/>
      <c r="G4188" s="1113"/>
      <c r="H4188" s="1113"/>
      <c r="I4188" s="1113"/>
      <c r="J4188" s="1113"/>
      <c r="K4188" s="1113"/>
      <c r="L4188" s="1113"/>
      <c r="M4188" s="1113"/>
      <c r="N4188" s="1113"/>
      <c r="O4188" s="1113"/>
      <c r="P4188" s="1113"/>
      <c r="Q4188" s="1113"/>
      <c r="R4188" s="458"/>
      <c r="U4188" s="404"/>
    </row>
    <row r="4189" spans="1:21" s="403" customFormat="1" ht="37.5">
      <c r="A4189" s="404">
        <v>1</v>
      </c>
      <c r="B4189" s="403" t="s">
        <v>4351</v>
      </c>
      <c r="C4189" s="780" t="s">
        <v>315</v>
      </c>
      <c r="D4189" s="780"/>
      <c r="E4189" s="781">
        <v>586.80999999999995</v>
      </c>
      <c r="F4189" s="781" t="s">
        <v>252</v>
      </c>
      <c r="G4189" s="388">
        <v>427.78</v>
      </c>
      <c r="H4189" s="446">
        <v>2</v>
      </c>
      <c r="I4189" s="446">
        <v>2</v>
      </c>
      <c r="J4189" s="446">
        <v>16</v>
      </c>
      <c r="K4189" s="458" t="s">
        <v>38</v>
      </c>
      <c r="L4189" s="519">
        <f>M4189+N4189+P4189+Q4189</f>
        <v>1633145</v>
      </c>
      <c r="M4189" s="853">
        <v>1584387</v>
      </c>
      <c r="N4189" s="794">
        <v>30000</v>
      </c>
      <c r="O4189" s="795"/>
      <c r="P4189" s="794"/>
      <c r="Q4189" s="388">
        <v>18758</v>
      </c>
      <c r="R4189" s="796">
        <f>M4189/J4189</f>
        <v>99024.1875</v>
      </c>
      <c r="U4189" s="404"/>
    </row>
    <row r="4190" spans="1:21" s="403" customFormat="1" ht="37.5">
      <c r="A4190" s="404">
        <f>A4189+1</f>
        <v>2</v>
      </c>
      <c r="B4190" s="403" t="s">
        <v>3197</v>
      </c>
      <c r="C4190" s="780" t="s">
        <v>315</v>
      </c>
      <c r="D4190" s="780"/>
      <c r="E4190" s="781">
        <v>270.60000000000002</v>
      </c>
      <c r="F4190" s="781" t="s">
        <v>252</v>
      </c>
      <c r="G4190" s="388">
        <v>531.22</v>
      </c>
      <c r="H4190" s="446">
        <v>3</v>
      </c>
      <c r="I4190" s="446">
        <v>3</v>
      </c>
      <c r="J4190" s="446">
        <v>16</v>
      </c>
      <c r="K4190" s="458" t="s">
        <v>239</v>
      </c>
      <c r="L4190" s="519">
        <f>M4190+N4190+P4190+Q4190</f>
        <v>682062</v>
      </c>
      <c r="M4190" s="853">
        <v>640000</v>
      </c>
      <c r="N4190" s="794">
        <v>35000</v>
      </c>
      <c r="O4190" s="795"/>
      <c r="P4190" s="794"/>
      <c r="Q4190" s="388">
        <v>7062</v>
      </c>
      <c r="R4190" s="796">
        <f>M4190/J4190</f>
        <v>40000</v>
      </c>
      <c r="U4190" s="404"/>
    </row>
    <row r="4191" spans="1:21" s="403" customFormat="1" ht="56.25" customHeight="1">
      <c r="A4191" s="404">
        <f>A4190+1</f>
        <v>3</v>
      </c>
      <c r="B4191" s="403" t="s">
        <v>3198</v>
      </c>
      <c r="C4191" s="780" t="s">
        <v>222</v>
      </c>
      <c r="D4191" s="780">
        <v>1440</v>
      </c>
      <c r="E4191" s="781">
        <v>370</v>
      </c>
      <c r="F4191" s="781" t="s">
        <v>252</v>
      </c>
      <c r="G4191" s="388">
        <v>637.9</v>
      </c>
      <c r="H4191" s="446">
        <v>2</v>
      </c>
      <c r="I4191" s="446">
        <v>2</v>
      </c>
      <c r="J4191" s="446">
        <v>16</v>
      </c>
      <c r="K4191" s="458" t="s">
        <v>30</v>
      </c>
      <c r="L4191" s="519">
        <f>M4191+O4191+Q4191+N4191</f>
        <v>332116</v>
      </c>
      <c r="M4191" s="853">
        <v>320000</v>
      </c>
      <c r="N4191" s="794"/>
      <c r="O4191" s="795">
        <v>816</v>
      </c>
      <c r="P4191" s="794"/>
      <c r="Q4191" s="388">
        <v>11300</v>
      </c>
      <c r="R4191" s="796">
        <f>M4191/J4191</f>
        <v>20000</v>
      </c>
      <c r="U4191" s="404"/>
    </row>
    <row r="4192" spans="1:21" s="403" customFormat="1" ht="42.75" customHeight="1">
      <c r="A4192" s="1112" t="s">
        <v>195</v>
      </c>
      <c r="B4192" s="1112"/>
      <c r="C4192" s="455" t="s">
        <v>28</v>
      </c>
      <c r="D4192" s="388">
        <f>SUM(D4189:D4191)</f>
        <v>1440</v>
      </c>
      <c r="E4192" s="388">
        <f>SUM(E4189:E4191)</f>
        <v>1227.4099999999999</v>
      </c>
      <c r="F4192" s="388" t="s">
        <v>28</v>
      </c>
      <c r="G4192" s="388">
        <f>SUM(G4189:G4191)</f>
        <v>1596.9</v>
      </c>
      <c r="H4192" s="446" t="s">
        <v>28</v>
      </c>
      <c r="I4192" s="446" t="s">
        <v>28</v>
      </c>
      <c r="J4192" s="446">
        <f>SUM(J4189:J4191)</f>
        <v>48</v>
      </c>
      <c r="K4192" s="458" t="s">
        <v>28</v>
      </c>
      <c r="L4192" s="519">
        <f t="shared" ref="L4192:Q4192" si="625">SUM(L4189:L4191)</f>
        <v>2647323</v>
      </c>
      <c r="M4192" s="519">
        <f t="shared" si="625"/>
        <v>2544387</v>
      </c>
      <c r="N4192" s="388">
        <f t="shared" si="625"/>
        <v>65000</v>
      </c>
      <c r="O4192" s="473">
        <f t="shared" si="625"/>
        <v>816</v>
      </c>
      <c r="P4192" s="388">
        <f t="shared" si="625"/>
        <v>0</v>
      </c>
      <c r="Q4192" s="388">
        <f t="shared" si="625"/>
        <v>37120</v>
      </c>
      <c r="R4192" s="446" t="s">
        <v>28</v>
      </c>
      <c r="S4192" s="383">
        <f>L4192-M4192-N4192-O4192-P4192-Q4192</f>
        <v>0</v>
      </c>
      <c r="T4192" s="387" t="e">
        <f>'1.перечень МКД'!#REF!</f>
        <v>#REF!</v>
      </c>
      <c r="U4192" s="390" t="e">
        <f>L4192-T4192</f>
        <v>#REF!</v>
      </c>
    </row>
    <row r="4193" spans="1:1024" s="403" customFormat="1" ht="42.75" customHeight="1">
      <c r="A4193" s="1113" t="s">
        <v>196</v>
      </c>
      <c r="B4193" s="1113"/>
      <c r="C4193" s="1113"/>
      <c r="D4193" s="1113"/>
      <c r="E4193" s="1113"/>
      <c r="F4193" s="1113"/>
      <c r="G4193" s="1113"/>
      <c r="H4193" s="1113"/>
      <c r="I4193" s="1113"/>
      <c r="J4193" s="1113"/>
      <c r="K4193" s="1113"/>
      <c r="L4193" s="1113"/>
      <c r="M4193" s="1113"/>
      <c r="N4193" s="1113"/>
      <c r="O4193" s="1113"/>
      <c r="P4193" s="1113"/>
      <c r="Q4193" s="1113"/>
      <c r="R4193" s="458"/>
      <c r="U4193" s="404"/>
    </row>
    <row r="4194" spans="1:1024" s="505" customFormat="1" ht="38.25" customHeight="1">
      <c r="A4194" s="404">
        <v>1</v>
      </c>
      <c r="B4194" s="854" t="s">
        <v>1367</v>
      </c>
      <c r="C4194" s="930" t="s">
        <v>3937</v>
      </c>
      <c r="D4194" s="859">
        <v>108729</v>
      </c>
      <c r="E4194" s="860">
        <v>22984</v>
      </c>
      <c r="F4194" s="860" t="s">
        <v>310</v>
      </c>
      <c r="G4194" s="860">
        <v>4085</v>
      </c>
      <c r="H4194" s="862">
        <v>9</v>
      </c>
      <c r="I4194" s="862">
        <v>13</v>
      </c>
      <c r="J4194" s="862">
        <v>493</v>
      </c>
      <c r="K4194" s="458" t="s">
        <v>220</v>
      </c>
      <c r="L4194" s="519">
        <f t="shared" ref="L4194:L4200" si="626">SUBTOTAL(9,M4194:Q4194)</f>
        <v>14212500</v>
      </c>
      <c r="M4194" s="855">
        <v>14000000</v>
      </c>
      <c r="N4194" s="482">
        <v>212500</v>
      </c>
      <c r="O4194" s="856"/>
      <c r="P4194" s="482"/>
      <c r="Q4194" s="482"/>
      <c r="R4194" s="528">
        <f>M4194/7</f>
        <v>2000000</v>
      </c>
      <c r="S4194" s="857"/>
      <c r="T4194" s="854"/>
      <c r="U4194" s="854"/>
      <c r="V4194" s="481"/>
      <c r="W4194" s="481"/>
      <c r="X4194" s="481"/>
      <c r="Y4194" s="481"/>
      <c r="Z4194" s="481"/>
      <c r="AA4194" s="481"/>
      <c r="AB4194" s="481"/>
      <c r="AC4194" s="481"/>
      <c r="AD4194" s="481"/>
      <c r="AE4194" s="481"/>
      <c r="AF4194" s="481"/>
      <c r="AG4194" s="481"/>
      <c r="AH4194" s="481"/>
      <c r="AI4194" s="481"/>
      <c r="AJ4194" s="481"/>
      <c r="AK4194" s="481"/>
      <c r="AL4194" s="481"/>
      <c r="AM4194" s="481"/>
      <c r="AN4194" s="481"/>
      <c r="AO4194" s="481"/>
      <c r="AP4194" s="481"/>
      <c r="AQ4194" s="481"/>
      <c r="AR4194" s="481"/>
      <c r="AS4194" s="481"/>
      <c r="AT4194" s="481"/>
      <c r="AU4194" s="481"/>
      <c r="AV4194" s="481"/>
      <c r="AW4194" s="481"/>
      <c r="AX4194" s="481"/>
      <c r="AY4194" s="481"/>
      <c r="AZ4194" s="481"/>
      <c r="BA4194" s="481"/>
      <c r="BB4194" s="481"/>
      <c r="BC4194" s="481"/>
      <c r="BD4194" s="481"/>
      <c r="BE4194" s="481"/>
      <c r="BF4194" s="481"/>
      <c r="BG4194" s="481"/>
      <c r="BH4194" s="481"/>
      <c r="BI4194" s="481"/>
      <c r="BJ4194" s="481"/>
      <c r="BK4194" s="481"/>
      <c r="BL4194" s="481"/>
      <c r="BM4194" s="481"/>
      <c r="BN4194" s="481"/>
      <c r="BO4194" s="481"/>
      <c r="BP4194" s="481"/>
      <c r="BQ4194" s="481"/>
      <c r="BR4194" s="481"/>
      <c r="BS4194" s="481"/>
      <c r="BT4194" s="481"/>
      <c r="BU4194" s="481"/>
      <c r="BV4194" s="481"/>
      <c r="BW4194" s="481"/>
      <c r="BX4194" s="481"/>
      <c r="BY4194" s="481"/>
      <c r="BZ4194" s="481"/>
      <c r="CA4194" s="481"/>
      <c r="CB4194" s="481"/>
      <c r="CC4194" s="481"/>
      <c r="CD4194" s="481"/>
      <c r="CE4194" s="481"/>
      <c r="CF4194" s="481"/>
      <c r="CG4194" s="481"/>
      <c r="CH4194" s="481"/>
      <c r="CI4194" s="481"/>
      <c r="CJ4194" s="481"/>
      <c r="CK4194" s="481"/>
      <c r="CL4194" s="481"/>
      <c r="CM4194" s="481"/>
      <c r="CN4194" s="481"/>
      <c r="CO4194" s="481"/>
      <c r="CP4194" s="481"/>
      <c r="CQ4194" s="481"/>
      <c r="CR4194" s="481"/>
      <c r="CS4194" s="481"/>
      <c r="CT4194" s="481"/>
      <c r="CU4194" s="481"/>
      <c r="CV4194" s="481"/>
      <c r="CW4194" s="481"/>
      <c r="CX4194" s="481"/>
      <c r="CY4194" s="481"/>
      <c r="CZ4194" s="481"/>
      <c r="DA4194" s="481"/>
      <c r="DB4194" s="481"/>
      <c r="DC4194" s="481"/>
      <c r="DD4194" s="481"/>
      <c r="DE4194" s="481"/>
      <c r="DF4194" s="481"/>
      <c r="DG4194" s="481"/>
      <c r="DH4194" s="481"/>
      <c r="DI4194" s="481"/>
      <c r="DJ4194" s="481"/>
      <c r="DK4194" s="481"/>
      <c r="DL4194" s="481"/>
      <c r="DM4194" s="481"/>
      <c r="DN4194" s="481"/>
      <c r="DO4194" s="481"/>
      <c r="DP4194" s="481"/>
      <c r="DQ4194" s="481"/>
      <c r="DR4194" s="481"/>
      <c r="DS4194" s="481"/>
      <c r="DT4194" s="481"/>
      <c r="DU4194" s="481"/>
      <c r="DV4194" s="481"/>
      <c r="DW4194" s="481"/>
      <c r="DX4194" s="481"/>
      <c r="DY4194" s="481"/>
      <c r="DZ4194" s="481"/>
      <c r="EA4194" s="481"/>
      <c r="EB4194" s="481"/>
      <c r="EC4194" s="481"/>
      <c r="ED4194" s="481"/>
      <c r="EE4194" s="481"/>
      <c r="EF4194" s="481"/>
      <c r="EG4194" s="481"/>
      <c r="EH4194" s="481"/>
      <c r="EI4194" s="481"/>
      <c r="EJ4194" s="481"/>
      <c r="EK4194" s="481"/>
      <c r="EL4194" s="481"/>
      <c r="EM4194" s="481"/>
      <c r="EN4194" s="481"/>
      <c r="EO4194" s="481"/>
      <c r="EP4194" s="481"/>
      <c r="EQ4194" s="481"/>
      <c r="ER4194" s="481"/>
      <c r="ES4194" s="481"/>
      <c r="ET4194" s="481"/>
      <c r="EU4194" s="481"/>
      <c r="EV4194" s="481"/>
      <c r="EW4194" s="481"/>
      <c r="EX4194" s="481"/>
      <c r="EY4194" s="481"/>
      <c r="EZ4194" s="481"/>
      <c r="FA4194" s="481"/>
      <c r="FB4194" s="481"/>
      <c r="FC4194" s="481"/>
      <c r="FD4194" s="481"/>
      <c r="FE4194" s="481"/>
      <c r="FF4194" s="481"/>
      <c r="FG4194" s="481"/>
      <c r="FH4194" s="481"/>
      <c r="FI4194" s="481"/>
      <c r="FJ4194" s="481"/>
      <c r="FK4194" s="481"/>
      <c r="FL4194" s="481"/>
      <c r="FM4194" s="481"/>
      <c r="FN4194" s="481"/>
      <c r="FO4194" s="481"/>
      <c r="FP4194" s="481"/>
      <c r="FQ4194" s="481"/>
      <c r="FR4194" s="481"/>
      <c r="FS4194" s="481"/>
      <c r="FT4194" s="481"/>
      <c r="FU4194" s="481"/>
      <c r="FV4194" s="481"/>
      <c r="FW4194" s="481"/>
      <c r="FX4194" s="481"/>
      <c r="FY4194" s="481"/>
      <c r="FZ4194" s="481"/>
      <c r="GA4194" s="481"/>
      <c r="GB4194" s="481"/>
      <c r="GC4194" s="481"/>
      <c r="GD4194" s="481"/>
      <c r="GE4194" s="481"/>
      <c r="GF4194" s="481"/>
      <c r="GG4194" s="481"/>
      <c r="GH4194" s="481"/>
      <c r="GI4194" s="481"/>
      <c r="GJ4194" s="481"/>
      <c r="GK4194" s="481"/>
      <c r="GL4194" s="481"/>
      <c r="GM4194" s="481"/>
      <c r="GN4194" s="481"/>
      <c r="GO4194" s="481"/>
      <c r="GP4194" s="481"/>
      <c r="GQ4194" s="481"/>
      <c r="GR4194" s="481"/>
      <c r="GS4194" s="481"/>
      <c r="GT4194" s="481"/>
      <c r="GU4194" s="481"/>
      <c r="GV4194" s="481"/>
      <c r="GW4194" s="481"/>
      <c r="GX4194" s="481"/>
      <c r="GY4194" s="481"/>
      <c r="GZ4194" s="481"/>
      <c r="HA4194" s="481"/>
      <c r="HB4194" s="481"/>
      <c r="HC4194" s="481"/>
      <c r="HD4194" s="481"/>
      <c r="HE4194" s="481"/>
      <c r="HF4194" s="481"/>
      <c r="HG4194" s="481"/>
      <c r="HH4194" s="481"/>
      <c r="HI4194" s="481"/>
      <c r="HJ4194" s="481"/>
      <c r="HK4194" s="481"/>
      <c r="HL4194" s="481"/>
      <c r="HM4194" s="481"/>
      <c r="HN4194" s="481"/>
      <c r="HO4194" s="481"/>
      <c r="HP4194" s="481"/>
      <c r="HQ4194" s="481"/>
      <c r="HR4194" s="481"/>
      <c r="HS4194" s="481"/>
      <c r="HT4194" s="481"/>
      <c r="HU4194" s="481"/>
      <c r="HV4194" s="481"/>
      <c r="HW4194" s="481"/>
      <c r="HX4194" s="481"/>
      <c r="HY4194" s="481"/>
      <c r="HZ4194" s="481"/>
      <c r="IA4194" s="481"/>
      <c r="IB4194" s="481"/>
      <c r="IC4194" s="481"/>
      <c r="ID4194" s="481"/>
      <c r="IE4194" s="481"/>
      <c r="IF4194" s="481"/>
      <c r="IG4194" s="481"/>
      <c r="IH4194" s="481"/>
      <c r="II4194" s="481"/>
      <c r="IJ4194" s="481"/>
      <c r="IK4194" s="481"/>
      <c r="IL4194" s="481"/>
      <c r="IM4194" s="481"/>
      <c r="IN4194" s="481"/>
      <c r="IO4194" s="481"/>
      <c r="IP4194" s="481"/>
      <c r="IQ4194" s="481"/>
      <c r="IR4194" s="481"/>
      <c r="IS4194" s="481"/>
      <c r="IT4194" s="481"/>
      <c r="IU4194" s="481"/>
      <c r="IV4194" s="481"/>
      <c r="IW4194" s="481"/>
      <c r="IX4194" s="481"/>
      <c r="IY4194" s="481"/>
      <c r="IZ4194" s="481"/>
      <c r="JA4194" s="481"/>
      <c r="JB4194" s="481"/>
      <c r="JC4194" s="481"/>
      <c r="JD4194" s="481"/>
      <c r="JE4194" s="481"/>
      <c r="JF4194" s="481"/>
      <c r="JG4194" s="481"/>
      <c r="JH4194" s="481"/>
      <c r="JI4194" s="481"/>
      <c r="JJ4194" s="481"/>
      <c r="JK4194" s="481"/>
      <c r="JL4194" s="481"/>
      <c r="JM4194" s="481"/>
      <c r="JN4194" s="481"/>
      <c r="JO4194" s="481"/>
      <c r="JP4194" s="481"/>
      <c r="JQ4194" s="481"/>
      <c r="JR4194" s="481"/>
      <c r="JS4194" s="481"/>
      <c r="JT4194" s="481"/>
      <c r="JU4194" s="481"/>
      <c r="JV4194" s="481"/>
      <c r="JW4194" s="481"/>
      <c r="JX4194" s="481"/>
      <c r="JY4194" s="481"/>
      <c r="JZ4194" s="481"/>
      <c r="KA4194" s="481"/>
      <c r="KB4194" s="481"/>
      <c r="KC4194" s="481"/>
      <c r="KD4194" s="481"/>
      <c r="KE4194" s="481"/>
      <c r="KF4194" s="481"/>
      <c r="KG4194" s="481"/>
      <c r="KH4194" s="481"/>
      <c r="KI4194" s="481"/>
      <c r="KJ4194" s="481"/>
      <c r="KK4194" s="481"/>
      <c r="KL4194" s="481"/>
      <c r="KM4194" s="481"/>
      <c r="KN4194" s="481"/>
      <c r="KO4194" s="481"/>
      <c r="KP4194" s="481"/>
      <c r="KQ4194" s="481"/>
      <c r="KR4194" s="481"/>
      <c r="KS4194" s="481"/>
      <c r="KT4194" s="481"/>
      <c r="KU4194" s="481"/>
      <c r="KV4194" s="481"/>
      <c r="KW4194" s="481"/>
      <c r="KX4194" s="481"/>
      <c r="KY4194" s="481"/>
      <c r="KZ4194" s="481"/>
      <c r="LA4194" s="481"/>
      <c r="LB4194" s="481"/>
      <c r="LC4194" s="481"/>
      <c r="LD4194" s="481"/>
      <c r="LE4194" s="481"/>
      <c r="LF4194" s="481"/>
      <c r="LG4194" s="481"/>
      <c r="LH4194" s="481"/>
      <c r="LI4194" s="481"/>
      <c r="LJ4194" s="481"/>
      <c r="LK4194" s="481"/>
      <c r="LL4194" s="481"/>
      <c r="LM4194" s="481"/>
      <c r="LN4194" s="481"/>
      <c r="LO4194" s="481"/>
      <c r="LP4194" s="481"/>
      <c r="LQ4194" s="481"/>
      <c r="LR4194" s="481"/>
      <c r="LS4194" s="481"/>
      <c r="LT4194" s="481"/>
      <c r="LU4194" s="481"/>
      <c r="LV4194" s="481"/>
      <c r="LW4194" s="481"/>
      <c r="LX4194" s="481"/>
      <c r="LY4194" s="481"/>
      <c r="LZ4194" s="481"/>
      <c r="MA4194" s="481"/>
      <c r="MB4194" s="481"/>
      <c r="MC4194" s="481"/>
      <c r="MD4194" s="481"/>
      <c r="ME4194" s="481"/>
      <c r="MF4194" s="481"/>
      <c r="MG4194" s="481"/>
      <c r="MH4194" s="481"/>
      <c r="MI4194" s="481"/>
      <c r="MJ4194" s="481"/>
      <c r="MK4194" s="481"/>
      <c r="ML4194" s="481"/>
      <c r="MM4194" s="481"/>
      <c r="MN4194" s="481"/>
      <c r="MO4194" s="481"/>
      <c r="MP4194" s="481"/>
      <c r="MQ4194" s="481"/>
      <c r="MR4194" s="481"/>
      <c r="MS4194" s="481"/>
      <c r="MT4194" s="481"/>
      <c r="MU4194" s="481"/>
      <c r="MV4194" s="481"/>
      <c r="MW4194" s="481"/>
      <c r="MX4194" s="481"/>
      <c r="MY4194" s="481"/>
      <c r="MZ4194" s="481"/>
      <c r="NA4194" s="481"/>
      <c r="NB4194" s="481"/>
      <c r="NC4194" s="481"/>
      <c r="ND4194" s="481"/>
      <c r="NE4194" s="481"/>
      <c r="NF4194" s="481"/>
      <c r="NG4194" s="481"/>
      <c r="NH4194" s="481"/>
      <c r="NI4194" s="481"/>
      <c r="NJ4194" s="481"/>
      <c r="NK4194" s="481"/>
      <c r="NL4194" s="481"/>
      <c r="NM4194" s="481"/>
      <c r="NN4194" s="481"/>
      <c r="NO4194" s="481"/>
      <c r="NP4194" s="481"/>
      <c r="NQ4194" s="481"/>
      <c r="NR4194" s="481"/>
      <c r="NS4194" s="481"/>
      <c r="NT4194" s="481"/>
      <c r="NU4194" s="481"/>
      <c r="NV4194" s="481"/>
      <c r="NW4194" s="481"/>
      <c r="NX4194" s="481"/>
      <c r="NY4194" s="481"/>
      <c r="NZ4194" s="481"/>
      <c r="OA4194" s="481"/>
      <c r="OB4194" s="481"/>
      <c r="OC4194" s="481"/>
      <c r="OD4194" s="481"/>
      <c r="OE4194" s="481"/>
      <c r="OF4194" s="481"/>
      <c r="OG4194" s="481"/>
      <c r="OH4194" s="481"/>
      <c r="OI4194" s="481"/>
      <c r="OJ4194" s="481"/>
      <c r="OK4194" s="481"/>
      <c r="OL4194" s="481"/>
      <c r="OM4194" s="481"/>
      <c r="ON4194" s="481"/>
      <c r="OO4194" s="481"/>
      <c r="OP4194" s="481"/>
      <c r="OQ4194" s="481"/>
      <c r="OR4194" s="481"/>
      <c r="OS4194" s="481"/>
      <c r="OT4194" s="481"/>
      <c r="OU4194" s="481"/>
      <c r="OV4194" s="481"/>
      <c r="OW4194" s="481"/>
      <c r="OX4194" s="481"/>
      <c r="OY4194" s="481"/>
      <c r="OZ4194" s="481"/>
      <c r="PA4194" s="481"/>
      <c r="PB4194" s="481"/>
      <c r="PC4194" s="481"/>
      <c r="PD4194" s="481"/>
      <c r="PE4194" s="481"/>
      <c r="PF4194" s="481"/>
      <c r="PG4194" s="481"/>
      <c r="PH4194" s="481"/>
      <c r="PI4194" s="481"/>
      <c r="PJ4194" s="481"/>
      <c r="PK4194" s="481"/>
      <c r="PL4194" s="481"/>
      <c r="PM4194" s="481"/>
      <c r="PN4194" s="481"/>
      <c r="PO4194" s="481"/>
      <c r="PP4194" s="481"/>
      <c r="PQ4194" s="481"/>
      <c r="PR4194" s="481"/>
      <c r="PS4194" s="481"/>
      <c r="PT4194" s="481"/>
      <c r="PU4194" s="481"/>
      <c r="PV4194" s="481"/>
      <c r="PW4194" s="481"/>
      <c r="PX4194" s="481"/>
      <c r="PY4194" s="481"/>
      <c r="PZ4194" s="481"/>
      <c r="QA4194" s="481"/>
      <c r="QB4194" s="481"/>
      <c r="QC4194" s="481"/>
      <c r="QD4194" s="481"/>
      <c r="QE4194" s="481"/>
      <c r="QF4194" s="481"/>
      <c r="QG4194" s="481"/>
      <c r="QH4194" s="481"/>
      <c r="QI4194" s="481"/>
      <c r="QJ4194" s="481"/>
      <c r="QK4194" s="481"/>
      <c r="QL4194" s="481"/>
      <c r="QM4194" s="481"/>
      <c r="QN4194" s="481"/>
      <c r="QO4194" s="481"/>
      <c r="QP4194" s="481"/>
      <c r="QQ4194" s="481"/>
      <c r="QR4194" s="481"/>
      <c r="QS4194" s="481"/>
      <c r="QT4194" s="481"/>
      <c r="QU4194" s="481"/>
      <c r="QV4194" s="481"/>
      <c r="QW4194" s="481"/>
      <c r="QX4194" s="481"/>
      <c r="QY4194" s="481"/>
      <c r="QZ4194" s="481"/>
      <c r="RA4194" s="481"/>
      <c r="RB4194" s="481"/>
      <c r="RC4194" s="481"/>
      <c r="RD4194" s="481"/>
      <c r="RE4194" s="481"/>
      <c r="RF4194" s="481"/>
      <c r="RG4194" s="481"/>
      <c r="RH4194" s="481"/>
      <c r="RI4194" s="481"/>
      <c r="RJ4194" s="481"/>
      <c r="RK4194" s="481"/>
      <c r="RL4194" s="481"/>
      <c r="RM4194" s="481"/>
      <c r="RN4194" s="481"/>
      <c r="RO4194" s="481"/>
      <c r="RP4194" s="481"/>
      <c r="RQ4194" s="481"/>
      <c r="RR4194" s="481"/>
      <c r="RS4194" s="481"/>
      <c r="RT4194" s="481"/>
      <c r="RU4194" s="481"/>
      <c r="RV4194" s="481"/>
      <c r="RW4194" s="481"/>
      <c r="RX4194" s="481"/>
      <c r="RY4194" s="481"/>
      <c r="RZ4194" s="481"/>
      <c r="SA4194" s="481"/>
      <c r="SB4194" s="481"/>
      <c r="SC4194" s="481"/>
      <c r="SD4194" s="481"/>
      <c r="SE4194" s="481"/>
      <c r="SF4194" s="481"/>
      <c r="SG4194" s="481"/>
      <c r="SH4194" s="481"/>
      <c r="SI4194" s="481"/>
      <c r="SJ4194" s="481"/>
      <c r="SK4194" s="481"/>
      <c r="SL4194" s="481"/>
      <c r="SM4194" s="481"/>
      <c r="SN4194" s="481"/>
      <c r="SO4194" s="481"/>
      <c r="SP4194" s="481"/>
      <c r="SQ4194" s="481"/>
      <c r="SR4194" s="481"/>
      <c r="SS4194" s="481"/>
      <c r="ST4194" s="481"/>
      <c r="SU4194" s="481"/>
      <c r="SV4194" s="481"/>
      <c r="SW4194" s="481"/>
      <c r="SX4194" s="481"/>
      <c r="SY4194" s="481"/>
      <c r="SZ4194" s="481"/>
      <c r="TA4194" s="481"/>
      <c r="TB4194" s="481"/>
      <c r="TC4194" s="481"/>
      <c r="TD4194" s="481"/>
      <c r="TE4194" s="481"/>
      <c r="TF4194" s="481"/>
      <c r="TG4194" s="481"/>
      <c r="TH4194" s="481"/>
      <c r="TI4194" s="481"/>
      <c r="TJ4194" s="481"/>
      <c r="TK4194" s="481"/>
      <c r="TL4194" s="481"/>
      <c r="TM4194" s="481"/>
      <c r="TN4194" s="481"/>
      <c r="TO4194" s="481"/>
      <c r="TP4194" s="481"/>
      <c r="TQ4194" s="481"/>
      <c r="TR4194" s="481"/>
      <c r="TS4194" s="481"/>
      <c r="TT4194" s="481"/>
      <c r="TU4194" s="481"/>
      <c r="TV4194" s="481"/>
      <c r="TW4194" s="481"/>
      <c r="TX4194" s="481"/>
      <c r="TY4194" s="481"/>
      <c r="TZ4194" s="481"/>
      <c r="UA4194" s="481"/>
      <c r="UB4194" s="481"/>
      <c r="UC4194" s="481"/>
      <c r="UD4194" s="481"/>
      <c r="UE4194" s="481"/>
      <c r="UF4194" s="481"/>
      <c r="UG4194" s="481"/>
      <c r="UH4194" s="481"/>
      <c r="UI4194" s="481"/>
      <c r="UJ4194" s="481"/>
      <c r="UK4194" s="481"/>
      <c r="UL4194" s="481"/>
      <c r="UM4194" s="481"/>
      <c r="UN4194" s="481"/>
      <c r="UO4194" s="481"/>
      <c r="UP4194" s="481"/>
      <c r="UQ4194" s="481"/>
      <c r="UR4194" s="481"/>
      <c r="US4194" s="481"/>
      <c r="UT4194" s="481"/>
      <c r="UU4194" s="481"/>
      <c r="UV4194" s="481"/>
      <c r="UW4194" s="481"/>
      <c r="UX4194" s="481"/>
      <c r="UY4194" s="481"/>
      <c r="UZ4194" s="481"/>
      <c r="VA4194" s="481"/>
      <c r="VB4194" s="481"/>
      <c r="VC4194" s="481"/>
      <c r="VD4194" s="481"/>
      <c r="VE4194" s="481"/>
      <c r="VF4194" s="481"/>
      <c r="VG4194" s="481"/>
      <c r="VH4194" s="481"/>
      <c r="VI4194" s="481"/>
      <c r="VJ4194" s="481"/>
      <c r="VK4194" s="481"/>
      <c r="VL4194" s="481"/>
      <c r="VM4194" s="481"/>
      <c r="VN4194" s="481"/>
      <c r="VO4194" s="481"/>
      <c r="VP4194" s="481"/>
      <c r="VQ4194" s="481"/>
      <c r="VR4194" s="481"/>
      <c r="VS4194" s="481"/>
      <c r="VT4194" s="481"/>
      <c r="VU4194" s="481"/>
      <c r="VV4194" s="481"/>
      <c r="VW4194" s="481"/>
      <c r="VX4194" s="481"/>
      <c r="VY4194" s="481"/>
      <c r="VZ4194" s="481"/>
      <c r="WA4194" s="481"/>
      <c r="WB4194" s="481"/>
      <c r="WC4194" s="481"/>
      <c r="WD4194" s="481"/>
      <c r="WE4194" s="481"/>
      <c r="WF4194" s="481"/>
      <c r="WG4194" s="481"/>
      <c r="WH4194" s="481"/>
      <c r="WI4194" s="481"/>
      <c r="WJ4194" s="481"/>
      <c r="WK4194" s="481"/>
      <c r="WL4194" s="481"/>
      <c r="WM4194" s="481"/>
      <c r="WN4194" s="481"/>
      <c r="WO4194" s="481"/>
      <c r="WP4194" s="481"/>
      <c r="WQ4194" s="481"/>
      <c r="WR4194" s="481"/>
      <c r="WS4194" s="481"/>
      <c r="WT4194" s="481"/>
      <c r="WU4194" s="481"/>
      <c r="WV4194" s="481"/>
      <c r="WW4194" s="481"/>
      <c r="WX4194" s="481"/>
      <c r="WY4194" s="481"/>
      <c r="WZ4194" s="481"/>
      <c r="XA4194" s="481"/>
      <c r="XB4194" s="481"/>
      <c r="XC4194" s="481"/>
      <c r="XD4194" s="481"/>
      <c r="XE4194" s="481"/>
      <c r="XF4194" s="481"/>
      <c r="XG4194" s="481"/>
      <c r="XH4194" s="481"/>
      <c r="XI4194" s="481"/>
      <c r="XJ4194" s="481"/>
      <c r="XK4194" s="481"/>
      <c r="XL4194" s="481"/>
      <c r="XM4194" s="481"/>
      <c r="XN4194" s="481"/>
      <c r="XO4194" s="481"/>
      <c r="XP4194" s="481"/>
      <c r="XQ4194" s="481"/>
      <c r="XR4194" s="481"/>
      <c r="XS4194" s="481"/>
      <c r="XT4194" s="481"/>
      <c r="XU4194" s="481"/>
      <c r="XV4194" s="481"/>
      <c r="XW4194" s="481"/>
      <c r="XX4194" s="481"/>
      <c r="XY4194" s="481"/>
      <c r="XZ4194" s="481"/>
      <c r="YA4194" s="481"/>
      <c r="YB4194" s="481"/>
      <c r="YC4194" s="481"/>
      <c r="YD4194" s="481"/>
      <c r="YE4194" s="481"/>
      <c r="YF4194" s="481"/>
      <c r="YG4194" s="481"/>
      <c r="YH4194" s="481"/>
      <c r="YI4194" s="481"/>
      <c r="YJ4194" s="481"/>
      <c r="YK4194" s="481"/>
      <c r="YL4194" s="481"/>
      <c r="YM4194" s="481"/>
      <c r="YN4194" s="481"/>
      <c r="YO4194" s="481"/>
      <c r="YP4194" s="481"/>
      <c r="YQ4194" s="481"/>
      <c r="YR4194" s="481"/>
      <c r="YS4194" s="481"/>
      <c r="YT4194" s="481"/>
      <c r="YU4194" s="481"/>
      <c r="YV4194" s="481"/>
      <c r="YW4194" s="481"/>
      <c r="YX4194" s="481"/>
      <c r="YY4194" s="481"/>
      <c r="YZ4194" s="481"/>
      <c r="ZA4194" s="481"/>
      <c r="ZB4194" s="481"/>
      <c r="ZC4194" s="481"/>
      <c r="ZD4194" s="481"/>
      <c r="ZE4194" s="481"/>
      <c r="ZF4194" s="481"/>
      <c r="ZG4194" s="481"/>
      <c r="ZH4194" s="481"/>
      <c r="ZI4194" s="481"/>
      <c r="ZJ4194" s="481"/>
      <c r="ZK4194" s="481"/>
      <c r="ZL4194" s="481"/>
      <c r="ZM4194" s="481"/>
      <c r="ZN4194" s="481"/>
      <c r="ZO4194" s="481"/>
      <c r="ZP4194" s="481"/>
      <c r="ZQ4194" s="481"/>
      <c r="ZR4194" s="481"/>
      <c r="ZS4194" s="481"/>
      <c r="ZT4194" s="481"/>
      <c r="ZU4194" s="481"/>
      <c r="ZV4194" s="481"/>
      <c r="ZW4194" s="481"/>
      <c r="ZX4194" s="481"/>
      <c r="ZY4194" s="481"/>
      <c r="ZZ4194" s="481"/>
      <c r="AAA4194" s="481"/>
      <c r="AAB4194" s="481"/>
      <c r="AAC4194" s="481"/>
      <c r="AAD4194" s="481"/>
      <c r="AAE4194" s="481"/>
      <c r="AAF4194" s="481"/>
      <c r="AAG4194" s="481"/>
      <c r="AAH4194" s="481"/>
      <c r="AAI4194" s="481"/>
      <c r="AAJ4194" s="481"/>
      <c r="AAK4194" s="481"/>
      <c r="AAL4194" s="481"/>
      <c r="AAM4194" s="481"/>
      <c r="AAN4194" s="481"/>
      <c r="AAO4194" s="481"/>
      <c r="AAP4194" s="481"/>
      <c r="AAQ4194" s="481"/>
      <c r="AAR4194" s="481"/>
      <c r="AAS4194" s="481"/>
      <c r="AAT4194" s="481"/>
      <c r="AAU4194" s="481"/>
      <c r="AAV4194" s="481"/>
      <c r="AAW4194" s="481"/>
      <c r="AAX4194" s="481"/>
      <c r="AAY4194" s="481"/>
      <c r="AAZ4194" s="481"/>
      <c r="ABA4194" s="481"/>
      <c r="ABB4194" s="481"/>
      <c r="ABC4194" s="481"/>
      <c r="ABD4194" s="481"/>
      <c r="ABE4194" s="481"/>
      <c r="ABF4194" s="481"/>
      <c r="ABG4194" s="481"/>
      <c r="ABH4194" s="481"/>
      <c r="ABI4194" s="481"/>
      <c r="ABJ4194" s="481"/>
      <c r="ABK4194" s="481"/>
      <c r="ABL4194" s="481"/>
      <c r="ABM4194" s="481"/>
      <c r="ABN4194" s="481"/>
      <c r="ABO4194" s="481"/>
      <c r="ABP4194" s="481"/>
      <c r="ABQ4194" s="481"/>
      <c r="ABR4194" s="481"/>
      <c r="ABS4194" s="481"/>
      <c r="ABT4194" s="481"/>
      <c r="ABU4194" s="481"/>
      <c r="ABV4194" s="481"/>
      <c r="ABW4194" s="481"/>
      <c r="ABX4194" s="481"/>
      <c r="ABY4194" s="481"/>
      <c r="ABZ4194" s="481"/>
      <c r="ACA4194" s="481"/>
      <c r="ACB4194" s="481"/>
      <c r="ACC4194" s="481"/>
      <c r="ACD4194" s="481"/>
      <c r="ACE4194" s="481"/>
      <c r="ACF4194" s="481"/>
      <c r="ACG4194" s="481"/>
      <c r="ACH4194" s="481"/>
      <c r="ACI4194" s="481"/>
      <c r="ACJ4194" s="481"/>
      <c r="ACK4194" s="481"/>
      <c r="ACL4194" s="481"/>
      <c r="ACM4194" s="481"/>
      <c r="ACN4194" s="481"/>
      <c r="ACO4194" s="481"/>
      <c r="ACP4194" s="481"/>
      <c r="ACQ4194" s="481"/>
      <c r="ACR4194" s="481"/>
      <c r="ACS4194" s="481"/>
      <c r="ACT4194" s="481"/>
      <c r="ACU4194" s="481"/>
      <c r="ACV4194" s="481"/>
      <c r="ACW4194" s="481"/>
      <c r="ACX4194" s="481"/>
      <c r="ACY4194" s="481"/>
      <c r="ACZ4194" s="481"/>
      <c r="ADA4194" s="481"/>
      <c r="ADB4194" s="481"/>
      <c r="ADC4194" s="481"/>
      <c r="ADD4194" s="481"/>
      <c r="ADE4194" s="481"/>
      <c r="ADF4194" s="481"/>
      <c r="ADG4194" s="481"/>
      <c r="ADH4194" s="481"/>
      <c r="ADI4194" s="481"/>
      <c r="ADJ4194" s="481"/>
      <c r="ADK4194" s="481"/>
      <c r="ADL4194" s="481"/>
      <c r="ADM4194" s="481"/>
      <c r="ADN4194" s="481"/>
      <c r="ADO4194" s="481"/>
      <c r="ADP4194" s="481"/>
      <c r="ADQ4194" s="481"/>
      <c r="ADR4194" s="481"/>
      <c r="ADS4194" s="481"/>
      <c r="ADT4194" s="481"/>
      <c r="ADU4194" s="481"/>
      <c r="ADV4194" s="481"/>
      <c r="ADW4194" s="481"/>
      <c r="ADX4194" s="481"/>
      <c r="ADY4194" s="481"/>
      <c r="ADZ4194" s="481"/>
      <c r="AEA4194" s="481"/>
      <c r="AEB4194" s="481"/>
      <c r="AEC4194" s="481"/>
      <c r="AED4194" s="481"/>
      <c r="AEE4194" s="481"/>
      <c r="AEF4194" s="481"/>
      <c r="AEG4194" s="481"/>
      <c r="AEH4194" s="481"/>
      <c r="AEI4194" s="481"/>
      <c r="AEJ4194" s="481"/>
      <c r="AEK4194" s="481"/>
      <c r="AEL4194" s="481"/>
      <c r="AEM4194" s="481"/>
      <c r="AEN4194" s="481"/>
      <c r="AEO4194" s="481"/>
      <c r="AEP4194" s="481"/>
      <c r="AEQ4194" s="481"/>
      <c r="AER4194" s="481"/>
      <c r="AES4194" s="481"/>
      <c r="AET4194" s="481"/>
      <c r="AEU4194" s="481"/>
      <c r="AEV4194" s="481"/>
      <c r="AEW4194" s="481"/>
      <c r="AEX4194" s="481"/>
      <c r="AEY4194" s="481"/>
      <c r="AEZ4194" s="481"/>
      <c r="AFA4194" s="481"/>
      <c r="AFB4194" s="481"/>
      <c r="AFC4194" s="481"/>
      <c r="AFD4194" s="481"/>
      <c r="AFE4194" s="481"/>
      <c r="AFF4194" s="481"/>
      <c r="AFG4194" s="481"/>
      <c r="AFH4194" s="481"/>
      <c r="AFI4194" s="481"/>
      <c r="AFJ4194" s="481"/>
      <c r="AFK4194" s="481"/>
      <c r="AFL4194" s="481"/>
      <c r="AFM4194" s="481"/>
      <c r="AFN4194" s="481"/>
      <c r="AFO4194" s="481"/>
      <c r="AFP4194" s="481"/>
      <c r="AFQ4194" s="481"/>
      <c r="AFR4194" s="481"/>
      <c r="AFS4194" s="481"/>
      <c r="AFT4194" s="481"/>
      <c r="AFU4194" s="481"/>
      <c r="AFV4194" s="481"/>
      <c r="AFW4194" s="481"/>
      <c r="AFX4194" s="481"/>
      <c r="AFY4194" s="481"/>
      <c r="AFZ4194" s="481"/>
      <c r="AGA4194" s="481"/>
      <c r="AGB4194" s="481"/>
      <c r="AGC4194" s="481"/>
      <c r="AGD4194" s="481"/>
      <c r="AGE4194" s="481"/>
      <c r="AGF4194" s="481"/>
      <c r="AGG4194" s="481"/>
      <c r="AGH4194" s="481"/>
      <c r="AGI4194" s="481"/>
      <c r="AGJ4194" s="481"/>
      <c r="AGK4194" s="481"/>
      <c r="AGL4194" s="481"/>
      <c r="AGM4194" s="481"/>
      <c r="AGN4194" s="481"/>
      <c r="AGO4194" s="481"/>
      <c r="AGP4194" s="481"/>
      <c r="AGQ4194" s="481"/>
      <c r="AGR4194" s="481"/>
      <c r="AGS4194" s="481"/>
      <c r="AGT4194" s="481"/>
      <c r="AGU4194" s="481"/>
      <c r="AGV4194" s="481"/>
      <c r="AGW4194" s="481"/>
      <c r="AGX4194" s="481"/>
      <c r="AGY4194" s="481"/>
      <c r="AGZ4194" s="481"/>
      <c r="AHA4194" s="481"/>
      <c r="AHB4194" s="481"/>
      <c r="AHC4194" s="481"/>
      <c r="AHD4194" s="481"/>
      <c r="AHE4194" s="481"/>
      <c r="AHF4194" s="481"/>
      <c r="AHG4194" s="481"/>
      <c r="AHH4194" s="481"/>
      <c r="AHI4194" s="481"/>
      <c r="AHJ4194" s="481"/>
      <c r="AHK4194" s="481"/>
      <c r="AHL4194" s="481"/>
      <c r="AHM4194" s="481"/>
      <c r="AHN4194" s="481"/>
      <c r="AHO4194" s="481"/>
      <c r="AHP4194" s="481"/>
      <c r="AHQ4194" s="481"/>
      <c r="AHR4194" s="481"/>
      <c r="AHS4194" s="481"/>
      <c r="AHT4194" s="481"/>
      <c r="AHU4194" s="481"/>
      <c r="AHV4194" s="481"/>
      <c r="AHW4194" s="481"/>
      <c r="AHX4194" s="481"/>
      <c r="AHY4194" s="481"/>
      <c r="AHZ4194" s="481"/>
      <c r="AIA4194" s="481"/>
      <c r="AIB4194" s="481"/>
      <c r="AIC4194" s="481"/>
      <c r="AID4194" s="481"/>
      <c r="AIE4194" s="481"/>
      <c r="AIF4194" s="481"/>
      <c r="AIG4194" s="481"/>
      <c r="AIH4194" s="481"/>
      <c r="AII4194" s="481"/>
      <c r="AIJ4194" s="481"/>
      <c r="AIK4194" s="481"/>
      <c r="AIL4194" s="481"/>
      <c r="AIM4194" s="481"/>
      <c r="AIN4194" s="481"/>
      <c r="AIO4194" s="481"/>
      <c r="AIP4194" s="481"/>
      <c r="AIQ4194" s="481"/>
      <c r="AIR4194" s="481"/>
      <c r="AIS4194" s="481"/>
      <c r="AIT4194" s="481"/>
      <c r="AIU4194" s="481"/>
      <c r="AIV4194" s="481"/>
      <c r="AIW4194" s="481"/>
      <c r="AIX4194" s="481"/>
      <c r="AIY4194" s="481"/>
      <c r="AIZ4194" s="481"/>
      <c r="AJA4194" s="481"/>
      <c r="AJB4194" s="481"/>
      <c r="AJC4194" s="481"/>
      <c r="AJD4194" s="481"/>
      <c r="AJE4194" s="481"/>
      <c r="AJF4194" s="481"/>
      <c r="AJG4194" s="481"/>
      <c r="AJH4194" s="481"/>
      <c r="AJI4194" s="481"/>
      <c r="AJJ4194" s="481"/>
      <c r="AJK4194" s="481"/>
      <c r="AJL4194" s="481"/>
      <c r="AJM4194" s="481"/>
      <c r="AJN4194" s="481"/>
      <c r="AJO4194" s="481"/>
      <c r="AJP4194" s="481"/>
      <c r="AJQ4194" s="481"/>
      <c r="AJR4194" s="481"/>
      <c r="AJS4194" s="481"/>
      <c r="AJT4194" s="481"/>
      <c r="AJU4194" s="481"/>
      <c r="AJV4194" s="481"/>
      <c r="AJW4194" s="481"/>
      <c r="AJX4194" s="481"/>
      <c r="AJY4194" s="481"/>
      <c r="AJZ4194" s="481"/>
      <c r="AKA4194" s="481"/>
      <c r="AKB4194" s="481"/>
      <c r="AKC4194" s="481"/>
      <c r="AKD4194" s="481"/>
      <c r="AKE4194" s="481"/>
      <c r="AKF4194" s="481"/>
      <c r="AKG4194" s="481"/>
      <c r="AKH4194" s="481"/>
      <c r="AKI4194" s="481"/>
      <c r="AKJ4194" s="481"/>
      <c r="AKK4194" s="481"/>
      <c r="AKL4194" s="481"/>
      <c r="AKM4194" s="481"/>
      <c r="AKN4194" s="481"/>
      <c r="AKO4194" s="481"/>
      <c r="AKP4194" s="481"/>
      <c r="AKQ4194" s="481"/>
      <c r="AKR4194" s="481"/>
      <c r="AKS4194" s="481"/>
      <c r="AKT4194" s="481"/>
      <c r="AKU4194" s="481"/>
      <c r="AKV4194" s="481"/>
      <c r="AKW4194" s="481"/>
      <c r="AKX4194" s="481"/>
      <c r="AKY4194" s="481"/>
      <c r="AKZ4194" s="481"/>
      <c r="ALA4194" s="481"/>
      <c r="ALB4194" s="481"/>
      <c r="ALC4194" s="481"/>
      <c r="ALD4194" s="481"/>
      <c r="ALE4194" s="481"/>
      <c r="ALF4194" s="481"/>
      <c r="ALG4194" s="481"/>
      <c r="ALH4194" s="481"/>
      <c r="ALI4194" s="481"/>
      <c r="ALJ4194" s="481"/>
      <c r="ALK4194" s="481"/>
      <c r="ALL4194" s="481"/>
      <c r="ALM4194" s="481"/>
      <c r="ALN4194" s="481"/>
      <c r="ALO4194" s="481"/>
      <c r="ALP4194" s="481"/>
      <c r="ALQ4194" s="481"/>
      <c r="ALR4194" s="481"/>
      <c r="ALS4194" s="481"/>
      <c r="ALT4194" s="481"/>
      <c r="ALU4194" s="481"/>
      <c r="ALV4194" s="481"/>
      <c r="ALW4194" s="481"/>
      <c r="ALX4194" s="481"/>
      <c r="ALY4194" s="481"/>
      <c r="ALZ4194" s="481"/>
      <c r="AMA4194" s="481"/>
      <c r="AMB4194" s="481"/>
      <c r="AMC4194" s="481"/>
      <c r="AMD4194" s="481"/>
      <c r="AME4194" s="481"/>
      <c r="AMF4194" s="481"/>
      <c r="AMG4194" s="481"/>
      <c r="AMH4194" s="481"/>
      <c r="AMI4194" s="481"/>
      <c r="AMJ4194" s="481"/>
    </row>
    <row r="4195" spans="1:1024" s="505" customFormat="1" ht="37.5">
      <c r="A4195" s="404">
        <f>A4194+1</f>
        <v>2</v>
      </c>
      <c r="B4195" s="854" t="s">
        <v>3477</v>
      </c>
      <c r="C4195" s="931" t="s">
        <v>3939</v>
      </c>
      <c r="D4195" s="859">
        <v>16079</v>
      </c>
      <c r="E4195" s="860">
        <v>3061.7</v>
      </c>
      <c r="F4195" s="860" t="s">
        <v>310</v>
      </c>
      <c r="G4195" s="860">
        <v>630</v>
      </c>
      <c r="H4195" s="862">
        <v>9</v>
      </c>
      <c r="I4195" s="862">
        <v>2</v>
      </c>
      <c r="J4195" s="862">
        <v>72</v>
      </c>
      <c r="K4195" s="458" t="s">
        <v>220</v>
      </c>
      <c r="L4195" s="519">
        <f t="shared" si="626"/>
        <v>4106250</v>
      </c>
      <c r="M4195" s="855">
        <v>4000000</v>
      </c>
      <c r="N4195" s="482">
        <v>106250</v>
      </c>
      <c r="O4195" s="856"/>
      <c r="P4195" s="482"/>
      <c r="Q4195" s="482"/>
      <c r="R4195" s="528">
        <f>M4195/I4195</f>
        <v>2000000</v>
      </c>
      <c r="S4195" s="482"/>
      <c r="T4195" s="431"/>
      <c r="U4195" s="431"/>
      <c r="AMJ4195" s="481"/>
    </row>
    <row r="4196" spans="1:1024" s="505" customFormat="1" ht="37.5">
      <c r="A4196" s="404">
        <f t="shared" ref="A4196:A4216" si="627">A4195+1</f>
        <v>3</v>
      </c>
      <c r="B4196" s="854" t="s">
        <v>3940</v>
      </c>
      <c r="C4196" s="931" t="s">
        <v>3941</v>
      </c>
      <c r="D4196" s="859">
        <v>23774</v>
      </c>
      <c r="E4196" s="860">
        <v>4280.83</v>
      </c>
      <c r="F4196" s="860" t="s">
        <v>310</v>
      </c>
      <c r="G4196" s="860">
        <v>979.6</v>
      </c>
      <c r="H4196" s="862">
        <v>9</v>
      </c>
      <c r="I4196" s="862">
        <v>3</v>
      </c>
      <c r="J4196" s="862">
        <v>106</v>
      </c>
      <c r="K4196" s="458" t="s">
        <v>220</v>
      </c>
      <c r="L4196" s="519">
        <f t="shared" si="626"/>
        <v>6127500</v>
      </c>
      <c r="M4196" s="855">
        <v>6000000</v>
      </c>
      <c r="N4196" s="482">
        <v>127500</v>
      </c>
      <c r="O4196" s="856"/>
      <c r="P4196" s="482"/>
      <c r="Q4196" s="482"/>
      <c r="R4196" s="528">
        <f>M4196/I4196</f>
        <v>2000000</v>
      </c>
      <c r="S4196" s="482"/>
      <c r="T4196" s="431"/>
      <c r="U4196" s="431"/>
      <c r="AMJ4196" s="481"/>
    </row>
    <row r="4197" spans="1:1024" s="505" customFormat="1" ht="37.5">
      <c r="A4197" s="404">
        <f t="shared" si="627"/>
        <v>4</v>
      </c>
      <c r="B4197" s="854" t="s">
        <v>3942</v>
      </c>
      <c r="C4197" s="931" t="s">
        <v>3943</v>
      </c>
      <c r="D4197" s="859">
        <v>18336</v>
      </c>
      <c r="E4197" s="860">
        <v>3180</v>
      </c>
      <c r="F4197" s="860" t="s">
        <v>310</v>
      </c>
      <c r="G4197" s="860">
        <v>795</v>
      </c>
      <c r="H4197" s="862">
        <v>9</v>
      </c>
      <c r="I4197" s="862">
        <v>3</v>
      </c>
      <c r="J4197" s="862">
        <v>71</v>
      </c>
      <c r="K4197" s="458" t="s">
        <v>220</v>
      </c>
      <c r="L4197" s="519">
        <f t="shared" si="626"/>
        <v>4106250</v>
      </c>
      <c r="M4197" s="855">
        <v>4000000</v>
      </c>
      <c r="N4197" s="482">
        <v>106250</v>
      </c>
      <c r="O4197" s="856"/>
      <c r="P4197" s="482"/>
      <c r="Q4197" s="482"/>
      <c r="R4197" s="528">
        <f>M4197/2</f>
        <v>2000000</v>
      </c>
      <c r="S4197" s="482"/>
      <c r="T4197" s="431"/>
      <c r="U4197" s="431"/>
      <c r="AMJ4197" s="481"/>
    </row>
    <row r="4198" spans="1:1024" s="505" customFormat="1" ht="37.5">
      <c r="A4198" s="404">
        <f t="shared" si="627"/>
        <v>5</v>
      </c>
      <c r="B4198" s="854" t="s">
        <v>3944</v>
      </c>
      <c r="C4198" s="931" t="s">
        <v>3941</v>
      </c>
      <c r="D4198" s="859">
        <v>24669</v>
      </c>
      <c r="E4198" s="860">
        <v>4253</v>
      </c>
      <c r="F4198" s="860" t="s">
        <v>310</v>
      </c>
      <c r="G4198" s="860">
        <v>810</v>
      </c>
      <c r="H4198" s="862">
        <v>9</v>
      </c>
      <c r="I4198" s="862">
        <v>3</v>
      </c>
      <c r="J4198" s="862">
        <v>107</v>
      </c>
      <c r="K4198" s="458" t="s">
        <v>220</v>
      </c>
      <c r="L4198" s="519">
        <f t="shared" si="626"/>
        <v>6127500</v>
      </c>
      <c r="M4198" s="855">
        <v>6000000</v>
      </c>
      <c r="N4198" s="482">
        <v>127500</v>
      </c>
      <c r="O4198" s="856"/>
      <c r="P4198" s="482"/>
      <c r="Q4198" s="482"/>
      <c r="R4198" s="528">
        <f>M4198/I4198</f>
        <v>2000000</v>
      </c>
      <c r="S4198" s="482"/>
      <c r="T4198" s="431"/>
      <c r="U4198" s="431"/>
      <c r="AMJ4198" s="481"/>
    </row>
    <row r="4199" spans="1:1024" s="505" customFormat="1" ht="37.5">
      <c r="A4199" s="404">
        <f t="shared" si="627"/>
        <v>6</v>
      </c>
      <c r="B4199" s="854" t="s">
        <v>3945</v>
      </c>
      <c r="C4199" s="931" t="s">
        <v>3941</v>
      </c>
      <c r="D4199" s="859">
        <v>16250</v>
      </c>
      <c r="E4199" s="860">
        <v>3207.6</v>
      </c>
      <c r="F4199" s="860" t="s">
        <v>310</v>
      </c>
      <c r="G4199" s="860">
        <v>532</v>
      </c>
      <c r="H4199" s="862">
        <v>9</v>
      </c>
      <c r="I4199" s="862">
        <v>2</v>
      </c>
      <c r="J4199" s="862">
        <v>72</v>
      </c>
      <c r="K4199" s="458" t="s">
        <v>220</v>
      </c>
      <c r="L4199" s="519">
        <f t="shared" si="626"/>
        <v>4106250</v>
      </c>
      <c r="M4199" s="855">
        <v>4000000</v>
      </c>
      <c r="N4199" s="482">
        <v>106250</v>
      </c>
      <c r="O4199" s="856"/>
      <c r="P4199" s="482"/>
      <c r="Q4199" s="482"/>
      <c r="R4199" s="528">
        <f>M4199/I4199</f>
        <v>2000000</v>
      </c>
      <c r="S4199" s="482"/>
      <c r="T4199" s="431"/>
      <c r="U4199" s="431"/>
      <c r="AMJ4199" s="481"/>
    </row>
    <row r="4200" spans="1:1024" s="505" customFormat="1" ht="37.5">
      <c r="A4200" s="404">
        <f t="shared" si="627"/>
        <v>7</v>
      </c>
      <c r="B4200" s="854" t="s">
        <v>3478</v>
      </c>
      <c r="C4200" s="931" t="s">
        <v>3946</v>
      </c>
      <c r="D4200" s="859">
        <v>25254</v>
      </c>
      <c r="E4200" s="860">
        <v>5491.8</v>
      </c>
      <c r="F4200" s="860" t="s">
        <v>310</v>
      </c>
      <c r="G4200" s="860">
        <v>836</v>
      </c>
      <c r="H4200" s="862">
        <v>9</v>
      </c>
      <c r="I4200" s="862">
        <v>5</v>
      </c>
      <c r="J4200" s="862">
        <v>122</v>
      </c>
      <c r="K4200" s="458" t="s">
        <v>220</v>
      </c>
      <c r="L4200" s="519">
        <f t="shared" si="626"/>
        <v>6127500</v>
      </c>
      <c r="M4200" s="855">
        <v>6000000</v>
      </c>
      <c r="N4200" s="482">
        <v>127500</v>
      </c>
      <c r="O4200" s="856"/>
      <c r="P4200" s="482"/>
      <c r="Q4200" s="482"/>
      <c r="R4200" s="528">
        <f>M4200/3</f>
        <v>2000000</v>
      </c>
      <c r="S4200" s="482"/>
      <c r="T4200" s="431"/>
      <c r="U4200" s="431"/>
      <c r="AMJ4200" s="481"/>
    </row>
    <row r="4201" spans="1:1024" s="505" customFormat="1" ht="63.75" customHeight="1">
      <c r="A4201" s="404">
        <f t="shared" si="627"/>
        <v>8</v>
      </c>
      <c r="B4201" s="854" t="s">
        <v>2309</v>
      </c>
      <c r="C4201" s="932" t="s">
        <v>3947</v>
      </c>
      <c r="D4201" s="859">
        <v>64485</v>
      </c>
      <c r="E4201" s="860">
        <v>11076</v>
      </c>
      <c r="F4201" s="860" t="s">
        <v>310</v>
      </c>
      <c r="G4201" s="860">
        <v>1996</v>
      </c>
      <c r="H4201" s="862">
        <v>9</v>
      </c>
      <c r="I4201" s="862">
        <v>8</v>
      </c>
      <c r="J4201" s="862">
        <v>311</v>
      </c>
      <c r="K4201" s="458" t="s">
        <v>220</v>
      </c>
      <c r="L4201" s="519">
        <f>M4201+N4201+O4201+Q4201+M4202+N4202+O4202+Q4202</f>
        <v>26243187</v>
      </c>
      <c r="M4201" s="855">
        <v>16000000</v>
      </c>
      <c r="N4201" s="482">
        <v>233750</v>
      </c>
      <c r="O4201" s="856"/>
      <c r="P4201" s="482"/>
      <c r="Q4201" s="482"/>
      <c r="R4201" s="528">
        <f>M4201/I4201</f>
        <v>2000000</v>
      </c>
      <c r="S4201" s="482"/>
      <c r="T4201" s="431"/>
      <c r="U4201" s="431"/>
      <c r="AMJ4201" s="481"/>
    </row>
    <row r="4202" spans="1:1024" s="505" customFormat="1" ht="63.75" customHeight="1">
      <c r="A4202" s="404"/>
      <c r="B4202" s="854"/>
      <c r="C4202" s="932"/>
      <c r="D4202" s="859"/>
      <c r="E4202" s="860"/>
      <c r="F4202" s="860"/>
      <c r="G4202" s="860"/>
      <c r="H4202" s="862"/>
      <c r="I4202" s="862"/>
      <c r="J4202" s="862"/>
      <c r="K4202" s="458" t="s">
        <v>4257</v>
      </c>
      <c r="L4202" s="519"/>
      <c r="M4202" s="855">
        <v>9950000</v>
      </c>
      <c r="N4202" s="482"/>
      <c r="O4202" s="856">
        <v>19437</v>
      </c>
      <c r="P4202" s="482"/>
      <c r="Q4202" s="482">
        <v>40000</v>
      </c>
      <c r="R4202" s="528"/>
      <c r="S4202" s="482"/>
      <c r="T4202" s="431"/>
      <c r="U4202" s="431"/>
      <c r="AMJ4202" s="481"/>
    </row>
    <row r="4203" spans="1:1024" s="403" customFormat="1" ht="56.25" customHeight="1">
      <c r="A4203" s="404">
        <f>A4201+1</f>
        <v>9</v>
      </c>
      <c r="B4203" s="933" t="s">
        <v>2298</v>
      </c>
      <c r="C4203" s="931" t="s">
        <v>4274</v>
      </c>
      <c r="D4203" s="934"/>
      <c r="E4203" s="482">
        <v>1770</v>
      </c>
      <c r="F4203" s="482" t="s">
        <v>310</v>
      </c>
      <c r="G4203" s="482">
        <v>830</v>
      </c>
      <c r="H4203" s="831">
        <v>9</v>
      </c>
      <c r="I4203" s="831">
        <v>2</v>
      </c>
      <c r="J4203" s="831">
        <v>114</v>
      </c>
      <c r="K4203" s="458" t="s">
        <v>220</v>
      </c>
      <c r="L4203" s="519">
        <f>M4203+N4203+O4203+Q4203</f>
        <v>4106250</v>
      </c>
      <c r="M4203" s="519">
        <v>4000000</v>
      </c>
      <c r="N4203" s="388">
        <v>106250</v>
      </c>
      <c r="O4203" s="473"/>
      <c r="P4203" s="388"/>
      <c r="Q4203" s="388"/>
      <c r="R4203" s="446"/>
      <c r="U4203" s="404"/>
    </row>
    <row r="4204" spans="1:1024" s="403" customFormat="1" ht="56.25">
      <c r="A4204" s="404">
        <f t="shared" si="627"/>
        <v>10</v>
      </c>
      <c r="B4204" s="403" t="s">
        <v>3199</v>
      </c>
      <c r="C4204" s="780" t="s">
        <v>329</v>
      </c>
      <c r="D4204" s="780">
        <v>15382</v>
      </c>
      <c r="E4204" s="781">
        <v>2686.5</v>
      </c>
      <c r="F4204" s="781" t="s">
        <v>310</v>
      </c>
      <c r="G4204" s="388">
        <v>937</v>
      </c>
      <c r="H4204" s="446">
        <v>5</v>
      </c>
      <c r="I4204" s="446">
        <v>4</v>
      </c>
      <c r="J4204" s="446">
        <v>56</v>
      </c>
      <c r="K4204" s="458" t="s">
        <v>33</v>
      </c>
      <c r="L4204" s="519">
        <f t="shared" ref="L4204:L4211" si="628">SUBTOTAL(9,M4204:Q4204)</f>
        <v>1899622</v>
      </c>
      <c r="M4204" s="853">
        <v>1874000</v>
      </c>
      <c r="N4204" s="794"/>
      <c r="O4204" s="795">
        <f>ROUND(M4204*0.3%,0)</f>
        <v>5622</v>
      </c>
      <c r="P4204" s="794"/>
      <c r="Q4204" s="388">
        <v>20000</v>
      </c>
      <c r="R4204" s="796">
        <f>M4204/G4204</f>
        <v>2000</v>
      </c>
      <c r="U4204" s="404"/>
    </row>
    <row r="4205" spans="1:1024" s="403" customFormat="1" ht="56.25">
      <c r="A4205" s="404">
        <f t="shared" si="627"/>
        <v>11</v>
      </c>
      <c r="B4205" s="403" t="s">
        <v>3200</v>
      </c>
      <c r="C4205" s="780" t="s">
        <v>347</v>
      </c>
      <c r="D4205" s="780">
        <v>36480</v>
      </c>
      <c r="E4205" s="781">
        <v>5442</v>
      </c>
      <c r="F4205" s="781" t="s">
        <v>310</v>
      </c>
      <c r="G4205" s="388">
        <v>1850</v>
      </c>
      <c r="H4205" s="446">
        <v>5</v>
      </c>
      <c r="I4205" s="446">
        <v>10</v>
      </c>
      <c r="J4205" s="446">
        <v>150</v>
      </c>
      <c r="K4205" s="458" t="s">
        <v>33</v>
      </c>
      <c r="L4205" s="519">
        <f t="shared" si="628"/>
        <v>3731100</v>
      </c>
      <c r="M4205" s="853">
        <v>3700000</v>
      </c>
      <c r="N4205" s="794"/>
      <c r="O4205" s="795">
        <f>ROUND(M4205*0.3%,0)</f>
        <v>11100</v>
      </c>
      <c r="P4205" s="794"/>
      <c r="Q4205" s="388">
        <v>20000</v>
      </c>
      <c r="R4205" s="796">
        <f>M4205/G4205</f>
        <v>2000</v>
      </c>
      <c r="U4205" s="404"/>
    </row>
    <row r="4206" spans="1:1024" s="403" customFormat="1" ht="56.25">
      <c r="A4206" s="404">
        <f t="shared" si="627"/>
        <v>12</v>
      </c>
      <c r="B4206" s="403" t="s">
        <v>3202</v>
      </c>
      <c r="C4206" s="780" t="s">
        <v>349</v>
      </c>
      <c r="D4206" s="780">
        <v>11209</v>
      </c>
      <c r="E4206" s="781">
        <v>1848</v>
      </c>
      <c r="F4206" s="781" t="s">
        <v>310</v>
      </c>
      <c r="G4206" s="388">
        <v>726</v>
      </c>
      <c r="H4206" s="446">
        <v>5</v>
      </c>
      <c r="I4206" s="446">
        <v>4</v>
      </c>
      <c r="J4206" s="446">
        <v>60</v>
      </c>
      <c r="K4206" s="458" t="s">
        <v>33</v>
      </c>
      <c r="L4206" s="519">
        <f t="shared" si="628"/>
        <v>1549174</v>
      </c>
      <c r="M4206" s="853">
        <v>1524600</v>
      </c>
      <c r="N4206" s="794"/>
      <c r="O4206" s="795">
        <f>ROUND(M4206*0.3%,0)</f>
        <v>4574</v>
      </c>
      <c r="P4206" s="794"/>
      <c r="Q4206" s="388">
        <v>20000</v>
      </c>
      <c r="R4206" s="796">
        <f>M4206/G4206</f>
        <v>2100</v>
      </c>
      <c r="U4206" s="404"/>
    </row>
    <row r="4207" spans="1:1024" s="403" customFormat="1" ht="56.25">
      <c r="A4207" s="404">
        <f t="shared" si="627"/>
        <v>13</v>
      </c>
      <c r="B4207" s="403" t="s">
        <v>3205</v>
      </c>
      <c r="C4207" s="780" t="s">
        <v>350</v>
      </c>
      <c r="D4207" s="780">
        <v>7066</v>
      </c>
      <c r="E4207" s="781">
        <v>801</v>
      </c>
      <c r="F4207" s="781" t="s">
        <v>252</v>
      </c>
      <c r="G4207" s="388">
        <v>996</v>
      </c>
      <c r="H4207" s="446">
        <v>3</v>
      </c>
      <c r="I4207" s="446">
        <v>3</v>
      </c>
      <c r="J4207" s="446">
        <v>30</v>
      </c>
      <c r="K4207" s="458" t="s">
        <v>239</v>
      </c>
      <c r="L4207" s="519">
        <f t="shared" si="628"/>
        <v>945537</v>
      </c>
      <c r="M4207" s="853">
        <v>900000</v>
      </c>
      <c r="N4207" s="794">
        <v>30000</v>
      </c>
      <c r="O4207" s="795"/>
      <c r="P4207" s="794"/>
      <c r="Q4207" s="388">
        <v>15537</v>
      </c>
      <c r="R4207" s="796">
        <f>M4207/J4207</f>
        <v>30000</v>
      </c>
      <c r="U4207" s="404"/>
    </row>
    <row r="4208" spans="1:1024" s="403" customFormat="1" ht="56.25">
      <c r="A4208" s="404">
        <f t="shared" si="627"/>
        <v>14</v>
      </c>
      <c r="B4208" s="403" t="s">
        <v>3206</v>
      </c>
      <c r="C4208" s="780" t="s">
        <v>351</v>
      </c>
      <c r="D4208" s="780">
        <v>6502</v>
      </c>
      <c r="E4208" s="781">
        <v>966.2</v>
      </c>
      <c r="F4208" s="781" t="s">
        <v>310</v>
      </c>
      <c r="G4208" s="388">
        <v>676</v>
      </c>
      <c r="H4208" s="446">
        <v>3</v>
      </c>
      <c r="I4208" s="446">
        <v>2</v>
      </c>
      <c r="J4208" s="446">
        <v>35</v>
      </c>
      <c r="K4208" s="458" t="s">
        <v>33</v>
      </c>
      <c r="L4208" s="519">
        <f t="shared" si="628"/>
        <v>1443859</v>
      </c>
      <c r="M4208" s="853">
        <v>1419600</v>
      </c>
      <c r="N4208" s="794"/>
      <c r="O4208" s="795">
        <f>ROUND(M4208*0.3%,0)</f>
        <v>4259</v>
      </c>
      <c r="P4208" s="794"/>
      <c r="Q4208" s="388">
        <v>20000</v>
      </c>
      <c r="R4208" s="796">
        <f>M4208/G4208</f>
        <v>2100</v>
      </c>
      <c r="U4208" s="404"/>
    </row>
    <row r="4209" spans="1:21" s="403" customFormat="1" ht="56.25">
      <c r="A4209" s="404">
        <f t="shared" si="627"/>
        <v>15</v>
      </c>
      <c r="B4209" s="403" t="s">
        <v>3207</v>
      </c>
      <c r="C4209" s="780" t="s">
        <v>352</v>
      </c>
      <c r="D4209" s="780">
        <v>16982</v>
      </c>
      <c r="E4209" s="781">
        <v>4064.01</v>
      </c>
      <c r="F4209" s="781" t="s">
        <v>310</v>
      </c>
      <c r="G4209" s="388">
        <v>1200</v>
      </c>
      <c r="H4209" s="446">
        <v>5</v>
      </c>
      <c r="I4209" s="446">
        <v>5</v>
      </c>
      <c r="J4209" s="446">
        <v>65</v>
      </c>
      <c r="K4209" s="458" t="s">
        <v>33</v>
      </c>
      <c r="L4209" s="519">
        <f t="shared" si="628"/>
        <v>2547560</v>
      </c>
      <c r="M4209" s="853">
        <v>2520000</v>
      </c>
      <c r="N4209" s="794"/>
      <c r="O4209" s="795">
        <f>ROUND(M4209*0.3%,0)</f>
        <v>7560</v>
      </c>
      <c r="P4209" s="794"/>
      <c r="Q4209" s="388">
        <v>20000</v>
      </c>
      <c r="R4209" s="796">
        <f>M4209/G4209</f>
        <v>2100</v>
      </c>
      <c r="U4209" s="404"/>
    </row>
    <row r="4210" spans="1:21" s="403" customFormat="1" ht="68.25" customHeight="1">
      <c r="A4210" s="404">
        <f t="shared" si="627"/>
        <v>16</v>
      </c>
      <c r="B4210" s="404" t="s">
        <v>4275</v>
      </c>
      <c r="C4210" s="797" t="s">
        <v>327</v>
      </c>
      <c r="D4210" s="404">
        <v>23730</v>
      </c>
      <c r="E4210" s="388">
        <v>4035</v>
      </c>
      <c r="F4210" s="781" t="s">
        <v>310</v>
      </c>
      <c r="G4210" s="388">
        <v>1582</v>
      </c>
      <c r="H4210" s="446">
        <v>5</v>
      </c>
      <c r="I4210" s="446">
        <v>7</v>
      </c>
      <c r="J4210" s="446">
        <v>116</v>
      </c>
      <c r="K4210" s="504" t="s">
        <v>4150</v>
      </c>
      <c r="L4210" s="519">
        <f t="shared" si="628"/>
        <v>3433209</v>
      </c>
      <c r="M4210" s="519">
        <v>3403000</v>
      </c>
      <c r="N4210" s="388"/>
      <c r="O4210" s="795">
        <f>ROUND(M4210*0.3%,0)</f>
        <v>10209</v>
      </c>
      <c r="P4210" s="388"/>
      <c r="Q4210" s="388">
        <v>20000</v>
      </c>
      <c r="R4210" s="874">
        <f>M4210/G4210</f>
        <v>2151.0745891276865</v>
      </c>
    </row>
    <row r="4211" spans="1:21" s="403" customFormat="1" ht="56.25" customHeight="1">
      <c r="A4211" s="404">
        <f t="shared" si="627"/>
        <v>17</v>
      </c>
      <c r="B4211" s="403" t="s">
        <v>3480</v>
      </c>
      <c r="C4211" s="455" t="s">
        <v>365</v>
      </c>
      <c r="D4211" s="455">
        <v>1083</v>
      </c>
      <c r="E4211" s="388">
        <v>325</v>
      </c>
      <c r="F4211" s="388" t="s">
        <v>252</v>
      </c>
      <c r="G4211" s="388">
        <v>264.5</v>
      </c>
      <c r="H4211" s="446">
        <v>2</v>
      </c>
      <c r="I4211" s="446">
        <v>1</v>
      </c>
      <c r="J4211" s="446">
        <v>8</v>
      </c>
      <c r="K4211" s="458" t="s">
        <v>33</v>
      </c>
      <c r="L4211" s="519">
        <f t="shared" si="628"/>
        <v>775957</v>
      </c>
      <c r="M4211" s="519">
        <v>740600</v>
      </c>
      <c r="N4211" s="388">
        <v>30000</v>
      </c>
      <c r="O4211" s="473"/>
      <c r="P4211" s="388"/>
      <c r="Q4211" s="388">
        <v>5357</v>
      </c>
      <c r="R4211" s="446">
        <f>M4211/G4211</f>
        <v>2800</v>
      </c>
      <c r="U4211" s="404"/>
    </row>
    <row r="4212" spans="1:21" s="403" customFormat="1" ht="56.25" customHeight="1">
      <c r="A4212" s="404">
        <f t="shared" si="627"/>
        <v>18</v>
      </c>
      <c r="B4212" s="854" t="s">
        <v>1366</v>
      </c>
      <c r="C4212" s="930" t="s">
        <v>4268</v>
      </c>
      <c r="D4212" s="935">
        <v>124967</v>
      </c>
      <c r="E4212" s="482">
        <v>5487.9</v>
      </c>
      <c r="F4212" s="482" t="s">
        <v>310</v>
      </c>
      <c r="G4212" s="482">
        <v>26157.5</v>
      </c>
      <c r="H4212" s="831">
        <v>9</v>
      </c>
      <c r="I4212" s="831">
        <v>12</v>
      </c>
      <c r="J4212" s="831">
        <v>447</v>
      </c>
      <c r="K4212" s="504" t="s">
        <v>4269</v>
      </c>
      <c r="L4212" s="519">
        <f>M4212+N4212+O4212+Q4212</f>
        <v>15564361</v>
      </c>
      <c r="M4212" s="519">
        <v>15500000</v>
      </c>
      <c r="N4212" s="388"/>
      <c r="O4212" s="473">
        <v>24361</v>
      </c>
      <c r="P4212" s="388"/>
      <c r="Q4212" s="388">
        <v>40000</v>
      </c>
      <c r="R4212" s="446"/>
      <c r="U4212" s="404"/>
    </row>
    <row r="4213" spans="1:21" s="403" customFormat="1" ht="56.25" customHeight="1">
      <c r="A4213" s="404">
        <f t="shared" si="627"/>
        <v>19</v>
      </c>
      <c r="B4213" s="854" t="s">
        <v>4271</v>
      </c>
      <c r="C4213" s="930" t="s">
        <v>222</v>
      </c>
      <c r="D4213" s="935">
        <v>2221</v>
      </c>
      <c r="E4213" s="482">
        <v>921</v>
      </c>
      <c r="F4213" s="482" t="s">
        <v>252</v>
      </c>
      <c r="G4213" s="482">
        <v>354</v>
      </c>
      <c r="H4213" s="831">
        <v>2</v>
      </c>
      <c r="I4213" s="831">
        <v>1</v>
      </c>
      <c r="J4213" s="831">
        <v>8</v>
      </c>
      <c r="K4213" s="504" t="s">
        <v>4270</v>
      </c>
      <c r="L4213" s="519">
        <f>M4213+N4213+O4213+Q4213</f>
        <v>1526298</v>
      </c>
      <c r="M4213" s="519">
        <v>1500000</v>
      </c>
      <c r="N4213" s="388"/>
      <c r="O4213" s="473">
        <v>12134</v>
      </c>
      <c r="P4213" s="388"/>
      <c r="Q4213" s="388">
        <v>14164</v>
      </c>
      <c r="R4213" s="446"/>
      <c r="U4213" s="404"/>
    </row>
    <row r="4214" spans="1:21" s="403" customFormat="1" ht="56.25" customHeight="1">
      <c r="A4214" s="404">
        <f t="shared" si="627"/>
        <v>20</v>
      </c>
      <c r="B4214" s="854" t="s">
        <v>4272</v>
      </c>
      <c r="C4214" s="930" t="s">
        <v>222</v>
      </c>
      <c r="D4214" s="935">
        <v>2557</v>
      </c>
      <c r="E4214" s="482">
        <v>912</v>
      </c>
      <c r="F4214" s="482" t="s">
        <v>310</v>
      </c>
      <c r="G4214" s="482">
        <v>290</v>
      </c>
      <c r="H4214" s="831">
        <v>2</v>
      </c>
      <c r="I4214" s="831">
        <v>1</v>
      </c>
      <c r="J4214" s="831">
        <v>8</v>
      </c>
      <c r="K4214" s="504" t="s">
        <v>4270</v>
      </c>
      <c r="L4214" s="519">
        <f>M4214+N4214+O4214+Q4214</f>
        <v>1528588</v>
      </c>
      <c r="M4214" s="519">
        <v>1500000</v>
      </c>
      <c r="N4214" s="388"/>
      <c r="O4214" s="473">
        <v>12282</v>
      </c>
      <c r="P4214" s="388"/>
      <c r="Q4214" s="388">
        <v>16306</v>
      </c>
      <c r="R4214" s="446"/>
      <c r="U4214" s="404"/>
    </row>
    <row r="4215" spans="1:21" s="403" customFormat="1" ht="56.25" customHeight="1">
      <c r="A4215" s="404">
        <f t="shared" si="627"/>
        <v>21</v>
      </c>
      <c r="B4215" s="854" t="s">
        <v>4356</v>
      </c>
      <c r="C4215" s="930" t="s">
        <v>4354</v>
      </c>
      <c r="D4215" s="935">
        <v>118669</v>
      </c>
      <c r="E4215" s="482">
        <v>5775.7</v>
      </c>
      <c r="F4215" s="482" t="s">
        <v>310</v>
      </c>
      <c r="G4215" s="482">
        <v>1770</v>
      </c>
      <c r="H4215" s="831">
        <v>5</v>
      </c>
      <c r="I4215" s="831">
        <v>10</v>
      </c>
      <c r="J4215" s="831">
        <v>152</v>
      </c>
      <c r="K4215" s="504" t="s">
        <v>33</v>
      </c>
      <c r="L4215" s="519">
        <f>SUBTOTAL(9,M4215:Q4215)</f>
        <v>3570620</v>
      </c>
      <c r="M4215" s="853">
        <v>3540000</v>
      </c>
      <c r="N4215" s="794"/>
      <c r="O4215" s="795">
        <f>ROUND(M4215*0.3%,0)</f>
        <v>10620</v>
      </c>
      <c r="P4215" s="794"/>
      <c r="Q4215" s="388">
        <v>20000</v>
      </c>
      <c r="R4215" s="446"/>
      <c r="U4215" s="404"/>
    </row>
    <row r="4216" spans="1:21" s="403" customFormat="1" ht="56.25" customHeight="1">
      <c r="A4216" s="404">
        <f t="shared" si="627"/>
        <v>22</v>
      </c>
      <c r="B4216" s="854" t="s">
        <v>4355</v>
      </c>
      <c r="C4216" s="930" t="s">
        <v>311</v>
      </c>
      <c r="D4216" s="935">
        <v>21180</v>
      </c>
      <c r="E4216" s="482">
        <v>1324</v>
      </c>
      <c r="F4216" s="482" t="s">
        <v>310</v>
      </c>
      <c r="G4216" s="482">
        <v>426</v>
      </c>
      <c r="H4216" s="831">
        <v>5</v>
      </c>
      <c r="I4216" s="831">
        <v>2</v>
      </c>
      <c r="J4216" s="831">
        <v>30</v>
      </c>
      <c r="K4216" s="504" t="s">
        <v>33</v>
      </c>
      <c r="L4216" s="519">
        <f>SUBTOTAL(9,M4216:Q4216)</f>
        <v>901400</v>
      </c>
      <c r="M4216" s="853">
        <v>851400</v>
      </c>
      <c r="N4216" s="794">
        <v>30000</v>
      </c>
      <c r="O4216" s="795"/>
      <c r="P4216" s="794"/>
      <c r="Q4216" s="388">
        <v>20000</v>
      </c>
      <c r="R4216" s="446"/>
      <c r="U4216" s="404"/>
    </row>
    <row r="4217" spans="1:21" s="403" customFormat="1" ht="42.75" customHeight="1">
      <c r="A4217" s="1115" t="s">
        <v>197</v>
      </c>
      <c r="B4217" s="1115"/>
      <c r="C4217" s="617" t="s">
        <v>28</v>
      </c>
      <c r="D4217" s="388">
        <f>SUM(D4194:D4216)</f>
        <v>685604</v>
      </c>
      <c r="E4217" s="388">
        <f>SUM(E4194:E4216)</f>
        <v>93893.239999999976</v>
      </c>
      <c r="F4217" s="539" t="s">
        <v>28</v>
      </c>
      <c r="G4217" s="388">
        <f>SUM(G4194:G4216)</f>
        <v>48722.6</v>
      </c>
      <c r="H4217" s="599" t="s">
        <v>28</v>
      </c>
      <c r="I4217" s="599" t="s">
        <v>28</v>
      </c>
      <c r="J4217" s="446">
        <f>SUM(J4194:J4216)</f>
        <v>2633</v>
      </c>
      <c r="K4217" s="458" t="s">
        <v>28</v>
      </c>
      <c r="L4217" s="388">
        <f t="shared" ref="L4217:Q4217" si="629">SUM(L4194:L4216)</f>
        <v>114680472</v>
      </c>
      <c r="M4217" s="388">
        <f t="shared" si="629"/>
        <v>112923200</v>
      </c>
      <c r="N4217" s="388">
        <f t="shared" si="629"/>
        <v>1343750</v>
      </c>
      <c r="O4217" s="388">
        <f t="shared" si="629"/>
        <v>122158</v>
      </c>
      <c r="P4217" s="388">
        <f t="shared" si="629"/>
        <v>0</v>
      </c>
      <c r="Q4217" s="388">
        <f t="shared" si="629"/>
        <v>291364</v>
      </c>
      <c r="R4217" s="446" t="s">
        <v>28</v>
      </c>
      <c r="S4217" s="383">
        <f>L4217-M4217-N4217-O4217-P4217-Q4217</f>
        <v>0</v>
      </c>
      <c r="T4217" s="387" t="e">
        <f>'1.перечень МКД'!#REF!</f>
        <v>#REF!</v>
      </c>
      <c r="U4217" s="390" t="e">
        <f>L4217-T4217</f>
        <v>#REF!</v>
      </c>
    </row>
    <row r="4218" spans="1:21" s="403" customFormat="1" ht="42.75" customHeight="1">
      <c r="A4218" s="1113" t="s">
        <v>198</v>
      </c>
      <c r="B4218" s="1113"/>
      <c r="C4218" s="1113"/>
      <c r="D4218" s="1113"/>
      <c r="E4218" s="1113"/>
      <c r="F4218" s="1113"/>
      <c r="G4218" s="1113"/>
      <c r="H4218" s="1113"/>
      <c r="I4218" s="1113"/>
      <c r="J4218" s="1113"/>
      <c r="K4218" s="1113"/>
      <c r="L4218" s="1113"/>
      <c r="M4218" s="1113"/>
      <c r="N4218" s="1113"/>
      <c r="O4218" s="1113"/>
      <c r="P4218" s="1113"/>
      <c r="Q4218" s="1113"/>
      <c r="R4218" s="458"/>
      <c r="U4218" s="404"/>
    </row>
    <row r="4219" spans="1:21" s="403" customFormat="1" ht="37.5" customHeight="1">
      <c r="A4219" s="404">
        <v>1</v>
      </c>
      <c r="B4219" s="403" t="s">
        <v>3208</v>
      </c>
      <c r="C4219" s="518" t="s">
        <v>222</v>
      </c>
      <c r="D4219" s="446">
        <v>4251</v>
      </c>
      <c r="E4219" s="388">
        <v>335</v>
      </c>
      <c r="F4219" s="388" t="s">
        <v>252</v>
      </c>
      <c r="G4219" s="388">
        <v>726.7</v>
      </c>
      <c r="H4219" s="446">
        <v>2</v>
      </c>
      <c r="I4219" s="446">
        <v>3</v>
      </c>
      <c r="J4219" s="446">
        <v>22</v>
      </c>
      <c r="K4219" s="458" t="s">
        <v>225</v>
      </c>
      <c r="L4219" s="519">
        <f>M4219+N4219+O4219+P4219+Q4219</f>
        <v>534363</v>
      </c>
      <c r="M4219" s="519">
        <v>506000</v>
      </c>
      <c r="N4219" s="388">
        <v>25000</v>
      </c>
      <c r="O4219" s="473"/>
      <c r="P4219" s="388"/>
      <c r="Q4219" s="388">
        <v>3363</v>
      </c>
      <c r="R4219" s="446">
        <f>M4219/J4219</f>
        <v>23000</v>
      </c>
      <c r="U4219" s="404"/>
    </row>
    <row r="4220" spans="1:21" s="403" customFormat="1" ht="37.5" customHeight="1">
      <c r="A4220" s="404">
        <f>A4219+1</f>
        <v>2</v>
      </c>
      <c r="B4220" s="403" t="s">
        <v>3209</v>
      </c>
      <c r="C4220" s="518" t="s">
        <v>222</v>
      </c>
      <c r="D4220" s="446">
        <v>3890</v>
      </c>
      <c r="E4220" s="388">
        <v>280</v>
      </c>
      <c r="F4220" s="388" t="s">
        <v>252</v>
      </c>
      <c r="G4220" s="388">
        <v>1079</v>
      </c>
      <c r="H4220" s="446">
        <v>2</v>
      </c>
      <c r="I4220" s="446">
        <v>3</v>
      </c>
      <c r="J4220" s="446">
        <v>22</v>
      </c>
      <c r="K4220" s="458" t="s">
        <v>225</v>
      </c>
      <c r="L4220" s="519">
        <f>M4220+N4220+O4220+P4220+Q4220</f>
        <v>535891</v>
      </c>
      <c r="M4220" s="519">
        <v>506000</v>
      </c>
      <c r="N4220" s="388">
        <v>25000</v>
      </c>
      <c r="O4220" s="473"/>
      <c r="P4220" s="388"/>
      <c r="Q4220" s="388">
        <v>4891</v>
      </c>
      <c r="R4220" s="446">
        <f>M4220/J4220</f>
        <v>23000</v>
      </c>
      <c r="U4220" s="404"/>
    </row>
    <row r="4221" spans="1:21" s="403" customFormat="1" ht="37.5">
      <c r="A4221" s="404">
        <f>A4220+1</f>
        <v>3</v>
      </c>
      <c r="B4221" s="403" t="s">
        <v>3210</v>
      </c>
      <c r="C4221" s="518" t="s">
        <v>222</v>
      </c>
      <c r="D4221" s="446">
        <v>1450</v>
      </c>
      <c r="E4221" s="388">
        <v>204</v>
      </c>
      <c r="F4221" s="388" t="s">
        <v>252</v>
      </c>
      <c r="G4221" s="388">
        <v>334</v>
      </c>
      <c r="H4221" s="446">
        <v>2</v>
      </c>
      <c r="I4221" s="446">
        <v>2</v>
      </c>
      <c r="J4221" s="446">
        <v>8</v>
      </c>
      <c r="K4221" s="458" t="s">
        <v>225</v>
      </c>
      <c r="L4221" s="519">
        <f>M4221+N4221+O4221+P4221+Q4221</f>
        <v>213976</v>
      </c>
      <c r="M4221" s="519">
        <v>184000</v>
      </c>
      <c r="N4221" s="388">
        <v>25000</v>
      </c>
      <c r="O4221" s="473"/>
      <c r="P4221" s="388"/>
      <c r="Q4221" s="388">
        <v>4976</v>
      </c>
      <c r="R4221" s="446">
        <f>M4221/J4221</f>
        <v>23000</v>
      </c>
      <c r="U4221" s="404"/>
    </row>
    <row r="4222" spans="1:21" s="403" customFormat="1" ht="45.75" customHeight="1">
      <c r="A4222" s="404">
        <f>A4221+1</f>
        <v>4</v>
      </c>
      <c r="B4222" s="403" t="s">
        <v>4352</v>
      </c>
      <c r="C4222" s="518" t="s">
        <v>222</v>
      </c>
      <c r="D4222" s="446">
        <v>2818</v>
      </c>
      <c r="E4222" s="388">
        <v>360</v>
      </c>
      <c r="F4222" s="388" t="s">
        <v>304</v>
      </c>
      <c r="G4222" s="388">
        <v>720</v>
      </c>
      <c r="H4222" s="446">
        <v>2</v>
      </c>
      <c r="I4222" s="446">
        <v>1</v>
      </c>
      <c r="J4222" s="446">
        <v>17</v>
      </c>
      <c r="K4222" s="458" t="s">
        <v>225</v>
      </c>
      <c r="L4222" s="519">
        <f>M4222+N4222+O4222+P4222+Q4222</f>
        <v>416000</v>
      </c>
      <c r="M4222" s="519">
        <v>391000</v>
      </c>
      <c r="N4222" s="388">
        <v>25000</v>
      </c>
      <c r="O4222" s="473"/>
      <c r="P4222" s="388"/>
      <c r="Q4222" s="388"/>
      <c r="R4222" s="446"/>
      <c r="U4222" s="404"/>
    </row>
    <row r="4223" spans="1:21" s="403" customFormat="1" ht="47.25" customHeight="1">
      <c r="A4223" s="404">
        <f>A4222+1</f>
        <v>5</v>
      </c>
      <c r="B4223" s="403" t="s">
        <v>4353</v>
      </c>
      <c r="C4223" s="518" t="s">
        <v>222</v>
      </c>
      <c r="D4223" s="446">
        <v>2818</v>
      </c>
      <c r="E4223" s="388">
        <v>360</v>
      </c>
      <c r="F4223" s="388" t="s">
        <v>304</v>
      </c>
      <c r="G4223" s="388">
        <v>720</v>
      </c>
      <c r="H4223" s="446">
        <v>2</v>
      </c>
      <c r="I4223" s="446">
        <v>1</v>
      </c>
      <c r="J4223" s="446">
        <v>16</v>
      </c>
      <c r="K4223" s="458" t="s">
        <v>225</v>
      </c>
      <c r="L4223" s="519">
        <f>M4223+N4223+O4223+P4223+Q4223</f>
        <v>393000</v>
      </c>
      <c r="M4223" s="519">
        <v>368000</v>
      </c>
      <c r="N4223" s="388">
        <v>25000</v>
      </c>
      <c r="O4223" s="473"/>
      <c r="P4223" s="388"/>
      <c r="Q4223" s="388"/>
      <c r="R4223" s="446"/>
      <c r="U4223" s="404"/>
    </row>
    <row r="4224" spans="1:21" s="403" customFormat="1" ht="42.75" customHeight="1">
      <c r="A4224" s="1112" t="s">
        <v>199</v>
      </c>
      <c r="B4224" s="1112"/>
      <c r="C4224" s="455" t="s">
        <v>28</v>
      </c>
      <c r="D4224" s="388">
        <f t="shared" ref="D4224:J4224" si="630">SUM(D4219)</f>
        <v>4251</v>
      </c>
      <c r="E4224" s="388">
        <f t="shared" si="630"/>
        <v>335</v>
      </c>
      <c r="F4224" s="388" t="s">
        <v>28</v>
      </c>
      <c r="G4224" s="388">
        <f t="shared" si="630"/>
        <v>726.7</v>
      </c>
      <c r="H4224" s="446" t="s">
        <v>28</v>
      </c>
      <c r="I4224" s="446" t="s">
        <v>28</v>
      </c>
      <c r="J4224" s="446">
        <f t="shared" si="630"/>
        <v>22</v>
      </c>
      <c r="K4224" s="458" t="s">
        <v>28</v>
      </c>
      <c r="L4224" s="519">
        <f t="shared" ref="L4224:Q4224" si="631">SUM(L4219:L4223)</f>
        <v>2093230</v>
      </c>
      <c r="M4224" s="519">
        <f t="shared" si="631"/>
        <v>1955000</v>
      </c>
      <c r="N4224" s="388">
        <f t="shared" si="631"/>
        <v>125000</v>
      </c>
      <c r="O4224" s="473">
        <f t="shared" si="631"/>
        <v>0</v>
      </c>
      <c r="P4224" s="388">
        <f t="shared" si="631"/>
        <v>0</v>
      </c>
      <c r="Q4224" s="388">
        <f t="shared" si="631"/>
        <v>13230</v>
      </c>
      <c r="R4224" s="446" t="s">
        <v>28</v>
      </c>
      <c r="S4224" s="383">
        <f>L4224-M4224-N4224-O4224-P4224-Q4224</f>
        <v>0</v>
      </c>
      <c r="T4224" s="387" t="e">
        <f>'1.перечень МКД'!#REF!</f>
        <v>#REF!</v>
      </c>
      <c r="U4224" s="390" t="e">
        <f>L4224-T4224</f>
        <v>#REF!</v>
      </c>
    </row>
    <row r="4225" spans="1:21" s="403" customFormat="1" ht="42.75" customHeight="1">
      <c r="A4225" s="1135" t="s">
        <v>200</v>
      </c>
      <c r="B4225" s="1135"/>
      <c r="C4225" s="1135"/>
      <c r="D4225" s="1135"/>
      <c r="E4225" s="1135"/>
      <c r="F4225" s="1135"/>
      <c r="G4225" s="1135"/>
      <c r="H4225" s="1135"/>
      <c r="I4225" s="1135"/>
      <c r="J4225" s="1135"/>
      <c r="K4225" s="1135"/>
      <c r="L4225" s="1135"/>
      <c r="M4225" s="1135"/>
      <c r="N4225" s="1135"/>
      <c r="O4225" s="1135"/>
      <c r="P4225" s="1135"/>
      <c r="Q4225" s="1135"/>
      <c r="R4225" s="728"/>
      <c r="U4225" s="404"/>
    </row>
    <row r="4226" spans="1:21" s="403" customFormat="1" ht="37.5">
      <c r="A4226" s="404">
        <v>1</v>
      </c>
      <c r="B4226" s="403" t="s">
        <v>3212</v>
      </c>
      <c r="C4226" s="518" t="s">
        <v>222</v>
      </c>
      <c r="D4226" s="446">
        <v>5975</v>
      </c>
      <c r="E4226" s="388">
        <v>1074</v>
      </c>
      <c r="F4226" s="388" t="s">
        <v>291</v>
      </c>
      <c r="G4226" s="388">
        <v>539</v>
      </c>
      <c r="H4226" s="446">
        <v>5</v>
      </c>
      <c r="I4226" s="446">
        <v>2</v>
      </c>
      <c r="J4226" s="446">
        <v>28</v>
      </c>
      <c r="K4226" s="458" t="s">
        <v>33</v>
      </c>
      <c r="L4226" s="519">
        <f>SUM(M4226:Q4226)</f>
        <v>1113456</v>
      </c>
      <c r="M4226" s="519">
        <v>1091480</v>
      </c>
      <c r="N4226" s="388"/>
      <c r="O4226" s="795">
        <f>ROUND(M4226*0.3%,0)</f>
        <v>3274</v>
      </c>
      <c r="P4226" s="388"/>
      <c r="Q4226" s="388">
        <v>18702</v>
      </c>
      <c r="R4226" s="446">
        <f>M4226/G4226</f>
        <v>2025.0092764378478</v>
      </c>
      <c r="U4226" s="404"/>
    </row>
    <row r="4227" spans="1:21" s="403" customFormat="1" ht="37.5">
      <c r="A4227" s="404">
        <f>A4226+1</f>
        <v>2</v>
      </c>
      <c r="B4227" s="403" t="s">
        <v>3213</v>
      </c>
      <c r="C4227" s="518" t="s">
        <v>222</v>
      </c>
      <c r="D4227" s="446">
        <v>10393</v>
      </c>
      <c r="E4227" s="388">
        <v>1787</v>
      </c>
      <c r="F4227" s="388" t="s">
        <v>291</v>
      </c>
      <c r="G4227" s="388">
        <v>1211</v>
      </c>
      <c r="H4227" s="446">
        <v>3</v>
      </c>
      <c r="I4227" s="446">
        <v>4</v>
      </c>
      <c r="J4227" s="446">
        <v>36</v>
      </c>
      <c r="K4227" s="458" t="s">
        <v>225</v>
      </c>
      <c r="L4227" s="519">
        <f>SUM(M4227:Q4227)</f>
        <v>1045999</v>
      </c>
      <c r="M4227" s="519">
        <v>1000000</v>
      </c>
      <c r="N4227" s="388">
        <v>30000</v>
      </c>
      <c r="O4227" s="473"/>
      <c r="P4227" s="388"/>
      <c r="Q4227" s="388">
        <v>15999</v>
      </c>
      <c r="R4227" s="446">
        <f>M4227/J4227</f>
        <v>27777.777777777777</v>
      </c>
      <c r="U4227" s="404"/>
    </row>
    <row r="4228" spans="1:21" s="403" customFormat="1" ht="37.5">
      <c r="A4228" s="404">
        <f>A4227+1</f>
        <v>3</v>
      </c>
      <c r="B4228" s="403" t="s">
        <v>3214</v>
      </c>
      <c r="C4228" s="518" t="s">
        <v>222</v>
      </c>
      <c r="D4228" s="446">
        <v>2421</v>
      </c>
      <c r="E4228" s="388">
        <v>495</v>
      </c>
      <c r="F4228" s="388" t="s">
        <v>223</v>
      </c>
      <c r="G4228" s="388">
        <v>604</v>
      </c>
      <c r="H4228" s="446">
        <v>2</v>
      </c>
      <c r="I4228" s="446">
        <v>1</v>
      </c>
      <c r="J4228" s="446">
        <v>16</v>
      </c>
      <c r="K4228" s="458" t="s">
        <v>33</v>
      </c>
      <c r="L4228" s="519">
        <f>SUM(M4228:Q4228)</f>
        <v>1612375</v>
      </c>
      <c r="M4228" s="519">
        <v>1570400</v>
      </c>
      <c r="N4228" s="388">
        <v>30000</v>
      </c>
      <c r="O4228" s="473"/>
      <c r="P4228" s="388"/>
      <c r="Q4228" s="388">
        <v>11975</v>
      </c>
      <c r="R4228" s="446">
        <f>M4228/G4228</f>
        <v>2600</v>
      </c>
      <c r="U4228" s="404"/>
    </row>
    <row r="4229" spans="1:21" s="403" customFormat="1" ht="37.5">
      <c r="A4229" s="404">
        <f>A4228+1</f>
        <v>4</v>
      </c>
      <c r="B4229" s="403" t="s">
        <v>3215</v>
      </c>
      <c r="C4229" s="518" t="s">
        <v>222</v>
      </c>
      <c r="D4229" s="446">
        <v>4596</v>
      </c>
      <c r="E4229" s="388">
        <v>896</v>
      </c>
      <c r="F4229" s="388" t="s">
        <v>353</v>
      </c>
      <c r="G4229" s="388">
        <v>1147</v>
      </c>
      <c r="H4229" s="446">
        <v>2</v>
      </c>
      <c r="I4229" s="446">
        <v>4</v>
      </c>
      <c r="J4229" s="446">
        <v>24</v>
      </c>
      <c r="K4229" s="458" t="s">
        <v>33</v>
      </c>
      <c r="L4229" s="519">
        <f>SUM(M4229:Q4229)</f>
        <v>3034933</v>
      </c>
      <c r="M4229" s="519">
        <v>2982200</v>
      </c>
      <c r="N4229" s="388">
        <v>30000</v>
      </c>
      <c r="O4229" s="473"/>
      <c r="P4229" s="388"/>
      <c r="Q4229" s="388">
        <v>22733</v>
      </c>
      <c r="R4229" s="446">
        <f>M4229/G4229</f>
        <v>2600</v>
      </c>
      <c r="U4229" s="404"/>
    </row>
    <row r="4230" spans="1:21" s="403" customFormat="1" ht="56.25" customHeight="1">
      <c r="A4230" s="404">
        <f>A4229+1</f>
        <v>5</v>
      </c>
      <c r="B4230" s="403" t="s">
        <v>3216</v>
      </c>
      <c r="C4230" s="518" t="s">
        <v>222</v>
      </c>
      <c r="D4230" s="446">
        <v>2470</v>
      </c>
      <c r="E4230" s="388">
        <v>556</v>
      </c>
      <c r="F4230" s="388" t="s">
        <v>223</v>
      </c>
      <c r="G4230" s="388">
        <v>732</v>
      </c>
      <c r="H4230" s="446">
        <v>2</v>
      </c>
      <c r="I4230" s="446">
        <v>2</v>
      </c>
      <c r="J4230" s="446">
        <v>12</v>
      </c>
      <c r="K4230" s="458" t="s">
        <v>30</v>
      </c>
      <c r="L4230" s="519">
        <f>SUM(M4230:Q4230)</f>
        <v>312200</v>
      </c>
      <c r="M4230" s="519">
        <v>300000</v>
      </c>
      <c r="N4230" s="388"/>
      <c r="O4230" s="795">
        <f>ROUND(M4230*0.3%,0)</f>
        <v>900</v>
      </c>
      <c r="P4230" s="388"/>
      <c r="Q4230" s="388">
        <v>11300</v>
      </c>
      <c r="R4230" s="446">
        <f>M4230/J4230</f>
        <v>25000</v>
      </c>
      <c r="U4230" s="404"/>
    </row>
    <row r="4231" spans="1:21" s="403" customFormat="1" ht="37.5">
      <c r="A4231" s="404">
        <f>A4230+1</f>
        <v>6</v>
      </c>
      <c r="B4231" s="403" t="s">
        <v>3217</v>
      </c>
      <c r="C4231" s="518" t="s">
        <v>222</v>
      </c>
      <c r="D4231" s="446">
        <v>2570</v>
      </c>
      <c r="E4231" s="388">
        <v>534</v>
      </c>
      <c r="F4231" s="388" t="s">
        <v>223</v>
      </c>
      <c r="G4231" s="388">
        <v>574</v>
      </c>
      <c r="H4231" s="446">
        <v>2</v>
      </c>
      <c r="I4231" s="446">
        <v>4</v>
      </c>
      <c r="J4231" s="446">
        <v>12</v>
      </c>
      <c r="K4231" s="458" t="s">
        <v>33</v>
      </c>
      <c r="L4231" s="1129">
        <f>SUM(M4231:Q4231)+SUM(M4232:Q4232)</f>
        <v>1842432</v>
      </c>
      <c r="M4231" s="519">
        <v>1492400</v>
      </c>
      <c r="N4231" s="388">
        <v>30000</v>
      </c>
      <c r="O4231" s="473"/>
      <c r="P4231" s="388"/>
      <c r="Q4231" s="388">
        <v>12712</v>
      </c>
      <c r="R4231" s="446">
        <f>M4231/G4231</f>
        <v>2600</v>
      </c>
      <c r="U4231" s="404"/>
    </row>
    <row r="4232" spans="1:21" s="403" customFormat="1" ht="56.25" customHeight="1">
      <c r="A4232" s="404"/>
      <c r="C4232" s="518"/>
      <c r="D4232" s="446"/>
      <c r="E4232" s="388"/>
      <c r="F4232" s="388"/>
      <c r="G4232" s="388"/>
      <c r="H4232" s="446"/>
      <c r="I4232" s="446"/>
      <c r="J4232" s="446"/>
      <c r="K4232" s="458" t="s">
        <v>30</v>
      </c>
      <c r="L4232" s="1129"/>
      <c r="M4232" s="519">
        <v>300000</v>
      </c>
      <c r="N4232" s="388"/>
      <c r="O4232" s="795">
        <f>ROUND(M4232*0.3%,0)</f>
        <v>900</v>
      </c>
      <c r="P4232" s="388"/>
      <c r="Q4232" s="388">
        <v>6420</v>
      </c>
      <c r="R4232" s="446">
        <f>M4232/J4231</f>
        <v>25000</v>
      </c>
      <c r="U4232" s="404"/>
    </row>
    <row r="4233" spans="1:21" s="403" customFormat="1" ht="50.25" customHeight="1">
      <c r="A4233" s="404">
        <v>7</v>
      </c>
      <c r="B4233" s="403" t="s">
        <v>3219</v>
      </c>
      <c r="C4233" s="518" t="s">
        <v>218</v>
      </c>
      <c r="D4233" s="446">
        <v>5972</v>
      </c>
      <c r="E4233" s="388">
        <v>1006</v>
      </c>
      <c r="F4233" s="388" t="s">
        <v>234</v>
      </c>
      <c r="G4233" s="388">
        <v>1178</v>
      </c>
      <c r="H4233" s="446">
        <v>2</v>
      </c>
      <c r="I4233" s="446">
        <v>4</v>
      </c>
      <c r="J4233" s="446">
        <v>24</v>
      </c>
      <c r="K4233" s="458" t="s">
        <v>227</v>
      </c>
      <c r="L4233" s="519">
        <f>M4233+N4233+O4233+Q4233</f>
        <v>3081470</v>
      </c>
      <c r="M4233" s="519">
        <v>3018000</v>
      </c>
      <c r="N4233" s="388">
        <v>25000</v>
      </c>
      <c r="O4233" s="795"/>
      <c r="P4233" s="388"/>
      <c r="Q4233" s="388">
        <v>38470</v>
      </c>
      <c r="R4233" s="528">
        <f>M4233/E4233</f>
        <v>3000</v>
      </c>
      <c r="U4233" s="404"/>
    </row>
    <row r="4234" spans="1:21" s="403" customFormat="1" ht="37.5" customHeight="1">
      <c r="A4234" s="404">
        <f>A4233+1</f>
        <v>8</v>
      </c>
      <c r="B4234" s="403" t="s">
        <v>3690</v>
      </c>
      <c r="C4234" s="518" t="s">
        <v>222</v>
      </c>
      <c r="D4234" s="446">
        <v>1451</v>
      </c>
      <c r="E4234" s="388">
        <v>377</v>
      </c>
      <c r="F4234" s="388" t="s">
        <v>223</v>
      </c>
      <c r="G4234" s="388">
        <v>357</v>
      </c>
      <c r="H4234" s="446">
        <v>2</v>
      </c>
      <c r="I4234" s="446">
        <v>1</v>
      </c>
      <c r="J4234" s="446">
        <v>8</v>
      </c>
      <c r="K4234" s="458" t="s">
        <v>33</v>
      </c>
      <c r="L4234" s="519">
        <f>M4234+N4234+O4234+Q4234</f>
        <v>888523</v>
      </c>
      <c r="M4234" s="519">
        <v>851346</v>
      </c>
      <c r="N4234" s="388">
        <v>30000</v>
      </c>
      <c r="O4234" s="795">
        <v>0</v>
      </c>
      <c r="P4234" s="388"/>
      <c r="Q4234" s="388">
        <v>7177</v>
      </c>
      <c r="R4234" s="446">
        <v>2384.7226890756301</v>
      </c>
      <c r="U4234" s="404"/>
    </row>
    <row r="4235" spans="1:21" s="403" customFormat="1" ht="37.5" customHeight="1">
      <c r="A4235" s="404">
        <f>A4234+1</f>
        <v>9</v>
      </c>
      <c r="B4235" s="403" t="s">
        <v>3691</v>
      </c>
      <c r="C4235" s="518" t="s">
        <v>222</v>
      </c>
      <c r="D4235" s="446">
        <v>2874</v>
      </c>
      <c r="E4235" s="388">
        <v>588</v>
      </c>
      <c r="F4235" s="388" t="s">
        <v>291</v>
      </c>
      <c r="G4235" s="388">
        <v>509</v>
      </c>
      <c r="H4235" s="446">
        <v>2</v>
      </c>
      <c r="I4235" s="446">
        <v>2</v>
      </c>
      <c r="J4235" s="446">
        <v>16</v>
      </c>
      <c r="K4235" s="458" t="s">
        <v>33</v>
      </c>
      <c r="L4235" s="519">
        <f>M4235+N4235+O4235+Q4235</f>
        <v>1065862</v>
      </c>
      <c r="M4235" s="519">
        <v>1048500</v>
      </c>
      <c r="N4235" s="388"/>
      <c r="O4235" s="795">
        <v>3146</v>
      </c>
      <c r="P4235" s="388"/>
      <c r="Q4235" s="388">
        <v>14216</v>
      </c>
      <c r="R4235" s="446">
        <v>2059.9214145383103</v>
      </c>
      <c r="U4235" s="404"/>
    </row>
    <row r="4236" spans="1:21" s="403" customFormat="1" ht="37.5" customHeight="1">
      <c r="A4236" s="404">
        <f>A4235+1</f>
        <v>10</v>
      </c>
      <c r="B4236" s="403" t="s">
        <v>3692</v>
      </c>
      <c r="C4236" s="518" t="s">
        <v>222</v>
      </c>
      <c r="D4236" s="446">
        <v>2503</v>
      </c>
      <c r="E4236" s="388">
        <v>521</v>
      </c>
      <c r="F4236" s="388" t="s">
        <v>223</v>
      </c>
      <c r="G4236" s="388">
        <v>614</v>
      </c>
      <c r="H4236" s="446">
        <v>2</v>
      </c>
      <c r="I4236" s="446">
        <v>2</v>
      </c>
      <c r="J4236" s="446">
        <v>12</v>
      </c>
      <c r="K4236" s="458" t="s">
        <v>33</v>
      </c>
      <c r="L4236" s="519">
        <f>M4236+N4236+O4236+Q4236</f>
        <v>1507381</v>
      </c>
      <c r="M4236" s="519">
        <v>1465000</v>
      </c>
      <c r="N4236" s="388">
        <v>30000</v>
      </c>
      <c r="O4236" s="795">
        <v>0</v>
      </c>
      <c r="P4236" s="388"/>
      <c r="Q4236" s="388">
        <v>12381</v>
      </c>
      <c r="R4236" s="446">
        <v>2385.9934853420195</v>
      </c>
      <c r="U4236" s="404"/>
    </row>
    <row r="4237" spans="1:21" s="728" customFormat="1" ht="42.75" customHeight="1">
      <c r="A4237" s="1167" t="s">
        <v>158</v>
      </c>
      <c r="B4237" s="1167"/>
      <c r="C4237" s="455" t="s">
        <v>28</v>
      </c>
      <c r="D4237" s="675">
        <f>SUM(D4226:D4236)</f>
        <v>41225</v>
      </c>
      <c r="E4237" s="675">
        <f>SUM(E4226:E4236)</f>
        <v>7834</v>
      </c>
      <c r="F4237" s="388" t="s">
        <v>28</v>
      </c>
      <c r="G4237" s="675">
        <f>SUM(G4226:G4236)</f>
        <v>7465</v>
      </c>
      <c r="H4237" s="446" t="s">
        <v>28</v>
      </c>
      <c r="I4237" s="446" t="s">
        <v>28</v>
      </c>
      <c r="J4237" s="676">
        <f>SUM(J4226:J4236)</f>
        <v>188</v>
      </c>
      <c r="K4237" s="458" t="s">
        <v>28</v>
      </c>
      <c r="L4237" s="677">
        <f t="shared" ref="L4237:Q4237" si="632">SUM(L4226:L4236)</f>
        <v>15504631</v>
      </c>
      <c r="M4237" s="677">
        <f t="shared" si="632"/>
        <v>15119326</v>
      </c>
      <c r="N4237" s="675">
        <f t="shared" si="632"/>
        <v>205000</v>
      </c>
      <c r="O4237" s="678">
        <f t="shared" si="632"/>
        <v>8220</v>
      </c>
      <c r="P4237" s="675">
        <f t="shared" si="632"/>
        <v>0</v>
      </c>
      <c r="Q4237" s="675">
        <f t="shared" si="632"/>
        <v>172085</v>
      </c>
      <c r="R4237" s="446" t="s">
        <v>28</v>
      </c>
      <c r="S4237" s="383">
        <f>L4237-M4237-N4237-O4237-P4237-Q4237</f>
        <v>0</v>
      </c>
      <c r="T4237" s="387" t="e">
        <f>'1.перечень МКД'!#REF!</f>
        <v>#REF!</v>
      </c>
      <c r="U4237" s="390" t="e">
        <f>L4237-T4237</f>
        <v>#REF!</v>
      </c>
    </row>
    <row r="4238" spans="1:21" s="403" customFormat="1" ht="42.75" customHeight="1">
      <c r="A4238" s="1113" t="s">
        <v>201</v>
      </c>
      <c r="B4238" s="1113"/>
      <c r="C4238" s="1113"/>
      <c r="D4238" s="1113"/>
      <c r="E4238" s="1113"/>
      <c r="F4238" s="1113"/>
      <c r="G4238" s="1113"/>
      <c r="H4238" s="1113"/>
      <c r="I4238" s="1113"/>
      <c r="J4238" s="1113"/>
      <c r="K4238" s="1113"/>
      <c r="L4238" s="1113"/>
      <c r="M4238" s="1113"/>
      <c r="N4238" s="1113"/>
      <c r="O4238" s="1113"/>
      <c r="P4238" s="1113"/>
      <c r="Q4238" s="1113"/>
      <c r="R4238" s="458"/>
      <c r="U4238" s="404"/>
    </row>
    <row r="4239" spans="1:21" s="403" customFormat="1" ht="37.5" customHeight="1">
      <c r="A4239" s="404">
        <v>1</v>
      </c>
      <c r="B4239" s="403" t="s">
        <v>3220</v>
      </c>
      <c r="C4239" s="518" t="s">
        <v>222</v>
      </c>
      <c r="D4239" s="446"/>
      <c r="E4239" s="388"/>
      <c r="F4239" s="388" t="s">
        <v>318</v>
      </c>
      <c r="G4239" s="388">
        <v>224</v>
      </c>
      <c r="H4239" s="446">
        <v>4</v>
      </c>
      <c r="I4239" s="446">
        <v>1</v>
      </c>
      <c r="J4239" s="446">
        <v>28</v>
      </c>
      <c r="K4239" s="458" t="s">
        <v>232</v>
      </c>
      <c r="L4239" s="519">
        <f>SUM(M4239:Q4239,M4240:Q4240)</f>
        <v>1901468</v>
      </c>
      <c r="M4239" s="519">
        <f>J4239*35000</f>
        <v>980000</v>
      </c>
      <c r="N4239" s="388">
        <v>40000</v>
      </c>
      <c r="O4239" s="795"/>
      <c r="P4239" s="388"/>
      <c r="Q4239" s="388">
        <f t="shared" ref="Q4239:Q4244" si="633">ROUND(M4239*2.14%,0)</f>
        <v>20972</v>
      </c>
      <c r="R4239" s="446">
        <f>M4239/J4239</f>
        <v>35000</v>
      </c>
      <c r="U4239" s="404"/>
    </row>
    <row r="4240" spans="1:21" s="403" customFormat="1" ht="56.25" customHeight="1">
      <c r="A4240" s="404"/>
      <c r="C4240" s="518"/>
      <c r="D4240" s="446"/>
      <c r="E4240" s="388"/>
      <c r="F4240" s="388"/>
      <c r="G4240" s="388"/>
      <c r="H4240" s="446"/>
      <c r="I4240" s="446"/>
      <c r="J4240" s="446"/>
      <c r="K4240" s="458" t="s">
        <v>30</v>
      </c>
      <c r="L4240" s="519"/>
      <c r="M4240" s="519">
        <v>840000</v>
      </c>
      <c r="N4240" s="388"/>
      <c r="O4240" s="795">
        <v>2520</v>
      </c>
      <c r="P4240" s="388"/>
      <c r="Q4240" s="388">
        <f t="shared" si="633"/>
        <v>17976</v>
      </c>
      <c r="R4240" s="446">
        <f>M4240/J4239</f>
        <v>30000</v>
      </c>
      <c r="U4240" s="404"/>
    </row>
    <row r="4241" spans="1:21" s="403" customFormat="1" ht="37.5" customHeight="1">
      <c r="A4241" s="404">
        <f>A4239+1</f>
        <v>2</v>
      </c>
      <c r="B4241" s="403" t="s">
        <v>3221</v>
      </c>
      <c r="C4241" s="518" t="s">
        <v>222</v>
      </c>
      <c r="D4241" s="446">
        <v>17631</v>
      </c>
      <c r="E4241" s="388">
        <v>3203</v>
      </c>
      <c r="F4241" s="388" t="s">
        <v>317</v>
      </c>
      <c r="G4241" s="388">
        <v>1658</v>
      </c>
      <c r="H4241" s="446">
        <v>5</v>
      </c>
      <c r="I4241" s="446">
        <v>6</v>
      </c>
      <c r="J4241" s="446">
        <v>100</v>
      </c>
      <c r="K4241" s="458" t="s">
        <v>232</v>
      </c>
      <c r="L4241" s="519">
        <f t="shared" ref="L4241:L4261" si="634">SUM(M4241:Q4241)</f>
        <v>3614900</v>
      </c>
      <c r="M4241" s="519">
        <f>J4241*35000</f>
        <v>3500000</v>
      </c>
      <c r="N4241" s="388">
        <v>40000</v>
      </c>
      <c r="O4241" s="795"/>
      <c r="P4241" s="388"/>
      <c r="Q4241" s="388">
        <f t="shared" si="633"/>
        <v>74900</v>
      </c>
      <c r="R4241" s="446">
        <f>M4241/J4241</f>
        <v>35000</v>
      </c>
      <c r="U4241" s="404"/>
    </row>
    <row r="4242" spans="1:21" s="403" customFormat="1" ht="37.5" customHeight="1">
      <c r="A4242" s="404">
        <f t="shared" ref="A4242:A4262" si="635">A4241+1</f>
        <v>3</v>
      </c>
      <c r="B4242" s="403" t="s">
        <v>3222</v>
      </c>
      <c r="C4242" s="518" t="s">
        <v>222</v>
      </c>
      <c r="D4242" s="446"/>
      <c r="E4242" s="388"/>
      <c r="F4242" s="388" t="s">
        <v>318</v>
      </c>
      <c r="G4242" s="388"/>
      <c r="H4242" s="446">
        <v>5</v>
      </c>
      <c r="I4242" s="446">
        <v>6</v>
      </c>
      <c r="J4242" s="446">
        <v>105</v>
      </c>
      <c r="K4242" s="458" t="s">
        <v>232</v>
      </c>
      <c r="L4242" s="519">
        <f t="shared" si="634"/>
        <v>3793645</v>
      </c>
      <c r="M4242" s="519">
        <f>J4242*35000</f>
        <v>3675000</v>
      </c>
      <c r="N4242" s="388">
        <v>40000</v>
      </c>
      <c r="O4242" s="795"/>
      <c r="P4242" s="388"/>
      <c r="Q4242" s="388">
        <f t="shared" si="633"/>
        <v>78645</v>
      </c>
      <c r="R4242" s="446">
        <f>M4242/J4242</f>
        <v>35000</v>
      </c>
      <c r="U4242" s="404"/>
    </row>
    <row r="4243" spans="1:21" s="403" customFormat="1" ht="56.25" customHeight="1">
      <c r="A4243" s="404">
        <f t="shared" si="635"/>
        <v>4</v>
      </c>
      <c r="B4243" s="403" t="s">
        <v>3223</v>
      </c>
      <c r="C4243" s="518" t="s">
        <v>222</v>
      </c>
      <c r="D4243" s="446">
        <v>6343</v>
      </c>
      <c r="E4243" s="388">
        <v>1074</v>
      </c>
      <c r="F4243" s="388" t="s">
        <v>316</v>
      </c>
      <c r="G4243" s="388">
        <v>612</v>
      </c>
      <c r="H4243" s="446">
        <v>5</v>
      </c>
      <c r="I4243" s="446">
        <v>2</v>
      </c>
      <c r="J4243" s="446">
        <v>24</v>
      </c>
      <c r="K4243" s="458" t="s">
        <v>30</v>
      </c>
      <c r="L4243" s="519">
        <f t="shared" si="634"/>
        <v>737568</v>
      </c>
      <c r="M4243" s="519">
        <f>J4243*30000</f>
        <v>720000</v>
      </c>
      <c r="N4243" s="388"/>
      <c r="O4243" s="795">
        <f>ROUND(M4243*0.3%,0)</f>
        <v>2160</v>
      </c>
      <c r="P4243" s="388"/>
      <c r="Q4243" s="388">
        <f t="shared" si="633"/>
        <v>15408</v>
      </c>
      <c r="R4243" s="446">
        <f>M4243/J4243</f>
        <v>30000</v>
      </c>
      <c r="U4243" s="404"/>
    </row>
    <row r="4244" spans="1:21" s="403" customFormat="1" ht="56.25" customHeight="1">
      <c r="A4244" s="404">
        <f t="shared" si="635"/>
        <v>5</v>
      </c>
      <c r="B4244" s="403" t="s">
        <v>3224</v>
      </c>
      <c r="C4244" s="518" t="s">
        <v>222</v>
      </c>
      <c r="D4244" s="446">
        <v>21872</v>
      </c>
      <c r="E4244" s="388">
        <v>3405</v>
      </c>
      <c r="F4244" s="388" t="s">
        <v>318</v>
      </c>
      <c r="G4244" s="388">
        <v>1310</v>
      </c>
      <c r="H4244" s="446">
        <v>5</v>
      </c>
      <c r="I4244" s="446">
        <v>6</v>
      </c>
      <c r="J4244" s="446">
        <v>85</v>
      </c>
      <c r="K4244" s="458" t="s">
        <v>30</v>
      </c>
      <c r="L4244" s="519">
        <f t="shared" si="634"/>
        <v>2612220</v>
      </c>
      <c r="M4244" s="519">
        <f>J4244*30000</f>
        <v>2550000</v>
      </c>
      <c r="N4244" s="388"/>
      <c r="O4244" s="795">
        <f>ROUND(M4244*0.3%,0)</f>
        <v>7650</v>
      </c>
      <c r="P4244" s="388"/>
      <c r="Q4244" s="388">
        <f t="shared" si="633"/>
        <v>54570</v>
      </c>
      <c r="R4244" s="446">
        <f>M4244/J4244</f>
        <v>30000</v>
      </c>
      <c r="U4244" s="404"/>
    </row>
    <row r="4245" spans="1:21" s="403" customFormat="1" ht="56.25" customHeight="1">
      <c r="A4245" s="404">
        <f t="shared" si="635"/>
        <v>6</v>
      </c>
      <c r="B4245" s="403" t="s">
        <v>3225</v>
      </c>
      <c r="C4245" s="518" t="s">
        <v>222</v>
      </c>
      <c r="D4245" s="446"/>
      <c r="E4245" s="388"/>
      <c r="F4245" s="388" t="s">
        <v>318</v>
      </c>
      <c r="G4245" s="388"/>
      <c r="H4245" s="446">
        <v>5</v>
      </c>
      <c r="I4245" s="446">
        <v>4</v>
      </c>
      <c r="J4245" s="446">
        <v>40</v>
      </c>
      <c r="K4245" s="458" t="s">
        <v>30</v>
      </c>
      <c r="L4245" s="519">
        <f t="shared" si="634"/>
        <v>1258170</v>
      </c>
      <c r="M4245" s="519">
        <v>1200000</v>
      </c>
      <c r="N4245" s="388"/>
      <c r="O4245" s="795">
        <v>3600</v>
      </c>
      <c r="P4245" s="388"/>
      <c r="Q4245" s="388">
        <v>54570</v>
      </c>
      <c r="R4245" s="446">
        <f>M4245/J4245</f>
        <v>30000</v>
      </c>
      <c r="U4245" s="404"/>
    </row>
    <row r="4246" spans="1:21" s="403" customFormat="1" ht="37.5" customHeight="1">
      <c r="A4246" s="404">
        <f t="shared" si="635"/>
        <v>7</v>
      </c>
      <c r="B4246" s="403" t="s">
        <v>3226</v>
      </c>
      <c r="C4246" s="518" t="s">
        <v>222</v>
      </c>
      <c r="D4246" s="446">
        <v>6219</v>
      </c>
      <c r="E4246" s="388">
        <v>1401</v>
      </c>
      <c r="F4246" s="388" t="s">
        <v>318</v>
      </c>
      <c r="G4246" s="388">
        <v>444</v>
      </c>
      <c r="H4246" s="446">
        <v>5</v>
      </c>
      <c r="I4246" s="446">
        <v>2</v>
      </c>
      <c r="J4246" s="446">
        <v>30</v>
      </c>
      <c r="K4246" s="458" t="s">
        <v>33</v>
      </c>
      <c r="L4246" s="519">
        <f t="shared" si="634"/>
        <v>1000634</v>
      </c>
      <c r="M4246" s="519">
        <f>G4246*2200</f>
        <v>976800</v>
      </c>
      <c r="N4246" s="388"/>
      <c r="O4246" s="795">
        <f>ROUND(M4246*0.3%,0)</f>
        <v>2930</v>
      </c>
      <c r="P4246" s="388"/>
      <c r="Q4246" s="388">
        <f>ROUND(M4246*2.14%,0)</f>
        <v>20904</v>
      </c>
      <c r="R4246" s="446">
        <f>M4246/G4246</f>
        <v>2200</v>
      </c>
      <c r="U4246" s="404"/>
    </row>
    <row r="4247" spans="1:21" s="403" customFormat="1" ht="37.5" customHeight="1">
      <c r="A4247" s="404">
        <f t="shared" si="635"/>
        <v>8</v>
      </c>
      <c r="B4247" s="403" t="s">
        <v>3227</v>
      </c>
      <c r="C4247" s="518" t="s">
        <v>222</v>
      </c>
      <c r="D4247" s="446">
        <v>19199</v>
      </c>
      <c r="E4247" s="388">
        <v>3408</v>
      </c>
      <c r="F4247" s="388" t="s">
        <v>318</v>
      </c>
      <c r="G4247" s="388">
        <v>1325</v>
      </c>
      <c r="H4247" s="446">
        <v>5</v>
      </c>
      <c r="I4247" s="446">
        <v>6</v>
      </c>
      <c r="J4247" s="446">
        <v>85</v>
      </c>
      <c r="K4247" s="458" t="s">
        <v>33</v>
      </c>
      <c r="L4247" s="519">
        <f t="shared" si="634"/>
        <v>2986126</v>
      </c>
      <c r="M4247" s="519">
        <f>G4247*2200</f>
        <v>2915000</v>
      </c>
      <c r="N4247" s="388"/>
      <c r="O4247" s="795">
        <f>ROUND(M4247*0.3%,0)</f>
        <v>8745</v>
      </c>
      <c r="P4247" s="388"/>
      <c r="Q4247" s="388">
        <f>ROUND(M4247*2.14%,0)</f>
        <v>62381</v>
      </c>
      <c r="R4247" s="446">
        <f>M4247/G4247</f>
        <v>2200</v>
      </c>
      <c r="U4247" s="404"/>
    </row>
    <row r="4248" spans="1:21" s="403" customFormat="1" ht="37.5" customHeight="1">
      <c r="A4248" s="404">
        <f t="shared" si="635"/>
        <v>9</v>
      </c>
      <c r="B4248" s="403" t="s">
        <v>3228</v>
      </c>
      <c r="C4248" s="518" t="s">
        <v>222</v>
      </c>
      <c r="D4248" s="446"/>
      <c r="E4248" s="388"/>
      <c r="F4248" s="388" t="s">
        <v>316</v>
      </c>
      <c r="G4248" s="388">
        <v>615</v>
      </c>
      <c r="H4248" s="446">
        <v>4</v>
      </c>
      <c r="I4248" s="446">
        <v>2</v>
      </c>
      <c r="J4248" s="446">
        <v>24</v>
      </c>
      <c r="K4248" s="458" t="s">
        <v>33</v>
      </c>
      <c r="L4248" s="519">
        <f t="shared" si="634"/>
        <v>1726035</v>
      </c>
      <c r="M4248" s="519">
        <f>G4248*2700</f>
        <v>1660500</v>
      </c>
      <c r="N4248" s="388">
        <v>30000</v>
      </c>
      <c r="O4248" s="795"/>
      <c r="P4248" s="388"/>
      <c r="Q4248" s="388">
        <f>ROUND(M4248*2.14%,0)</f>
        <v>35535</v>
      </c>
      <c r="R4248" s="446">
        <f>M4248/G4248</f>
        <v>2700</v>
      </c>
      <c r="U4248" s="404"/>
    </row>
    <row r="4249" spans="1:21" s="403" customFormat="1" ht="56.25" customHeight="1">
      <c r="A4249" s="404">
        <f t="shared" si="635"/>
        <v>10</v>
      </c>
      <c r="B4249" s="723" t="s">
        <v>3229</v>
      </c>
      <c r="C4249" s="780" t="s">
        <v>222</v>
      </c>
      <c r="D4249" s="780">
        <v>12548</v>
      </c>
      <c r="E4249" s="539">
        <v>2359</v>
      </c>
      <c r="F4249" s="539" t="s">
        <v>317</v>
      </c>
      <c r="G4249" s="790">
        <v>1175</v>
      </c>
      <c r="H4249" s="789">
        <v>5</v>
      </c>
      <c r="I4249" s="789">
        <v>5</v>
      </c>
      <c r="J4249" s="599">
        <v>69</v>
      </c>
      <c r="K4249" s="791" t="s">
        <v>30</v>
      </c>
      <c r="L4249" s="519">
        <f t="shared" si="634"/>
        <v>1908457</v>
      </c>
      <c r="M4249" s="792">
        <v>1863000</v>
      </c>
      <c r="N4249" s="790"/>
      <c r="O4249" s="643">
        <v>5589</v>
      </c>
      <c r="P4249" s="388"/>
      <c r="Q4249" s="790">
        <v>39868</v>
      </c>
      <c r="R4249" s="446">
        <f>M4249/J4249</f>
        <v>27000</v>
      </c>
      <c r="U4249" s="404"/>
    </row>
    <row r="4250" spans="1:21" s="403" customFormat="1" ht="37.5" customHeight="1">
      <c r="A4250" s="404">
        <f t="shared" si="635"/>
        <v>11</v>
      </c>
      <c r="B4250" s="403" t="s">
        <v>3230</v>
      </c>
      <c r="C4250" s="518" t="s">
        <v>315</v>
      </c>
      <c r="D4250" s="446">
        <v>11209</v>
      </c>
      <c r="E4250" s="388">
        <v>2155</v>
      </c>
      <c r="F4250" s="388" t="s">
        <v>318</v>
      </c>
      <c r="G4250" s="388">
        <v>852</v>
      </c>
      <c r="H4250" s="446">
        <v>5</v>
      </c>
      <c r="I4250" s="446">
        <v>4</v>
      </c>
      <c r="J4250" s="446">
        <v>56</v>
      </c>
      <c r="K4250" s="458" t="s">
        <v>33</v>
      </c>
      <c r="L4250" s="519">
        <f t="shared" si="634"/>
        <v>1920135</v>
      </c>
      <c r="M4250" s="519">
        <f>G4250*2200</f>
        <v>1874400</v>
      </c>
      <c r="N4250" s="388"/>
      <c r="O4250" s="795">
        <f>ROUND(M4250*0.3%,0)</f>
        <v>5623</v>
      </c>
      <c r="P4250" s="388"/>
      <c r="Q4250" s="388">
        <f t="shared" ref="Q4250:Q4263" si="636">ROUND(M4250*2.14%,0)</f>
        <v>40112</v>
      </c>
      <c r="R4250" s="446">
        <f>M4250/G4250</f>
        <v>2200</v>
      </c>
      <c r="U4250" s="404"/>
    </row>
    <row r="4251" spans="1:21" s="403" customFormat="1" ht="56.25" customHeight="1">
      <c r="A4251" s="404">
        <f t="shared" si="635"/>
        <v>12</v>
      </c>
      <c r="B4251" s="403" t="s">
        <v>3231</v>
      </c>
      <c r="C4251" s="518" t="s">
        <v>222</v>
      </c>
      <c r="D4251" s="446"/>
      <c r="E4251" s="388"/>
      <c r="F4251" s="388" t="s">
        <v>318</v>
      </c>
      <c r="G4251" s="388"/>
      <c r="H4251" s="446">
        <v>5</v>
      </c>
      <c r="I4251" s="446">
        <v>1</v>
      </c>
      <c r="J4251" s="446">
        <v>62</v>
      </c>
      <c r="K4251" s="458" t="s">
        <v>30</v>
      </c>
      <c r="L4251" s="519">
        <f t="shared" si="634"/>
        <v>1905384</v>
      </c>
      <c r="M4251" s="519">
        <f>J4251*30000</f>
        <v>1860000</v>
      </c>
      <c r="N4251" s="388"/>
      <c r="O4251" s="795">
        <f>ROUND(M4251*0.3%,0)</f>
        <v>5580</v>
      </c>
      <c r="P4251" s="388"/>
      <c r="Q4251" s="388">
        <f t="shared" si="636"/>
        <v>39804</v>
      </c>
      <c r="R4251" s="446">
        <f>M4251/J4251</f>
        <v>30000</v>
      </c>
      <c r="U4251" s="404"/>
    </row>
    <row r="4252" spans="1:21" s="403" customFormat="1" ht="37.5" customHeight="1">
      <c r="A4252" s="404">
        <f t="shared" si="635"/>
        <v>13</v>
      </c>
      <c r="B4252" s="403" t="s">
        <v>2335</v>
      </c>
      <c r="C4252" s="518" t="s">
        <v>222</v>
      </c>
      <c r="D4252" s="446"/>
      <c r="E4252" s="388"/>
      <c r="F4252" s="388" t="s">
        <v>318</v>
      </c>
      <c r="G4252" s="388">
        <v>1262</v>
      </c>
      <c r="H4252" s="446">
        <v>5</v>
      </c>
      <c r="I4252" s="446">
        <v>6</v>
      </c>
      <c r="J4252" s="446">
        <v>98</v>
      </c>
      <c r="K4252" s="458" t="s">
        <v>33</v>
      </c>
      <c r="L4252" s="519">
        <f t="shared" si="634"/>
        <v>2844144</v>
      </c>
      <c r="M4252" s="519">
        <f>G4252*2200</f>
        <v>2776400</v>
      </c>
      <c r="N4252" s="388"/>
      <c r="O4252" s="795">
        <f>ROUND(M4252*0.3%,0)</f>
        <v>8329</v>
      </c>
      <c r="P4252" s="388"/>
      <c r="Q4252" s="388">
        <f t="shared" si="636"/>
        <v>59415</v>
      </c>
      <c r="R4252" s="446">
        <f>M4252/G4252</f>
        <v>2200</v>
      </c>
      <c r="U4252" s="404"/>
    </row>
    <row r="4253" spans="1:21" s="403" customFormat="1" ht="56.25" customHeight="1">
      <c r="A4253" s="404">
        <f t="shared" si="635"/>
        <v>14</v>
      </c>
      <c r="B4253" s="403" t="s">
        <v>3232</v>
      </c>
      <c r="C4253" s="518" t="s">
        <v>222</v>
      </c>
      <c r="D4253" s="446"/>
      <c r="E4253" s="388"/>
      <c r="F4253" s="388" t="s">
        <v>318</v>
      </c>
      <c r="G4253" s="388"/>
      <c r="H4253" s="446">
        <v>5</v>
      </c>
      <c r="I4253" s="446">
        <v>8</v>
      </c>
      <c r="J4253" s="446">
        <v>119</v>
      </c>
      <c r="K4253" s="458" t="s">
        <v>30</v>
      </c>
      <c r="L4253" s="519">
        <f t="shared" si="634"/>
        <v>3657108</v>
      </c>
      <c r="M4253" s="519">
        <f>J4253*30000</f>
        <v>3570000</v>
      </c>
      <c r="N4253" s="388"/>
      <c r="O4253" s="795">
        <f>ROUND(M4253*0.3%,0)</f>
        <v>10710</v>
      </c>
      <c r="P4253" s="388"/>
      <c r="Q4253" s="388">
        <f t="shared" si="636"/>
        <v>76398</v>
      </c>
      <c r="R4253" s="446">
        <f>M4253/J4253</f>
        <v>30000</v>
      </c>
      <c r="U4253" s="404"/>
    </row>
    <row r="4254" spans="1:21" s="403" customFormat="1" ht="37.5" customHeight="1">
      <c r="A4254" s="404">
        <f t="shared" si="635"/>
        <v>15</v>
      </c>
      <c r="B4254" s="403" t="s">
        <v>3233</v>
      </c>
      <c r="C4254" s="518" t="s">
        <v>222</v>
      </c>
      <c r="D4254" s="446">
        <v>5991</v>
      </c>
      <c r="E4254" s="388">
        <v>1323</v>
      </c>
      <c r="F4254" s="388" t="s">
        <v>318</v>
      </c>
      <c r="G4254" s="388">
        <v>411</v>
      </c>
      <c r="H4254" s="446">
        <v>5</v>
      </c>
      <c r="I4254" s="446">
        <v>2</v>
      </c>
      <c r="J4254" s="446">
        <v>25</v>
      </c>
      <c r="K4254" s="458" t="s">
        <v>33</v>
      </c>
      <c r="L4254" s="519">
        <f t="shared" si="634"/>
        <v>926263</v>
      </c>
      <c r="M4254" s="519">
        <f>G4254*2200</f>
        <v>904200</v>
      </c>
      <c r="N4254" s="388"/>
      <c r="O4254" s="795">
        <f>ROUND(M4254*0.3%,0)</f>
        <v>2713</v>
      </c>
      <c r="P4254" s="388"/>
      <c r="Q4254" s="388">
        <f t="shared" si="636"/>
        <v>19350</v>
      </c>
      <c r="R4254" s="446">
        <f>M4254/G4254</f>
        <v>2200</v>
      </c>
      <c r="U4254" s="404"/>
    </row>
    <row r="4255" spans="1:21" s="403" customFormat="1" ht="37.5" customHeight="1">
      <c r="A4255" s="404">
        <f t="shared" si="635"/>
        <v>16</v>
      </c>
      <c r="B4255" s="403" t="s">
        <v>3234</v>
      </c>
      <c r="C4255" s="518" t="s">
        <v>222</v>
      </c>
      <c r="D4255" s="446"/>
      <c r="E4255" s="388"/>
      <c r="F4255" s="388" t="s">
        <v>318</v>
      </c>
      <c r="G4255" s="388">
        <v>1303</v>
      </c>
      <c r="H4255" s="446">
        <v>5</v>
      </c>
      <c r="I4255" s="446">
        <v>6</v>
      </c>
      <c r="J4255" s="446">
        <v>84</v>
      </c>
      <c r="K4255" s="458" t="s">
        <v>232</v>
      </c>
      <c r="L4255" s="519">
        <f t="shared" si="634"/>
        <v>3042916</v>
      </c>
      <c r="M4255" s="519">
        <f>J4255*35000</f>
        <v>2940000</v>
      </c>
      <c r="N4255" s="388">
        <v>40000</v>
      </c>
      <c r="O4255" s="795"/>
      <c r="P4255" s="388"/>
      <c r="Q4255" s="388">
        <f t="shared" si="636"/>
        <v>62916</v>
      </c>
      <c r="R4255" s="446">
        <f>M4255/J4255</f>
        <v>35000</v>
      </c>
      <c r="U4255" s="404"/>
    </row>
    <row r="4256" spans="1:21" s="403" customFormat="1" ht="37.5" customHeight="1">
      <c r="A4256" s="404">
        <f t="shared" si="635"/>
        <v>17</v>
      </c>
      <c r="B4256" s="403" t="s">
        <v>3235</v>
      </c>
      <c r="C4256" s="518" t="s">
        <v>222</v>
      </c>
      <c r="D4256" s="446"/>
      <c r="E4256" s="388"/>
      <c r="F4256" s="388" t="s">
        <v>318</v>
      </c>
      <c r="G4256" s="388">
        <v>1209</v>
      </c>
      <c r="H4256" s="446">
        <v>5</v>
      </c>
      <c r="I4256" s="446">
        <v>6</v>
      </c>
      <c r="J4256" s="446">
        <v>82</v>
      </c>
      <c r="K4256" s="458" t="s">
        <v>33</v>
      </c>
      <c r="L4256" s="519">
        <f t="shared" si="634"/>
        <v>2724699</v>
      </c>
      <c r="M4256" s="519">
        <f>G4256*2200</f>
        <v>2659800</v>
      </c>
      <c r="N4256" s="388"/>
      <c r="O4256" s="795">
        <f t="shared" ref="O4256:O4262" si="637">ROUND(M4256*0.3%,0)</f>
        <v>7979</v>
      </c>
      <c r="P4256" s="388"/>
      <c r="Q4256" s="388">
        <f t="shared" si="636"/>
        <v>56920</v>
      </c>
      <c r="R4256" s="446">
        <f>M4256/G4256</f>
        <v>2200</v>
      </c>
      <c r="U4256" s="404"/>
    </row>
    <row r="4257" spans="1:21" s="403" customFormat="1" ht="37.5" customHeight="1">
      <c r="A4257" s="404">
        <f t="shared" si="635"/>
        <v>18</v>
      </c>
      <c r="B4257" s="403" t="s">
        <v>3236</v>
      </c>
      <c r="C4257" s="518" t="s">
        <v>222</v>
      </c>
      <c r="D4257" s="446"/>
      <c r="E4257" s="388"/>
      <c r="F4257" s="388" t="s">
        <v>318</v>
      </c>
      <c r="G4257" s="388">
        <v>1171</v>
      </c>
      <c r="H4257" s="446">
        <v>5</v>
      </c>
      <c r="I4257" s="446">
        <v>6</v>
      </c>
      <c r="J4257" s="446">
        <v>70</v>
      </c>
      <c r="K4257" s="458" t="s">
        <v>33</v>
      </c>
      <c r="L4257" s="519">
        <f t="shared" si="634"/>
        <v>2639060</v>
      </c>
      <c r="M4257" s="519">
        <f>G4257*2200</f>
        <v>2576200</v>
      </c>
      <c r="N4257" s="388"/>
      <c r="O4257" s="795">
        <f t="shared" si="637"/>
        <v>7729</v>
      </c>
      <c r="P4257" s="388"/>
      <c r="Q4257" s="388">
        <f t="shared" si="636"/>
        <v>55131</v>
      </c>
      <c r="R4257" s="446">
        <f>M4257/G4257</f>
        <v>2200</v>
      </c>
      <c r="U4257" s="404"/>
    </row>
    <row r="4258" spans="1:21" s="403" customFormat="1" ht="37.5" customHeight="1">
      <c r="A4258" s="404">
        <f t="shared" si="635"/>
        <v>19</v>
      </c>
      <c r="B4258" s="403" t="s">
        <v>3237</v>
      </c>
      <c r="C4258" s="518" t="s">
        <v>222</v>
      </c>
      <c r="D4258" s="446"/>
      <c r="E4258" s="388">
        <v>2205</v>
      </c>
      <c r="F4258" s="388" t="s">
        <v>318</v>
      </c>
      <c r="G4258" s="388">
        <v>914</v>
      </c>
      <c r="H4258" s="446">
        <v>5</v>
      </c>
      <c r="I4258" s="446">
        <v>4</v>
      </c>
      <c r="J4258" s="446">
        <v>59</v>
      </c>
      <c r="K4258" s="458" t="s">
        <v>33</v>
      </c>
      <c r="L4258" s="519">
        <f t="shared" si="634"/>
        <v>2059863</v>
      </c>
      <c r="M4258" s="519">
        <f>G4258*2200</f>
        <v>2010800</v>
      </c>
      <c r="N4258" s="388"/>
      <c r="O4258" s="795">
        <f t="shared" si="637"/>
        <v>6032</v>
      </c>
      <c r="P4258" s="388"/>
      <c r="Q4258" s="388">
        <f t="shared" si="636"/>
        <v>43031</v>
      </c>
      <c r="R4258" s="446">
        <f>M4258/G4258</f>
        <v>2200</v>
      </c>
      <c r="U4258" s="404"/>
    </row>
    <row r="4259" spans="1:21" s="403" customFormat="1" ht="56.25" customHeight="1">
      <c r="A4259" s="404">
        <f t="shared" si="635"/>
        <v>20</v>
      </c>
      <c r="B4259" s="403" t="s">
        <v>3238</v>
      </c>
      <c r="C4259" s="518" t="s">
        <v>222</v>
      </c>
      <c r="D4259" s="446"/>
      <c r="E4259" s="388"/>
      <c r="F4259" s="388" t="s">
        <v>318</v>
      </c>
      <c r="G4259" s="388"/>
      <c r="H4259" s="446">
        <v>5</v>
      </c>
      <c r="I4259" s="446">
        <v>6</v>
      </c>
      <c r="J4259" s="446">
        <v>80</v>
      </c>
      <c r="K4259" s="458" t="s">
        <v>30</v>
      </c>
      <c r="L4259" s="519">
        <f t="shared" si="634"/>
        <v>2212704</v>
      </c>
      <c r="M4259" s="519">
        <f>J4259*27000</f>
        <v>2160000</v>
      </c>
      <c r="N4259" s="388"/>
      <c r="O4259" s="795">
        <f t="shared" si="637"/>
        <v>6480</v>
      </c>
      <c r="P4259" s="388"/>
      <c r="Q4259" s="388">
        <f t="shared" si="636"/>
        <v>46224</v>
      </c>
      <c r="R4259" s="446">
        <f>M4259/J4259</f>
        <v>27000</v>
      </c>
      <c r="U4259" s="404"/>
    </row>
    <row r="4260" spans="1:21" s="403" customFormat="1" ht="56.25" customHeight="1">
      <c r="A4260" s="404">
        <f t="shared" si="635"/>
        <v>21</v>
      </c>
      <c r="B4260" s="403" t="s">
        <v>3239</v>
      </c>
      <c r="C4260" s="518" t="s">
        <v>315</v>
      </c>
      <c r="D4260" s="446">
        <v>9940</v>
      </c>
      <c r="E4260" s="388">
        <v>1737</v>
      </c>
      <c r="F4260" s="388" t="s">
        <v>317</v>
      </c>
      <c r="G4260" s="388">
        <v>910</v>
      </c>
      <c r="H4260" s="446">
        <v>5</v>
      </c>
      <c r="I4260" s="446">
        <v>3</v>
      </c>
      <c r="J4260" s="446">
        <v>57</v>
      </c>
      <c r="K4260" s="458" t="s">
        <v>30</v>
      </c>
      <c r="L4260" s="519">
        <f t="shared" si="634"/>
        <v>1576552</v>
      </c>
      <c r="M4260" s="519">
        <f>J4260*27000</f>
        <v>1539000</v>
      </c>
      <c r="N4260" s="388"/>
      <c r="O4260" s="795">
        <f t="shared" si="637"/>
        <v>4617</v>
      </c>
      <c r="P4260" s="388"/>
      <c r="Q4260" s="388">
        <f t="shared" si="636"/>
        <v>32935</v>
      </c>
      <c r="R4260" s="446">
        <f>M4260/J4260</f>
        <v>27000</v>
      </c>
      <c r="U4260" s="404"/>
    </row>
    <row r="4261" spans="1:21" s="403" customFormat="1" ht="56.25" customHeight="1">
      <c r="A4261" s="404">
        <f t="shared" si="635"/>
        <v>22</v>
      </c>
      <c r="B4261" s="403" t="s">
        <v>3240</v>
      </c>
      <c r="C4261" s="518" t="s">
        <v>222</v>
      </c>
      <c r="D4261" s="446"/>
      <c r="E4261" s="388"/>
      <c r="F4261" s="388" t="s">
        <v>318</v>
      </c>
      <c r="G4261" s="388">
        <v>416</v>
      </c>
      <c r="H4261" s="446">
        <v>5</v>
      </c>
      <c r="I4261" s="446">
        <v>2</v>
      </c>
      <c r="J4261" s="446">
        <v>25</v>
      </c>
      <c r="K4261" s="458" t="s">
        <v>30</v>
      </c>
      <c r="L4261" s="519">
        <f t="shared" si="634"/>
        <v>813241</v>
      </c>
      <c r="M4261" s="519">
        <v>793870</v>
      </c>
      <c r="N4261" s="388"/>
      <c r="O4261" s="795">
        <f t="shared" si="637"/>
        <v>2382</v>
      </c>
      <c r="P4261" s="388"/>
      <c r="Q4261" s="388">
        <f t="shared" si="636"/>
        <v>16989</v>
      </c>
      <c r="R4261" s="446">
        <f>M4261/J4261</f>
        <v>31754.799999999999</v>
      </c>
      <c r="U4261" s="404"/>
    </row>
    <row r="4262" spans="1:21" s="403" customFormat="1" ht="56.25" customHeight="1">
      <c r="A4262" s="404">
        <f t="shared" si="635"/>
        <v>23</v>
      </c>
      <c r="B4262" s="403" t="s">
        <v>3241</v>
      </c>
      <c r="C4262" s="518" t="s">
        <v>222</v>
      </c>
      <c r="D4262" s="446"/>
      <c r="E4262" s="388"/>
      <c r="F4262" s="388" t="s">
        <v>316</v>
      </c>
      <c r="G4262" s="388"/>
      <c r="H4262" s="446">
        <v>3</v>
      </c>
      <c r="I4262" s="446">
        <v>1</v>
      </c>
      <c r="J4262" s="446">
        <v>46</v>
      </c>
      <c r="K4262" s="458" t="s">
        <v>30</v>
      </c>
      <c r="L4262" s="1129">
        <f>SUM(M4262:Q4262,M4263:Q4263)</f>
        <v>2946759</v>
      </c>
      <c r="M4262" s="519">
        <f>J4262*27000</f>
        <v>1242000</v>
      </c>
      <c r="N4262" s="388"/>
      <c r="O4262" s="795">
        <f t="shared" si="637"/>
        <v>3726</v>
      </c>
      <c r="P4262" s="388"/>
      <c r="Q4262" s="388">
        <f t="shared" si="636"/>
        <v>26579</v>
      </c>
      <c r="R4262" s="446">
        <f>M4262/J4262</f>
        <v>27000</v>
      </c>
      <c r="U4262" s="404"/>
    </row>
    <row r="4263" spans="1:21" s="403" customFormat="1" ht="37.5" customHeight="1">
      <c r="A4263" s="404"/>
      <c r="C4263" s="518"/>
      <c r="D4263" s="446"/>
      <c r="E4263" s="388"/>
      <c r="F4263" s="388"/>
      <c r="G4263" s="388"/>
      <c r="H4263" s="446"/>
      <c r="I4263" s="446"/>
      <c r="J4263" s="446"/>
      <c r="K4263" s="458" t="s">
        <v>232</v>
      </c>
      <c r="L4263" s="1129"/>
      <c r="M4263" s="519">
        <v>1610000</v>
      </c>
      <c r="N4263" s="388">
        <v>30000</v>
      </c>
      <c r="O4263" s="795"/>
      <c r="P4263" s="388"/>
      <c r="Q4263" s="388">
        <f t="shared" si="636"/>
        <v>34454</v>
      </c>
      <c r="R4263" s="446">
        <f>M4263/J4262</f>
        <v>35000</v>
      </c>
      <c r="U4263" s="404"/>
    </row>
    <row r="4264" spans="1:21" s="403" customFormat="1" ht="37.5" customHeight="1">
      <c r="A4264" s="404">
        <v>24</v>
      </c>
      <c r="B4264" s="403" t="s">
        <v>3242</v>
      </c>
      <c r="C4264" s="518" t="s">
        <v>222</v>
      </c>
      <c r="D4264" s="446">
        <v>3720</v>
      </c>
      <c r="E4264" s="388">
        <v>799</v>
      </c>
      <c r="F4264" s="388" t="s">
        <v>316</v>
      </c>
      <c r="G4264" s="388">
        <v>581</v>
      </c>
      <c r="H4264" s="446">
        <v>3</v>
      </c>
      <c r="I4264" s="446">
        <v>2</v>
      </c>
      <c r="J4264" s="446">
        <v>23</v>
      </c>
      <c r="K4264" s="458" t="s">
        <v>339</v>
      </c>
      <c r="L4264" s="519">
        <f>SUM(M4264:Q4264)</f>
        <v>165000</v>
      </c>
      <c r="M4264" s="519">
        <v>150000</v>
      </c>
      <c r="N4264" s="388">
        <v>15000</v>
      </c>
      <c r="O4264" s="795"/>
      <c r="P4264" s="388"/>
      <c r="Q4264" s="388"/>
      <c r="R4264" s="446">
        <f>M4264/J4264</f>
        <v>6521.739130434783</v>
      </c>
      <c r="U4264" s="404"/>
    </row>
    <row r="4265" spans="1:21" s="403" customFormat="1" ht="37.5" customHeight="1">
      <c r="A4265" s="404">
        <v>25</v>
      </c>
      <c r="B4265" s="403" t="s">
        <v>3243</v>
      </c>
      <c r="C4265" s="518" t="s">
        <v>222</v>
      </c>
      <c r="D4265" s="446"/>
      <c r="E4265" s="388">
        <v>341</v>
      </c>
      <c r="F4265" s="388" t="s">
        <v>354</v>
      </c>
      <c r="G4265" s="388">
        <v>244</v>
      </c>
      <c r="H4265" s="446">
        <v>2</v>
      </c>
      <c r="I4265" s="446">
        <v>1</v>
      </c>
      <c r="J4265" s="446">
        <v>9</v>
      </c>
      <c r="K4265" s="458" t="s">
        <v>33</v>
      </c>
      <c r="L4265" s="519">
        <f>SUM(M4265:Q4265)</f>
        <v>702898</v>
      </c>
      <c r="M4265" s="519">
        <f>G4265*2700</f>
        <v>658800</v>
      </c>
      <c r="N4265" s="388">
        <v>30000</v>
      </c>
      <c r="O4265" s="795"/>
      <c r="P4265" s="388"/>
      <c r="Q4265" s="388">
        <f>ROUND(M4265*2.14%,0)</f>
        <v>14098</v>
      </c>
      <c r="R4265" s="446">
        <f>M4265/G4265</f>
        <v>2700</v>
      </c>
      <c r="U4265" s="404"/>
    </row>
    <row r="4266" spans="1:21" s="403" customFormat="1" ht="42.75" customHeight="1">
      <c r="A4266" s="1112" t="s">
        <v>202</v>
      </c>
      <c r="B4266" s="1112"/>
      <c r="C4266" s="388" t="s">
        <v>28</v>
      </c>
      <c r="D4266" s="388">
        <f>SUM(D4239:D4265)</f>
        <v>114672</v>
      </c>
      <c r="E4266" s="388">
        <f>SUM(E4239:E4265)</f>
        <v>23410</v>
      </c>
      <c r="F4266" s="388" t="s">
        <v>28</v>
      </c>
      <c r="G4266" s="388">
        <f>SUM(G4239:G4265)</f>
        <v>16636</v>
      </c>
      <c r="H4266" s="446" t="s">
        <v>28</v>
      </c>
      <c r="I4266" s="446" t="s">
        <v>28</v>
      </c>
      <c r="J4266" s="446">
        <f>SUM(J4239:J4265)</f>
        <v>1485</v>
      </c>
      <c r="K4266" s="458" t="s">
        <v>28</v>
      </c>
      <c r="L4266" s="519">
        <f t="shared" ref="L4266:Q4266" si="638">SUM(L4239:L4265)</f>
        <v>51675949</v>
      </c>
      <c r="M4266" s="519">
        <f t="shared" si="638"/>
        <v>50205770</v>
      </c>
      <c r="N4266" s="388">
        <f t="shared" si="638"/>
        <v>265000</v>
      </c>
      <c r="O4266" s="473">
        <f t="shared" si="638"/>
        <v>105094</v>
      </c>
      <c r="P4266" s="388">
        <f t="shared" si="638"/>
        <v>0</v>
      </c>
      <c r="Q4266" s="388">
        <f t="shared" si="638"/>
        <v>1100085</v>
      </c>
      <c r="R4266" s="446" t="s">
        <v>28</v>
      </c>
      <c r="S4266" s="383">
        <f>L4266-M4266-N4266-O4266-P4266-Q4266</f>
        <v>0</v>
      </c>
      <c r="T4266" s="387" t="e">
        <f>'1.перечень МКД'!#REF!</f>
        <v>#REF!</v>
      </c>
      <c r="U4266" s="390" t="e">
        <f>L4266-T4266</f>
        <v>#REF!</v>
      </c>
    </row>
    <row r="4267" spans="1:21" s="403" customFormat="1" ht="42.75" customHeight="1">
      <c r="A4267" s="1135" t="s">
        <v>203</v>
      </c>
      <c r="B4267" s="1135"/>
      <c r="C4267" s="1135"/>
      <c r="D4267" s="1135"/>
      <c r="E4267" s="1135"/>
      <c r="F4267" s="1135"/>
      <c r="G4267" s="1135"/>
      <c r="H4267" s="1135"/>
      <c r="I4267" s="1135"/>
      <c r="J4267" s="1135"/>
      <c r="K4267" s="1135"/>
      <c r="L4267" s="1135"/>
      <c r="M4267" s="1135"/>
      <c r="N4267" s="1135"/>
      <c r="O4267" s="1135"/>
      <c r="P4267" s="1135"/>
      <c r="Q4267" s="1135"/>
      <c r="R4267" s="728"/>
      <c r="U4267" s="404"/>
    </row>
    <row r="4268" spans="1:21" s="403" customFormat="1" ht="37.5" customHeight="1">
      <c r="A4268" s="797">
        <v>1</v>
      </c>
      <c r="B4268" s="723" t="s">
        <v>3244</v>
      </c>
      <c r="C4268" s="780" t="s">
        <v>319</v>
      </c>
      <c r="D4268" s="780">
        <v>380.9</v>
      </c>
      <c r="E4268" s="539">
        <v>427</v>
      </c>
      <c r="F4268" s="539" t="s">
        <v>223</v>
      </c>
      <c r="G4268" s="790"/>
      <c r="H4268" s="789">
        <v>2</v>
      </c>
      <c r="I4268" s="789">
        <v>1</v>
      </c>
      <c r="J4268" s="599">
        <v>8</v>
      </c>
      <c r="K4268" s="791" t="s">
        <v>38</v>
      </c>
      <c r="L4268" s="519">
        <f>SUM(M4268:Q4268)</f>
        <v>712981</v>
      </c>
      <c r="M4268" s="792">
        <v>701427</v>
      </c>
      <c r="N4268" s="790"/>
      <c r="O4268" s="643">
        <f>ROUND(M4268*0.3%,0)</f>
        <v>2104</v>
      </c>
      <c r="P4268" s="790"/>
      <c r="Q4268" s="388">
        <v>9450</v>
      </c>
      <c r="R4268" s="528">
        <f>M4268/E4268</f>
        <v>1642.6861826697893</v>
      </c>
      <c r="U4268" s="404"/>
    </row>
    <row r="4269" spans="1:21" s="403" customFormat="1" ht="37.5" customHeight="1">
      <c r="A4269" s="797">
        <v>2</v>
      </c>
      <c r="B4269" s="723" t="s">
        <v>3245</v>
      </c>
      <c r="C4269" s="780" t="s">
        <v>319</v>
      </c>
      <c r="D4269" s="780">
        <v>5267</v>
      </c>
      <c r="E4269" s="539">
        <v>462.2</v>
      </c>
      <c r="F4269" s="539" t="s">
        <v>355</v>
      </c>
      <c r="G4269" s="790">
        <v>494</v>
      </c>
      <c r="H4269" s="789">
        <v>2</v>
      </c>
      <c r="I4269" s="789">
        <v>1</v>
      </c>
      <c r="J4269" s="599">
        <v>16</v>
      </c>
      <c r="K4269" s="791" t="s">
        <v>33</v>
      </c>
      <c r="L4269" s="519">
        <f>SUM(M4269:Q4269)</f>
        <v>1426729</v>
      </c>
      <c r="M4269" s="792">
        <f>G4269*2800</f>
        <v>1383200</v>
      </c>
      <c r="N4269" s="790">
        <v>25000</v>
      </c>
      <c r="O4269" s="643"/>
      <c r="P4269" s="790"/>
      <c r="Q4269" s="388">
        <v>18529</v>
      </c>
      <c r="R4269" s="446">
        <f>M4269/G4269</f>
        <v>2800</v>
      </c>
      <c r="U4269" s="404"/>
    </row>
    <row r="4270" spans="1:21" s="403" customFormat="1" ht="42.75" customHeight="1">
      <c r="A4270" s="1112" t="s">
        <v>204</v>
      </c>
      <c r="B4270" s="1112"/>
      <c r="C4270" s="617" t="s">
        <v>28</v>
      </c>
      <c r="D4270" s="539">
        <f>SUM(D4268:D4269)</f>
        <v>5647.9</v>
      </c>
      <c r="E4270" s="539">
        <f>SUM(E4268:E4269)</f>
        <v>889.2</v>
      </c>
      <c r="F4270" s="539" t="s">
        <v>28</v>
      </c>
      <c r="G4270" s="539">
        <f>SUM(G4268:G4269)</f>
        <v>494</v>
      </c>
      <c r="H4270" s="599" t="s">
        <v>28</v>
      </c>
      <c r="I4270" s="599" t="s">
        <v>28</v>
      </c>
      <c r="J4270" s="599">
        <f>SUM(J4269:J4269)</f>
        <v>16</v>
      </c>
      <c r="K4270" s="458" t="s">
        <v>28</v>
      </c>
      <c r="L4270" s="538">
        <f t="shared" ref="L4270:Q4270" si="639">SUM(L4268:L4269)</f>
        <v>2139710</v>
      </c>
      <c r="M4270" s="538">
        <f t="shared" si="639"/>
        <v>2084627</v>
      </c>
      <c r="N4270" s="539">
        <f t="shared" si="639"/>
        <v>25000</v>
      </c>
      <c r="O4270" s="540">
        <f t="shared" si="639"/>
        <v>2104</v>
      </c>
      <c r="P4270" s="539">
        <f t="shared" si="639"/>
        <v>0</v>
      </c>
      <c r="Q4270" s="539">
        <f t="shared" si="639"/>
        <v>27979</v>
      </c>
      <c r="R4270" s="446" t="s">
        <v>28</v>
      </c>
      <c r="S4270" s="383">
        <f>L4270-M4270-N4270-O4270-P4270-Q4270</f>
        <v>0</v>
      </c>
      <c r="T4270" s="387" t="e">
        <f>'1.перечень МКД'!#REF!</f>
        <v>#REF!</v>
      </c>
      <c r="U4270" s="390" t="e">
        <f>L4270-T4270</f>
        <v>#REF!</v>
      </c>
    </row>
    <row r="4271" spans="1:21" s="403" customFormat="1" ht="42.75" customHeight="1">
      <c r="A4271" s="1113" t="s">
        <v>205</v>
      </c>
      <c r="B4271" s="1113"/>
      <c r="C4271" s="1113"/>
      <c r="D4271" s="1113"/>
      <c r="E4271" s="1113"/>
      <c r="F4271" s="1113"/>
      <c r="G4271" s="1113"/>
      <c r="H4271" s="1113"/>
      <c r="I4271" s="1113"/>
      <c r="J4271" s="1113"/>
      <c r="K4271" s="1113"/>
      <c r="L4271" s="1113"/>
      <c r="M4271" s="1113"/>
      <c r="N4271" s="1113"/>
      <c r="O4271" s="1113"/>
      <c r="P4271" s="1113"/>
      <c r="Q4271" s="1113"/>
      <c r="R4271" s="458"/>
      <c r="U4271" s="404"/>
    </row>
    <row r="4272" spans="1:21" s="403" customFormat="1" ht="37.5" customHeight="1">
      <c r="A4272" s="797">
        <v>1</v>
      </c>
      <c r="B4272" s="723" t="s">
        <v>3246</v>
      </c>
      <c r="C4272" s="780" t="s">
        <v>222</v>
      </c>
      <c r="D4272" s="780"/>
      <c r="E4272" s="539">
        <v>767</v>
      </c>
      <c r="F4272" s="539" t="s">
        <v>292</v>
      </c>
      <c r="G4272" s="790">
        <v>942</v>
      </c>
      <c r="H4272" s="789">
        <v>2</v>
      </c>
      <c r="I4272" s="789">
        <v>3</v>
      </c>
      <c r="J4272" s="599">
        <v>18</v>
      </c>
      <c r="K4272" s="791" t="s">
        <v>33</v>
      </c>
      <c r="L4272" s="519">
        <f>SUM(M4272:Q4272)</f>
        <v>2695927</v>
      </c>
      <c r="M4272" s="792">
        <f>G4272*2800</f>
        <v>2637600</v>
      </c>
      <c r="N4272" s="790">
        <v>30000</v>
      </c>
      <c r="O4272" s="643"/>
      <c r="P4272" s="790"/>
      <c r="Q4272" s="388">
        <v>28327</v>
      </c>
      <c r="R4272" s="446">
        <f>M4272/G4272</f>
        <v>2800</v>
      </c>
      <c r="U4272" s="404"/>
    </row>
    <row r="4273" spans="1:36" s="403" customFormat="1" ht="37.5" customHeight="1">
      <c r="A4273" s="797">
        <f>A4272+1</f>
        <v>2</v>
      </c>
      <c r="B4273" s="723" t="s">
        <v>4357</v>
      </c>
      <c r="C4273" s="780" t="s">
        <v>222</v>
      </c>
      <c r="D4273" s="780">
        <v>2867</v>
      </c>
      <c r="E4273" s="539" t="s">
        <v>4358</v>
      </c>
      <c r="F4273" s="539" t="s">
        <v>292</v>
      </c>
      <c r="G4273" s="790" t="s">
        <v>4359</v>
      </c>
      <c r="H4273" s="789">
        <v>2</v>
      </c>
      <c r="I4273" s="789">
        <v>2</v>
      </c>
      <c r="J4273" s="599">
        <v>16</v>
      </c>
      <c r="K4273" s="791" t="s">
        <v>33</v>
      </c>
      <c r="L4273" s="519">
        <f>SUM(M4273:Q4273)</f>
        <v>1906181</v>
      </c>
      <c r="M4273" s="792">
        <v>1862000</v>
      </c>
      <c r="N4273" s="790">
        <v>30000</v>
      </c>
      <c r="O4273" s="643"/>
      <c r="P4273" s="790"/>
      <c r="Q4273" s="388">
        <v>14181</v>
      </c>
      <c r="R4273" s="446">
        <f>M4273/G4273</f>
        <v>2800</v>
      </c>
      <c r="U4273" s="404"/>
    </row>
    <row r="4274" spans="1:36" s="403" customFormat="1" ht="37.5">
      <c r="A4274" s="797">
        <f>A4273+1</f>
        <v>3</v>
      </c>
      <c r="B4274" s="723" t="s">
        <v>3247</v>
      </c>
      <c r="C4274" s="780" t="s">
        <v>222</v>
      </c>
      <c r="D4274" s="780"/>
      <c r="E4274" s="539">
        <v>950</v>
      </c>
      <c r="F4274" s="539" t="s">
        <v>292</v>
      </c>
      <c r="G4274" s="790">
        <v>650</v>
      </c>
      <c r="H4274" s="789">
        <v>2</v>
      </c>
      <c r="I4274" s="789">
        <v>2</v>
      </c>
      <c r="J4274" s="599">
        <v>16</v>
      </c>
      <c r="K4274" s="791" t="s">
        <v>225</v>
      </c>
      <c r="L4274" s="519">
        <f>SUM(M4274:Q4274)</f>
        <v>385637</v>
      </c>
      <c r="M4274" s="792">
        <f>J4274*22000</f>
        <v>352000</v>
      </c>
      <c r="N4274" s="790">
        <v>30000</v>
      </c>
      <c r="O4274" s="643"/>
      <c r="P4274" s="790"/>
      <c r="Q4274" s="388">
        <v>3637</v>
      </c>
      <c r="R4274" s="446">
        <f>M4274/J4274</f>
        <v>22000</v>
      </c>
      <c r="U4274" s="404"/>
    </row>
    <row r="4275" spans="1:36" s="403" customFormat="1" ht="42.75" customHeight="1">
      <c r="A4275" s="1112" t="s">
        <v>206</v>
      </c>
      <c r="B4275" s="1112"/>
      <c r="C4275" s="455" t="s">
        <v>28</v>
      </c>
      <c r="D4275" s="388">
        <f>SUM(D4272:D4274)</f>
        <v>2867</v>
      </c>
      <c r="E4275" s="388">
        <f>SUM(E4272:E4274)</f>
        <v>1717</v>
      </c>
      <c r="F4275" s="388" t="s">
        <v>28</v>
      </c>
      <c r="G4275" s="388">
        <f>SUM(G4272:G4274)</f>
        <v>1592</v>
      </c>
      <c r="H4275" s="446" t="s">
        <v>28</v>
      </c>
      <c r="I4275" s="446" t="s">
        <v>28</v>
      </c>
      <c r="J4275" s="446">
        <f>SUM(J4272:J4274)</f>
        <v>50</v>
      </c>
      <c r="K4275" s="458" t="s">
        <v>28</v>
      </c>
      <c r="L4275" s="519">
        <f>SUM(L4272:L4274)</f>
        <v>4987745</v>
      </c>
      <c r="M4275" s="519">
        <f>SUM(M4272:M4274)</f>
        <v>4851600</v>
      </c>
      <c r="N4275" s="388">
        <f>SUM(N4272:N4274)</f>
        <v>90000</v>
      </c>
      <c r="O4275" s="473"/>
      <c r="P4275" s="388">
        <f>SUM(P4272:P4274)</f>
        <v>0</v>
      </c>
      <c r="Q4275" s="388">
        <f>SUM(Q4272:Q4274)</f>
        <v>46145</v>
      </c>
      <c r="R4275" s="446" t="s">
        <v>28</v>
      </c>
      <c r="S4275" s="383">
        <f>L4275-M4275-N4275-O4275-P4275-Q4275</f>
        <v>0</v>
      </c>
      <c r="T4275" s="387" t="e">
        <f>'1.перечень МКД'!#REF!</f>
        <v>#REF!</v>
      </c>
      <c r="U4275" s="390" t="e">
        <f>L4275-T4275</f>
        <v>#REF!</v>
      </c>
    </row>
    <row r="4276" spans="1:36" s="404" customFormat="1" ht="32.25" customHeight="1">
      <c r="A4276" s="1136" t="s">
        <v>90</v>
      </c>
      <c r="B4276" s="1136"/>
      <c r="C4276" s="1136"/>
      <c r="D4276" s="1136"/>
      <c r="E4276" s="1136"/>
      <c r="F4276" s="1136"/>
      <c r="G4276" s="1136"/>
      <c r="H4276" s="1136"/>
      <c r="I4276" s="1136"/>
      <c r="J4276" s="1136"/>
      <c r="K4276" s="1136"/>
      <c r="L4276" s="1136"/>
      <c r="M4276" s="1136"/>
      <c r="N4276" s="1136"/>
      <c r="O4276" s="1136"/>
      <c r="P4276" s="1136"/>
      <c r="Q4276" s="1136"/>
      <c r="R4276" s="377"/>
      <c r="S4276" s="388"/>
      <c r="T4276" s="389"/>
      <c r="U4276" s="390"/>
      <c r="W4276" s="390"/>
      <c r="Y4276" s="390"/>
      <c r="AA4276" s="390"/>
      <c r="AC4276" s="390"/>
      <c r="AD4276" s="390"/>
      <c r="AE4276" s="390"/>
      <c r="AG4276" s="455"/>
      <c r="AH4276" s="388"/>
      <c r="AJ4276" s="390"/>
    </row>
    <row r="4277" spans="1:36" s="377" customFormat="1" ht="51" customHeight="1">
      <c r="A4277" s="1138" t="s">
        <v>211</v>
      </c>
      <c r="B4277" s="1138"/>
      <c r="C4277" s="382" t="s">
        <v>28</v>
      </c>
      <c r="D4277" s="382"/>
      <c r="E4277" s="383">
        <f>E4279+E4409+E4676</f>
        <v>928096.96500000008</v>
      </c>
      <c r="F4277" s="383" t="s">
        <v>28</v>
      </c>
      <c r="G4277" s="383">
        <f>G4279+G4409+G4676</f>
        <v>376287.814052</v>
      </c>
      <c r="H4277" s="382" t="s">
        <v>28</v>
      </c>
      <c r="I4277" s="382" t="s">
        <v>28</v>
      </c>
      <c r="J4277" s="382">
        <f>J4279+J4409+J4676</f>
        <v>23321</v>
      </c>
      <c r="K4277" s="818"/>
      <c r="L4277" s="384">
        <f t="shared" ref="L4277:Q4277" si="640">L4279+L4409+L4676</f>
        <v>1125375010.4200001</v>
      </c>
      <c r="M4277" s="384">
        <f t="shared" si="640"/>
        <v>1101482596.05</v>
      </c>
      <c r="N4277" s="383">
        <f t="shared" si="640"/>
        <v>7119329.2000000002</v>
      </c>
      <c r="O4277" s="385">
        <f t="shared" si="640"/>
        <v>1288130.44</v>
      </c>
      <c r="P4277" s="383">
        <f t="shared" si="640"/>
        <v>0</v>
      </c>
      <c r="Q4277" s="383">
        <f t="shared" si="640"/>
        <v>15484954.73</v>
      </c>
      <c r="R4277" s="446" t="s">
        <v>28</v>
      </c>
      <c r="S4277" s="383">
        <f>L4277-M4277-N4277-O4277-P4277-Q4277</f>
        <v>1.2479722499847412E-7</v>
      </c>
      <c r="T4277" s="387" t="e">
        <f>'1.перечень МКД'!#REF!</f>
        <v>#REF!</v>
      </c>
      <c r="U4277" s="378" t="e">
        <f>L4277-T4277</f>
        <v>#REF!</v>
      </c>
    </row>
    <row r="4278" spans="1:36" s="377" customFormat="1" ht="41.25" customHeight="1">
      <c r="A4278" s="1126" t="s">
        <v>140</v>
      </c>
      <c r="B4278" s="1126"/>
      <c r="C4278" s="1126"/>
      <c r="D4278" s="1126"/>
      <c r="E4278" s="1126"/>
      <c r="F4278" s="1126"/>
      <c r="G4278" s="1126"/>
      <c r="H4278" s="1126"/>
      <c r="I4278" s="1126"/>
      <c r="J4278" s="1126"/>
      <c r="K4278" s="1126"/>
      <c r="L4278" s="1126"/>
      <c r="M4278" s="1126"/>
      <c r="N4278" s="1126"/>
      <c r="O4278" s="1126"/>
      <c r="P4278" s="1126"/>
      <c r="Q4278" s="1126"/>
      <c r="R4278" s="818"/>
      <c r="S4278" s="376"/>
      <c r="U4278" s="379"/>
    </row>
    <row r="4279" spans="1:36" s="458" customFormat="1" ht="39" customHeight="1">
      <c r="A4279" s="493"/>
      <c r="B4279" s="427" t="s">
        <v>163</v>
      </c>
      <c r="C4279" s="382" t="s">
        <v>28</v>
      </c>
      <c r="D4279" s="446">
        <f>D4407</f>
        <v>1744879</v>
      </c>
      <c r="E4279" s="388">
        <f>E4407</f>
        <v>314079.60000000003</v>
      </c>
      <c r="F4279" s="383" t="s">
        <v>28</v>
      </c>
      <c r="G4279" s="388">
        <f>G4407</f>
        <v>116100.09999999999</v>
      </c>
      <c r="H4279" s="382" t="s">
        <v>28</v>
      </c>
      <c r="I4279" s="382" t="s">
        <v>28</v>
      </c>
      <c r="J4279" s="446">
        <f>J4407</f>
        <v>8561</v>
      </c>
      <c r="K4279" s="386" t="s">
        <v>28</v>
      </c>
      <c r="L4279" s="519">
        <f t="shared" ref="L4279:Q4279" si="641">L4407</f>
        <v>402958068.88999999</v>
      </c>
      <c r="M4279" s="519">
        <f t="shared" si="641"/>
        <v>394218383</v>
      </c>
      <c r="N4279" s="388">
        <f t="shared" si="641"/>
        <v>2187465</v>
      </c>
      <c r="O4279" s="473">
        <f t="shared" si="641"/>
        <v>464753.89</v>
      </c>
      <c r="P4279" s="388">
        <f t="shared" si="641"/>
        <v>0</v>
      </c>
      <c r="Q4279" s="388">
        <f t="shared" si="641"/>
        <v>6087467</v>
      </c>
      <c r="R4279" s="446"/>
      <c r="S4279" s="388">
        <f>L4279-M4279-N4279-O4279-P4279-Q4279</f>
        <v>-1.3969838619232178E-8</v>
      </c>
      <c r="T4279" s="389" t="e">
        <f>'1.перечень МКД'!#REF!</f>
        <v>#REF!</v>
      </c>
      <c r="U4279" s="390" t="e">
        <f>T4279-L4279</f>
        <v>#REF!</v>
      </c>
    </row>
    <row r="4280" spans="1:36" s="377" customFormat="1" ht="33.75" customHeight="1">
      <c r="A4280" s="1126" t="s">
        <v>139</v>
      </c>
      <c r="B4280" s="1126"/>
      <c r="C4280" s="1126"/>
      <c r="D4280" s="1126"/>
      <c r="E4280" s="1126"/>
      <c r="F4280" s="1126"/>
      <c r="G4280" s="1126"/>
      <c r="H4280" s="1126"/>
      <c r="I4280" s="1126"/>
      <c r="J4280" s="1126"/>
      <c r="K4280" s="1126"/>
      <c r="L4280" s="1126"/>
      <c r="M4280" s="1126"/>
      <c r="N4280" s="1126"/>
      <c r="O4280" s="1126"/>
      <c r="P4280" s="1126"/>
      <c r="Q4280" s="1126"/>
      <c r="R4280" s="818"/>
      <c r="S4280" s="376"/>
      <c r="U4280" s="379"/>
    </row>
    <row r="4281" spans="1:36" s="416" customFormat="1" ht="60" customHeight="1">
      <c r="A4281" s="493">
        <v>1</v>
      </c>
      <c r="B4281" s="404" t="s">
        <v>3956</v>
      </c>
      <c r="C4281" s="455" t="s">
        <v>293</v>
      </c>
      <c r="D4281" s="487">
        <v>1796</v>
      </c>
      <c r="E4281" s="391">
        <v>510</v>
      </c>
      <c r="F4281" s="391" t="s">
        <v>252</v>
      </c>
      <c r="G4281" s="391">
        <v>500</v>
      </c>
      <c r="H4281" s="528">
        <v>2</v>
      </c>
      <c r="I4281" s="528">
        <v>2</v>
      </c>
      <c r="J4281" s="528">
        <v>8</v>
      </c>
      <c r="K4281" s="458" t="s">
        <v>38</v>
      </c>
      <c r="L4281" s="519">
        <f>M4281+N4281+O4281+Q4281</f>
        <v>860306</v>
      </c>
      <c r="M4281" s="529">
        <v>822700</v>
      </c>
      <c r="N4281" s="391">
        <v>20000</v>
      </c>
      <c r="O4281" s="530"/>
      <c r="P4281" s="487"/>
      <c r="Q4281" s="391">
        <f t="shared" ref="Q4281:Q4290" si="642">ROUND(M4281*0.0214,0)</f>
        <v>17606</v>
      </c>
      <c r="R4281" s="528">
        <f>M4281/E4281</f>
        <v>1613.1372549019609</v>
      </c>
      <c r="S4281" s="388">
        <f t="shared" ref="S4281:S4312" si="643">L4281-M4281-N4281-O4281-P4281-Q4281</f>
        <v>0</v>
      </c>
      <c r="T4281" s="398"/>
      <c r="U4281" s="414"/>
      <c r="W4281" s="398"/>
    </row>
    <row r="4282" spans="1:36" ht="37.5" customHeight="1">
      <c r="A4282" s="493">
        <f>A4281+1</f>
        <v>2</v>
      </c>
      <c r="B4282" s="404" t="s">
        <v>3251</v>
      </c>
      <c r="C4282" s="455" t="s">
        <v>272</v>
      </c>
      <c r="D4282" s="545">
        <v>16197</v>
      </c>
      <c r="E4282" s="391">
        <v>5475</v>
      </c>
      <c r="F4282" s="388" t="s">
        <v>234</v>
      </c>
      <c r="G4282" s="391">
        <v>1565</v>
      </c>
      <c r="H4282" s="528">
        <v>5</v>
      </c>
      <c r="I4282" s="528">
        <v>4</v>
      </c>
      <c r="J4282" s="528">
        <v>48</v>
      </c>
      <c r="K4282" s="458" t="s">
        <v>33</v>
      </c>
      <c r="L4282" s="519">
        <f>M4282+N4282+O4282+Q4282</f>
        <v>3391831</v>
      </c>
      <c r="M4282" s="519">
        <v>3286500</v>
      </c>
      <c r="N4282" s="383">
        <v>35000</v>
      </c>
      <c r="O4282" s="473"/>
      <c r="P4282" s="388"/>
      <c r="Q4282" s="391">
        <f t="shared" si="642"/>
        <v>70331</v>
      </c>
      <c r="R4282" s="446">
        <f>M4282/G4282</f>
        <v>2100</v>
      </c>
      <c r="S4282" s="388">
        <f t="shared" si="643"/>
        <v>0</v>
      </c>
      <c r="T4282" s="389"/>
      <c r="U4282" s="390"/>
      <c r="V4282" s="390"/>
      <c r="W4282" s="398"/>
    </row>
    <row r="4283" spans="1:36" s="416" customFormat="1" ht="56.25" customHeight="1">
      <c r="A4283" s="1112">
        <v>3</v>
      </c>
      <c r="B4283" s="1112" t="s">
        <v>3252</v>
      </c>
      <c r="C4283" s="544" t="s">
        <v>272</v>
      </c>
      <c r="D4283" s="545">
        <v>12674</v>
      </c>
      <c r="E4283" s="391">
        <v>2630</v>
      </c>
      <c r="F4283" s="391" t="s">
        <v>223</v>
      </c>
      <c r="G4283" s="558">
        <v>1180</v>
      </c>
      <c r="H4283" s="555">
        <v>5</v>
      </c>
      <c r="I4283" s="555">
        <v>4</v>
      </c>
      <c r="J4283" s="555">
        <v>76</v>
      </c>
      <c r="K4283" s="537" t="s">
        <v>30</v>
      </c>
      <c r="L4283" s="1128">
        <f>M4283+N4283+O4283+Q4283+M4284+N4284+O4284+Q4284</f>
        <v>6243904</v>
      </c>
      <c r="M4283" s="557">
        <v>2052000</v>
      </c>
      <c r="N4283" s="558"/>
      <c r="O4283" s="562">
        <v>6156</v>
      </c>
      <c r="P4283" s="810"/>
      <c r="Q4283" s="391">
        <f t="shared" si="642"/>
        <v>43913</v>
      </c>
      <c r="R4283" s="446">
        <f>M4283/J4283</f>
        <v>27000</v>
      </c>
      <c r="S4283" s="388">
        <f t="shared" si="643"/>
        <v>4141835</v>
      </c>
      <c r="T4283" s="389"/>
      <c r="U4283" s="492"/>
      <c r="V4283" s="390"/>
      <c r="W4283" s="398"/>
    </row>
    <row r="4284" spans="1:36" s="977" customFormat="1" ht="43.5" customHeight="1">
      <c r="A4284" s="1112"/>
      <c r="B4284" s="1112"/>
      <c r="C4284" s="544"/>
      <c r="D4284" s="545"/>
      <c r="E4284" s="391"/>
      <c r="F4284" s="391"/>
      <c r="G4284" s="558"/>
      <c r="H4284" s="555"/>
      <c r="I4284" s="555"/>
      <c r="J4284" s="555"/>
      <c r="K4284" s="589" t="s">
        <v>33</v>
      </c>
      <c r="L4284" s="1128"/>
      <c r="M4284" s="557">
        <v>4011000</v>
      </c>
      <c r="N4284" s="558">
        <v>45000</v>
      </c>
      <c r="O4284" s="562"/>
      <c r="P4284" s="810"/>
      <c r="Q4284" s="391">
        <f t="shared" si="642"/>
        <v>85835</v>
      </c>
      <c r="R4284" s="446">
        <f>M4284/G4283</f>
        <v>3399.1525423728813</v>
      </c>
      <c r="S4284" s="388">
        <f t="shared" si="643"/>
        <v>-4141835</v>
      </c>
      <c r="T4284" s="389"/>
      <c r="U4284" s="390"/>
      <c r="V4284" s="390"/>
      <c r="W4284" s="398"/>
      <c r="X4284" s="404"/>
      <c r="Y4284" s="390"/>
      <c r="Z4284" s="404"/>
      <c r="AA4284" s="390"/>
      <c r="AB4284" s="404"/>
      <c r="AC4284" s="390"/>
      <c r="AD4284" s="390"/>
      <c r="AE4284" s="981"/>
      <c r="AG4284" s="455"/>
      <c r="AH4284" s="388"/>
      <c r="AI4284" s="404"/>
      <c r="AJ4284" s="390"/>
    </row>
    <row r="4285" spans="1:36" s="416" customFormat="1" ht="37.5" customHeight="1">
      <c r="A4285" s="1117">
        <v>4</v>
      </c>
      <c r="B4285" s="1115" t="s">
        <v>3255</v>
      </c>
      <c r="C4285" s="544" t="s">
        <v>272</v>
      </c>
      <c r="D4285" s="545">
        <v>13368</v>
      </c>
      <c r="E4285" s="391">
        <v>2710</v>
      </c>
      <c r="F4285" s="391" t="s">
        <v>223</v>
      </c>
      <c r="G4285" s="391">
        <v>1170</v>
      </c>
      <c r="H4285" s="555">
        <v>5</v>
      </c>
      <c r="I4285" s="555">
        <v>4</v>
      </c>
      <c r="J4285" s="555">
        <v>76</v>
      </c>
      <c r="K4285" s="936" t="s">
        <v>33</v>
      </c>
      <c r="L4285" s="1128">
        <f>M4285+N4285+O4285+Q4285+M4286+N4286+O4286+Q4286</f>
        <v>6236755</v>
      </c>
      <c r="M4285" s="557">
        <v>4004000</v>
      </c>
      <c r="N4285" s="558">
        <v>45000</v>
      </c>
      <c r="O4285" s="562"/>
      <c r="P4285" s="810"/>
      <c r="Q4285" s="391">
        <f t="shared" si="642"/>
        <v>85686</v>
      </c>
      <c r="R4285" s="446">
        <f>M4285/G4285</f>
        <v>3422.2222222222222</v>
      </c>
      <c r="S4285" s="388">
        <f t="shared" si="643"/>
        <v>2102069</v>
      </c>
      <c r="T4285" s="389"/>
      <c r="U4285" s="506"/>
      <c r="V4285" s="390"/>
      <c r="W4285" s="398"/>
    </row>
    <row r="4286" spans="1:36" ht="56.25" customHeight="1">
      <c r="A4286" s="1117"/>
      <c r="B4286" s="1115"/>
      <c r="C4286" s="567"/>
      <c r="D4286" s="545"/>
      <c r="E4286" s="391"/>
      <c r="F4286" s="568"/>
      <c r="G4286" s="391"/>
      <c r="H4286" s="555"/>
      <c r="I4286" s="555"/>
      <c r="J4286" s="555"/>
      <c r="K4286" s="537" t="s">
        <v>30</v>
      </c>
      <c r="L4286" s="1128"/>
      <c r="M4286" s="557">
        <v>2052000</v>
      </c>
      <c r="N4286" s="558"/>
      <c r="O4286" s="562">
        <v>6156</v>
      </c>
      <c r="P4286" s="810"/>
      <c r="Q4286" s="391">
        <f t="shared" si="642"/>
        <v>43913</v>
      </c>
      <c r="R4286" s="446">
        <f>M4286/J4285</f>
        <v>27000</v>
      </c>
      <c r="S4286" s="388">
        <f t="shared" si="643"/>
        <v>-2102069</v>
      </c>
      <c r="T4286" s="389"/>
      <c r="U4286" s="507"/>
      <c r="V4286" s="390"/>
      <c r="W4286" s="398"/>
    </row>
    <row r="4287" spans="1:36" s="977" customFormat="1" ht="57" customHeight="1">
      <c r="A4287" s="1112">
        <v>5</v>
      </c>
      <c r="B4287" s="1112" t="s">
        <v>3256</v>
      </c>
      <c r="C4287" s="455" t="s">
        <v>272</v>
      </c>
      <c r="D4287" s="446">
        <v>12442</v>
      </c>
      <c r="E4287" s="550">
        <v>2007</v>
      </c>
      <c r="F4287" s="539" t="s">
        <v>223</v>
      </c>
      <c r="G4287" s="550">
        <v>968</v>
      </c>
      <c r="H4287" s="549">
        <v>5</v>
      </c>
      <c r="I4287" s="446">
        <v>3</v>
      </c>
      <c r="J4287" s="446">
        <v>48</v>
      </c>
      <c r="K4287" s="397" t="s">
        <v>33</v>
      </c>
      <c r="L4287" s="1128">
        <f>M4287+N4287+O4287+Q4287+M4288+N4288+O4288+Q4288</f>
        <v>6017768</v>
      </c>
      <c r="M4287" s="538">
        <v>3062600</v>
      </c>
      <c r="N4287" s="388"/>
      <c r="O4287" s="473">
        <v>9293</v>
      </c>
      <c r="P4287" s="388"/>
      <c r="Q4287" s="391">
        <f t="shared" si="642"/>
        <v>65540</v>
      </c>
      <c r="R4287" s="446">
        <f>M4287/G4287</f>
        <v>3163.8429752066118</v>
      </c>
      <c r="S4287" s="388">
        <f t="shared" si="643"/>
        <v>2880335</v>
      </c>
      <c r="T4287" s="389"/>
      <c r="U4287" s="390"/>
      <c r="V4287" s="390"/>
      <c r="W4287" s="398"/>
      <c r="X4287" s="404"/>
      <c r="Y4287" s="390"/>
      <c r="Z4287" s="404"/>
      <c r="AA4287" s="390"/>
      <c r="AB4287" s="404"/>
      <c r="AC4287" s="390"/>
      <c r="AD4287" s="390"/>
      <c r="AE4287" s="981"/>
      <c r="AG4287" s="455"/>
      <c r="AH4287" s="388"/>
      <c r="AI4287" s="404"/>
      <c r="AJ4287" s="390"/>
    </row>
    <row r="4288" spans="1:36" ht="41.25" customHeight="1">
      <c r="A4288" s="1112"/>
      <c r="B4288" s="1112"/>
      <c r="C4288" s="455"/>
      <c r="D4288" s="532"/>
      <c r="E4288" s="391"/>
      <c r="F4288" s="391"/>
      <c r="G4288" s="535"/>
      <c r="H4288" s="536"/>
      <c r="I4288" s="536"/>
      <c r="J4288" s="536"/>
      <c r="K4288" s="397" t="s">
        <v>38</v>
      </c>
      <c r="L4288" s="1128"/>
      <c r="M4288" s="538">
        <v>2810850</v>
      </c>
      <c r="N4288" s="388"/>
      <c r="O4288" s="473">
        <v>9333</v>
      </c>
      <c r="P4288" s="388"/>
      <c r="Q4288" s="391">
        <f t="shared" si="642"/>
        <v>60152</v>
      </c>
      <c r="R4288" s="528">
        <f>M4288/E4287</f>
        <v>1400.5231689088191</v>
      </c>
      <c r="S4288" s="388">
        <f t="shared" si="643"/>
        <v>-2880335</v>
      </c>
      <c r="T4288" s="389"/>
      <c r="U4288" s="390"/>
      <c r="V4288" s="390"/>
      <c r="W4288" s="398"/>
    </row>
    <row r="4289" spans="1:36" ht="37.5" customHeight="1">
      <c r="A4289" s="1117">
        <v>6</v>
      </c>
      <c r="B4289" s="1115" t="s">
        <v>3258</v>
      </c>
      <c r="C4289" s="544" t="s">
        <v>218</v>
      </c>
      <c r="D4289" s="545">
        <v>12424</v>
      </c>
      <c r="E4289" s="391">
        <v>2550</v>
      </c>
      <c r="F4289" s="391" t="s">
        <v>223</v>
      </c>
      <c r="G4289" s="391">
        <v>1170</v>
      </c>
      <c r="H4289" s="528">
        <v>5</v>
      </c>
      <c r="I4289" s="528">
        <v>4</v>
      </c>
      <c r="J4289" s="528">
        <v>79</v>
      </c>
      <c r="K4289" s="458" t="s">
        <v>225</v>
      </c>
      <c r="L4289" s="1128">
        <f>M4289+N4289+O4289+Q4289+M4290+N4290+O4290+Q4290</f>
        <v>5464311</v>
      </c>
      <c r="M4289" s="529">
        <v>1264000</v>
      </c>
      <c r="N4289" s="383">
        <v>35000</v>
      </c>
      <c r="O4289" s="530"/>
      <c r="P4289" s="809"/>
      <c r="Q4289" s="391">
        <f t="shared" si="642"/>
        <v>27050</v>
      </c>
      <c r="R4289" s="446">
        <f>M4289/J4289</f>
        <v>16000</v>
      </c>
      <c r="S4289" s="388">
        <f t="shared" si="643"/>
        <v>4138261</v>
      </c>
      <c r="T4289" s="389"/>
      <c r="U4289" s="507"/>
      <c r="V4289" s="390"/>
      <c r="W4289" s="398"/>
    </row>
    <row r="4290" spans="1:36" s="416" customFormat="1" ht="36.75" customHeight="1">
      <c r="A4290" s="1117"/>
      <c r="B4290" s="1115"/>
      <c r="C4290" s="544"/>
      <c r="D4290" s="545"/>
      <c r="E4290" s="391"/>
      <c r="F4290" s="391"/>
      <c r="G4290" s="391"/>
      <c r="H4290" s="528"/>
      <c r="I4290" s="528"/>
      <c r="J4290" s="528"/>
      <c r="K4290" s="458" t="s">
        <v>33</v>
      </c>
      <c r="L4290" s="1128"/>
      <c r="M4290" s="529">
        <v>4007500</v>
      </c>
      <c r="N4290" s="383">
        <v>45000</v>
      </c>
      <c r="O4290" s="530"/>
      <c r="P4290" s="809"/>
      <c r="Q4290" s="391">
        <f t="shared" si="642"/>
        <v>85761</v>
      </c>
      <c r="R4290" s="446">
        <f>M4290/G4289</f>
        <v>3425.2136752136753</v>
      </c>
      <c r="S4290" s="388">
        <f t="shared" si="643"/>
        <v>-4138261</v>
      </c>
      <c r="T4290" s="389"/>
      <c r="U4290" s="492"/>
      <c r="V4290" s="390"/>
      <c r="W4290" s="398"/>
    </row>
    <row r="4291" spans="1:36" s="404" customFormat="1" ht="56.25" customHeight="1">
      <c r="A4291" s="1117">
        <v>7</v>
      </c>
      <c r="B4291" s="1112" t="s">
        <v>3260</v>
      </c>
      <c r="C4291" s="455" t="s">
        <v>272</v>
      </c>
      <c r="D4291" s="446">
        <v>27959</v>
      </c>
      <c r="E4291" s="388">
        <v>9100</v>
      </c>
      <c r="F4291" s="539" t="s">
        <v>234</v>
      </c>
      <c r="G4291" s="388">
        <v>872</v>
      </c>
      <c r="H4291" s="446">
        <v>14</v>
      </c>
      <c r="I4291" s="446">
        <v>1</v>
      </c>
      <c r="J4291" s="446">
        <v>75</v>
      </c>
      <c r="K4291" s="397" t="s">
        <v>30</v>
      </c>
      <c r="L4291" s="1128">
        <f>M4291+N4291+O4291+Q4291+M4292+N4292+O4292+Q4292</f>
        <v>17578278</v>
      </c>
      <c r="M4291" s="519">
        <v>2400000</v>
      </c>
      <c r="N4291" s="388"/>
      <c r="O4291" s="473">
        <v>7200</v>
      </c>
      <c r="P4291" s="388"/>
      <c r="Q4291" s="391">
        <v>40000</v>
      </c>
      <c r="R4291" s="446">
        <f>M4291/J4291</f>
        <v>32000</v>
      </c>
      <c r="S4291" s="388">
        <f t="shared" si="643"/>
        <v>15131078</v>
      </c>
      <c r="T4291" s="389"/>
      <c r="U4291" s="506"/>
      <c r="V4291" s="390"/>
      <c r="W4291" s="398"/>
      <c r="X4291" s="390"/>
      <c r="Z4291" s="455"/>
      <c r="AA4291" s="388"/>
      <c r="AC4291" s="390"/>
    </row>
    <row r="4292" spans="1:36" s="416" customFormat="1" ht="37.5" customHeight="1">
      <c r="A4292" s="1117"/>
      <c r="B4292" s="1112"/>
      <c r="C4292" s="455"/>
      <c r="D4292" s="455"/>
      <c r="E4292" s="388"/>
      <c r="F4292" s="388"/>
      <c r="G4292" s="388"/>
      <c r="H4292" s="446"/>
      <c r="I4292" s="446"/>
      <c r="J4292" s="446"/>
      <c r="K4292" s="397" t="s">
        <v>412</v>
      </c>
      <c r="L4292" s="1128"/>
      <c r="M4292" s="519">
        <v>14770000</v>
      </c>
      <c r="N4292" s="388">
        <v>45000</v>
      </c>
      <c r="O4292" s="473"/>
      <c r="P4292" s="388"/>
      <c r="Q4292" s="391">
        <f t="shared" ref="Q4292:Q4301" si="644">ROUND(M4292*0.0214,0)</f>
        <v>316078</v>
      </c>
      <c r="R4292" s="528">
        <f>M4292/E4291</f>
        <v>1623.0769230769231</v>
      </c>
      <c r="S4292" s="388">
        <f t="shared" si="643"/>
        <v>-15131078</v>
      </c>
      <c r="T4292" s="389"/>
      <c r="U4292" s="492"/>
      <c r="V4292" s="390"/>
      <c r="W4292" s="398"/>
    </row>
    <row r="4293" spans="1:36" s="404" customFormat="1" ht="37.5" customHeight="1">
      <c r="A4293" s="493">
        <v>8</v>
      </c>
      <c r="B4293" s="493" t="s">
        <v>3269</v>
      </c>
      <c r="C4293" s="544" t="s">
        <v>416</v>
      </c>
      <c r="D4293" s="446">
        <v>14225</v>
      </c>
      <c r="E4293" s="388">
        <v>2580</v>
      </c>
      <c r="F4293" s="391" t="s">
        <v>369</v>
      </c>
      <c r="G4293" s="388">
        <v>1212</v>
      </c>
      <c r="H4293" s="446">
        <v>5</v>
      </c>
      <c r="I4293" s="446">
        <v>4</v>
      </c>
      <c r="J4293" s="446">
        <v>70</v>
      </c>
      <c r="K4293" s="397" t="s">
        <v>33</v>
      </c>
      <c r="L4293" s="519">
        <f>M4293+N4293+O4293+Q4293</f>
        <v>3973033</v>
      </c>
      <c r="M4293" s="519">
        <v>3878400</v>
      </c>
      <c r="N4293" s="388"/>
      <c r="O4293" s="473">
        <v>11635</v>
      </c>
      <c r="P4293" s="388"/>
      <c r="Q4293" s="391">
        <f t="shared" si="644"/>
        <v>82998</v>
      </c>
      <c r="R4293" s="446">
        <f>M4293/G4293</f>
        <v>3200</v>
      </c>
      <c r="S4293" s="388">
        <f t="shared" si="643"/>
        <v>0</v>
      </c>
      <c r="T4293" s="390"/>
      <c r="U4293" s="390"/>
      <c r="W4293" s="398"/>
      <c r="Y4293" s="390"/>
      <c r="AA4293" s="390"/>
      <c r="AC4293" s="390"/>
      <c r="AD4293" s="390"/>
      <c r="AE4293" s="390"/>
      <c r="AG4293" s="455"/>
      <c r="AH4293" s="388"/>
      <c r="AJ4293" s="390"/>
    </row>
    <row r="4294" spans="1:36" s="404" customFormat="1" ht="37.5" customHeight="1">
      <c r="A4294" s="506">
        <f>A4293+1</f>
        <v>9</v>
      </c>
      <c r="B4294" s="404" t="s">
        <v>3694</v>
      </c>
      <c r="C4294" s="455" t="s">
        <v>218</v>
      </c>
      <c r="D4294" s="487">
        <v>12411</v>
      </c>
      <c r="E4294" s="388">
        <v>1700</v>
      </c>
      <c r="F4294" s="391" t="s">
        <v>223</v>
      </c>
      <c r="G4294" s="391">
        <v>965.5</v>
      </c>
      <c r="H4294" s="528">
        <v>5</v>
      </c>
      <c r="I4294" s="528">
        <v>4</v>
      </c>
      <c r="J4294" s="528">
        <v>80</v>
      </c>
      <c r="K4294" s="458" t="s">
        <v>239</v>
      </c>
      <c r="L4294" s="519">
        <f>M4294+N4294+O4294+Q4294</f>
        <v>2241224</v>
      </c>
      <c r="M4294" s="519">
        <v>2160000</v>
      </c>
      <c r="N4294" s="383">
        <v>35000</v>
      </c>
      <c r="O4294" s="473"/>
      <c r="P4294" s="455"/>
      <c r="Q4294" s="391">
        <f t="shared" si="644"/>
        <v>46224</v>
      </c>
      <c r="R4294" s="446">
        <f>M4294/J4294</f>
        <v>27000</v>
      </c>
      <c r="S4294" s="388">
        <f t="shared" si="643"/>
        <v>0</v>
      </c>
      <c r="T4294" s="489"/>
      <c r="U4294" s="390"/>
      <c r="W4294" s="398"/>
      <c r="Y4294" s="390"/>
      <c r="AA4294" s="390"/>
      <c r="AC4294" s="390"/>
      <c r="AD4294" s="390"/>
      <c r="AE4294" s="390"/>
      <c r="AG4294" s="455"/>
      <c r="AH4294" s="388"/>
      <c r="AJ4294" s="390"/>
    </row>
    <row r="4295" spans="1:36" s="404" customFormat="1" ht="37.5" customHeight="1">
      <c r="A4295" s="506">
        <f>A4294+1</f>
        <v>10</v>
      </c>
      <c r="B4295" s="404" t="s">
        <v>3695</v>
      </c>
      <c r="C4295" s="455" t="s">
        <v>218</v>
      </c>
      <c r="D4295" s="487">
        <v>13198</v>
      </c>
      <c r="E4295" s="388">
        <v>1600</v>
      </c>
      <c r="F4295" s="391" t="s">
        <v>223</v>
      </c>
      <c r="G4295" s="391">
        <v>1131</v>
      </c>
      <c r="H4295" s="528">
        <v>5</v>
      </c>
      <c r="I4295" s="528">
        <v>4</v>
      </c>
      <c r="J4295" s="528">
        <v>64</v>
      </c>
      <c r="K4295" s="458" t="s">
        <v>225</v>
      </c>
      <c r="L4295" s="519">
        <f>M4295+N4295+O4295+Q4295</f>
        <v>1080914</v>
      </c>
      <c r="M4295" s="519">
        <v>1024000</v>
      </c>
      <c r="N4295" s="383">
        <v>35000</v>
      </c>
      <c r="O4295" s="473"/>
      <c r="P4295" s="455"/>
      <c r="Q4295" s="391">
        <f t="shared" si="644"/>
        <v>21914</v>
      </c>
      <c r="R4295" s="446">
        <f>M4295/J4295</f>
        <v>16000</v>
      </c>
      <c r="S4295" s="388">
        <f t="shared" si="643"/>
        <v>0</v>
      </c>
      <c r="T4295" s="390"/>
      <c r="U4295" s="390"/>
      <c r="W4295" s="398"/>
      <c r="Y4295" s="390"/>
      <c r="AA4295" s="390"/>
      <c r="AC4295" s="390"/>
      <c r="AD4295" s="390"/>
      <c r="AE4295" s="390"/>
      <c r="AG4295" s="455"/>
      <c r="AH4295" s="388"/>
      <c r="AJ4295" s="390"/>
    </row>
    <row r="4296" spans="1:36" s="416" customFormat="1" ht="37.5" customHeight="1">
      <c r="A4296" s="506">
        <f>A4295+1</f>
        <v>11</v>
      </c>
      <c r="B4296" s="404" t="s">
        <v>3284</v>
      </c>
      <c r="C4296" s="455" t="s">
        <v>293</v>
      </c>
      <c r="D4296" s="487">
        <v>5925</v>
      </c>
      <c r="E4296" s="391">
        <v>945.9</v>
      </c>
      <c r="F4296" s="391" t="s">
        <v>252</v>
      </c>
      <c r="G4296" s="391">
        <v>1124</v>
      </c>
      <c r="H4296" s="528">
        <v>2</v>
      </c>
      <c r="I4296" s="528">
        <v>4</v>
      </c>
      <c r="J4296" s="528">
        <v>24</v>
      </c>
      <c r="K4296" s="458" t="s">
        <v>33</v>
      </c>
      <c r="L4296" s="519">
        <f>M4296+N4296+O4296+Q4296</f>
        <v>2545718</v>
      </c>
      <c r="M4296" s="529">
        <v>2472800</v>
      </c>
      <c r="N4296" s="391">
        <v>20000</v>
      </c>
      <c r="O4296" s="530"/>
      <c r="P4296" s="487"/>
      <c r="Q4296" s="391">
        <f t="shared" si="644"/>
        <v>52918</v>
      </c>
      <c r="R4296" s="528">
        <f>M4296/G4296</f>
        <v>2200</v>
      </c>
      <c r="S4296" s="388">
        <f t="shared" si="643"/>
        <v>0</v>
      </c>
      <c r="T4296" s="398"/>
      <c r="U4296" s="414"/>
      <c r="W4296" s="398"/>
    </row>
    <row r="4297" spans="1:36" s="416" customFormat="1" ht="37.5" customHeight="1">
      <c r="A4297" s="506">
        <f>A4296+1</f>
        <v>12</v>
      </c>
      <c r="B4297" s="404" t="s">
        <v>3289</v>
      </c>
      <c r="C4297" s="531" t="s">
        <v>240</v>
      </c>
      <c r="D4297" s="446">
        <v>7594</v>
      </c>
      <c r="E4297" s="388">
        <v>542.9</v>
      </c>
      <c r="F4297" s="388" t="s">
        <v>223</v>
      </c>
      <c r="G4297" s="388">
        <v>1280</v>
      </c>
      <c r="H4297" s="446">
        <v>2</v>
      </c>
      <c r="I4297" s="446">
        <v>3</v>
      </c>
      <c r="J4297" s="446">
        <v>18</v>
      </c>
      <c r="K4297" s="504" t="s">
        <v>33</v>
      </c>
      <c r="L4297" s="519">
        <f>M4297+N4297+O4297+Q4297</f>
        <v>4513625</v>
      </c>
      <c r="M4297" s="519">
        <v>4375000</v>
      </c>
      <c r="N4297" s="388">
        <v>45000</v>
      </c>
      <c r="O4297" s="473"/>
      <c r="P4297" s="388"/>
      <c r="Q4297" s="391">
        <f t="shared" si="644"/>
        <v>93625</v>
      </c>
      <c r="R4297" s="528">
        <f>M4297/G4297</f>
        <v>3417.96875</v>
      </c>
      <c r="S4297" s="388">
        <f t="shared" si="643"/>
        <v>0</v>
      </c>
      <c r="T4297" s="398"/>
      <c r="U4297" s="414"/>
      <c r="W4297" s="398"/>
    </row>
    <row r="4298" spans="1:36" s="416" customFormat="1" ht="37.5" customHeight="1">
      <c r="A4298" s="1117">
        <v>13</v>
      </c>
      <c r="B4298" s="1140" t="s">
        <v>3292</v>
      </c>
      <c r="C4298" s="455" t="s">
        <v>272</v>
      </c>
      <c r="D4298" s="532">
        <v>11198</v>
      </c>
      <c r="E4298" s="391">
        <v>3300</v>
      </c>
      <c r="F4298" s="391" t="s">
        <v>223</v>
      </c>
      <c r="G4298" s="535">
        <v>1255</v>
      </c>
      <c r="H4298" s="536">
        <v>4</v>
      </c>
      <c r="I4298" s="536">
        <v>4</v>
      </c>
      <c r="J4298" s="536">
        <v>40</v>
      </c>
      <c r="K4298" s="458" t="s">
        <v>38</v>
      </c>
      <c r="L4298" s="1128">
        <f>M4298+N4298+O4298+Q4298+M4299+N4299+O4299+Q4299</f>
        <v>6366931</v>
      </c>
      <c r="M4298" s="519">
        <v>5365000</v>
      </c>
      <c r="N4298" s="388">
        <v>35000</v>
      </c>
      <c r="O4298" s="473"/>
      <c r="P4298" s="388"/>
      <c r="Q4298" s="391">
        <f t="shared" si="644"/>
        <v>114811</v>
      </c>
      <c r="R4298" s="528">
        <f>M4298/E4298</f>
        <v>1625.7575757575758</v>
      </c>
      <c r="S4298" s="388">
        <f t="shared" si="643"/>
        <v>852120</v>
      </c>
      <c r="T4298" s="389"/>
      <c r="U4298" s="492"/>
      <c r="V4298" s="390"/>
      <c r="W4298" s="398"/>
    </row>
    <row r="4299" spans="1:36" ht="37.5" customHeight="1">
      <c r="A4299" s="1117"/>
      <c r="B4299" s="1140"/>
      <c r="C4299" s="455"/>
      <c r="D4299" s="532"/>
      <c r="E4299" s="391"/>
      <c r="F4299" s="391"/>
      <c r="G4299" s="535"/>
      <c r="H4299" s="536"/>
      <c r="I4299" s="536"/>
      <c r="J4299" s="536"/>
      <c r="K4299" s="458" t="s">
        <v>225</v>
      </c>
      <c r="L4299" s="1128"/>
      <c r="M4299" s="519">
        <v>800000</v>
      </c>
      <c r="N4299" s="388">
        <v>35000</v>
      </c>
      <c r="O4299" s="473"/>
      <c r="P4299" s="388"/>
      <c r="Q4299" s="391">
        <f t="shared" si="644"/>
        <v>17120</v>
      </c>
      <c r="R4299" s="528">
        <f>M4299/J4298</f>
        <v>20000</v>
      </c>
      <c r="S4299" s="388">
        <f t="shared" si="643"/>
        <v>-852120</v>
      </c>
      <c r="T4299" s="389"/>
      <c r="U4299" s="390"/>
      <c r="V4299" s="390"/>
      <c r="W4299" s="398"/>
    </row>
    <row r="4300" spans="1:36" s="416" customFormat="1" ht="37.5" customHeight="1">
      <c r="A4300" s="493">
        <v>14</v>
      </c>
      <c r="B4300" s="404" t="s">
        <v>3295</v>
      </c>
      <c r="C4300" s="617" t="s">
        <v>272</v>
      </c>
      <c r="D4300" s="446">
        <v>17250</v>
      </c>
      <c r="E4300" s="388">
        <v>2201</v>
      </c>
      <c r="F4300" s="388" t="s">
        <v>223</v>
      </c>
      <c r="G4300" s="388">
        <v>1150</v>
      </c>
      <c r="H4300" s="446">
        <v>5</v>
      </c>
      <c r="I4300" s="446">
        <v>4</v>
      </c>
      <c r="J4300" s="446">
        <v>76</v>
      </c>
      <c r="K4300" s="397" t="s">
        <v>33</v>
      </c>
      <c r="L4300" s="519">
        <f>M4300+N4300+O4300+Q4300</f>
        <v>3769792</v>
      </c>
      <c r="M4300" s="538">
        <v>3680000</v>
      </c>
      <c r="N4300" s="388"/>
      <c r="O4300" s="473">
        <v>11040</v>
      </c>
      <c r="P4300" s="388"/>
      <c r="Q4300" s="391">
        <f t="shared" si="644"/>
        <v>78752</v>
      </c>
      <c r="R4300" s="528">
        <f>M4300/G4300</f>
        <v>3200</v>
      </c>
      <c r="S4300" s="388">
        <f t="shared" si="643"/>
        <v>0</v>
      </c>
      <c r="T4300" s="398"/>
      <c r="U4300" s="414"/>
      <c r="W4300" s="398"/>
    </row>
    <row r="4301" spans="1:36" s="416" customFormat="1" ht="37.5" customHeight="1">
      <c r="A4301" s="1117">
        <v>15</v>
      </c>
      <c r="B4301" s="1112" t="s">
        <v>3296</v>
      </c>
      <c r="C4301" s="455" t="s">
        <v>272</v>
      </c>
      <c r="D4301" s="532">
        <v>24556</v>
      </c>
      <c r="E4301" s="535">
        <v>4384</v>
      </c>
      <c r="F4301" s="533" t="s">
        <v>234</v>
      </c>
      <c r="G4301" s="535">
        <v>1210</v>
      </c>
      <c r="H4301" s="536">
        <v>9</v>
      </c>
      <c r="I4301" s="536">
        <v>2</v>
      </c>
      <c r="J4301" s="536">
        <v>255</v>
      </c>
      <c r="K4301" s="458" t="s">
        <v>33</v>
      </c>
      <c r="L4301" s="1128">
        <f>M4301+N4301+O4301+Q4301+M4302+N4302+O4302+Q4302</f>
        <v>10827480</v>
      </c>
      <c r="M4301" s="538">
        <v>2541000</v>
      </c>
      <c r="N4301" s="539"/>
      <c r="O4301" s="540">
        <v>7623</v>
      </c>
      <c r="P4301" s="388"/>
      <c r="Q4301" s="391">
        <f t="shared" si="644"/>
        <v>54377</v>
      </c>
      <c r="R4301" s="528">
        <f>M4301/G4301</f>
        <v>2100</v>
      </c>
      <c r="S4301" s="388">
        <f t="shared" si="643"/>
        <v>8224480</v>
      </c>
      <c r="T4301" s="389"/>
      <c r="U4301" s="506"/>
      <c r="V4301" s="390"/>
      <c r="W4301" s="398"/>
    </row>
    <row r="4302" spans="1:36" s="404" customFormat="1" ht="56.25" customHeight="1">
      <c r="A4302" s="1117"/>
      <c r="B4302" s="1112"/>
      <c r="C4302" s="455"/>
      <c r="D4302" s="532"/>
      <c r="E4302" s="535"/>
      <c r="F4302" s="533"/>
      <c r="G4302" s="535"/>
      <c r="H4302" s="536"/>
      <c r="I4302" s="536"/>
      <c r="J4302" s="536"/>
      <c r="K4302" s="397" t="s">
        <v>30</v>
      </c>
      <c r="L4302" s="1128"/>
      <c r="M4302" s="519">
        <v>8160000</v>
      </c>
      <c r="N4302" s="388"/>
      <c r="O4302" s="540">
        <v>24480</v>
      </c>
      <c r="P4302" s="388"/>
      <c r="Q4302" s="391">
        <v>40000</v>
      </c>
      <c r="R4302" s="446">
        <v>32000</v>
      </c>
      <c r="S4302" s="388">
        <f t="shared" si="643"/>
        <v>-8224480</v>
      </c>
      <c r="T4302" s="389"/>
      <c r="U4302" s="506"/>
      <c r="V4302" s="390"/>
      <c r="W4302" s="398"/>
      <c r="X4302" s="390"/>
      <c r="Z4302" s="455"/>
      <c r="AA4302" s="388"/>
      <c r="AC4302" s="390"/>
    </row>
    <row r="4303" spans="1:36" s="416" customFormat="1" ht="56.25" customHeight="1">
      <c r="A4303" s="493">
        <v>16</v>
      </c>
      <c r="B4303" s="404" t="s">
        <v>3297</v>
      </c>
      <c r="C4303" s="455" t="s">
        <v>272</v>
      </c>
      <c r="D4303" s="487">
        <v>4152</v>
      </c>
      <c r="E4303" s="391">
        <v>880</v>
      </c>
      <c r="F4303" s="391" t="s">
        <v>223</v>
      </c>
      <c r="G4303" s="391">
        <v>603.5</v>
      </c>
      <c r="H4303" s="528">
        <v>2</v>
      </c>
      <c r="I4303" s="528">
        <v>5</v>
      </c>
      <c r="J4303" s="528">
        <v>20</v>
      </c>
      <c r="K4303" s="458" t="s">
        <v>30</v>
      </c>
      <c r="L4303" s="519">
        <f>M4303+N4303+O4303+Q4303</f>
        <v>553176</v>
      </c>
      <c r="M4303" s="529">
        <v>540000</v>
      </c>
      <c r="N4303" s="391"/>
      <c r="O4303" s="937">
        <v>1620</v>
      </c>
      <c r="P4303" s="487"/>
      <c r="Q4303" s="391">
        <f t="shared" ref="Q4303:Q4328" si="645">ROUND(M4303*0.0214,0)</f>
        <v>11556</v>
      </c>
      <c r="R4303" s="446">
        <f>M4303/J4303</f>
        <v>27000</v>
      </c>
      <c r="S4303" s="388">
        <f t="shared" si="643"/>
        <v>0</v>
      </c>
      <c r="T4303" s="398"/>
      <c r="U4303" s="414"/>
      <c r="W4303" s="398"/>
    </row>
    <row r="4304" spans="1:36" ht="37.5" customHeight="1">
      <c r="A4304" s="493">
        <f>A4303+1</f>
        <v>17</v>
      </c>
      <c r="B4304" s="938" t="s">
        <v>3298</v>
      </c>
      <c r="C4304" s="455" t="s">
        <v>272</v>
      </c>
      <c r="D4304" s="566">
        <v>12149</v>
      </c>
      <c r="E4304" s="388">
        <v>2220</v>
      </c>
      <c r="F4304" s="388" t="s">
        <v>223</v>
      </c>
      <c r="G4304" s="388">
        <v>1150</v>
      </c>
      <c r="H4304" s="446">
        <v>5</v>
      </c>
      <c r="I4304" s="446">
        <v>4</v>
      </c>
      <c r="J4304" s="446">
        <v>80</v>
      </c>
      <c r="K4304" s="458" t="s">
        <v>33</v>
      </c>
      <c r="L4304" s="519">
        <f>M4304+N4304+O4304+Q4304</f>
        <v>4077487</v>
      </c>
      <c r="M4304" s="551">
        <v>3948000</v>
      </c>
      <c r="N4304" s="388">
        <v>45000</v>
      </c>
      <c r="O4304" s="473"/>
      <c r="P4304" s="388"/>
      <c r="Q4304" s="391">
        <f t="shared" si="645"/>
        <v>84487</v>
      </c>
      <c r="R4304" s="528">
        <f>M4304/G4304</f>
        <v>3433.0434782608695</v>
      </c>
      <c r="S4304" s="388">
        <f t="shared" si="643"/>
        <v>0</v>
      </c>
      <c r="T4304" s="389"/>
      <c r="U4304" s="390"/>
      <c r="V4304" s="390"/>
      <c r="W4304" s="398"/>
    </row>
    <row r="4305" spans="1:23" s="416" customFormat="1" ht="37.5" customHeight="1">
      <c r="A4305" s="493">
        <f>A4304+1</f>
        <v>18</v>
      </c>
      <c r="B4305" s="404" t="s">
        <v>3299</v>
      </c>
      <c r="C4305" s="455" t="s">
        <v>272</v>
      </c>
      <c r="D4305" s="487">
        <v>2540</v>
      </c>
      <c r="E4305" s="391">
        <v>485</v>
      </c>
      <c r="F4305" s="391" t="s">
        <v>223</v>
      </c>
      <c r="G4305" s="391">
        <v>844</v>
      </c>
      <c r="H4305" s="528">
        <v>3</v>
      </c>
      <c r="I4305" s="528">
        <v>3</v>
      </c>
      <c r="J4305" s="528">
        <v>18</v>
      </c>
      <c r="K4305" s="458" t="s">
        <v>33</v>
      </c>
      <c r="L4305" s="519">
        <f>M4305+N4305+O4305+Q4305</f>
        <v>2438772</v>
      </c>
      <c r="M4305" s="529">
        <v>2363200</v>
      </c>
      <c r="N4305" s="391">
        <v>25000</v>
      </c>
      <c r="O4305" s="530"/>
      <c r="P4305" s="487"/>
      <c r="Q4305" s="391">
        <f t="shared" si="645"/>
        <v>50572</v>
      </c>
      <c r="R4305" s="528">
        <f>M4305/G4305</f>
        <v>2800</v>
      </c>
      <c r="S4305" s="388">
        <f t="shared" si="643"/>
        <v>0</v>
      </c>
      <c r="T4305" s="398"/>
      <c r="U4305" s="414"/>
      <c r="W4305" s="398"/>
    </row>
    <row r="4306" spans="1:23" s="416" customFormat="1" ht="56.25" customHeight="1">
      <c r="A4306" s="493">
        <f>A4305+1</f>
        <v>19</v>
      </c>
      <c r="B4306" s="404" t="s">
        <v>3302</v>
      </c>
      <c r="C4306" s="617" t="s">
        <v>272</v>
      </c>
      <c r="D4306" s="446">
        <v>10824</v>
      </c>
      <c r="E4306" s="388">
        <v>2250</v>
      </c>
      <c r="F4306" s="539" t="s">
        <v>234</v>
      </c>
      <c r="G4306" s="388">
        <v>399</v>
      </c>
      <c r="H4306" s="446">
        <v>9</v>
      </c>
      <c r="I4306" s="446">
        <v>1</v>
      </c>
      <c r="J4306" s="446">
        <v>35</v>
      </c>
      <c r="K4306" s="397" t="s">
        <v>30</v>
      </c>
      <c r="L4306" s="519">
        <f>M4306+N4306+O4306+Q4306</f>
        <v>1100539</v>
      </c>
      <c r="M4306" s="529">
        <v>1074325</v>
      </c>
      <c r="N4306" s="388"/>
      <c r="O4306" s="473">
        <v>3223</v>
      </c>
      <c r="P4306" s="388"/>
      <c r="Q4306" s="391">
        <f t="shared" si="645"/>
        <v>22991</v>
      </c>
      <c r="R4306" s="446">
        <f>M4306/J4306</f>
        <v>30695</v>
      </c>
      <c r="S4306" s="388">
        <f t="shared" si="643"/>
        <v>0</v>
      </c>
      <c r="T4306" s="398"/>
      <c r="U4306" s="414"/>
      <c r="W4306" s="398"/>
    </row>
    <row r="4307" spans="1:23" s="416" customFormat="1" ht="75" customHeight="1">
      <c r="A4307" s="493">
        <v>20</v>
      </c>
      <c r="B4307" s="404" t="s">
        <v>3311</v>
      </c>
      <c r="C4307" s="455" t="s">
        <v>393</v>
      </c>
      <c r="D4307" s="487">
        <v>4152</v>
      </c>
      <c r="E4307" s="391">
        <v>880</v>
      </c>
      <c r="F4307" s="391" t="s">
        <v>223</v>
      </c>
      <c r="G4307" s="391">
        <v>805</v>
      </c>
      <c r="H4307" s="528">
        <v>2</v>
      </c>
      <c r="I4307" s="528">
        <v>3</v>
      </c>
      <c r="J4307" s="528">
        <v>20</v>
      </c>
      <c r="K4307" s="458" t="s">
        <v>401</v>
      </c>
      <c r="L4307" s="519">
        <f>M4307+N4307+O4307+Q4307</f>
        <v>512200</v>
      </c>
      <c r="M4307" s="529">
        <v>500000</v>
      </c>
      <c r="N4307" s="391"/>
      <c r="O4307" s="937">
        <v>1500</v>
      </c>
      <c r="P4307" s="487"/>
      <c r="Q4307" s="391">
        <f t="shared" si="645"/>
        <v>10700</v>
      </c>
      <c r="R4307" s="446">
        <f>M4307/J4307</f>
        <v>25000</v>
      </c>
      <c r="S4307" s="388">
        <f t="shared" si="643"/>
        <v>0</v>
      </c>
      <c r="T4307" s="398"/>
      <c r="U4307" s="414"/>
      <c r="W4307" s="398"/>
    </row>
    <row r="4308" spans="1:23" ht="56.25" customHeight="1">
      <c r="A4308" s="1117">
        <v>21</v>
      </c>
      <c r="B4308" s="1112" t="s">
        <v>3313</v>
      </c>
      <c r="C4308" s="544" t="s">
        <v>272</v>
      </c>
      <c r="D4308" s="446">
        <v>5989</v>
      </c>
      <c r="E4308" s="388">
        <v>1248</v>
      </c>
      <c r="F4308" s="388" t="s">
        <v>231</v>
      </c>
      <c r="G4308" s="388">
        <v>683</v>
      </c>
      <c r="H4308" s="446">
        <v>4</v>
      </c>
      <c r="I4308" s="446">
        <v>2</v>
      </c>
      <c r="J4308" s="446">
        <v>19</v>
      </c>
      <c r="K4308" s="458" t="s">
        <v>30</v>
      </c>
      <c r="L4308" s="1128">
        <f>M4308+N4308+O4308+Q4308+M4309+N4309+O4309+Q4309</f>
        <v>962110</v>
      </c>
      <c r="M4308" s="519">
        <v>513000</v>
      </c>
      <c r="N4308" s="383">
        <v>15000</v>
      </c>
      <c r="O4308" s="473"/>
      <c r="P4308" s="388"/>
      <c r="Q4308" s="391">
        <f t="shared" si="645"/>
        <v>10978</v>
      </c>
      <c r="R4308" s="446">
        <f>M4308/J4308</f>
        <v>27000</v>
      </c>
      <c r="S4308" s="388">
        <f t="shared" si="643"/>
        <v>423132</v>
      </c>
      <c r="T4308" s="389"/>
      <c r="U4308" s="390"/>
      <c r="V4308" s="390"/>
      <c r="W4308" s="398"/>
    </row>
    <row r="4309" spans="1:23" s="416" customFormat="1" ht="37.5" customHeight="1">
      <c r="A4309" s="1117"/>
      <c r="B4309" s="1112"/>
      <c r="C4309" s="531"/>
      <c r="D4309" s="446"/>
      <c r="E4309" s="388"/>
      <c r="F4309" s="388"/>
      <c r="G4309" s="388"/>
      <c r="H4309" s="446"/>
      <c r="I4309" s="446"/>
      <c r="J4309" s="446"/>
      <c r="K4309" s="537" t="s">
        <v>225</v>
      </c>
      <c r="L4309" s="1128"/>
      <c r="M4309" s="519">
        <v>380000</v>
      </c>
      <c r="N4309" s="383">
        <v>35000</v>
      </c>
      <c r="O4309" s="473"/>
      <c r="P4309" s="388"/>
      <c r="Q4309" s="391">
        <f t="shared" si="645"/>
        <v>8132</v>
      </c>
      <c r="R4309" s="446">
        <v>20000</v>
      </c>
      <c r="S4309" s="388">
        <f t="shared" si="643"/>
        <v>-423132</v>
      </c>
      <c r="T4309" s="392"/>
      <c r="U4309" s="492"/>
      <c r="V4309" s="390"/>
      <c r="W4309" s="398"/>
    </row>
    <row r="4310" spans="1:23" ht="37.5" customHeight="1">
      <c r="A4310" s="1117">
        <v>22</v>
      </c>
      <c r="B4310" s="1112" t="s">
        <v>3315</v>
      </c>
      <c r="C4310" s="531" t="s">
        <v>218</v>
      </c>
      <c r="D4310" s="446">
        <v>12456</v>
      </c>
      <c r="E4310" s="388">
        <v>3100</v>
      </c>
      <c r="F4310" s="388" t="s">
        <v>223</v>
      </c>
      <c r="G4310" s="388">
        <v>1238</v>
      </c>
      <c r="H4310" s="446">
        <v>5</v>
      </c>
      <c r="I4310" s="446">
        <v>4</v>
      </c>
      <c r="J4310" s="446">
        <v>80</v>
      </c>
      <c r="K4310" s="458" t="s">
        <v>285</v>
      </c>
      <c r="L4310" s="1128">
        <f>M4310+N4310+O4310+Q4310+M4311+N4311+O4311+Q4311</f>
        <v>13325594</v>
      </c>
      <c r="M4310" s="519">
        <v>10836000</v>
      </c>
      <c r="N4310" s="388">
        <v>45000</v>
      </c>
      <c r="O4310" s="473"/>
      <c r="P4310" s="388"/>
      <c r="Q4310" s="391">
        <f t="shared" si="645"/>
        <v>231890</v>
      </c>
      <c r="R4310" s="528">
        <f>M4310/E4310</f>
        <v>3495.483870967742</v>
      </c>
      <c r="S4310" s="388">
        <f t="shared" si="643"/>
        <v>2212704</v>
      </c>
      <c r="T4310" s="389"/>
      <c r="U4310" s="390"/>
      <c r="V4310" s="390"/>
      <c r="W4310" s="398"/>
    </row>
    <row r="4311" spans="1:23" ht="56.25" customHeight="1">
      <c r="A4311" s="1117"/>
      <c r="B4311" s="1112"/>
      <c r="C4311" s="531"/>
      <c r="D4311" s="446"/>
      <c r="E4311" s="388"/>
      <c r="F4311" s="388"/>
      <c r="G4311" s="388"/>
      <c r="H4311" s="446"/>
      <c r="I4311" s="446"/>
      <c r="J4311" s="446"/>
      <c r="K4311" s="397" t="s">
        <v>30</v>
      </c>
      <c r="L4311" s="1128"/>
      <c r="M4311" s="519">
        <v>2160000</v>
      </c>
      <c r="O4311" s="540">
        <v>6480</v>
      </c>
      <c r="P4311" s="388"/>
      <c r="Q4311" s="391">
        <f t="shared" si="645"/>
        <v>46224</v>
      </c>
      <c r="R4311" s="446">
        <v>27000</v>
      </c>
      <c r="S4311" s="388">
        <f t="shared" si="643"/>
        <v>-2212704</v>
      </c>
      <c r="T4311" s="389"/>
      <c r="U4311" s="390"/>
      <c r="V4311" s="390"/>
      <c r="W4311" s="398"/>
    </row>
    <row r="4312" spans="1:23" s="416" customFormat="1" ht="37.5" customHeight="1">
      <c r="A4312" s="414">
        <v>23</v>
      </c>
      <c r="B4312" s="404" t="s">
        <v>3714</v>
      </c>
      <c r="C4312" s="455" t="s">
        <v>272</v>
      </c>
      <c r="D4312" s="382">
        <v>12418</v>
      </c>
      <c r="E4312" s="383">
        <v>2500</v>
      </c>
      <c r="F4312" s="391" t="s">
        <v>223</v>
      </c>
      <c r="G4312" s="383">
        <v>1135</v>
      </c>
      <c r="H4312" s="382">
        <v>5</v>
      </c>
      <c r="I4312" s="382">
        <v>4</v>
      </c>
      <c r="J4312" s="382">
        <v>80</v>
      </c>
      <c r="K4312" s="387" t="s">
        <v>33</v>
      </c>
      <c r="L4312" s="519">
        <f>M4312+N4312+O4312+P4312+Q4312</f>
        <v>3720621</v>
      </c>
      <c r="M4312" s="384">
        <v>3632000</v>
      </c>
      <c r="N4312" s="388"/>
      <c r="O4312" s="530">
        <v>10896</v>
      </c>
      <c r="P4312" s="391"/>
      <c r="Q4312" s="391">
        <f t="shared" si="645"/>
        <v>77725</v>
      </c>
      <c r="R4312" s="528">
        <f>M4312/G4312</f>
        <v>3200</v>
      </c>
      <c r="S4312" s="388">
        <f t="shared" si="643"/>
        <v>0</v>
      </c>
      <c r="T4312" s="398"/>
      <c r="U4312" s="414"/>
      <c r="W4312" s="398"/>
    </row>
    <row r="4313" spans="1:23" s="416" customFormat="1" ht="46.5" customHeight="1">
      <c r="A4313" s="414">
        <f>A4312+1</f>
        <v>24</v>
      </c>
      <c r="B4313" s="404" t="s">
        <v>3772</v>
      </c>
      <c r="C4313" s="458" t="s">
        <v>315</v>
      </c>
      <c r="D4313" s="939">
        <v>19352</v>
      </c>
      <c r="E4313" s="940">
        <v>3690</v>
      </c>
      <c r="F4313" s="940" t="s">
        <v>234</v>
      </c>
      <c r="G4313" s="940">
        <v>581</v>
      </c>
      <c r="H4313" s="536" t="s">
        <v>3771</v>
      </c>
      <c r="I4313" s="536">
        <v>1</v>
      </c>
      <c r="J4313" s="941">
        <v>78</v>
      </c>
      <c r="K4313" s="397" t="s">
        <v>33</v>
      </c>
      <c r="L4313" s="519">
        <f>M4313+N4313+O4313+Q4313</f>
        <v>1249870.3</v>
      </c>
      <c r="M4313" s="529">
        <v>1220100</v>
      </c>
      <c r="N4313" s="391"/>
      <c r="O4313" s="530">
        <f>M4313*0.3%</f>
        <v>3660.3</v>
      </c>
      <c r="P4313" s="391"/>
      <c r="Q4313" s="391">
        <f t="shared" si="645"/>
        <v>26110</v>
      </c>
      <c r="R4313" s="528">
        <f>M4313/G4313</f>
        <v>2100</v>
      </c>
      <c r="S4313" s="388"/>
      <c r="T4313" s="398"/>
      <c r="U4313" s="414"/>
      <c r="W4313" s="398"/>
    </row>
    <row r="4314" spans="1:23" s="416" customFormat="1" ht="56.25" customHeight="1">
      <c r="A4314" s="414">
        <f>A4313+1</f>
        <v>25</v>
      </c>
      <c r="B4314" s="404" t="s">
        <v>2366</v>
      </c>
      <c r="C4314" s="455" t="s">
        <v>218</v>
      </c>
      <c r="D4314" s="487">
        <v>14006</v>
      </c>
      <c r="E4314" s="391">
        <v>2260</v>
      </c>
      <c r="F4314" s="391" t="s">
        <v>252</v>
      </c>
      <c r="G4314" s="391">
        <v>1122</v>
      </c>
      <c r="H4314" s="528">
        <v>5</v>
      </c>
      <c r="I4314" s="528">
        <v>5</v>
      </c>
      <c r="J4314" s="528">
        <v>100</v>
      </c>
      <c r="K4314" s="458" t="s">
        <v>30</v>
      </c>
      <c r="L4314" s="519">
        <f t="shared" ref="L4314:L4331" si="646">M4314+N4314+O4314+P4314+Q4314</f>
        <v>2765880</v>
      </c>
      <c r="M4314" s="529">
        <v>2700000</v>
      </c>
      <c r="N4314" s="391"/>
      <c r="O4314" s="530">
        <v>8100</v>
      </c>
      <c r="P4314" s="391"/>
      <c r="Q4314" s="391">
        <f t="shared" si="645"/>
        <v>57780</v>
      </c>
      <c r="R4314" s="446">
        <f>M4314/J4314</f>
        <v>27000</v>
      </c>
      <c r="S4314" s="388">
        <f t="shared" ref="S4314:S4340" si="647">L4314-M4314-N4314-O4314-P4314-Q4314</f>
        <v>0</v>
      </c>
      <c r="T4314" s="398"/>
      <c r="U4314" s="414"/>
      <c r="V4314" s="390"/>
      <c r="W4314" s="398"/>
    </row>
    <row r="4315" spans="1:23" s="416" customFormat="1" ht="37.5" customHeight="1">
      <c r="A4315" s="414">
        <f>A4314+1</f>
        <v>26</v>
      </c>
      <c r="B4315" s="404" t="s">
        <v>2368</v>
      </c>
      <c r="C4315" s="455" t="s">
        <v>272</v>
      </c>
      <c r="D4315" s="487">
        <v>17804</v>
      </c>
      <c r="E4315" s="391">
        <v>2970</v>
      </c>
      <c r="F4315" s="391" t="s">
        <v>223</v>
      </c>
      <c r="G4315" s="391">
        <v>2150</v>
      </c>
      <c r="H4315" s="528">
        <v>5</v>
      </c>
      <c r="I4315" s="528">
        <v>6</v>
      </c>
      <c r="J4315" s="528">
        <v>100</v>
      </c>
      <c r="K4315" s="458" t="s">
        <v>33</v>
      </c>
      <c r="L4315" s="519">
        <f t="shared" si="646"/>
        <v>7529340</v>
      </c>
      <c r="M4315" s="529">
        <v>7350000</v>
      </c>
      <c r="N4315" s="391"/>
      <c r="O4315" s="530">
        <v>22050</v>
      </c>
      <c r="P4315" s="391"/>
      <c r="Q4315" s="391">
        <f t="shared" si="645"/>
        <v>157290</v>
      </c>
      <c r="R4315" s="528">
        <f>M4315/G4315</f>
        <v>3418.6046511627906</v>
      </c>
      <c r="S4315" s="388">
        <f t="shared" si="647"/>
        <v>0</v>
      </c>
      <c r="T4315" s="398"/>
      <c r="U4315" s="414"/>
      <c r="W4315" s="398"/>
    </row>
    <row r="4316" spans="1:23" ht="37.5" customHeight="1">
      <c r="A4316" s="414">
        <f>A4315+1</f>
        <v>27</v>
      </c>
      <c r="B4316" s="488" t="s">
        <v>3257</v>
      </c>
      <c r="C4316" s="455" t="s">
        <v>272</v>
      </c>
      <c r="D4316" s="561">
        <v>18739</v>
      </c>
      <c r="E4316" s="565">
        <v>3450</v>
      </c>
      <c r="F4316" s="391" t="s">
        <v>223</v>
      </c>
      <c r="G4316" s="565">
        <v>1646</v>
      </c>
      <c r="H4316" s="561">
        <v>5</v>
      </c>
      <c r="I4316" s="561">
        <v>6</v>
      </c>
      <c r="J4316" s="561">
        <v>120</v>
      </c>
      <c r="K4316" s="389" t="s">
        <v>33</v>
      </c>
      <c r="L4316" s="519">
        <f t="shared" si="646"/>
        <v>5648131.7999999998</v>
      </c>
      <c r="M4316" s="538">
        <v>5513600</v>
      </c>
      <c r="N4316" s="388"/>
      <c r="O4316" s="530">
        <v>16540.8</v>
      </c>
      <c r="P4316" s="388"/>
      <c r="Q4316" s="391">
        <f t="shared" si="645"/>
        <v>117991</v>
      </c>
      <c r="R4316" s="528">
        <v>3349.696233292831</v>
      </c>
      <c r="S4316" s="383">
        <f t="shared" si="647"/>
        <v>-1.8917489796876907E-10</v>
      </c>
      <c r="T4316" s="389"/>
      <c r="U4316" s="390"/>
      <c r="V4316" s="390"/>
      <c r="W4316" s="398"/>
    </row>
    <row r="4317" spans="1:23" s="416" customFormat="1" ht="37.5" customHeight="1">
      <c r="A4317" s="493">
        <f>A4316+1</f>
        <v>28</v>
      </c>
      <c r="B4317" s="493" t="s">
        <v>3738</v>
      </c>
      <c r="C4317" s="455" t="s">
        <v>218</v>
      </c>
      <c r="D4317" s="811">
        <v>13364</v>
      </c>
      <c r="E4317" s="391">
        <v>2160</v>
      </c>
      <c r="F4317" s="391" t="s">
        <v>223</v>
      </c>
      <c r="G4317" s="391">
        <v>1170</v>
      </c>
      <c r="H4317" s="528">
        <v>5</v>
      </c>
      <c r="I4317" s="528">
        <v>4</v>
      </c>
      <c r="J4317" s="528">
        <v>80</v>
      </c>
      <c r="K4317" s="389" t="s">
        <v>33</v>
      </c>
      <c r="L4317" s="519">
        <f t="shared" si="646"/>
        <v>4123210</v>
      </c>
      <c r="M4317" s="529">
        <v>4025000</v>
      </c>
      <c r="N4317" s="391"/>
      <c r="O4317" s="530">
        <v>12075</v>
      </c>
      <c r="P4317" s="391"/>
      <c r="Q4317" s="391">
        <f t="shared" si="645"/>
        <v>86135</v>
      </c>
      <c r="R4317" s="528">
        <f>M4317/G4317</f>
        <v>3440.17094017094</v>
      </c>
      <c r="S4317" s="388">
        <f t="shared" si="647"/>
        <v>0</v>
      </c>
      <c r="T4317" s="398"/>
      <c r="U4317" s="414"/>
      <c r="W4317" s="398"/>
    </row>
    <row r="4318" spans="1:23" s="416" customFormat="1" ht="37.5" customHeight="1">
      <c r="A4318" s="493">
        <f t="shared" ref="A4318:A4327" si="648">A4317+1</f>
        <v>29</v>
      </c>
      <c r="B4318" s="942" t="s">
        <v>3754</v>
      </c>
      <c r="C4318" s="455" t="s">
        <v>272</v>
      </c>
      <c r="D4318" s="545">
        <v>26665</v>
      </c>
      <c r="E4318" s="391">
        <v>3657</v>
      </c>
      <c r="F4318" s="539" t="s">
        <v>234</v>
      </c>
      <c r="G4318" s="391">
        <v>1606.3</v>
      </c>
      <c r="H4318" s="382">
        <v>6</v>
      </c>
      <c r="I4318" s="382">
        <v>6</v>
      </c>
      <c r="J4318" s="528">
        <v>110</v>
      </c>
      <c r="K4318" s="387" t="s">
        <v>33</v>
      </c>
      <c r="L4318" s="519">
        <f t="shared" si="646"/>
        <v>3455536.69</v>
      </c>
      <c r="M4318" s="519">
        <v>3373230</v>
      </c>
      <c r="N4318" s="388"/>
      <c r="O4318" s="530">
        <v>10119.69</v>
      </c>
      <c r="P4318" s="383"/>
      <c r="Q4318" s="391">
        <f t="shared" si="645"/>
        <v>72187</v>
      </c>
      <c r="R4318" s="528">
        <f>M4318/G4318</f>
        <v>2100</v>
      </c>
      <c r="S4318" s="388">
        <f t="shared" si="647"/>
        <v>0</v>
      </c>
      <c r="T4318" s="398"/>
      <c r="U4318" s="414"/>
      <c r="W4318" s="398"/>
    </row>
    <row r="4319" spans="1:23" s="416" customFormat="1" ht="37.5" customHeight="1">
      <c r="A4319" s="493">
        <f t="shared" si="648"/>
        <v>30</v>
      </c>
      <c r="B4319" s="404" t="s">
        <v>2378</v>
      </c>
      <c r="C4319" s="455" t="s">
        <v>218</v>
      </c>
      <c r="D4319" s="487">
        <v>62234</v>
      </c>
      <c r="E4319" s="391">
        <v>10268</v>
      </c>
      <c r="F4319" s="391" t="s">
        <v>234</v>
      </c>
      <c r="G4319" s="391">
        <v>2694</v>
      </c>
      <c r="H4319" s="528">
        <v>9</v>
      </c>
      <c r="I4319" s="528">
        <v>6</v>
      </c>
      <c r="J4319" s="528">
        <v>323</v>
      </c>
      <c r="K4319" s="458" t="s">
        <v>225</v>
      </c>
      <c r="L4319" s="519">
        <f t="shared" si="646"/>
        <v>6630244</v>
      </c>
      <c r="M4319" s="529">
        <v>6460000</v>
      </c>
      <c r="N4319" s="391">
        <v>32000</v>
      </c>
      <c r="O4319" s="530"/>
      <c r="P4319" s="391"/>
      <c r="Q4319" s="391">
        <f t="shared" si="645"/>
        <v>138244</v>
      </c>
      <c r="R4319" s="528">
        <f>M4319/J4319</f>
        <v>20000</v>
      </c>
      <c r="S4319" s="388">
        <f t="shared" si="647"/>
        <v>0</v>
      </c>
      <c r="T4319" s="398"/>
      <c r="U4319" s="414"/>
      <c r="W4319" s="398"/>
    </row>
    <row r="4320" spans="1:23" s="416" customFormat="1" ht="37.5" customHeight="1">
      <c r="A4320" s="493">
        <f t="shared" si="648"/>
        <v>31</v>
      </c>
      <c r="B4320" s="404" t="s">
        <v>3759</v>
      </c>
      <c r="C4320" s="455" t="s">
        <v>272</v>
      </c>
      <c r="D4320" s="487">
        <v>13198</v>
      </c>
      <c r="E4320" s="391">
        <v>3240</v>
      </c>
      <c r="F4320" s="391" t="s">
        <v>223</v>
      </c>
      <c r="G4320" s="391">
        <v>1234</v>
      </c>
      <c r="H4320" s="528">
        <v>4</v>
      </c>
      <c r="I4320" s="528">
        <v>3</v>
      </c>
      <c r="J4320" s="528">
        <v>34</v>
      </c>
      <c r="K4320" s="389" t="s">
        <v>225</v>
      </c>
      <c r="L4320" s="519">
        <f t="shared" si="646"/>
        <v>590642</v>
      </c>
      <c r="M4320" s="384">
        <v>544000</v>
      </c>
      <c r="N4320" s="391">
        <v>35000</v>
      </c>
      <c r="O4320" s="385"/>
      <c r="P4320" s="383"/>
      <c r="Q4320" s="391">
        <f t="shared" si="645"/>
        <v>11642</v>
      </c>
      <c r="R4320" s="528">
        <f>M4320/J4320</f>
        <v>16000</v>
      </c>
      <c r="S4320" s="388">
        <f t="shared" si="647"/>
        <v>0</v>
      </c>
      <c r="T4320" s="398"/>
      <c r="U4320" s="414"/>
      <c r="W4320" s="398"/>
    </row>
    <row r="4321" spans="1:23" s="416" customFormat="1" ht="37.5" customHeight="1">
      <c r="A4321" s="493">
        <f t="shared" si="648"/>
        <v>32</v>
      </c>
      <c r="B4321" s="404" t="s">
        <v>3733</v>
      </c>
      <c r="C4321" s="455" t="s">
        <v>272</v>
      </c>
      <c r="D4321" s="531">
        <v>17190</v>
      </c>
      <c r="E4321" s="388">
        <v>3000</v>
      </c>
      <c r="F4321" s="391" t="s">
        <v>223</v>
      </c>
      <c r="G4321" s="388">
        <v>1146</v>
      </c>
      <c r="H4321" s="446">
        <v>5</v>
      </c>
      <c r="I4321" s="446">
        <v>4</v>
      </c>
      <c r="J4321" s="446">
        <v>80</v>
      </c>
      <c r="K4321" s="389" t="s">
        <v>285</v>
      </c>
      <c r="L4321" s="519">
        <f t="shared" si="646"/>
        <v>10863883</v>
      </c>
      <c r="M4321" s="529">
        <v>10602000</v>
      </c>
      <c r="N4321" s="391">
        <v>35000</v>
      </c>
      <c r="O4321" s="530"/>
      <c r="P4321" s="391"/>
      <c r="Q4321" s="391">
        <f t="shared" si="645"/>
        <v>226883</v>
      </c>
      <c r="R4321" s="528">
        <f>M4321/E4321</f>
        <v>3534</v>
      </c>
      <c r="S4321" s="388">
        <f t="shared" si="647"/>
        <v>0</v>
      </c>
      <c r="T4321" s="398"/>
      <c r="U4321" s="414"/>
      <c r="W4321" s="398"/>
    </row>
    <row r="4322" spans="1:23" s="416" customFormat="1" ht="37.5" customHeight="1">
      <c r="A4322" s="493">
        <f t="shared" si="648"/>
        <v>33</v>
      </c>
      <c r="B4322" s="404" t="s">
        <v>3751</v>
      </c>
      <c r="C4322" s="455" t="s">
        <v>218</v>
      </c>
      <c r="D4322" s="487">
        <v>9193</v>
      </c>
      <c r="E4322" s="391">
        <v>2317</v>
      </c>
      <c r="F4322" s="539" t="s">
        <v>234</v>
      </c>
      <c r="G4322" s="391">
        <v>359.4</v>
      </c>
      <c r="H4322" s="528">
        <v>9</v>
      </c>
      <c r="I4322" s="528">
        <v>1</v>
      </c>
      <c r="J4322" s="528">
        <v>43</v>
      </c>
      <c r="K4322" s="389" t="s">
        <v>285</v>
      </c>
      <c r="L4322" s="519">
        <f t="shared" si="646"/>
        <v>6661435</v>
      </c>
      <c r="M4322" s="384">
        <v>6487600</v>
      </c>
      <c r="N4322" s="383">
        <v>35000</v>
      </c>
      <c r="O4322" s="385"/>
      <c r="P4322" s="383"/>
      <c r="Q4322" s="391">
        <f t="shared" si="645"/>
        <v>138835</v>
      </c>
      <c r="R4322" s="528">
        <f>M4322/E4322</f>
        <v>2800</v>
      </c>
      <c r="S4322" s="388">
        <f t="shared" si="647"/>
        <v>0</v>
      </c>
      <c r="T4322" s="398"/>
      <c r="U4322" s="414"/>
      <c r="W4322" s="398"/>
    </row>
    <row r="4323" spans="1:23" s="416" customFormat="1" ht="56.25" customHeight="1">
      <c r="A4323" s="493">
        <f t="shared" si="648"/>
        <v>34</v>
      </c>
      <c r="B4323" s="404" t="s">
        <v>3753</v>
      </c>
      <c r="C4323" s="455" t="s">
        <v>272</v>
      </c>
      <c r="D4323" s="487">
        <v>4413</v>
      </c>
      <c r="E4323" s="391">
        <v>480</v>
      </c>
      <c r="F4323" s="391" t="s">
        <v>223</v>
      </c>
      <c r="G4323" s="391">
        <v>686.6</v>
      </c>
      <c r="H4323" s="528">
        <v>2</v>
      </c>
      <c r="I4323" s="528">
        <v>1</v>
      </c>
      <c r="J4323" s="528">
        <v>38</v>
      </c>
      <c r="K4323" s="389" t="s">
        <v>30</v>
      </c>
      <c r="L4323" s="519">
        <f t="shared" si="646"/>
        <v>1051034</v>
      </c>
      <c r="M4323" s="529">
        <v>1026000</v>
      </c>
      <c r="N4323" s="391"/>
      <c r="O4323" s="530">
        <v>3078</v>
      </c>
      <c r="P4323" s="391"/>
      <c r="Q4323" s="391">
        <f t="shared" si="645"/>
        <v>21956</v>
      </c>
      <c r="R4323" s="528">
        <f>M4323/J4323</f>
        <v>27000</v>
      </c>
      <c r="S4323" s="388">
        <f t="shared" si="647"/>
        <v>0</v>
      </c>
      <c r="T4323" s="398"/>
      <c r="U4323" s="414"/>
      <c r="W4323" s="398"/>
    </row>
    <row r="4324" spans="1:23" s="416" customFormat="1" ht="37.5" customHeight="1">
      <c r="A4324" s="493">
        <f t="shared" si="648"/>
        <v>35</v>
      </c>
      <c r="B4324" s="404" t="s">
        <v>3761</v>
      </c>
      <c r="C4324" s="455" t="s">
        <v>272</v>
      </c>
      <c r="D4324" s="487">
        <v>18612</v>
      </c>
      <c r="E4324" s="391">
        <v>2244</v>
      </c>
      <c r="F4324" s="391" t="s">
        <v>223</v>
      </c>
      <c r="G4324" s="391">
        <v>1291</v>
      </c>
      <c r="H4324" s="528">
        <v>5</v>
      </c>
      <c r="I4324" s="528">
        <v>1</v>
      </c>
      <c r="J4324" s="528">
        <v>196</v>
      </c>
      <c r="K4324" s="389" t="s">
        <v>225</v>
      </c>
      <c r="L4324" s="519">
        <f t="shared" si="646"/>
        <v>3238110</v>
      </c>
      <c r="M4324" s="529">
        <v>3136000</v>
      </c>
      <c r="N4324" s="391">
        <v>35000</v>
      </c>
      <c r="O4324" s="530"/>
      <c r="P4324" s="391"/>
      <c r="Q4324" s="391">
        <f t="shared" si="645"/>
        <v>67110</v>
      </c>
      <c r="R4324" s="446">
        <f>M4324/J4324</f>
        <v>16000</v>
      </c>
      <c r="S4324" s="388">
        <f t="shared" si="647"/>
        <v>0</v>
      </c>
      <c r="T4324" s="398"/>
      <c r="U4324" s="414"/>
      <c r="W4324" s="398"/>
    </row>
    <row r="4325" spans="1:23" s="416" customFormat="1" ht="37.5" customHeight="1">
      <c r="A4325" s="493">
        <f t="shared" si="648"/>
        <v>36</v>
      </c>
      <c r="B4325" s="404" t="s">
        <v>2434</v>
      </c>
      <c r="C4325" s="455" t="s">
        <v>272</v>
      </c>
      <c r="D4325" s="487">
        <v>17594</v>
      </c>
      <c r="E4325" s="391">
        <v>1100</v>
      </c>
      <c r="F4325" s="391" t="s">
        <v>223</v>
      </c>
      <c r="G4325" s="391">
        <v>1700</v>
      </c>
      <c r="H4325" s="528">
        <v>5</v>
      </c>
      <c r="I4325" s="528">
        <v>4</v>
      </c>
      <c r="J4325" s="528">
        <v>118</v>
      </c>
      <c r="K4325" s="458" t="s">
        <v>33</v>
      </c>
      <c r="L4325" s="519">
        <f t="shared" si="646"/>
        <v>6019886.5</v>
      </c>
      <c r="M4325" s="529">
        <v>5876500</v>
      </c>
      <c r="N4325" s="391"/>
      <c r="O4325" s="530">
        <v>17629.5</v>
      </c>
      <c r="P4325" s="391"/>
      <c r="Q4325" s="391">
        <f t="shared" si="645"/>
        <v>125757</v>
      </c>
      <c r="R4325" s="382">
        <f>M4325/G4325</f>
        <v>3456.7647058823532</v>
      </c>
      <c r="S4325" s="388">
        <f t="shared" si="647"/>
        <v>0</v>
      </c>
      <c r="T4325" s="398"/>
      <c r="U4325" s="414"/>
      <c r="V4325" s="390"/>
      <c r="W4325" s="398"/>
    </row>
    <row r="4326" spans="1:23" s="416" customFormat="1" ht="37.5" customHeight="1">
      <c r="A4326" s="493">
        <f t="shared" si="648"/>
        <v>37</v>
      </c>
      <c r="B4326" s="404" t="s">
        <v>3748</v>
      </c>
      <c r="C4326" s="455" t="s">
        <v>272</v>
      </c>
      <c r="D4326" s="487">
        <v>27143</v>
      </c>
      <c r="E4326" s="391">
        <v>2928</v>
      </c>
      <c r="F4326" s="539" t="s">
        <v>234</v>
      </c>
      <c r="G4326" s="391">
        <v>1202</v>
      </c>
      <c r="H4326" s="528">
        <v>9</v>
      </c>
      <c r="I4326" s="528">
        <v>3</v>
      </c>
      <c r="J4326" s="528">
        <v>108</v>
      </c>
      <c r="K4326" s="389" t="s">
        <v>225</v>
      </c>
      <c r="L4326" s="519">
        <f t="shared" si="646"/>
        <v>2241224</v>
      </c>
      <c r="M4326" s="384">
        <v>2160000</v>
      </c>
      <c r="N4326" s="391">
        <v>35000</v>
      </c>
      <c r="O4326" s="385"/>
      <c r="P4326" s="383"/>
      <c r="Q4326" s="391">
        <f t="shared" si="645"/>
        <v>46224</v>
      </c>
      <c r="R4326" s="528">
        <f>M4326/J4326</f>
        <v>20000</v>
      </c>
      <c r="S4326" s="388">
        <f t="shared" si="647"/>
        <v>0</v>
      </c>
      <c r="T4326" s="398"/>
      <c r="U4326" s="414"/>
      <c r="W4326" s="398"/>
    </row>
    <row r="4327" spans="1:23" s="416" customFormat="1" ht="37.5" customHeight="1">
      <c r="A4327" s="493">
        <f t="shared" si="648"/>
        <v>38</v>
      </c>
      <c r="B4327" s="404" t="s">
        <v>3749</v>
      </c>
      <c r="C4327" s="455" t="s">
        <v>218</v>
      </c>
      <c r="D4327" s="487">
        <v>13672</v>
      </c>
      <c r="E4327" s="391">
        <v>2534</v>
      </c>
      <c r="F4327" s="539" t="s">
        <v>234</v>
      </c>
      <c r="G4327" s="391">
        <v>963</v>
      </c>
      <c r="H4327" s="528">
        <v>5</v>
      </c>
      <c r="I4327" s="528">
        <v>4</v>
      </c>
      <c r="J4327" s="528">
        <v>64</v>
      </c>
      <c r="K4327" s="389" t="s">
        <v>225</v>
      </c>
      <c r="L4327" s="519">
        <f t="shared" si="646"/>
        <v>1799979</v>
      </c>
      <c r="M4327" s="384">
        <v>1728000</v>
      </c>
      <c r="N4327" s="383">
        <v>35000</v>
      </c>
      <c r="O4327" s="385"/>
      <c r="P4327" s="383"/>
      <c r="Q4327" s="391">
        <f t="shared" si="645"/>
        <v>36979</v>
      </c>
      <c r="R4327" s="446">
        <f>M4327/J4327</f>
        <v>27000</v>
      </c>
      <c r="S4327" s="388">
        <f t="shared" si="647"/>
        <v>0</v>
      </c>
      <c r="T4327" s="398"/>
      <c r="U4327" s="414"/>
      <c r="W4327" s="398"/>
    </row>
    <row r="4328" spans="1:23" s="416" customFormat="1" ht="56.25" customHeight="1">
      <c r="A4328" s="414">
        <f>A4327+1</f>
        <v>39</v>
      </c>
      <c r="B4328" s="404" t="s">
        <v>3757</v>
      </c>
      <c r="C4328" s="455" t="s">
        <v>272</v>
      </c>
      <c r="D4328" s="487">
        <v>1742</v>
      </c>
      <c r="E4328" s="391">
        <v>392</v>
      </c>
      <c r="F4328" s="391" t="s">
        <v>223</v>
      </c>
      <c r="G4328" s="391">
        <v>297.5</v>
      </c>
      <c r="H4328" s="528">
        <v>2</v>
      </c>
      <c r="I4328" s="528">
        <v>1</v>
      </c>
      <c r="J4328" s="528">
        <v>4</v>
      </c>
      <c r="K4328" s="389" t="s">
        <v>30</v>
      </c>
      <c r="L4328" s="519">
        <f t="shared" si="646"/>
        <v>110635</v>
      </c>
      <c r="M4328" s="384">
        <v>108000</v>
      </c>
      <c r="N4328" s="383"/>
      <c r="O4328" s="530">
        <v>324</v>
      </c>
      <c r="P4328" s="383"/>
      <c r="Q4328" s="391">
        <f t="shared" si="645"/>
        <v>2311</v>
      </c>
      <c r="R4328" s="528">
        <f>M4328/J4328</f>
        <v>27000</v>
      </c>
      <c r="S4328" s="388">
        <f t="shared" si="647"/>
        <v>0</v>
      </c>
      <c r="T4328" s="398"/>
      <c r="U4328" s="414"/>
      <c r="W4328" s="398"/>
    </row>
    <row r="4329" spans="1:23" s="416" customFormat="1" ht="56.25" customHeight="1">
      <c r="A4329" s="414">
        <f>A4328+1</f>
        <v>40</v>
      </c>
      <c r="B4329" s="404" t="s">
        <v>3740</v>
      </c>
      <c r="C4329" s="455" t="s">
        <v>272</v>
      </c>
      <c r="D4329" s="487">
        <v>30653</v>
      </c>
      <c r="E4329" s="391">
        <v>1216.5999999999999</v>
      </c>
      <c r="F4329" s="391" t="s">
        <v>234</v>
      </c>
      <c r="G4329" s="391">
        <v>400</v>
      </c>
      <c r="H4329" s="528">
        <v>7</v>
      </c>
      <c r="I4329" s="528">
        <v>1</v>
      </c>
      <c r="J4329" s="528">
        <v>115</v>
      </c>
      <c r="K4329" s="389" t="s">
        <v>30</v>
      </c>
      <c r="L4329" s="519">
        <f t="shared" si="646"/>
        <v>3731040</v>
      </c>
      <c r="M4329" s="529">
        <v>3680000</v>
      </c>
      <c r="N4329" s="391"/>
      <c r="O4329" s="530">
        <v>11040</v>
      </c>
      <c r="P4329" s="391"/>
      <c r="Q4329" s="391">
        <v>40000</v>
      </c>
      <c r="R4329" s="446">
        <f>M4329/J4329</f>
        <v>32000</v>
      </c>
      <c r="S4329" s="388">
        <f t="shared" si="647"/>
        <v>0</v>
      </c>
      <c r="T4329" s="398"/>
      <c r="U4329" s="414"/>
      <c r="W4329" s="398"/>
    </row>
    <row r="4330" spans="1:23" s="416" customFormat="1" ht="37.5" customHeight="1">
      <c r="A4330" s="414">
        <f>A4329+1</f>
        <v>41</v>
      </c>
      <c r="B4330" s="942" t="s">
        <v>3747</v>
      </c>
      <c r="C4330" s="455" t="s">
        <v>272</v>
      </c>
      <c r="D4330" s="545">
        <v>23600</v>
      </c>
      <c r="E4330" s="391">
        <v>3754</v>
      </c>
      <c r="F4330" s="391" t="s">
        <v>231</v>
      </c>
      <c r="G4330" s="391">
        <v>902.3</v>
      </c>
      <c r="H4330" s="382">
        <v>9</v>
      </c>
      <c r="I4330" s="382">
        <v>2</v>
      </c>
      <c r="J4330" s="528">
        <v>102</v>
      </c>
      <c r="K4330" s="389" t="s">
        <v>225</v>
      </c>
      <c r="L4330" s="519">
        <f t="shared" si="646"/>
        <v>2118656</v>
      </c>
      <c r="M4330" s="529">
        <v>2040000</v>
      </c>
      <c r="N4330" s="391">
        <v>35000</v>
      </c>
      <c r="O4330" s="530"/>
      <c r="P4330" s="391"/>
      <c r="Q4330" s="391">
        <f t="shared" ref="Q4330:Q4343" si="649">ROUND(M4330*0.0214,0)</f>
        <v>43656</v>
      </c>
      <c r="R4330" s="528">
        <f>M4330/J4330</f>
        <v>20000</v>
      </c>
      <c r="S4330" s="388">
        <f t="shared" si="647"/>
        <v>0</v>
      </c>
      <c r="T4330" s="398"/>
      <c r="U4330" s="414"/>
      <c r="W4330" s="398"/>
    </row>
    <row r="4331" spans="1:23" s="416" customFormat="1" ht="70.5" customHeight="1">
      <c r="A4331" s="414">
        <f>A4330+1</f>
        <v>42</v>
      </c>
      <c r="B4331" s="404" t="s">
        <v>2458</v>
      </c>
      <c r="C4331" s="455" t="s">
        <v>272</v>
      </c>
      <c r="D4331" s="487">
        <v>17895</v>
      </c>
      <c r="E4331" s="391">
        <v>3383</v>
      </c>
      <c r="F4331" s="391" t="s">
        <v>234</v>
      </c>
      <c r="G4331" s="391">
        <v>1486</v>
      </c>
      <c r="H4331" s="528">
        <v>5</v>
      </c>
      <c r="I4331" s="528">
        <v>6</v>
      </c>
      <c r="J4331" s="528">
        <v>80</v>
      </c>
      <c r="K4331" s="458" t="s">
        <v>4360</v>
      </c>
      <c r="L4331" s="519">
        <f t="shared" si="646"/>
        <v>4598401</v>
      </c>
      <c r="M4331" s="529">
        <v>4458000</v>
      </c>
      <c r="N4331" s="391">
        <v>45000</v>
      </c>
      <c r="O4331" s="530"/>
      <c r="P4331" s="391"/>
      <c r="Q4331" s="391">
        <f t="shared" si="649"/>
        <v>95401</v>
      </c>
      <c r="R4331" s="446">
        <f>M4331/G4331</f>
        <v>3000</v>
      </c>
      <c r="S4331" s="388">
        <f t="shared" si="647"/>
        <v>0</v>
      </c>
      <c r="T4331" s="398"/>
      <c r="U4331" s="414"/>
      <c r="W4331" s="398"/>
    </row>
    <row r="4332" spans="1:23" s="416" customFormat="1" ht="37.5" customHeight="1">
      <c r="A4332" s="414">
        <f>A4331+1</f>
        <v>43</v>
      </c>
      <c r="B4332" s="404" t="s">
        <v>3742</v>
      </c>
      <c r="C4332" s="455" t="s">
        <v>3705</v>
      </c>
      <c r="D4332" s="487">
        <v>6758</v>
      </c>
      <c r="E4332" s="391">
        <v>1608</v>
      </c>
      <c r="F4332" s="391" t="s">
        <v>223</v>
      </c>
      <c r="G4332" s="391">
        <v>1239</v>
      </c>
      <c r="H4332" s="528">
        <v>2</v>
      </c>
      <c r="I4332" s="528">
        <v>3</v>
      </c>
      <c r="J4332" s="528">
        <v>18</v>
      </c>
      <c r="K4332" s="389" t="s">
        <v>225</v>
      </c>
      <c r="L4332" s="1129">
        <f>M4332+N4332+O4332+Q4332+M4333+N4333+O4333+Q4333</f>
        <v>785143</v>
      </c>
      <c r="M4332" s="529">
        <v>288000</v>
      </c>
      <c r="N4332" s="391">
        <v>30000</v>
      </c>
      <c r="O4332" s="530"/>
      <c r="P4332" s="391"/>
      <c r="Q4332" s="391">
        <f t="shared" si="649"/>
        <v>6163</v>
      </c>
      <c r="R4332" s="528">
        <f>M4332/J4332</f>
        <v>16000</v>
      </c>
      <c r="S4332" s="388">
        <f t="shared" si="647"/>
        <v>460980</v>
      </c>
      <c r="T4332" s="398"/>
      <c r="U4332" s="414"/>
      <c r="W4332" s="398"/>
    </row>
    <row r="4333" spans="1:23" s="416" customFormat="1" ht="56.25" customHeight="1">
      <c r="A4333" s="414"/>
      <c r="B4333" s="404"/>
      <c r="C4333" s="455"/>
      <c r="D4333" s="487"/>
      <c r="E4333" s="391"/>
      <c r="F4333" s="391"/>
      <c r="G4333" s="391"/>
      <c r="H4333" s="528"/>
      <c r="I4333" s="528"/>
      <c r="J4333" s="528"/>
      <c r="K4333" s="389" t="s">
        <v>30</v>
      </c>
      <c r="L4333" s="1129"/>
      <c r="M4333" s="529">
        <v>450000</v>
      </c>
      <c r="N4333" s="391"/>
      <c r="O4333" s="530">
        <v>1350</v>
      </c>
      <c r="P4333" s="391"/>
      <c r="Q4333" s="391">
        <f t="shared" si="649"/>
        <v>9630</v>
      </c>
      <c r="R4333" s="528">
        <f>M4333/J4332</f>
        <v>25000</v>
      </c>
      <c r="S4333" s="388">
        <f t="shared" si="647"/>
        <v>-460980</v>
      </c>
      <c r="T4333" s="398"/>
      <c r="U4333" s="414"/>
      <c r="W4333" s="398"/>
    </row>
    <row r="4334" spans="1:23" s="416" customFormat="1" ht="37.5" customHeight="1">
      <c r="A4334" s="414">
        <v>44</v>
      </c>
      <c r="B4334" s="404" t="s">
        <v>3741</v>
      </c>
      <c r="C4334" s="455" t="s">
        <v>272</v>
      </c>
      <c r="D4334" s="487">
        <v>15375</v>
      </c>
      <c r="E4334" s="391">
        <v>3114</v>
      </c>
      <c r="F4334" s="391" t="s">
        <v>223</v>
      </c>
      <c r="G4334" s="391">
        <v>1372</v>
      </c>
      <c r="H4334" s="528">
        <v>4</v>
      </c>
      <c r="I4334" s="528">
        <v>4</v>
      </c>
      <c r="J4334" s="528">
        <v>52</v>
      </c>
      <c r="K4334" s="389" t="s">
        <v>225</v>
      </c>
      <c r="L4334" s="1129">
        <f>M4334+N4334+O4334+Q4334+M4335+N4335+O4335+Q4335</f>
        <v>2323063</v>
      </c>
      <c r="M4334" s="529">
        <v>832000</v>
      </c>
      <c r="N4334" s="391">
        <v>35000</v>
      </c>
      <c r="O4334" s="530"/>
      <c r="P4334" s="391"/>
      <c r="Q4334" s="391">
        <f t="shared" si="649"/>
        <v>17805</v>
      </c>
      <c r="R4334" s="528">
        <f>M4334/J4334</f>
        <v>16000</v>
      </c>
      <c r="S4334" s="388">
        <f t="shared" si="647"/>
        <v>1438258</v>
      </c>
      <c r="T4334" s="398"/>
      <c r="U4334" s="414"/>
      <c r="W4334" s="398"/>
    </row>
    <row r="4335" spans="1:23" s="416" customFormat="1" ht="56.25" customHeight="1">
      <c r="A4335" s="414"/>
      <c r="B4335" s="404"/>
      <c r="C4335" s="455"/>
      <c r="D4335" s="487"/>
      <c r="E4335" s="391"/>
      <c r="F4335" s="391"/>
      <c r="G4335" s="391"/>
      <c r="H4335" s="528"/>
      <c r="I4335" s="528"/>
      <c r="J4335" s="528"/>
      <c r="K4335" s="389" t="s">
        <v>30</v>
      </c>
      <c r="L4335" s="1129"/>
      <c r="M4335" s="529">
        <v>1404000</v>
      </c>
      <c r="N4335" s="391"/>
      <c r="O4335" s="530">
        <v>4212</v>
      </c>
      <c r="P4335" s="391"/>
      <c r="Q4335" s="391">
        <f t="shared" si="649"/>
        <v>30046</v>
      </c>
      <c r="R4335" s="528">
        <v>27000</v>
      </c>
      <c r="S4335" s="388">
        <f t="shared" si="647"/>
        <v>-1438258</v>
      </c>
      <c r="T4335" s="398"/>
      <c r="U4335" s="414"/>
      <c r="W4335" s="398"/>
    </row>
    <row r="4336" spans="1:23" s="416" customFormat="1" ht="56.25" customHeight="1">
      <c r="A4336" s="414">
        <v>45</v>
      </c>
      <c r="B4336" s="404" t="s">
        <v>3734</v>
      </c>
      <c r="C4336" s="455" t="s">
        <v>272</v>
      </c>
      <c r="D4336" s="487">
        <v>13400</v>
      </c>
      <c r="E4336" s="391">
        <v>2721</v>
      </c>
      <c r="F4336" s="391" t="s">
        <v>231</v>
      </c>
      <c r="G4336" s="391">
        <v>1072</v>
      </c>
      <c r="H4336" s="528">
        <v>4</v>
      </c>
      <c r="I4336" s="528">
        <v>4</v>
      </c>
      <c r="J4336" s="528">
        <v>41</v>
      </c>
      <c r="K4336" s="458" t="s">
        <v>30</v>
      </c>
      <c r="L4336" s="519">
        <f t="shared" ref="L4336:L4354" si="650">M4336+N4336+O4336+P4336+Q4336</f>
        <v>1134011</v>
      </c>
      <c r="M4336" s="529">
        <v>1107000</v>
      </c>
      <c r="N4336" s="391"/>
      <c r="O4336" s="530">
        <v>3321</v>
      </c>
      <c r="P4336" s="391"/>
      <c r="Q4336" s="391">
        <f t="shared" si="649"/>
        <v>23690</v>
      </c>
      <c r="R4336" s="446">
        <f>M4336/J4336</f>
        <v>27000</v>
      </c>
      <c r="S4336" s="388">
        <f t="shared" si="647"/>
        <v>0</v>
      </c>
      <c r="T4336" s="398"/>
      <c r="U4336" s="414"/>
      <c r="W4336" s="398"/>
    </row>
    <row r="4337" spans="1:23" s="416" customFormat="1" ht="56.25" customHeight="1">
      <c r="A4337" s="414">
        <f t="shared" ref="A4337:A4345" si="651">A4336+1</f>
        <v>46</v>
      </c>
      <c r="B4337" s="404" t="s">
        <v>3752</v>
      </c>
      <c r="C4337" s="455" t="s">
        <v>272</v>
      </c>
      <c r="D4337" s="811">
        <v>21061</v>
      </c>
      <c r="E4337" s="391">
        <v>3502</v>
      </c>
      <c r="F4337" s="539" t="s">
        <v>234</v>
      </c>
      <c r="G4337" s="391">
        <v>513</v>
      </c>
      <c r="H4337" s="528">
        <v>12</v>
      </c>
      <c r="I4337" s="528">
        <v>1</v>
      </c>
      <c r="J4337" s="528">
        <v>77</v>
      </c>
      <c r="K4337" s="389" t="s">
        <v>30</v>
      </c>
      <c r="L4337" s="519">
        <f t="shared" si="650"/>
        <v>2524122</v>
      </c>
      <c r="M4337" s="384">
        <v>2464000</v>
      </c>
      <c r="N4337" s="383"/>
      <c r="O4337" s="385">
        <v>7392</v>
      </c>
      <c r="P4337" s="383"/>
      <c r="Q4337" s="391">
        <f t="shared" si="649"/>
        <v>52730</v>
      </c>
      <c r="R4337" s="528">
        <f>M4337/J4337</f>
        <v>32000</v>
      </c>
      <c r="S4337" s="388">
        <f t="shared" si="647"/>
        <v>0</v>
      </c>
      <c r="T4337" s="398"/>
      <c r="U4337" s="414"/>
      <c r="W4337" s="398"/>
    </row>
    <row r="4338" spans="1:23" s="416" customFormat="1" ht="37.5" customHeight="1">
      <c r="A4338" s="414">
        <f t="shared" si="651"/>
        <v>47</v>
      </c>
      <c r="B4338" s="404" t="s">
        <v>591</v>
      </c>
      <c r="C4338" s="455" t="s">
        <v>218</v>
      </c>
      <c r="D4338" s="382">
        <v>15852</v>
      </c>
      <c r="E4338" s="383">
        <v>2950</v>
      </c>
      <c r="F4338" s="539" t="s">
        <v>234</v>
      </c>
      <c r="G4338" s="383">
        <v>680</v>
      </c>
      <c r="H4338" s="549">
        <v>9</v>
      </c>
      <c r="I4338" s="549">
        <v>2</v>
      </c>
      <c r="J4338" s="382">
        <v>72</v>
      </c>
      <c r="K4338" s="387" t="s">
        <v>33</v>
      </c>
      <c r="L4338" s="519">
        <f t="shared" si="650"/>
        <v>1462843</v>
      </c>
      <c r="M4338" s="384">
        <v>1428000</v>
      </c>
      <c r="N4338" s="383"/>
      <c r="O4338" s="530">
        <v>4284</v>
      </c>
      <c r="P4338" s="383"/>
      <c r="Q4338" s="391">
        <f t="shared" si="649"/>
        <v>30559</v>
      </c>
      <c r="R4338" s="528">
        <f>M4338/G4338</f>
        <v>2100</v>
      </c>
      <c r="S4338" s="388">
        <f t="shared" si="647"/>
        <v>0</v>
      </c>
      <c r="T4338" s="398"/>
      <c r="U4338" s="414"/>
      <c r="W4338" s="398"/>
    </row>
    <row r="4339" spans="1:23" s="416" customFormat="1" ht="37.5" customHeight="1">
      <c r="A4339" s="414">
        <f t="shared" si="651"/>
        <v>48</v>
      </c>
      <c r="B4339" s="404" t="s">
        <v>2544</v>
      </c>
      <c r="C4339" s="455" t="s">
        <v>272</v>
      </c>
      <c r="D4339" s="487">
        <v>16298</v>
      </c>
      <c r="E4339" s="391">
        <v>2380</v>
      </c>
      <c r="F4339" s="391" t="s">
        <v>223</v>
      </c>
      <c r="G4339" s="391">
        <v>1230</v>
      </c>
      <c r="H4339" s="528">
        <v>5</v>
      </c>
      <c r="I4339" s="528">
        <v>4</v>
      </c>
      <c r="J4339" s="528">
        <v>70</v>
      </c>
      <c r="K4339" s="458" t="s">
        <v>33</v>
      </c>
      <c r="L4339" s="519">
        <f t="shared" si="650"/>
        <v>4367017</v>
      </c>
      <c r="M4339" s="529">
        <v>4263000</v>
      </c>
      <c r="N4339" s="391"/>
      <c r="O4339" s="530">
        <v>12789</v>
      </c>
      <c r="P4339" s="391"/>
      <c r="Q4339" s="391">
        <f t="shared" si="649"/>
        <v>91228</v>
      </c>
      <c r="R4339" s="528">
        <f>M4339/G4339</f>
        <v>3465.8536585365855</v>
      </c>
      <c r="S4339" s="388">
        <f t="shared" si="647"/>
        <v>0</v>
      </c>
      <c r="T4339" s="398"/>
      <c r="U4339" s="414"/>
      <c r="W4339" s="398"/>
    </row>
    <row r="4340" spans="1:23" s="416" customFormat="1" ht="37.5" customHeight="1">
      <c r="A4340" s="414">
        <f t="shared" si="651"/>
        <v>49</v>
      </c>
      <c r="B4340" s="404" t="s">
        <v>2553</v>
      </c>
      <c r="C4340" s="455" t="s">
        <v>218</v>
      </c>
      <c r="D4340" s="487">
        <v>18609</v>
      </c>
      <c r="E4340" s="391">
        <v>3409</v>
      </c>
      <c r="F4340" s="391" t="s">
        <v>252</v>
      </c>
      <c r="G4340" s="391">
        <v>1674</v>
      </c>
      <c r="H4340" s="528">
        <v>5</v>
      </c>
      <c r="I4340" s="528">
        <v>6</v>
      </c>
      <c r="J4340" s="528">
        <v>120</v>
      </c>
      <c r="K4340" s="458" t="s">
        <v>33</v>
      </c>
      <c r="L4340" s="519">
        <f t="shared" si="650"/>
        <v>5487506.4000000004</v>
      </c>
      <c r="M4340" s="529">
        <v>5356800</v>
      </c>
      <c r="N4340" s="388"/>
      <c r="O4340" s="530">
        <v>16070.4</v>
      </c>
      <c r="P4340" s="388"/>
      <c r="Q4340" s="391">
        <f t="shared" si="649"/>
        <v>114636</v>
      </c>
      <c r="R4340" s="528">
        <f>M4340/G4340</f>
        <v>3200</v>
      </c>
      <c r="S4340" s="388">
        <f t="shared" si="647"/>
        <v>3.7834979593753815E-10</v>
      </c>
      <c r="T4340" s="398"/>
      <c r="U4340" s="414"/>
      <c r="W4340" s="398"/>
    </row>
    <row r="4341" spans="1:23" s="401" customFormat="1" ht="54.75" customHeight="1">
      <c r="A4341" s="414">
        <f t="shared" si="651"/>
        <v>50</v>
      </c>
      <c r="B4341" s="404" t="s">
        <v>2600</v>
      </c>
      <c r="C4341" s="455" t="s">
        <v>272</v>
      </c>
      <c r="D4341" s="487">
        <v>17426</v>
      </c>
      <c r="E4341" s="391">
        <v>2608</v>
      </c>
      <c r="F4341" s="391" t="s">
        <v>252</v>
      </c>
      <c r="G4341" s="391">
        <v>1150</v>
      </c>
      <c r="H4341" s="528">
        <v>5</v>
      </c>
      <c r="I4341" s="528">
        <v>4</v>
      </c>
      <c r="J4341" s="528">
        <v>64</v>
      </c>
      <c r="K4341" s="458" t="s">
        <v>30</v>
      </c>
      <c r="L4341" s="519">
        <f t="shared" si="650"/>
        <v>1770163</v>
      </c>
      <c r="M4341" s="529">
        <v>1728000</v>
      </c>
      <c r="N4341" s="391"/>
      <c r="O4341" s="530">
        <v>5184</v>
      </c>
      <c r="P4341" s="391"/>
      <c r="Q4341" s="391">
        <f t="shared" si="649"/>
        <v>36979</v>
      </c>
      <c r="R4341" s="528">
        <f>M4341/J4341</f>
        <v>27000</v>
      </c>
      <c r="S4341" s="486"/>
      <c r="T4341" s="416"/>
      <c r="U4341" s="416"/>
    </row>
    <row r="4342" spans="1:23" s="416" customFormat="1" ht="37.5" customHeight="1">
      <c r="A4342" s="414">
        <f t="shared" si="651"/>
        <v>51</v>
      </c>
      <c r="B4342" s="404" t="s">
        <v>3750</v>
      </c>
      <c r="C4342" s="455" t="s">
        <v>272</v>
      </c>
      <c r="D4342" s="487">
        <v>13256</v>
      </c>
      <c r="E4342" s="391">
        <v>4700</v>
      </c>
      <c r="F4342" s="391" t="s">
        <v>223</v>
      </c>
      <c r="G4342" s="391">
        <v>972</v>
      </c>
      <c r="H4342" s="528">
        <v>5</v>
      </c>
      <c r="I4342" s="528">
        <v>4</v>
      </c>
      <c r="J4342" s="528">
        <v>79</v>
      </c>
      <c r="K4342" s="389" t="s">
        <v>38</v>
      </c>
      <c r="L4342" s="519">
        <f t="shared" si="650"/>
        <v>7737105</v>
      </c>
      <c r="M4342" s="384">
        <v>7575000</v>
      </c>
      <c r="N4342" s="383"/>
      <c r="O4342" s="385"/>
      <c r="P4342" s="383"/>
      <c r="Q4342" s="391">
        <f t="shared" si="649"/>
        <v>162105</v>
      </c>
      <c r="R4342" s="528">
        <f>M4342/E4342</f>
        <v>1611.7021276595744</v>
      </c>
      <c r="S4342" s="388">
        <f t="shared" ref="S4342:S4357" si="652">L4342-M4342-N4342-O4342-P4342-Q4342</f>
        <v>0</v>
      </c>
      <c r="T4342" s="398"/>
      <c r="U4342" s="414"/>
      <c r="W4342" s="398"/>
    </row>
    <row r="4343" spans="1:23" s="416" customFormat="1" ht="37.5" customHeight="1">
      <c r="A4343" s="414">
        <f t="shared" si="651"/>
        <v>52</v>
      </c>
      <c r="B4343" s="404" t="s">
        <v>3743</v>
      </c>
      <c r="C4343" s="455" t="s">
        <v>272</v>
      </c>
      <c r="D4343" s="487">
        <v>3938</v>
      </c>
      <c r="E4343" s="391">
        <v>1222</v>
      </c>
      <c r="F4343" s="391" t="s">
        <v>223</v>
      </c>
      <c r="G4343" s="391">
        <v>844</v>
      </c>
      <c r="H4343" s="528">
        <v>2</v>
      </c>
      <c r="I4343" s="528">
        <v>3</v>
      </c>
      <c r="J4343" s="528">
        <v>18</v>
      </c>
      <c r="K4343" s="389" t="s">
        <v>33</v>
      </c>
      <c r="L4343" s="519">
        <f t="shared" si="650"/>
        <v>1902106.4</v>
      </c>
      <c r="M4343" s="529">
        <v>1856800</v>
      </c>
      <c r="N4343" s="391"/>
      <c r="O4343" s="530">
        <v>5570.4000000000005</v>
      </c>
      <c r="P4343" s="391"/>
      <c r="Q4343" s="391">
        <f t="shared" si="649"/>
        <v>39736</v>
      </c>
      <c r="R4343" s="528">
        <f>M4343/G4343</f>
        <v>2200</v>
      </c>
      <c r="S4343" s="388">
        <f t="shared" si="652"/>
        <v>-9.4587448984384537E-11</v>
      </c>
      <c r="T4343" s="398"/>
      <c r="U4343" s="414"/>
      <c r="W4343" s="398"/>
    </row>
    <row r="4344" spans="1:23" s="416" customFormat="1" ht="56.25" customHeight="1">
      <c r="A4344" s="414">
        <f t="shared" si="651"/>
        <v>53</v>
      </c>
      <c r="B4344" s="942" t="s">
        <v>3745</v>
      </c>
      <c r="C4344" s="455" t="s">
        <v>218</v>
      </c>
      <c r="D4344" s="545">
        <v>30739</v>
      </c>
      <c r="E4344" s="391">
        <v>6804</v>
      </c>
      <c r="F4344" s="539" t="s">
        <v>234</v>
      </c>
      <c r="G4344" s="391">
        <v>1364</v>
      </c>
      <c r="H4344" s="382">
        <v>9</v>
      </c>
      <c r="I4344" s="382">
        <v>4</v>
      </c>
      <c r="J4344" s="528">
        <v>144</v>
      </c>
      <c r="K4344" s="389" t="s">
        <v>30</v>
      </c>
      <c r="L4344" s="519">
        <f t="shared" si="650"/>
        <v>4661824</v>
      </c>
      <c r="M4344" s="529">
        <v>4608000</v>
      </c>
      <c r="N4344" s="391"/>
      <c r="O4344" s="530">
        <v>13824</v>
      </c>
      <c r="P4344" s="391"/>
      <c r="Q4344" s="391">
        <v>40000</v>
      </c>
      <c r="R4344" s="528">
        <f>M4344/J4344</f>
        <v>32000</v>
      </c>
      <c r="S4344" s="388">
        <f t="shared" si="652"/>
        <v>0</v>
      </c>
      <c r="T4344" s="398"/>
      <c r="U4344" s="414"/>
      <c r="W4344" s="398"/>
    </row>
    <row r="4345" spans="1:23" s="416" customFormat="1" ht="56.25" customHeight="1">
      <c r="A4345" s="414">
        <f t="shared" si="651"/>
        <v>54</v>
      </c>
      <c r="B4345" s="942" t="s">
        <v>3746</v>
      </c>
      <c r="C4345" s="455" t="s">
        <v>218</v>
      </c>
      <c r="D4345" s="545">
        <v>33560</v>
      </c>
      <c r="E4345" s="391">
        <v>6804</v>
      </c>
      <c r="F4345" s="539" t="s">
        <v>234</v>
      </c>
      <c r="G4345" s="391">
        <v>1382</v>
      </c>
      <c r="H4345" s="382">
        <v>9</v>
      </c>
      <c r="I4345" s="382">
        <v>4</v>
      </c>
      <c r="J4345" s="528">
        <v>144</v>
      </c>
      <c r="K4345" s="389" t="s">
        <v>30</v>
      </c>
      <c r="L4345" s="519">
        <f t="shared" si="650"/>
        <v>4661824</v>
      </c>
      <c r="M4345" s="538">
        <v>4608000</v>
      </c>
      <c r="N4345" s="391"/>
      <c r="O4345" s="530">
        <v>13824</v>
      </c>
      <c r="P4345" s="391"/>
      <c r="Q4345" s="391">
        <v>40000</v>
      </c>
      <c r="R4345" s="528">
        <f>M4345/J4345</f>
        <v>32000</v>
      </c>
      <c r="S4345" s="388">
        <f t="shared" si="652"/>
        <v>0</v>
      </c>
      <c r="T4345" s="398"/>
      <c r="U4345" s="414"/>
      <c r="W4345" s="398"/>
    </row>
    <row r="4346" spans="1:23" s="416" customFormat="1" ht="37.5" customHeight="1">
      <c r="A4346" s="414">
        <f t="shared" ref="A4346:A4355" si="653">A4345+1</f>
        <v>55</v>
      </c>
      <c r="B4346" s="404" t="s">
        <v>3739</v>
      </c>
      <c r="C4346" s="455" t="s">
        <v>272</v>
      </c>
      <c r="D4346" s="487"/>
      <c r="E4346" s="391">
        <v>4010</v>
      </c>
      <c r="F4346" s="539" t="s">
        <v>234</v>
      </c>
      <c r="G4346" s="391">
        <v>1177</v>
      </c>
      <c r="H4346" s="528">
        <v>10</v>
      </c>
      <c r="I4346" s="528">
        <v>3</v>
      </c>
      <c r="J4346" s="528">
        <v>90</v>
      </c>
      <c r="K4346" s="389" t="s">
        <v>33</v>
      </c>
      <c r="L4346" s="519">
        <f t="shared" si="650"/>
        <v>717080</v>
      </c>
      <c r="M4346" s="529">
        <v>700000</v>
      </c>
      <c r="N4346" s="391"/>
      <c r="O4346" s="530">
        <v>2100</v>
      </c>
      <c r="P4346" s="391"/>
      <c r="Q4346" s="391">
        <v>14980</v>
      </c>
      <c r="R4346" s="382">
        <v>594.73237043330505</v>
      </c>
      <c r="S4346" s="388">
        <f t="shared" si="652"/>
        <v>0</v>
      </c>
      <c r="T4346" s="398"/>
      <c r="U4346" s="414"/>
      <c r="W4346" s="398"/>
    </row>
    <row r="4347" spans="1:23" s="416" customFormat="1" ht="56.25" customHeight="1">
      <c r="A4347" s="414">
        <f t="shared" si="653"/>
        <v>56</v>
      </c>
      <c r="B4347" s="404" t="s">
        <v>3758</v>
      </c>
      <c r="C4347" s="455" t="s">
        <v>272</v>
      </c>
      <c r="D4347" s="811">
        <v>1909</v>
      </c>
      <c r="E4347" s="391">
        <v>640</v>
      </c>
      <c r="F4347" s="391" t="s">
        <v>223</v>
      </c>
      <c r="G4347" s="391">
        <v>386</v>
      </c>
      <c r="H4347" s="528">
        <v>2</v>
      </c>
      <c r="I4347" s="528">
        <v>1</v>
      </c>
      <c r="J4347" s="528">
        <v>8</v>
      </c>
      <c r="K4347" s="389" t="s">
        <v>30</v>
      </c>
      <c r="L4347" s="519">
        <f t="shared" si="650"/>
        <v>221270</v>
      </c>
      <c r="M4347" s="384">
        <v>216000</v>
      </c>
      <c r="N4347" s="383"/>
      <c r="O4347" s="385">
        <v>648</v>
      </c>
      <c r="P4347" s="383"/>
      <c r="Q4347" s="391">
        <v>4622</v>
      </c>
      <c r="R4347" s="528">
        <f>M4347/J4347</f>
        <v>27000</v>
      </c>
      <c r="S4347" s="388">
        <f t="shared" si="652"/>
        <v>0</v>
      </c>
      <c r="T4347" s="398"/>
      <c r="U4347" s="414"/>
      <c r="W4347" s="398"/>
    </row>
    <row r="4348" spans="1:23" s="416" customFormat="1" ht="37.5" customHeight="1">
      <c r="A4348" s="414">
        <f t="shared" si="653"/>
        <v>57</v>
      </c>
      <c r="B4348" s="404" t="s">
        <v>3735</v>
      </c>
      <c r="C4348" s="455" t="s">
        <v>218</v>
      </c>
      <c r="D4348" s="487">
        <v>13878</v>
      </c>
      <c r="E4348" s="391">
        <v>3000</v>
      </c>
      <c r="F4348" s="391" t="s">
        <v>223</v>
      </c>
      <c r="G4348" s="391">
        <v>1144</v>
      </c>
      <c r="H4348" s="528">
        <v>5</v>
      </c>
      <c r="I4348" s="528">
        <v>4</v>
      </c>
      <c r="J4348" s="528">
        <v>80</v>
      </c>
      <c r="K4348" s="389" t="s">
        <v>285</v>
      </c>
      <c r="L4348" s="519">
        <f t="shared" si="650"/>
        <v>10245000</v>
      </c>
      <c r="M4348" s="529">
        <v>10170000</v>
      </c>
      <c r="N4348" s="391">
        <v>35000</v>
      </c>
      <c r="O4348" s="530"/>
      <c r="P4348" s="391"/>
      <c r="Q4348" s="391">
        <v>40000</v>
      </c>
      <c r="R4348" s="528">
        <f>M4348/E4348</f>
        <v>3390</v>
      </c>
      <c r="S4348" s="388">
        <f t="shared" si="652"/>
        <v>0</v>
      </c>
      <c r="T4348" s="398"/>
      <c r="U4348" s="414"/>
      <c r="W4348" s="398"/>
    </row>
    <row r="4349" spans="1:23" s="416" customFormat="1" ht="56.25" customHeight="1">
      <c r="A4349" s="414">
        <f t="shared" si="653"/>
        <v>58</v>
      </c>
      <c r="B4349" s="404" t="s">
        <v>2638</v>
      </c>
      <c r="C4349" s="455" t="s">
        <v>218</v>
      </c>
      <c r="D4349" s="811">
        <v>6650</v>
      </c>
      <c r="E4349" s="391">
        <v>4155</v>
      </c>
      <c r="F4349" s="391" t="s">
        <v>223</v>
      </c>
      <c r="G4349" s="391">
        <v>1984</v>
      </c>
      <c r="H4349" s="528">
        <v>5</v>
      </c>
      <c r="I4349" s="528">
        <v>7</v>
      </c>
      <c r="J4349" s="528">
        <v>140</v>
      </c>
      <c r="K4349" s="458" t="s">
        <v>30</v>
      </c>
      <c r="L4349" s="519">
        <f t="shared" si="650"/>
        <v>3831340</v>
      </c>
      <c r="M4349" s="529">
        <v>3780000</v>
      </c>
      <c r="N4349" s="391"/>
      <c r="O4349" s="530">
        <v>11340</v>
      </c>
      <c r="P4349" s="391"/>
      <c r="Q4349" s="391">
        <v>40000</v>
      </c>
      <c r="R4349" s="528">
        <f>M4349/J4349</f>
        <v>27000</v>
      </c>
      <c r="S4349" s="388">
        <f t="shared" si="652"/>
        <v>0</v>
      </c>
      <c r="T4349" s="398"/>
      <c r="U4349" s="414"/>
      <c r="W4349" s="398"/>
    </row>
    <row r="4350" spans="1:23" s="416" customFormat="1" ht="37.5" customHeight="1">
      <c r="A4350" s="414">
        <f t="shared" si="653"/>
        <v>59</v>
      </c>
      <c r="B4350" s="942" t="s">
        <v>3755</v>
      </c>
      <c r="C4350" s="455" t="s">
        <v>272</v>
      </c>
      <c r="D4350" s="545">
        <v>12642</v>
      </c>
      <c r="E4350" s="391">
        <v>2438</v>
      </c>
      <c r="F4350" s="539" t="s">
        <v>234</v>
      </c>
      <c r="G4350" s="391">
        <v>1178.5999999999999</v>
      </c>
      <c r="H4350" s="382">
        <v>5</v>
      </c>
      <c r="I4350" s="382">
        <v>4</v>
      </c>
      <c r="J4350" s="528">
        <v>80</v>
      </c>
      <c r="K4350" s="387" t="s">
        <v>33</v>
      </c>
      <c r="L4350" s="519">
        <f t="shared" si="650"/>
        <v>2535451.1800000002</v>
      </c>
      <c r="M4350" s="519">
        <v>2475060</v>
      </c>
      <c r="N4350" s="388"/>
      <c r="O4350" s="530">
        <v>7425.18</v>
      </c>
      <c r="P4350" s="383"/>
      <c r="Q4350" s="391">
        <v>52966</v>
      </c>
      <c r="R4350" s="528">
        <f>M4350/G4350</f>
        <v>2100</v>
      </c>
      <c r="S4350" s="388">
        <f t="shared" si="652"/>
        <v>1.673470251262188E-10</v>
      </c>
      <c r="T4350" s="398"/>
      <c r="U4350" s="414"/>
      <c r="W4350" s="398"/>
    </row>
    <row r="4351" spans="1:23" s="416" customFormat="1" ht="56.25" customHeight="1">
      <c r="A4351" s="414">
        <f t="shared" si="653"/>
        <v>60</v>
      </c>
      <c r="B4351" s="493" t="s">
        <v>3653</v>
      </c>
      <c r="C4351" s="455" t="s">
        <v>272</v>
      </c>
      <c r="D4351" s="532">
        <v>80745</v>
      </c>
      <c r="E4351" s="391">
        <v>9021.6</v>
      </c>
      <c r="F4351" s="539" t="s">
        <v>234</v>
      </c>
      <c r="G4351" s="535">
        <v>1778.9</v>
      </c>
      <c r="H4351" s="536">
        <v>18</v>
      </c>
      <c r="I4351" s="536">
        <v>3</v>
      </c>
      <c r="J4351" s="536">
        <v>262</v>
      </c>
      <c r="K4351" s="458" t="s">
        <v>3770</v>
      </c>
      <c r="L4351" s="529">
        <f t="shared" si="650"/>
        <v>555700</v>
      </c>
      <c r="M4351" s="538">
        <v>510700</v>
      </c>
      <c r="N4351" s="539">
        <v>45000</v>
      </c>
      <c r="O4351" s="540"/>
      <c r="P4351" s="388"/>
      <c r="Q4351" s="391"/>
      <c r="R4351" s="446"/>
      <c r="S4351" s="388">
        <f t="shared" si="652"/>
        <v>0</v>
      </c>
      <c r="T4351" s="398"/>
      <c r="U4351" s="414"/>
      <c r="V4351" s="390"/>
      <c r="W4351" s="398"/>
    </row>
    <row r="4352" spans="1:23" s="416" customFormat="1" ht="37.5" customHeight="1">
      <c r="A4352" s="414">
        <f t="shared" si="653"/>
        <v>61</v>
      </c>
      <c r="B4352" s="404" t="s">
        <v>3744</v>
      </c>
      <c r="C4352" s="455" t="s">
        <v>218</v>
      </c>
      <c r="D4352" s="545">
        <v>44490</v>
      </c>
      <c r="E4352" s="391">
        <v>9000</v>
      </c>
      <c r="F4352" s="539" t="s">
        <v>234</v>
      </c>
      <c r="G4352" s="391">
        <v>1856</v>
      </c>
      <c r="H4352" s="446">
        <v>9</v>
      </c>
      <c r="I4352" s="446">
        <v>4</v>
      </c>
      <c r="J4352" s="528">
        <v>187</v>
      </c>
      <c r="K4352" s="389" t="s">
        <v>285</v>
      </c>
      <c r="L4352" s="519">
        <f t="shared" si="650"/>
        <v>32844000</v>
      </c>
      <c r="M4352" s="529">
        <v>32769000</v>
      </c>
      <c r="N4352" s="391">
        <v>35000</v>
      </c>
      <c r="O4352" s="530"/>
      <c r="P4352" s="391"/>
      <c r="Q4352" s="391">
        <v>40000</v>
      </c>
      <c r="R4352" s="528">
        <f>M4352/E4352</f>
        <v>3641</v>
      </c>
      <c r="S4352" s="388">
        <f t="shared" si="652"/>
        <v>0</v>
      </c>
      <c r="T4352" s="398"/>
      <c r="U4352" s="414"/>
      <c r="W4352" s="398"/>
    </row>
    <row r="4353" spans="1:23" s="416" customFormat="1" ht="75" customHeight="1">
      <c r="A4353" s="414">
        <f t="shared" si="653"/>
        <v>62</v>
      </c>
      <c r="B4353" s="404" t="s">
        <v>3737</v>
      </c>
      <c r="C4353" s="455" t="s">
        <v>218</v>
      </c>
      <c r="D4353" s="487">
        <v>47250</v>
      </c>
      <c r="E4353" s="391">
        <v>12000</v>
      </c>
      <c r="F4353" s="391" t="s">
        <v>234</v>
      </c>
      <c r="G4353" s="391">
        <v>1660.7</v>
      </c>
      <c r="H4353" s="528">
        <v>9</v>
      </c>
      <c r="I4353" s="528">
        <v>6</v>
      </c>
      <c r="J4353" s="528">
        <v>216</v>
      </c>
      <c r="K4353" s="389" t="s">
        <v>3710</v>
      </c>
      <c r="L4353" s="519">
        <f t="shared" si="650"/>
        <v>19271500</v>
      </c>
      <c r="M4353" s="529">
        <v>19196500</v>
      </c>
      <c r="N4353" s="391">
        <v>35000</v>
      </c>
      <c r="O4353" s="530"/>
      <c r="P4353" s="391"/>
      <c r="Q4353" s="391">
        <v>40000</v>
      </c>
      <c r="R4353" s="528">
        <f>M4353/E4353</f>
        <v>1599.7083333333333</v>
      </c>
      <c r="S4353" s="388">
        <f t="shared" si="652"/>
        <v>0</v>
      </c>
      <c r="T4353" s="398"/>
      <c r="U4353" s="414"/>
      <c r="W4353" s="398"/>
    </row>
    <row r="4354" spans="1:23" s="416" customFormat="1" ht="37.5" customHeight="1">
      <c r="A4354" s="414">
        <f t="shared" si="653"/>
        <v>63</v>
      </c>
      <c r="B4354" s="404" t="s">
        <v>774</v>
      </c>
      <c r="C4354" s="455" t="s">
        <v>272</v>
      </c>
      <c r="D4354" s="561">
        <v>73370</v>
      </c>
      <c r="E4354" s="565">
        <v>7128</v>
      </c>
      <c r="F4354" s="539" t="s">
        <v>234</v>
      </c>
      <c r="G4354" s="565">
        <v>2808</v>
      </c>
      <c r="H4354" s="549">
        <v>9</v>
      </c>
      <c r="I4354" s="446">
        <v>6</v>
      </c>
      <c r="J4354" s="561">
        <v>285</v>
      </c>
      <c r="K4354" s="389" t="s">
        <v>220</v>
      </c>
      <c r="L4354" s="519">
        <f t="shared" si="650"/>
        <v>12191250</v>
      </c>
      <c r="M4354" s="519">
        <v>12000000</v>
      </c>
      <c r="N4354" s="388">
        <v>191250</v>
      </c>
      <c r="O4354" s="473"/>
      <c r="P4354" s="388"/>
      <c r="Q4354" s="391"/>
      <c r="R4354" s="528">
        <f>M4354/I4354</f>
        <v>2000000</v>
      </c>
      <c r="S4354" s="388">
        <f t="shared" si="652"/>
        <v>0</v>
      </c>
      <c r="T4354" s="398"/>
      <c r="U4354" s="414"/>
      <c r="W4354" s="398"/>
    </row>
    <row r="4355" spans="1:23" ht="37.5" customHeight="1">
      <c r="A4355" s="414">
        <f t="shared" si="653"/>
        <v>64</v>
      </c>
      <c r="B4355" s="404" t="s">
        <v>3314</v>
      </c>
      <c r="C4355" s="455" t="s">
        <v>218</v>
      </c>
      <c r="D4355" s="446">
        <v>55719</v>
      </c>
      <c r="E4355" s="388">
        <v>3880</v>
      </c>
      <c r="F4355" s="391" t="s">
        <v>223</v>
      </c>
      <c r="G4355" s="388">
        <v>1979</v>
      </c>
      <c r="H4355" s="446">
        <v>5</v>
      </c>
      <c r="I4355" s="446">
        <v>7</v>
      </c>
      <c r="J4355" s="446">
        <v>139</v>
      </c>
      <c r="K4355" s="389" t="s">
        <v>225</v>
      </c>
      <c r="L4355" s="1129">
        <f>M4355+N4355+O4355+P4355+Q4355+M4356+N4356+O4356+P4356+Q4356</f>
        <v>9921119.8000000007</v>
      </c>
      <c r="M4355" s="538">
        <v>3058000</v>
      </c>
      <c r="N4355" s="391">
        <v>35000</v>
      </c>
      <c r="O4355" s="530"/>
      <c r="P4355" s="388"/>
      <c r="Q4355" s="391">
        <v>65441</v>
      </c>
      <c r="R4355" s="446">
        <v>17625.899280575541</v>
      </c>
      <c r="S4355" s="383">
        <f t="shared" si="652"/>
        <v>6762678.8000000007</v>
      </c>
      <c r="T4355" s="389"/>
      <c r="U4355" s="390"/>
      <c r="V4355" s="390"/>
      <c r="W4355" s="398"/>
    </row>
    <row r="4356" spans="1:23" ht="52.5" customHeight="1">
      <c r="A4356" s="506"/>
      <c r="B4356" s="404"/>
      <c r="C4356" s="455"/>
      <c r="D4356" s="446"/>
      <c r="E4356" s="388"/>
      <c r="F4356" s="391"/>
      <c r="G4356" s="388"/>
      <c r="H4356" s="446"/>
      <c r="I4356" s="446"/>
      <c r="J4356" s="446"/>
      <c r="K4356" s="389" t="s">
        <v>33</v>
      </c>
      <c r="L4356" s="1129"/>
      <c r="M4356" s="538">
        <v>6601600</v>
      </c>
      <c r="N4356" s="388"/>
      <c r="O4356" s="530">
        <v>19804.8</v>
      </c>
      <c r="P4356" s="388"/>
      <c r="Q4356" s="391">
        <v>141274</v>
      </c>
      <c r="R4356" s="528">
        <f>M4356/G4355</f>
        <v>3335.8261748357754</v>
      </c>
      <c r="S4356" s="383">
        <f t="shared" si="652"/>
        <v>-6762678.7999999998</v>
      </c>
      <c r="T4356" s="389"/>
      <c r="U4356" s="381"/>
      <c r="V4356" s="390"/>
      <c r="W4356" s="398"/>
    </row>
    <row r="4357" spans="1:23" s="416" customFormat="1" ht="56.25" customHeight="1">
      <c r="A4357" s="414">
        <v>65</v>
      </c>
      <c r="B4357" s="404" t="s">
        <v>3756</v>
      </c>
      <c r="C4357" s="455" t="s">
        <v>218</v>
      </c>
      <c r="D4357" s="487">
        <v>25544</v>
      </c>
      <c r="E4357" s="391">
        <v>4032</v>
      </c>
      <c r="F4357" s="391" t="s">
        <v>234</v>
      </c>
      <c r="G4357" s="391">
        <v>826</v>
      </c>
      <c r="H4357" s="528">
        <v>12</v>
      </c>
      <c r="I4357" s="528">
        <v>2</v>
      </c>
      <c r="J4357" s="528">
        <v>96</v>
      </c>
      <c r="K4357" s="389" t="s">
        <v>30</v>
      </c>
      <c r="L4357" s="519">
        <f t="shared" ref="L4357:L4386" si="654">M4357+N4357+O4357+P4357+Q4357</f>
        <v>3121216</v>
      </c>
      <c r="M4357" s="529">
        <v>3072000</v>
      </c>
      <c r="N4357" s="391"/>
      <c r="O4357" s="530">
        <v>9216</v>
      </c>
      <c r="P4357" s="391"/>
      <c r="Q4357" s="391">
        <v>40000</v>
      </c>
      <c r="R4357" s="446">
        <f>M4357/J4357</f>
        <v>32000</v>
      </c>
      <c r="S4357" s="388">
        <f t="shared" si="652"/>
        <v>0</v>
      </c>
      <c r="T4357" s="398"/>
      <c r="U4357" s="414"/>
      <c r="W4357" s="398"/>
    </row>
    <row r="4358" spans="1:23" s="401" customFormat="1" ht="54.75" customHeight="1">
      <c r="A4358" s="492">
        <f>A4357+1</f>
        <v>66</v>
      </c>
      <c r="B4358" s="404" t="s">
        <v>3888</v>
      </c>
      <c r="C4358" s="531" t="s">
        <v>218</v>
      </c>
      <c r="D4358" s="487">
        <v>23141</v>
      </c>
      <c r="E4358" s="391">
        <v>5697</v>
      </c>
      <c r="F4358" s="563" t="s">
        <v>234</v>
      </c>
      <c r="G4358" s="391">
        <v>1230</v>
      </c>
      <c r="H4358" s="528">
        <v>9</v>
      </c>
      <c r="I4358" s="528">
        <v>3</v>
      </c>
      <c r="J4358" s="528">
        <v>144</v>
      </c>
      <c r="K4358" s="500" t="s">
        <v>33</v>
      </c>
      <c r="L4358" s="519">
        <f t="shared" si="654"/>
        <v>2615749</v>
      </c>
      <c r="M4358" s="529">
        <f>G4358*2100</f>
        <v>2583000</v>
      </c>
      <c r="N4358" s="391"/>
      <c r="O4358" s="530">
        <f>M4358*0.3%</f>
        <v>7749</v>
      </c>
      <c r="P4358" s="391"/>
      <c r="Q4358" s="391">
        <v>25000</v>
      </c>
      <c r="R4358" s="528">
        <f>M4358/G4358</f>
        <v>2100</v>
      </c>
      <c r="S4358" s="486"/>
      <c r="T4358" s="416"/>
      <c r="U4358" s="416"/>
    </row>
    <row r="4359" spans="1:23" s="401" customFormat="1" ht="54.75" customHeight="1">
      <c r="A4359" s="492">
        <f t="shared" ref="A4359:A4406" si="655">A4358+1</f>
        <v>67</v>
      </c>
      <c r="B4359" s="404" t="s">
        <v>3889</v>
      </c>
      <c r="C4359" s="382" t="s">
        <v>218</v>
      </c>
      <c r="D4359" s="382">
        <v>23564</v>
      </c>
      <c r="E4359" s="383">
        <v>4080</v>
      </c>
      <c r="F4359" s="383" t="s">
        <v>234</v>
      </c>
      <c r="G4359" s="383">
        <v>1020</v>
      </c>
      <c r="H4359" s="382">
        <v>9</v>
      </c>
      <c r="I4359" s="382">
        <v>3</v>
      </c>
      <c r="J4359" s="382">
        <v>108</v>
      </c>
      <c r="K4359" s="500" t="s">
        <v>33</v>
      </c>
      <c r="L4359" s="519">
        <f t="shared" si="654"/>
        <v>2173426</v>
      </c>
      <c r="M4359" s="529">
        <f>G4359*2100</f>
        <v>2142000</v>
      </c>
      <c r="N4359" s="391"/>
      <c r="O4359" s="530">
        <f>M4359*0.3%</f>
        <v>6426</v>
      </c>
      <c r="P4359" s="391"/>
      <c r="Q4359" s="391">
        <v>25000</v>
      </c>
      <c r="R4359" s="528">
        <f>M4359/G4359</f>
        <v>2100</v>
      </c>
      <c r="S4359" s="486"/>
      <c r="T4359" s="416"/>
      <c r="U4359" s="416"/>
    </row>
    <row r="4360" spans="1:23" s="401" customFormat="1" ht="54.75" customHeight="1">
      <c r="A4360" s="492">
        <f t="shared" si="655"/>
        <v>68</v>
      </c>
      <c r="B4360" s="404" t="s">
        <v>3890</v>
      </c>
      <c r="C4360" s="403" t="s">
        <v>272</v>
      </c>
      <c r="D4360" s="427">
        <v>6320</v>
      </c>
      <c r="E4360" s="388">
        <v>1006</v>
      </c>
      <c r="F4360" s="541" t="s">
        <v>231</v>
      </c>
      <c r="G4360" s="388">
        <v>1080</v>
      </c>
      <c r="H4360" s="446">
        <v>3</v>
      </c>
      <c r="I4360" s="446">
        <v>3</v>
      </c>
      <c r="J4360" s="446">
        <v>18</v>
      </c>
      <c r="K4360" s="500" t="s">
        <v>33</v>
      </c>
      <c r="L4360" s="519">
        <f t="shared" si="654"/>
        <v>3491368</v>
      </c>
      <c r="M4360" s="529">
        <f>G4360*3200</f>
        <v>3456000</v>
      </c>
      <c r="N4360" s="391"/>
      <c r="O4360" s="530">
        <f>M4360*0.3%</f>
        <v>10368</v>
      </c>
      <c r="P4360" s="391"/>
      <c r="Q4360" s="391">
        <v>25000</v>
      </c>
      <c r="R4360" s="528">
        <f>M4360/G4360</f>
        <v>3200</v>
      </c>
      <c r="S4360" s="486"/>
      <c r="T4360" s="416"/>
      <c r="U4360" s="416"/>
    </row>
    <row r="4361" spans="1:23" s="401" customFormat="1" ht="54.75" customHeight="1">
      <c r="A4361" s="492">
        <f t="shared" si="655"/>
        <v>69</v>
      </c>
      <c r="B4361" s="404" t="s">
        <v>3891</v>
      </c>
      <c r="C4361" s="531" t="s">
        <v>218</v>
      </c>
      <c r="D4361" s="487">
        <v>30483</v>
      </c>
      <c r="E4361" s="391">
        <v>6780</v>
      </c>
      <c r="F4361" s="563" t="s">
        <v>234</v>
      </c>
      <c r="G4361" s="391">
        <v>1316.4</v>
      </c>
      <c r="H4361" s="528">
        <v>9</v>
      </c>
      <c r="I4361" s="528">
        <v>4</v>
      </c>
      <c r="J4361" s="528">
        <v>345</v>
      </c>
      <c r="K4361" s="500" t="s">
        <v>33</v>
      </c>
      <c r="L4361" s="519">
        <f t="shared" si="654"/>
        <v>2797733.32</v>
      </c>
      <c r="M4361" s="529">
        <f>G4361*2100</f>
        <v>2764440</v>
      </c>
      <c r="N4361" s="391"/>
      <c r="O4361" s="530">
        <f>M4361*0.3%</f>
        <v>8293.32</v>
      </c>
      <c r="P4361" s="391"/>
      <c r="Q4361" s="391">
        <v>25000</v>
      </c>
      <c r="R4361" s="528">
        <f>M4361/G4361</f>
        <v>2100</v>
      </c>
      <c r="S4361" s="486"/>
      <c r="T4361" s="416"/>
      <c r="U4361" s="416"/>
    </row>
    <row r="4362" spans="1:23" s="401" customFormat="1" ht="54.75" customHeight="1">
      <c r="A4362" s="492">
        <f t="shared" si="655"/>
        <v>70</v>
      </c>
      <c r="B4362" s="404" t="s">
        <v>3952</v>
      </c>
      <c r="C4362" s="403" t="s">
        <v>218</v>
      </c>
      <c r="D4362" s="403">
        <v>2176</v>
      </c>
      <c r="E4362" s="388">
        <v>2330</v>
      </c>
      <c r="F4362" s="388" t="s">
        <v>234</v>
      </c>
      <c r="G4362" s="388">
        <v>521</v>
      </c>
      <c r="H4362" s="446">
        <v>9</v>
      </c>
      <c r="I4362" s="446">
        <v>1</v>
      </c>
      <c r="J4362" s="446">
        <v>72</v>
      </c>
      <c r="K4362" s="500" t="s">
        <v>33</v>
      </c>
      <c r="L4362" s="519">
        <f t="shared" si="654"/>
        <v>1122382.3</v>
      </c>
      <c r="M4362" s="529">
        <f>G4362*2100</f>
        <v>1094100</v>
      </c>
      <c r="N4362" s="391"/>
      <c r="O4362" s="530">
        <f>M4362*0.3%</f>
        <v>3282.3</v>
      </c>
      <c r="P4362" s="391"/>
      <c r="Q4362" s="391">
        <v>25000</v>
      </c>
      <c r="R4362" s="528">
        <f>M4362/G4362</f>
        <v>2100</v>
      </c>
      <c r="S4362" s="486"/>
      <c r="T4362" s="416"/>
      <c r="U4362" s="416"/>
    </row>
    <row r="4363" spans="1:23" s="401" customFormat="1" ht="54.75" customHeight="1">
      <c r="A4363" s="492">
        <f t="shared" si="655"/>
        <v>71</v>
      </c>
      <c r="B4363" s="404" t="s">
        <v>2350</v>
      </c>
      <c r="C4363" s="455" t="s">
        <v>272</v>
      </c>
      <c r="D4363" s="808">
        <v>12563</v>
      </c>
      <c r="E4363" s="391">
        <v>2325</v>
      </c>
      <c r="F4363" s="391" t="s">
        <v>234</v>
      </c>
      <c r="G4363" s="391">
        <v>973</v>
      </c>
      <c r="H4363" s="528">
        <v>5</v>
      </c>
      <c r="I4363" s="528">
        <v>4</v>
      </c>
      <c r="J4363" s="528">
        <v>76</v>
      </c>
      <c r="K4363" s="458" t="s">
        <v>239</v>
      </c>
      <c r="L4363" s="391">
        <f t="shared" si="654"/>
        <v>2122913</v>
      </c>
      <c r="M4363" s="391">
        <f>J4363*27000</f>
        <v>2052000</v>
      </c>
      <c r="N4363" s="391">
        <v>27000</v>
      </c>
      <c r="O4363" s="391"/>
      <c r="P4363" s="391"/>
      <c r="Q4363" s="391">
        <v>43913</v>
      </c>
      <c r="R4363" s="528">
        <f>M4363/J4363</f>
        <v>27000</v>
      </c>
      <c r="S4363" s="486"/>
      <c r="T4363" s="416"/>
      <c r="U4363" s="416"/>
    </row>
    <row r="4364" spans="1:23" s="401" customFormat="1" ht="54.75" customHeight="1">
      <c r="A4364" s="492">
        <f t="shared" si="655"/>
        <v>72</v>
      </c>
      <c r="B4364" s="404" t="s">
        <v>2387</v>
      </c>
      <c r="C4364" s="455" t="s">
        <v>218</v>
      </c>
      <c r="D4364" s="808">
        <v>15916</v>
      </c>
      <c r="E4364" s="391">
        <v>3110</v>
      </c>
      <c r="F4364" s="391" t="s">
        <v>234</v>
      </c>
      <c r="G4364" s="391">
        <v>687</v>
      </c>
      <c r="H4364" s="528">
        <v>9</v>
      </c>
      <c r="I4364" s="528">
        <v>2</v>
      </c>
      <c r="J4364" s="528">
        <v>72</v>
      </c>
      <c r="K4364" s="458" t="s">
        <v>225</v>
      </c>
      <c r="L4364" s="391">
        <f t="shared" si="654"/>
        <v>1502816</v>
      </c>
      <c r="M4364" s="391">
        <f>J4364*20000</f>
        <v>1440000</v>
      </c>
      <c r="N4364" s="391">
        <v>32000</v>
      </c>
      <c r="O4364" s="391"/>
      <c r="P4364" s="391"/>
      <c r="Q4364" s="391">
        <v>30816</v>
      </c>
      <c r="R4364" s="528">
        <f>M4364/J4364</f>
        <v>20000</v>
      </c>
      <c r="S4364" s="486"/>
      <c r="T4364" s="416"/>
      <c r="U4364" s="416"/>
    </row>
    <row r="4365" spans="1:23" s="401" customFormat="1" ht="54.75" customHeight="1">
      <c r="A4365" s="492">
        <f t="shared" si="655"/>
        <v>73</v>
      </c>
      <c r="B4365" s="404" t="s">
        <v>2386</v>
      </c>
      <c r="C4365" s="455" t="s">
        <v>218</v>
      </c>
      <c r="D4365" s="808">
        <v>34473</v>
      </c>
      <c r="E4365" s="391">
        <v>2800</v>
      </c>
      <c r="F4365" s="391" t="s">
        <v>234</v>
      </c>
      <c r="G4365" s="391">
        <v>1384</v>
      </c>
      <c r="H4365" s="528">
        <v>9</v>
      </c>
      <c r="I4365" s="528">
        <v>4</v>
      </c>
      <c r="J4365" s="528">
        <v>144</v>
      </c>
      <c r="K4365" s="458" t="s">
        <v>225</v>
      </c>
      <c r="L4365" s="391">
        <f t="shared" si="654"/>
        <v>2973632</v>
      </c>
      <c r="M4365" s="391">
        <f>J4365*20000</f>
        <v>2880000</v>
      </c>
      <c r="N4365" s="391">
        <v>32000</v>
      </c>
      <c r="O4365" s="391"/>
      <c r="P4365" s="391"/>
      <c r="Q4365" s="391">
        <v>61632</v>
      </c>
      <c r="R4365" s="528">
        <f>M4365/J4365</f>
        <v>20000</v>
      </c>
      <c r="S4365" s="486"/>
      <c r="T4365" s="416"/>
      <c r="U4365" s="416"/>
    </row>
    <row r="4366" spans="1:23" s="401" customFormat="1" ht="54.75" customHeight="1">
      <c r="A4366" s="492">
        <f t="shared" si="655"/>
        <v>74</v>
      </c>
      <c r="B4366" s="404" t="s">
        <v>2393</v>
      </c>
      <c r="C4366" s="455" t="s">
        <v>218</v>
      </c>
      <c r="D4366" s="808">
        <v>12440</v>
      </c>
      <c r="E4366" s="391">
        <v>9406</v>
      </c>
      <c r="F4366" s="391" t="s">
        <v>234</v>
      </c>
      <c r="G4366" s="391">
        <v>429</v>
      </c>
      <c r="H4366" s="528">
        <v>12</v>
      </c>
      <c r="I4366" s="528">
        <v>1</v>
      </c>
      <c r="J4366" s="528">
        <v>48</v>
      </c>
      <c r="K4366" s="458" t="s">
        <v>225</v>
      </c>
      <c r="L4366" s="391">
        <f t="shared" si="654"/>
        <v>1012544</v>
      </c>
      <c r="M4366" s="391">
        <f>J4366*20000</f>
        <v>960000</v>
      </c>
      <c r="N4366" s="391">
        <v>32000</v>
      </c>
      <c r="O4366" s="391"/>
      <c r="P4366" s="391"/>
      <c r="Q4366" s="391">
        <v>20544</v>
      </c>
      <c r="R4366" s="528">
        <f>M4366/J4366</f>
        <v>20000</v>
      </c>
      <c r="S4366" s="486"/>
      <c r="T4366" s="416"/>
      <c r="U4366" s="416"/>
    </row>
    <row r="4367" spans="1:23" s="401" customFormat="1" ht="54.75" customHeight="1">
      <c r="A4367" s="492">
        <f t="shared" si="655"/>
        <v>75</v>
      </c>
      <c r="B4367" s="404" t="s">
        <v>2394</v>
      </c>
      <c r="C4367" s="455" t="s">
        <v>218</v>
      </c>
      <c r="D4367" s="808">
        <v>12440</v>
      </c>
      <c r="E4367" s="391">
        <v>3070</v>
      </c>
      <c r="F4367" s="391" t="s">
        <v>234</v>
      </c>
      <c r="G4367" s="391">
        <v>615</v>
      </c>
      <c r="H4367" s="528">
        <v>9</v>
      </c>
      <c r="I4367" s="528">
        <v>2</v>
      </c>
      <c r="J4367" s="528">
        <v>72</v>
      </c>
      <c r="K4367" s="458" t="s">
        <v>225</v>
      </c>
      <c r="L4367" s="391">
        <f t="shared" si="654"/>
        <v>1502816</v>
      </c>
      <c r="M4367" s="391">
        <f>J4367*20000</f>
        <v>1440000</v>
      </c>
      <c r="N4367" s="391">
        <v>32000</v>
      </c>
      <c r="O4367" s="391"/>
      <c r="P4367" s="391"/>
      <c r="Q4367" s="391">
        <v>30816</v>
      </c>
      <c r="R4367" s="528">
        <f>M4367/J4367</f>
        <v>20000</v>
      </c>
      <c r="S4367" s="486"/>
      <c r="T4367" s="416"/>
      <c r="U4367" s="416"/>
    </row>
    <row r="4368" spans="1:23" s="401" customFormat="1" ht="54.75" customHeight="1">
      <c r="A4368" s="492">
        <f t="shared" si="655"/>
        <v>76</v>
      </c>
      <c r="B4368" s="404" t="s">
        <v>2410</v>
      </c>
      <c r="C4368" s="455" t="s">
        <v>218</v>
      </c>
      <c r="D4368" s="808">
        <v>27010</v>
      </c>
      <c r="E4368" s="391">
        <v>4693</v>
      </c>
      <c r="F4368" s="391" t="s">
        <v>234</v>
      </c>
      <c r="G4368" s="391">
        <v>1102</v>
      </c>
      <c r="H4368" s="528">
        <v>10</v>
      </c>
      <c r="I4368" s="528">
        <v>2</v>
      </c>
      <c r="J4368" s="528">
        <v>152</v>
      </c>
      <c r="K4368" s="458" t="s">
        <v>33</v>
      </c>
      <c r="L4368" s="391">
        <f t="shared" si="654"/>
        <v>2039074.8</v>
      </c>
      <c r="M4368" s="391">
        <v>1983600</v>
      </c>
      <c r="N4368" s="391"/>
      <c r="O4368" s="391">
        <f>M4368*0.3%</f>
        <v>5950.8</v>
      </c>
      <c r="P4368" s="391"/>
      <c r="Q4368" s="391">
        <v>49524</v>
      </c>
      <c r="R4368" s="528">
        <f>M4368/G4368</f>
        <v>1800</v>
      </c>
      <c r="S4368" s="486"/>
      <c r="T4368" s="416"/>
      <c r="U4368" s="416"/>
    </row>
    <row r="4369" spans="1:21" s="401" customFormat="1" ht="54.75" customHeight="1">
      <c r="A4369" s="492">
        <f t="shared" si="655"/>
        <v>77</v>
      </c>
      <c r="B4369" s="404" t="s">
        <v>2411</v>
      </c>
      <c r="C4369" s="455" t="s">
        <v>218</v>
      </c>
      <c r="D4369" s="808">
        <v>11930</v>
      </c>
      <c r="E4369" s="391">
        <v>2414</v>
      </c>
      <c r="F4369" s="391" t="s">
        <v>234</v>
      </c>
      <c r="G4369" s="391">
        <v>520.70000000000005</v>
      </c>
      <c r="H4369" s="528">
        <v>9</v>
      </c>
      <c r="I4369" s="528">
        <v>1</v>
      </c>
      <c r="J4369" s="528">
        <v>72</v>
      </c>
      <c r="K4369" s="458" t="s">
        <v>33</v>
      </c>
      <c r="L4369" s="391">
        <f t="shared" si="654"/>
        <v>963471.78000000014</v>
      </c>
      <c r="M4369" s="391">
        <v>937260.00000000012</v>
      </c>
      <c r="N4369" s="391"/>
      <c r="O4369" s="391">
        <f>M4369*0.3%</f>
        <v>2811.78</v>
      </c>
      <c r="P4369" s="391"/>
      <c r="Q4369" s="391">
        <v>23400</v>
      </c>
      <c r="R4369" s="528">
        <f>M4369/G4369</f>
        <v>1800</v>
      </c>
      <c r="S4369" s="486"/>
      <c r="T4369" s="416"/>
      <c r="U4369" s="416"/>
    </row>
    <row r="4370" spans="1:21" s="401" customFormat="1" ht="54.75" customHeight="1">
      <c r="A4370" s="492">
        <f t="shared" si="655"/>
        <v>78</v>
      </c>
      <c r="B4370" s="404" t="s">
        <v>2420</v>
      </c>
      <c r="C4370" s="455" t="s">
        <v>272</v>
      </c>
      <c r="D4370" s="808">
        <v>9939</v>
      </c>
      <c r="E4370" s="391">
        <v>1971</v>
      </c>
      <c r="F4370" s="391" t="s">
        <v>223</v>
      </c>
      <c r="G4370" s="391">
        <v>1144</v>
      </c>
      <c r="H4370" s="528">
        <v>4</v>
      </c>
      <c r="I4370" s="528">
        <v>4</v>
      </c>
      <c r="J4370" s="528">
        <v>64</v>
      </c>
      <c r="K4370" s="458" t="s">
        <v>30</v>
      </c>
      <c r="L4370" s="391">
        <f t="shared" si="654"/>
        <v>1773184</v>
      </c>
      <c r="M4370" s="391">
        <v>1728000</v>
      </c>
      <c r="N4370" s="391"/>
      <c r="O4370" s="391">
        <v>5184</v>
      </c>
      <c r="P4370" s="391"/>
      <c r="Q4370" s="391">
        <v>40000</v>
      </c>
      <c r="R4370" s="528">
        <v>27000</v>
      </c>
      <c r="S4370" s="486"/>
      <c r="T4370" s="416"/>
      <c r="U4370" s="416"/>
    </row>
    <row r="4371" spans="1:21" s="401" customFormat="1" ht="54.75" customHeight="1">
      <c r="A4371" s="492">
        <f t="shared" si="655"/>
        <v>79</v>
      </c>
      <c r="B4371" s="404" t="s">
        <v>2438</v>
      </c>
      <c r="C4371" s="455" t="s">
        <v>283</v>
      </c>
      <c r="D4371" s="808">
        <v>35939</v>
      </c>
      <c r="E4371" s="391">
        <v>6117.93</v>
      </c>
      <c r="F4371" s="391" t="s">
        <v>304</v>
      </c>
      <c r="G4371" s="391">
        <v>1502.7</v>
      </c>
      <c r="H4371" s="528">
        <v>9</v>
      </c>
      <c r="I4371" s="528">
        <v>3</v>
      </c>
      <c r="J4371" s="528">
        <v>96</v>
      </c>
      <c r="K4371" s="458" t="s">
        <v>227</v>
      </c>
      <c r="L4371" s="391">
        <f t="shared" si="654"/>
        <v>18438790</v>
      </c>
      <c r="M4371" s="391">
        <v>18353790</v>
      </c>
      <c r="N4371" s="391">
        <v>45000</v>
      </c>
      <c r="O4371" s="391"/>
      <c r="P4371" s="391"/>
      <c r="Q4371" s="391">
        <v>40000</v>
      </c>
      <c r="R4371" s="528">
        <f>M4371/E4371</f>
        <v>3000</v>
      </c>
      <c r="S4371" s="486"/>
      <c r="T4371" s="416"/>
      <c r="U4371" s="416"/>
    </row>
    <row r="4372" spans="1:21" s="401" customFormat="1" ht="54.75" customHeight="1">
      <c r="A4372" s="492">
        <f t="shared" si="655"/>
        <v>80</v>
      </c>
      <c r="B4372" s="404" t="s">
        <v>3885</v>
      </c>
      <c r="C4372" s="455" t="s">
        <v>272</v>
      </c>
      <c r="D4372" s="544">
        <v>15990</v>
      </c>
      <c r="E4372" s="388">
        <v>976</v>
      </c>
      <c r="F4372" s="539" t="s">
        <v>234</v>
      </c>
      <c r="G4372" s="388">
        <v>400.1</v>
      </c>
      <c r="H4372" s="446">
        <v>9</v>
      </c>
      <c r="I4372" s="446">
        <v>1</v>
      </c>
      <c r="J4372" s="446">
        <v>32</v>
      </c>
      <c r="K4372" s="389" t="s">
        <v>33</v>
      </c>
      <c r="L4372" s="391">
        <f t="shared" si="654"/>
        <v>742340.54</v>
      </c>
      <c r="M4372" s="388">
        <v>720180</v>
      </c>
      <c r="N4372" s="388"/>
      <c r="O4372" s="391">
        <f>M4372*0.3%</f>
        <v>2160.54</v>
      </c>
      <c r="P4372" s="388"/>
      <c r="Q4372" s="391">
        <v>20000</v>
      </c>
      <c r="R4372" s="528"/>
      <c r="S4372" s="486"/>
      <c r="T4372" s="416"/>
      <c r="U4372" s="416"/>
    </row>
    <row r="4373" spans="1:21" s="401" customFormat="1" ht="54.75" customHeight="1">
      <c r="A4373" s="492">
        <f t="shared" si="655"/>
        <v>81</v>
      </c>
      <c r="B4373" s="404" t="s">
        <v>3275</v>
      </c>
      <c r="C4373" s="455" t="s">
        <v>3705</v>
      </c>
      <c r="D4373" s="808">
        <v>3533</v>
      </c>
      <c r="E4373" s="391">
        <v>550</v>
      </c>
      <c r="F4373" s="391" t="s">
        <v>223</v>
      </c>
      <c r="G4373" s="391">
        <v>619</v>
      </c>
      <c r="H4373" s="528">
        <v>2</v>
      </c>
      <c r="I4373" s="528">
        <v>3</v>
      </c>
      <c r="J4373" s="528">
        <v>25</v>
      </c>
      <c r="K4373" s="389" t="s">
        <v>225</v>
      </c>
      <c r="L4373" s="388">
        <f t="shared" si="654"/>
        <v>583400</v>
      </c>
      <c r="M4373" s="391">
        <v>550000</v>
      </c>
      <c r="N4373" s="391">
        <v>30000</v>
      </c>
      <c r="O4373" s="391"/>
      <c r="P4373" s="391"/>
      <c r="Q4373" s="391">
        <v>3400</v>
      </c>
      <c r="R4373" s="382">
        <f>M4373/J4373</f>
        <v>22000</v>
      </c>
      <c r="S4373" s="486"/>
      <c r="T4373" s="416"/>
      <c r="U4373" s="416"/>
    </row>
    <row r="4374" spans="1:21" s="401" customFormat="1" ht="54.75" customHeight="1">
      <c r="A4374" s="492">
        <f t="shared" si="655"/>
        <v>82</v>
      </c>
      <c r="B4374" s="404" t="s">
        <v>3276</v>
      </c>
      <c r="C4374" s="455" t="s">
        <v>3705</v>
      </c>
      <c r="D4374" s="808">
        <v>2983</v>
      </c>
      <c r="E4374" s="391">
        <v>465</v>
      </c>
      <c r="F4374" s="391" t="s">
        <v>223</v>
      </c>
      <c r="G4374" s="391">
        <v>616</v>
      </c>
      <c r="H4374" s="528">
        <v>2</v>
      </c>
      <c r="I4374" s="528">
        <v>3</v>
      </c>
      <c r="J4374" s="528">
        <v>24</v>
      </c>
      <c r="K4374" s="389" t="s">
        <v>225</v>
      </c>
      <c r="L4374" s="388">
        <f t="shared" si="654"/>
        <v>561148</v>
      </c>
      <c r="M4374" s="391">
        <v>528000</v>
      </c>
      <c r="N4374" s="391">
        <v>30000</v>
      </c>
      <c r="O4374" s="391"/>
      <c r="P4374" s="391"/>
      <c r="Q4374" s="391">
        <v>3148</v>
      </c>
      <c r="R4374" s="382">
        <f>M4374/J4374</f>
        <v>22000</v>
      </c>
      <c r="S4374" s="486"/>
      <c r="T4374" s="416"/>
      <c r="U4374" s="416"/>
    </row>
    <row r="4375" spans="1:21" s="401" customFormat="1" ht="54.75" customHeight="1">
      <c r="A4375" s="492">
        <f t="shared" si="655"/>
        <v>83</v>
      </c>
      <c r="B4375" s="493" t="s">
        <v>3280</v>
      </c>
      <c r="C4375" s="455" t="s">
        <v>218</v>
      </c>
      <c r="D4375" s="544">
        <v>12360</v>
      </c>
      <c r="E4375" s="388">
        <v>1700</v>
      </c>
      <c r="F4375" s="391" t="s">
        <v>223</v>
      </c>
      <c r="G4375" s="388">
        <v>1131</v>
      </c>
      <c r="H4375" s="446">
        <v>5</v>
      </c>
      <c r="I4375" s="446">
        <v>4</v>
      </c>
      <c r="J4375" s="446">
        <v>80</v>
      </c>
      <c r="K4375" s="389" t="s">
        <v>225</v>
      </c>
      <c r="L4375" s="388">
        <f t="shared" si="654"/>
        <v>1570568</v>
      </c>
      <c r="M4375" s="388">
        <v>1520000</v>
      </c>
      <c r="N4375" s="391">
        <v>35000</v>
      </c>
      <c r="O4375" s="391"/>
      <c r="P4375" s="388"/>
      <c r="Q4375" s="391">
        <v>15568</v>
      </c>
      <c r="R4375" s="446">
        <v>17500</v>
      </c>
      <c r="S4375" s="486"/>
      <c r="T4375" s="416"/>
      <c r="U4375" s="416"/>
    </row>
    <row r="4376" spans="1:21" s="401" customFormat="1" ht="54.75" customHeight="1">
      <c r="A4376" s="492">
        <f t="shared" si="655"/>
        <v>84</v>
      </c>
      <c r="B4376" s="404" t="s">
        <v>2490</v>
      </c>
      <c r="C4376" s="455" t="s">
        <v>272</v>
      </c>
      <c r="D4376" s="808">
        <v>6011</v>
      </c>
      <c r="E4376" s="391">
        <v>796</v>
      </c>
      <c r="F4376" s="391" t="s">
        <v>223</v>
      </c>
      <c r="G4376" s="391">
        <v>685</v>
      </c>
      <c r="H4376" s="528">
        <v>2</v>
      </c>
      <c r="I4376" s="528">
        <v>3</v>
      </c>
      <c r="J4376" s="528">
        <v>14</v>
      </c>
      <c r="K4376" s="458" t="s">
        <v>225</v>
      </c>
      <c r="L4376" s="391">
        <f t="shared" si="654"/>
        <v>289393</v>
      </c>
      <c r="M4376" s="391">
        <f>J4376*18000</f>
        <v>252000</v>
      </c>
      <c r="N4376" s="391">
        <v>32000</v>
      </c>
      <c r="O4376" s="391"/>
      <c r="P4376" s="391"/>
      <c r="Q4376" s="391">
        <v>5393</v>
      </c>
      <c r="R4376" s="528">
        <f>M4376/J4376</f>
        <v>18000</v>
      </c>
      <c r="S4376" s="486"/>
      <c r="T4376" s="416"/>
      <c r="U4376" s="416"/>
    </row>
    <row r="4377" spans="1:21" s="401" customFormat="1" ht="62.25" customHeight="1">
      <c r="A4377" s="492">
        <f t="shared" si="655"/>
        <v>85</v>
      </c>
      <c r="B4377" s="404" t="s">
        <v>2483</v>
      </c>
      <c r="C4377" s="455" t="s">
        <v>393</v>
      </c>
      <c r="D4377" s="808">
        <v>4105</v>
      </c>
      <c r="E4377" s="391">
        <v>870</v>
      </c>
      <c r="F4377" s="391" t="s">
        <v>223</v>
      </c>
      <c r="G4377" s="391">
        <v>772</v>
      </c>
      <c r="H4377" s="528">
        <v>2</v>
      </c>
      <c r="I4377" s="528">
        <v>2</v>
      </c>
      <c r="J4377" s="528">
        <v>12</v>
      </c>
      <c r="K4377" s="458" t="s">
        <v>238</v>
      </c>
      <c r="L4377" s="391">
        <f t="shared" si="654"/>
        <v>340900</v>
      </c>
      <c r="M4377" s="391">
        <f>J4377*25000</f>
        <v>300000</v>
      </c>
      <c r="N4377" s="391"/>
      <c r="O4377" s="391">
        <f t="shared" ref="O4377:O4386" si="656">M4377*0.3%</f>
        <v>900</v>
      </c>
      <c r="P4377" s="391"/>
      <c r="Q4377" s="391">
        <v>40000</v>
      </c>
      <c r="R4377" s="528">
        <f>M4377/J4377</f>
        <v>25000</v>
      </c>
      <c r="S4377" s="486"/>
      <c r="T4377" s="416"/>
      <c r="U4377" s="416"/>
    </row>
    <row r="4378" spans="1:21" s="401" customFormat="1" ht="62.25" customHeight="1">
      <c r="A4378" s="492">
        <f t="shared" si="655"/>
        <v>86</v>
      </c>
      <c r="B4378" s="404" t="s">
        <v>2484</v>
      </c>
      <c r="C4378" s="455" t="s">
        <v>393</v>
      </c>
      <c r="D4378" s="808">
        <v>3851</v>
      </c>
      <c r="E4378" s="391">
        <v>860</v>
      </c>
      <c r="F4378" s="391" t="s">
        <v>223</v>
      </c>
      <c r="G4378" s="391">
        <v>789</v>
      </c>
      <c r="H4378" s="528">
        <v>2</v>
      </c>
      <c r="I4378" s="528">
        <v>2</v>
      </c>
      <c r="J4378" s="528">
        <v>12</v>
      </c>
      <c r="K4378" s="458" t="s">
        <v>238</v>
      </c>
      <c r="L4378" s="391">
        <f t="shared" si="654"/>
        <v>340900</v>
      </c>
      <c r="M4378" s="391">
        <f>J4378*25000</f>
        <v>300000</v>
      </c>
      <c r="N4378" s="391"/>
      <c r="O4378" s="391">
        <f t="shared" si="656"/>
        <v>900</v>
      </c>
      <c r="P4378" s="391"/>
      <c r="Q4378" s="391">
        <v>40000</v>
      </c>
      <c r="R4378" s="528">
        <f>M4378/J4378</f>
        <v>25000</v>
      </c>
      <c r="S4378" s="486"/>
      <c r="T4378" s="416"/>
      <c r="U4378" s="416"/>
    </row>
    <row r="4379" spans="1:21" s="401" customFormat="1" ht="62.25" customHeight="1">
      <c r="A4379" s="492">
        <f t="shared" si="655"/>
        <v>87</v>
      </c>
      <c r="B4379" s="404" t="s">
        <v>2494</v>
      </c>
      <c r="C4379" s="455" t="s">
        <v>293</v>
      </c>
      <c r="D4379" s="808">
        <v>2414</v>
      </c>
      <c r="E4379" s="391">
        <v>498</v>
      </c>
      <c r="F4379" s="391" t="s">
        <v>223</v>
      </c>
      <c r="G4379" s="391">
        <v>491</v>
      </c>
      <c r="H4379" s="528">
        <v>2</v>
      </c>
      <c r="I4379" s="528">
        <v>2</v>
      </c>
      <c r="J4379" s="528">
        <v>16</v>
      </c>
      <c r="K4379" s="458" t="s">
        <v>238</v>
      </c>
      <c r="L4379" s="391">
        <f t="shared" si="654"/>
        <v>441200</v>
      </c>
      <c r="M4379" s="391">
        <v>400000</v>
      </c>
      <c r="N4379" s="391"/>
      <c r="O4379" s="391">
        <f t="shared" si="656"/>
        <v>1200</v>
      </c>
      <c r="P4379" s="391"/>
      <c r="Q4379" s="391">
        <v>40000</v>
      </c>
      <c r="R4379" s="528">
        <v>25000</v>
      </c>
      <c r="S4379" s="486"/>
      <c r="T4379" s="416"/>
      <c r="U4379" s="416"/>
    </row>
    <row r="4380" spans="1:21" s="401" customFormat="1" ht="62.25" customHeight="1">
      <c r="A4380" s="492">
        <f t="shared" si="655"/>
        <v>88</v>
      </c>
      <c r="B4380" s="404" t="s">
        <v>2495</v>
      </c>
      <c r="C4380" s="455" t="s">
        <v>293</v>
      </c>
      <c r="D4380" s="808">
        <v>2486</v>
      </c>
      <c r="E4380" s="391">
        <v>563</v>
      </c>
      <c r="F4380" s="391" t="s">
        <v>223</v>
      </c>
      <c r="G4380" s="391">
        <v>432</v>
      </c>
      <c r="H4380" s="528">
        <v>2</v>
      </c>
      <c r="I4380" s="528">
        <v>2</v>
      </c>
      <c r="J4380" s="528">
        <v>16</v>
      </c>
      <c r="K4380" s="458" t="s">
        <v>238</v>
      </c>
      <c r="L4380" s="391">
        <f t="shared" si="654"/>
        <v>441200</v>
      </c>
      <c r="M4380" s="391">
        <v>400000</v>
      </c>
      <c r="N4380" s="391"/>
      <c r="O4380" s="391">
        <f t="shared" si="656"/>
        <v>1200</v>
      </c>
      <c r="P4380" s="391"/>
      <c r="Q4380" s="391">
        <v>40000</v>
      </c>
      <c r="R4380" s="528">
        <v>25000</v>
      </c>
      <c r="S4380" s="486"/>
      <c r="T4380" s="416"/>
      <c r="U4380" s="416"/>
    </row>
    <row r="4381" spans="1:21" s="401" customFormat="1" ht="62.25" customHeight="1">
      <c r="A4381" s="492">
        <f t="shared" si="655"/>
        <v>89</v>
      </c>
      <c r="B4381" s="404" t="s">
        <v>2511</v>
      </c>
      <c r="C4381" s="455" t="s">
        <v>272</v>
      </c>
      <c r="D4381" s="808">
        <v>4691</v>
      </c>
      <c r="E4381" s="391">
        <v>720</v>
      </c>
      <c r="F4381" s="391" t="s">
        <v>223</v>
      </c>
      <c r="G4381" s="391">
        <v>609</v>
      </c>
      <c r="H4381" s="528">
        <v>3</v>
      </c>
      <c r="I4381" s="528">
        <v>2</v>
      </c>
      <c r="J4381" s="528">
        <v>18</v>
      </c>
      <c r="K4381" s="458" t="s">
        <v>30</v>
      </c>
      <c r="L4381" s="391">
        <f t="shared" si="654"/>
        <v>491350</v>
      </c>
      <c r="M4381" s="391">
        <f>J4381*25000</f>
        <v>450000</v>
      </c>
      <c r="N4381" s="391"/>
      <c r="O4381" s="391">
        <f t="shared" si="656"/>
        <v>1350</v>
      </c>
      <c r="P4381" s="391"/>
      <c r="Q4381" s="391">
        <v>40000</v>
      </c>
      <c r="R4381" s="528">
        <f>M4381/J4381</f>
        <v>25000</v>
      </c>
      <c r="S4381" s="486"/>
      <c r="T4381" s="416"/>
      <c r="U4381" s="416"/>
    </row>
    <row r="4382" spans="1:21" s="401" customFormat="1" ht="62.25" customHeight="1">
      <c r="A4382" s="492">
        <f t="shared" si="655"/>
        <v>90</v>
      </c>
      <c r="B4382" s="404" t="s">
        <v>2509</v>
      </c>
      <c r="C4382" s="455" t="s">
        <v>272</v>
      </c>
      <c r="D4382" s="808">
        <v>8735</v>
      </c>
      <c r="E4382" s="391">
        <v>720</v>
      </c>
      <c r="F4382" s="391" t="s">
        <v>223</v>
      </c>
      <c r="G4382" s="391">
        <v>1128</v>
      </c>
      <c r="H4382" s="528">
        <v>3</v>
      </c>
      <c r="I4382" s="528">
        <v>4</v>
      </c>
      <c r="J4382" s="528">
        <v>30</v>
      </c>
      <c r="K4382" s="458" t="s">
        <v>30</v>
      </c>
      <c r="L4382" s="391">
        <f t="shared" si="654"/>
        <v>852430</v>
      </c>
      <c r="M4382" s="391">
        <f>J4382*27000</f>
        <v>810000</v>
      </c>
      <c r="N4382" s="391"/>
      <c r="O4382" s="391">
        <f t="shared" si="656"/>
        <v>2430</v>
      </c>
      <c r="P4382" s="391"/>
      <c r="Q4382" s="391">
        <v>40000</v>
      </c>
      <c r="R4382" s="528">
        <f>M4382/J4382</f>
        <v>27000</v>
      </c>
      <c r="S4382" s="486"/>
      <c r="T4382" s="416"/>
      <c r="U4382" s="416"/>
    </row>
    <row r="4383" spans="1:21" s="401" customFormat="1" ht="62.25" customHeight="1">
      <c r="A4383" s="492">
        <f t="shared" si="655"/>
        <v>91</v>
      </c>
      <c r="B4383" s="404" t="s">
        <v>2515</v>
      </c>
      <c r="C4383" s="455" t="s">
        <v>315</v>
      </c>
      <c r="D4383" s="808">
        <v>3235</v>
      </c>
      <c r="E4383" s="391">
        <v>711</v>
      </c>
      <c r="F4383" s="391" t="s">
        <v>231</v>
      </c>
      <c r="G4383" s="391">
        <v>328</v>
      </c>
      <c r="H4383" s="528">
        <v>2</v>
      </c>
      <c r="I4383" s="528">
        <v>1</v>
      </c>
      <c r="J4383" s="528">
        <v>24</v>
      </c>
      <c r="K4383" s="458" t="s">
        <v>238</v>
      </c>
      <c r="L4383" s="391">
        <f t="shared" si="654"/>
        <v>621454</v>
      </c>
      <c r="M4383" s="391">
        <f>J4383*25000</f>
        <v>600000</v>
      </c>
      <c r="N4383" s="391"/>
      <c r="O4383" s="391">
        <f t="shared" si="656"/>
        <v>1800</v>
      </c>
      <c r="P4383" s="391"/>
      <c r="Q4383" s="391">
        <v>19654</v>
      </c>
      <c r="R4383" s="528">
        <f>M4383/G4383</f>
        <v>1829.2682926829268</v>
      </c>
      <c r="S4383" s="486"/>
      <c r="T4383" s="416"/>
      <c r="U4383" s="416"/>
    </row>
    <row r="4384" spans="1:21" s="401" customFormat="1" ht="54.75" customHeight="1">
      <c r="A4384" s="492">
        <f t="shared" si="655"/>
        <v>92</v>
      </c>
      <c r="B4384" s="404" t="s">
        <v>2527</v>
      </c>
      <c r="C4384" s="455" t="s">
        <v>405</v>
      </c>
      <c r="D4384" s="808">
        <v>7761</v>
      </c>
      <c r="E4384" s="391">
        <v>1613</v>
      </c>
      <c r="F4384" s="391" t="s">
        <v>234</v>
      </c>
      <c r="G4384" s="391">
        <v>609.70000000000005</v>
      </c>
      <c r="H4384" s="528">
        <v>5</v>
      </c>
      <c r="I4384" s="528">
        <v>3</v>
      </c>
      <c r="J4384" s="528">
        <v>45</v>
      </c>
      <c r="K4384" s="458" t="s">
        <v>33</v>
      </c>
      <c r="L4384" s="391">
        <f t="shared" si="654"/>
        <v>1128152.3799999999</v>
      </c>
      <c r="M4384" s="391">
        <v>1097460</v>
      </c>
      <c r="N4384" s="391"/>
      <c r="O4384" s="391">
        <f t="shared" si="656"/>
        <v>3292.38</v>
      </c>
      <c r="P4384" s="391"/>
      <c r="Q4384" s="391">
        <v>27400</v>
      </c>
      <c r="R4384" s="528">
        <f>M4384/G4384</f>
        <v>1799.9999999999998</v>
      </c>
      <c r="S4384" s="486"/>
      <c r="T4384" s="416"/>
      <c r="U4384" s="416"/>
    </row>
    <row r="4385" spans="1:21" s="401" customFormat="1" ht="54.75" customHeight="1">
      <c r="A4385" s="492">
        <f t="shared" si="655"/>
        <v>93</v>
      </c>
      <c r="B4385" s="404" t="s">
        <v>2521</v>
      </c>
      <c r="C4385" s="455" t="s">
        <v>230</v>
      </c>
      <c r="D4385" s="808">
        <v>2811</v>
      </c>
      <c r="E4385" s="391">
        <v>334</v>
      </c>
      <c r="F4385" s="391" t="s">
        <v>223</v>
      </c>
      <c r="G4385" s="391">
        <v>608.5</v>
      </c>
      <c r="H4385" s="528">
        <v>2</v>
      </c>
      <c r="I4385" s="528">
        <v>2</v>
      </c>
      <c r="J4385" s="528">
        <v>24</v>
      </c>
      <c r="K4385" s="458" t="s">
        <v>33</v>
      </c>
      <c r="L4385" s="391">
        <f t="shared" si="654"/>
        <v>1737559.4</v>
      </c>
      <c r="M4385" s="391">
        <v>1703800</v>
      </c>
      <c r="N4385" s="391"/>
      <c r="O4385" s="391">
        <f t="shared" si="656"/>
        <v>5111.4000000000005</v>
      </c>
      <c r="P4385" s="391"/>
      <c r="Q4385" s="391">
        <v>28648</v>
      </c>
      <c r="R4385" s="528">
        <f>M4385/G4385</f>
        <v>2800</v>
      </c>
      <c r="S4385" s="486"/>
      <c r="T4385" s="416"/>
      <c r="U4385" s="416"/>
    </row>
    <row r="4386" spans="1:21" s="401" customFormat="1" ht="54.75" customHeight="1">
      <c r="A4386" s="492">
        <f t="shared" si="655"/>
        <v>94</v>
      </c>
      <c r="B4386" s="404" t="s">
        <v>2550</v>
      </c>
      <c r="C4386" s="455" t="s">
        <v>272</v>
      </c>
      <c r="D4386" s="808">
        <v>24554</v>
      </c>
      <c r="E4386" s="391">
        <v>3430</v>
      </c>
      <c r="F4386" s="391" t="s">
        <v>396</v>
      </c>
      <c r="G4386" s="391">
        <v>350</v>
      </c>
      <c r="H4386" s="528">
        <v>16</v>
      </c>
      <c r="I4386" s="528">
        <v>1</v>
      </c>
      <c r="J4386" s="528">
        <v>79</v>
      </c>
      <c r="K4386" s="458" t="s">
        <v>33</v>
      </c>
      <c r="L4386" s="391">
        <f t="shared" si="654"/>
        <v>1147328</v>
      </c>
      <c r="M4386" s="391">
        <f>G4386*3200</f>
        <v>1120000</v>
      </c>
      <c r="N4386" s="391"/>
      <c r="O4386" s="391">
        <f t="shared" si="656"/>
        <v>3360</v>
      </c>
      <c r="P4386" s="391"/>
      <c r="Q4386" s="391">
        <v>23968</v>
      </c>
      <c r="R4386" s="528">
        <f>M4386/G4386</f>
        <v>3200</v>
      </c>
      <c r="S4386" s="486"/>
      <c r="T4386" s="416"/>
      <c r="U4386" s="416"/>
    </row>
    <row r="4387" spans="1:21" s="401" customFormat="1" ht="54.75" customHeight="1">
      <c r="A4387" s="492">
        <f t="shared" si="655"/>
        <v>95</v>
      </c>
      <c r="B4387" s="404" t="s">
        <v>3728</v>
      </c>
      <c r="C4387" s="455" t="s">
        <v>293</v>
      </c>
      <c r="D4387" s="808">
        <v>1758</v>
      </c>
      <c r="E4387" s="391">
        <v>452</v>
      </c>
      <c r="F4387" s="391" t="s">
        <v>252</v>
      </c>
      <c r="G4387" s="391">
        <v>550</v>
      </c>
      <c r="H4387" s="528">
        <v>2</v>
      </c>
      <c r="I4387" s="528">
        <v>2</v>
      </c>
      <c r="J4387" s="528">
        <v>8</v>
      </c>
      <c r="K4387" s="458" t="s">
        <v>38</v>
      </c>
      <c r="L4387" s="388">
        <f>M4387+N4387+O4387+Q4387</f>
        <v>716378</v>
      </c>
      <c r="M4387" s="391">
        <v>678000</v>
      </c>
      <c r="N4387" s="391">
        <v>20000</v>
      </c>
      <c r="O4387" s="391"/>
      <c r="P4387" s="391"/>
      <c r="Q4387" s="391">
        <v>18378</v>
      </c>
      <c r="R4387" s="528">
        <f>M4387/E4387</f>
        <v>1500</v>
      </c>
      <c r="S4387" s="486"/>
      <c r="T4387" s="416"/>
      <c r="U4387" s="416"/>
    </row>
    <row r="4388" spans="1:21" s="401" customFormat="1" ht="54.75" customHeight="1">
      <c r="A4388" s="492">
        <f t="shared" si="655"/>
        <v>96</v>
      </c>
      <c r="B4388" s="404" t="s">
        <v>2622</v>
      </c>
      <c r="C4388" s="455" t="s">
        <v>218</v>
      </c>
      <c r="D4388" s="808">
        <v>12405</v>
      </c>
      <c r="E4388" s="391">
        <v>2375</v>
      </c>
      <c r="F4388" s="391" t="s">
        <v>223</v>
      </c>
      <c r="G4388" s="391">
        <v>1084</v>
      </c>
      <c r="H4388" s="528">
        <v>5</v>
      </c>
      <c r="I4388" s="528">
        <v>4</v>
      </c>
      <c r="J4388" s="528">
        <v>80</v>
      </c>
      <c r="K4388" s="458" t="s">
        <v>225</v>
      </c>
      <c r="L4388" s="391">
        <f>M4388+N4388+O4388+P4388+Q4388</f>
        <v>1334392</v>
      </c>
      <c r="M4388" s="391">
        <f>J4388*16000</f>
        <v>1280000</v>
      </c>
      <c r="N4388" s="391">
        <v>27000</v>
      </c>
      <c r="O4388" s="391"/>
      <c r="P4388" s="391"/>
      <c r="Q4388" s="391">
        <v>27392</v>
      </c>
      <c r="R4388" s="528">
        <f>M4388/J4388</f>
        <v>16000</v>
      </c>
      <c r="S4388" s="486"/>
      <c r="T4388" s="416"/>
      <c r="U4388" s="416"/>
    </row>
    <row r="4389" spans="1:21" s="401" customFormat="1" ht="54.75" customHeight="1">
      <c r="A4389" s="492">
        <f t="shared" si="655"/>
        <v>97</v>
      </c>
      <c r="B4389" s="404" t="s">
        <v>2625</v>
      </c>
      <c r="C4389" s="455" t="s">
        <v>315</v>
      </c>
      <c r="D4389" s="808">
        <v>9639</v>
      </c>
      <c r="E4389" s="391">
        <v>1814</v>
      </c>
      <c r="F4389" s="391" t="s">
        <v>223</v>
      </c>
      <c r="G4389" s="391">
        <v>1369</v>
      </c>
      <c r="H4389" s="528">
        <v>4</v>
      </c>
      <c r="I4389" s="528">
        <v>4</v>
      </c>
      <c r="J4389" s="528">
        <v>60</v>
      </c>
      <c r="K4389" s="458" t="s">
        <v>225</v>
      </c>
      <c r="L4389" s="391">
        <f>M4389+N4389+O4389+P4389+Q4389</f>
        <v>1005544</v>
      </c>
      <c r="M4389" s="391">
        <f>J4389*16000</f>
        <v>960000</v>
      </c>
      <c r="N4389" s="391">
        <v>25000</v>
      </c>
      <c r="O4389" s="391"/>
      <c r="P4389" s="391"/>
      <c r="Q4389" s="391">
        <v>20544</v>
      </c>
      <c r="R4389" s="528">
        <f>M4389/J4389</f>
        <v>16000</v>
      </c>
      <c r="S4389" s="486"/>
      <c r="T4389" s="416"/>
      <c r="U4389" s="416"/>
    </row>
    <row r="4390" spans="1:21" s="401" customFormat="1" ht="54.75" customHeight="1">
      <c r="A4390" s="492">
        <f t="shared" si="655"/>
        <v>98</v>
      </c>
      <c r="B4390" s="404" t="s">
        <v>2628</v>
      </c>
      <c r="C4390" s="455" t="s">
        <v>272</v>
      </c>
      <c r="D4390" s="808">
        <v>15533</v>
      </c>
      <c r="E4390" s="391">
        <v>2440</v>
      </c>
      <c r="F4390" s="391" t="s">
        <v>231</v>
      </c>
      <c r="G4390" s="391">
        <v>1236</v>
      </c>
      <c r="H4390" s="528">
        <v>5</v>
      </c>
      <c r="I4390" s="528">
        <v>4</v>
      </c>
      <c r="J4390" s="528">
        <v>66</v>
      </c>
      <c r="K4390" s="458" t="s">
        <v>225</v>
      </c>
      <c r="L4390" s="391">
        <f>M4390+N4390+O4390+P4390+Q4390</f>
        <v>1110598</v>
      </c>
      <c r="M4390" s="391">
        <f>J4390*16000</f>
        <v>1056000</v>
      </c>
      <c r="N4390" s="391">
        <v>32000</v>
      </c>
      <c r="O4390" s="391"/>
      <c r="P4390" s="391"/>
      <c r="Q4390" s="391">
        <v>22598</v>
      </c>
      <c r="R4390" s="528">
        <f>M4390/J4390</f>
        <v>16000</v>
      </c>
      <c r="S4390" s="486"/>
      <c r="T4390" s="416"/>
      <c r="U4390" s="416"/>
    </row>
    <row r="4391" spans="1:21" s="401" customFormat="1" ht="54.75" customHeight="1">
      <c r="A4391" s="492">
        <f t="shared" si="655"/>
        <v>99</v>
      </c>
      <c r="B4391" s="404" t="s">
        <v>3303</v>
      </c>
      <c r="C4391" s="455" t="s">
        <v>230</v>
      </c>
      <c r="D4391" s="808">
        <v>3411</v>
      </c>
      <c r="E4391" s="391">
        <v>328</v>
      </c>
      <c r="F4391" s="391" t="s">
        <v>223</v>
      </c>
      <c r="G4391" s="391">
        <v>697.7</v>
      </c>
      <c r="H4391" s="528">
        <v>2</v>
      </c>
      <c r="I4391" s="528">
        <v>3</v>
      </c>
      <c r="J4391" s="528">
        <v>26</v>
      </c>
      <c r="K4391" s="458" t="s">
        <v>30</v>
      </c>
      <c r="L4391" s="388">
        <f>M4391+N4391+O4391+Q4391</f>
        <v>688910</v>
      </c>
      <c r="M4391" s="391">
        <v>650000</v>
      </c>
      <c r="N4391" s="391">
        <v>25000</v>
      </c>
      <c r="O4391" s="391"/>
      <c r="P4391" s="391"/>
      <c r="Q4391" s="391">
        <v>13910</v>
      </c>
      <c r="R4391" s="528">
        <v>25000</v>
      </c>
      <c r="S4391" s="486"/>
      <c r="T4391" s="416"/>
      <c r="U4391" s="416"/>
    </row>
    <row r="4392" spans="1:21" s="401" customFormat="1" ht="54.75" customHeight="1">
      <c r="A4392" s="492">
        <f t="shared" si="655"/>
        <v>100</v>
      </c>
      <c r="B4392" s="404" t="s">
        <v>2664</v>
      </c>
      <c r="C4392" s="455" t="s">
        <v>218</v>
      </c>
      <c r="D4392" s="808">
        <v>11962</v>
      </c>
      <c r="E4392" s="391">
        <v>2860</v>
      </c>
      <c r="F4392" s="391" t="s">
        <v>234</v>
      </c>
      <c r="G4392" s="391">
        <v>409</v>
      </c>
      <c r="H4392" s="528">
        <v>12</v>
      </c>
      <c r="I4392" s="528">
        <v>1</v>
      </c>
      <c r="J4392" s="528">
        <v>47</v>
      </c>
      <c r="K4392" s="458" t="s">
        <v>30</v>
      </c>
      <c r="L4392" s="391">
        <f>M4392+N4392+O4392+P4392+Q4392</f>
        <v>1540698</v>
      </c>
      <c r="M4392" s="391">
        <f>J4392*32000</f>
        <v>1504000</v>
      </c>
      <c r="N4392" s="391"/>
      <c r="O4392" s="391">
        <f>M4392*0.3%</f>
        <v>4512</v>
      </c>
      <c r="P4392" s="391"/>
      <c r="Q4392" s="391">
        <v>32186</v>
      </c>
      <c r="R4392" s="528">
        <f>M4392/J4392</f>
        <v>32000</v>
      </c>
      <c r="S4392" s="486"/>
      <c r="T4392" s="416"/>
      <c r="U4392" s="416"/>
    </row>
    <row r="4393" spans="1:21" s="401" customFormat="1" ht="54.75" customHeight="1">
      <c r="A4393" s="492">
        <f t="shared" si="655"/>
        <v>101</v>
      </c>
      <c r="B4393" s="404" t="s">
        <v>2673</v>
      </c>
      <c r="C4393" s="455" t="s">
        <v>272</v>
      </c>
      <c r="D4393" s="808">
        <v>47926</v>
      </c>
      <c r="E4393" s="391">
        <v>2782</v>
      </c>
      <c r="F4393" s="391" t="s">
        <v>234</v>
      </c>
      <c r="G4393" s="391">
        <v>1435.5</v>
      </c>
      <c r="H4393" s="528">
        <v>9</v>
      </c>
      <c r="I4393" s="528">
        <v>4</v>
      </c>
      <c r="J4393" s="528">
        <v>128</v>
      </c>
      <c r="K4393" s="458" t="s">
        <v>225</v>
      </c>
      <c r="L4393" s="391">
        <f>M4393+N4393+O4393+P4393+Q4393</f>
        <v>2632000</v>
      </c>
      <c r="M4393" s="391">
        <f>J4393*20000</f>
        <v>2560000</v>
      </c>
      <c r="N4393" s="391">
        <v>32000</v>
      </c>
      <c r="O4393" s="391"/>
      <c r="P4393" s="391"/>
      <c r="Q4393" s="391">
        <v>40000</v>
      </c>
      <c r="R4393" s="528">
        <f>M4393/J4393</f>
        <v>20000</v>
      </c>
      <c r="S4393" s="486"/>
      <c r="T4393" s="416"/>
      <c r="U4393" s="416"/>
    </row>
    <row r="4394" spans="1:21" s="401" customFormat="1" ht="54.75" customHeight="1">
      <c r="A4394" s="492">
        <f t="shared" si="655"/>
        <v>102</v>
      </c>
      <c r="B4394" s="404" t="s">
        <v>2551</v>
      </c>
      <c r="C4394" s="455" t="s">
        <v>272</v>
      </c>
      <c r="D4394" s="808">
        <v>17344</v>
      </c>
      <c r="E4394" s="391">
        <v>3860</v>
      </c>
      <c r="F4394" s="391" t="s">
        <v>234</v>
      </c>
      <c r="G4394" s="391">
        <v>860</v>
      </c>
      <c r="H4394" s="528">
        <v>9</v>
      </c>
      <c r="I4394" s="528">
        <v>2</v>
      </c>
      <c r="J4394" s="528">
        <v>90</v>
      </c>
      <c r="K4394" s="458" t="s">
        <v>225</v>
      </c>
      <c r="L4394" s="391">
        <v>2220582</v>
      </c>
      <c r="M4394" s="391">
        <v>2130000</v>
      </c>
      <c r="N4394" s="391">
        <v>45000</v>
      </c>
      <c r="O4394" s="391"/>
      <c r="P4394" s="391"/>
      <c r="Q4394" s="391">
        <v>45582</v>
      </c>
      <c r="R4394" s="528">
        <v>23666.666666666668</v>
      </c>
      <c r="S4394" s="486"/>
      <c r="T4394" s="416"/>
      <c r="U4394" s="416"/>
    </row>
    <row r="4395" spans="1:21" s="401" customFormat="1" ht="54.75" customHeight="1">
      <c r="A4395" s="492">
        <f t="shared" si="655"/>
        <v>103</v>
      </c>
      <c r="B4395" s="404" t="s">
        <v>2679</v>
      </c>
      <c r="C4395" s="455" t="s">
        <v>315</v>
      </c>
      <c r="D4395" s="808">
        <v>4128</v>
      </c>
      <c r="E4395" s="391">
        <v>918</v>
      </c>
      <c r="F4395" s="391" t="s">
        <v>223</v>
      </c>
      <c r="G4395" s="391">
        <v>585</v>
      </c>
      <c r="H4395" s="528">
        <v>3</v>
      </c>
      <c r="I4395" s="528">
        <v>2</v>
      </c>
      <c r="J4395" s="528">
        <v>18</v>
      </c>
      <c r="K4395" s="458" t="s">
        <v>33</v>
      </c>
      <c r="L4395" s="391">
        <f>M4395+N4395+O4395+P4395+Q4395</f>
        <v>1677967</v>
      </c>
      <c r="M4395" s="391">
        <f>G4395*2800</f>
        <v>1638000</v>
      </c>
      <c r="N4395" s="391"/>
      <c r="O4395" s="391">
        <f>M4395*0.3%</f>
        <v>4914</v>
      </c>
      <c r="P4395" s="391"/>
      <c r="Q4395" s="391">
        <v>35053</v>
      </c>
      <c r="R4395" s="528">
        <f>M4395/G4395</f>
        <v>2800</v>
      </c>
      <c r="S4395" s="486"/>
      <c r="T4395" s="416"/>
      <c r="U4395" s="416"/>
    </row>
    <row r="4396" spans="1:21" s="401" customFormat="1" ht="54.75" customHeight="1">
      <c r="A4396" s="492">
        <f t="shared" si="655"/>
        <v>104</v>
      </c>
      <c r="B4396" s="404" t="s">
        <v>2681</v>
      </c>
      <c r="C4396" s="455" t="s">
        <v>293</v>
      </c>
      <c r="D4396" s="808">
        <v>3110</v>
      </c>
      <c r="E4396" s="391">
        <v>747</v>
      </c>
      <c r="F4396" s="391" t="s">
        <v>252</v>
      </c>
      <c r="G4396" s="391">
        <v>650</v>
      </c>
      <c r="H4396" s="528">
        <v>2</v>
      </c>
      <c r="I4396" s="528">
        <v>2</v>
      </c>
      <c r="J4396" s="528">
        <v>16</v>
      </c>
      <c r="K4396" s="458" t="s">
        <v>225</v>
      </c>
      <c r="L4396" s="391">
        <f>M4396+N4396+O4396+P4396+Q4396</f>
        <v>319163</v>
      </c>
      <c r="M4396" s="391">
        <f>J4396*18000</f>
        <v>288000</v>
      </c>
      <c r="N4396" s="391">
        <v>25000</v>
      </c>
      <c r="O4396" s="391"/>
      <c r="P4396" s="391"/>
      <c r="Q4396" s="391">
        <v>6163</v>
      </c>
      <c r="R4396" s="528">
        <f>M4396/J4396</f>
        <v>18000</v>
      </c>
      <c r="S4396" s="486"/>
      <c r="T4396" s="416"/>
      <c r="U4396" s="416"/>
    </row>
    <row r="4397" spans="1:21" s="401" customFormat="1" ht="54.75" customHeight="1">
      <c r="A4397" s="492">
        <f t="shared" si="655"/>
        <v>105</v>
      </c>
      <c r="B4397" s="404" t="s">
        <v>2699</v>
      </c>
      <c r="C4397" s="455" t="s">
        <v>272</v>
      </c>
      <c r="D4397" s="808">
        <v>4118</v>
      </c>
      <c r="E4397" s="391">
        <v>672</v>
      </c>
      <c r="F4397" s="391" t="s">
        <v>223</v>
      </c>
      <c r="G4397" s="391">
        <v>827</v>
      </c>
      <c r="H4397" s="528">
        <v>2</v>
      </c>
      <c r="I4397" s="528">
        <v>2</v>
      </c>
      <c r="J4397" s="528">
        <v>12</v>
      </c>
      <c r="K4397" s="458" t="s">
        <v>33</v>
      </c>
      <c r="L4397" s="391">
        <f>M4397+N4397+O4397+P4397+Q4397</f>
        <v>2362546.7999999998</v>
      </c>
      <c r="M4397" s="391">
        <f>G4397*2800</f>
        <v>2315600</v>
      </c>
      <c r="N4397" s="391"/>
      <c r="O4397" s="391">
        <f>M4397*0.3%</f>
        <v>6946.8</v>
      </c>
      <c r="P4397" s="391"/>
      <c r="Q4397" s="391">
        <v>40000</v>
      </c>
      <c r="R4397" s="528">
        <f>M4397/G4397</f>
        <v>2800</v>
      </c>
      <c r="S4397" s="486"/>
      <c r="T4397" s="416"/>
      <c r="U4397" s="416"/>
    </row>
    <row r="4398" spans="1:21" s="401" customFormat="1" ht="54.75" customHeight="1">
      <c r="A4398" s="492">
        <f t="shared" si="655"/>
        <v>106</v>
      </c>
      <c r="B4398" s="404" t="s">
        <v>2700</v>
      </c>
      <c r="C4398" s="455" t="s">
        <v>240</v>
      </c>
      <c r="D4398" s="808">
        <v>4217</v>
      </c>
      <c r="E4398" s="391">
        <v>698</v>
      </c>
      <c r="F4398" s="391" t="s">
        <v>223</v>
      </c>
      <c r="G4398" s="391">
        <v>837</v>
      </c>
      <c r="H4398" s="528">
        <v>2</v>
      </c>
      <c r="I4398" s="528">
        <v>2</v>
      </c>
      <c r="J4398" s="528">
        <v>12</v>
      </c>
      <c r="K4398" s="458" t="s">
        <v>33</v>
      </c>
      <c r="L4398" s="391">
        <f>M4398+N4398+O4398+P4398+Q4398</f>
        <v>2390630.7999999998</v>
      </c>
      <c r="M4398" s="391">
        <f>G4398*2800</f>
        <v>2343600</v>
      </c>
      <c r="N4398" s="391"/>
      <c r="O4398" s="391">
        <f>M4398*0.3%</f>
        <v>7030.8</v>
      </c>
      <c r="P4398" s="391"/>
      <c r="Q4398" s="391">
        <v>40000</v>
      </c>
      <c r="R4398" s="528">
        <f>M4398/G4398</f>
        <v>2800</v>
      </c>
      <c r="S4398" s="486"/>
      <c r="T4398" s="416"/>
      <c r="U4398" s="416"/>
    </row>
    <row r="4399" spans="1:21" s="401" customFormat="1" ht="66.75" customHeight="1">
      <c r="A4399" s="492">
        <f t="shared" si="655"/>
        <v>107</v>
      </c>
      <c r="B4399" s="404" t="s">
        <v>2712</v>
      </c>
      <c r="C4399" s="455" t="s">
        <v>293</v>
      </c>
      <c r="D4399" s="808">
        <v>1354</v>
      </c>
      <c r="E4399" s="391">
        <v>650</v>
      </c>
      <c r="F4399" s="391" t="s">
        <v>223</v>
      </c>
      <c r="G4399" s="391">
        <v>278</v>
      </c>
      <c r="H4399" s="528">
        <v>2</v>
      </c>
      <c r="I4399" s="528">
        <v>4</v>
      </c>
      <c r="J4399" s="528">
        <v>8</v>
      </c>
      <c r="K4399" s="458" t="s">
        <v>238</v>
      </c>
      <c r="L4399" s="391">
        <f>M4399+N4399+O4399+P4399+Q4399</f>
        <v>204880</v>
      </c>
      <c r="M4399" s="391">
        <f>J4399*25000</f>
        <v>200000</v>
      </c>
      <c r="N4399" s="391"/>
      <c r="O4399" s="391">
        <f>M4399*0.3%</f>
        <v>600</v>
      </c>
      <c r="P4399" s="391"/>
      <c r="Q4399" s="391">
        <v>4280</v>
      </c>
      <c r="R4399" s="528">
        <f>M4399/J4399</f>
        <v>25000</v>
      </c>
      <c r="S4399" s="486"/>
      <c r="T4399" s="416"/>
      <c r="U4399" s="416"/>
    </row>
    <row r="4400" spans="1:21" s="401" customFormat="1" ht="66.75" customHeight="1">
      <c r="A4400" s="492">
        <f t="shared" si="655"/>
        <v>108</v>
      </c>
      <c r="B4400" s="404" t="s">
        <v>2449</v>
      </c>
      <c r="C4400" s="455" t="s">
        <v>315</v>
      </c>
      <c r="D4400" s="808">
        <v>6206</v>
      </c>
      <c r="E4400" s="391">
        <v>1206</v>
      </c>
      <c r="F4400" s="391" t="s">
        <v>234</v>
      </c>
      <c r="G4400" s="391">
        <v>759</v>
      </c>
      <c r="H4400" s="528">
        <v>5</v>
      </c>
      <c r="I4400" s="528">
        <v>1</v>
      </c>
      <c r="J4400" s="528">
        <v>20</v>
      </c>
      <c r="K4400" s="458" t="s">
        <v>33</v>
      </c>
      <c r="L4400" s="391">
        <f t="shared" ref="L4400:L4406" si="657">M4400+N4400+O4400+P4400+Q4400</f>
        <v>1405090.7</v>
      </c>
      <c r="M4400" s="391">
        <v>1366200</v>
      </c>
      <c r="N4400" s="391"/>
      <c r="O4400" s="391">
        <v>4781.7</v>
      </c>
      <c r="P4400" s="391"/>
      <c r="Q4400" s="391">
        <v>34109</v>
      </c>
      <c r="R4400" s="528"/>
      <c r="S4400" s="486"/>
      <c r="T4400" s="416"/>
      <c r="U4400" s="416"/>
    </row>
    <row r="4401" spans="1:219" s="401" customFormat="1" ht="66.75" customHeight="1">
      <c r="A4401" s="492">
        <f t="shared" si="655"/>
        <v>109</v>
      </c>
      <c r="B4401" s="404" t="s">
        <v>2692</v>
      </c>
      <c r="C4401" s="455" t="s">
        <v>218</v>
      </c>
      <c r="D4401" s="808">
        <v>15850</v>
      </c>
      <c r="E4401" s="391">
        <v>3339</v>
      </c>
      <c r="F4401" s="391" t="s">
        <v>234</v>
      </c>
      <c r="G4401" s="391">
        <v>686</v>
      </c>
      <c r="H4401" s="528">
        <v>9</v>
      </c>
      <c r="I4401" s="528">
        <v>2</v>
      </c>
      <c r="J4401" s="528">
        <v>72</v>
      </c>
      <c r="K4401" s="458" t="s">
        <v>364</v>
      </c>
      <c r="L4401" s="391">
        <f t="shared" si="657"/>
        <v>4106250</v>
      </c>
      <c r="M4401" s="391">
        <v>4000000</v>
      </c>
      <c r="N4401" s="391">
        <v>106250</v>
      </c>
      <c r="O4401" s="391"/>
      <c r="P4401" s="391"/>
      <c r="Q4401" s="391"/>
      <c r="R4401" s="528"/>
      <c r="S4401" s="486"/>
      <c r="T4401" s="416"/>
      <c r="U4401" s="416"/>
    </row>
    <row r="4402" spans="1:219" s="401" customFormat="1" ht="66.75" customHeight="1">
      <c r="A4402" s="492">
        <f t="shared" si="655"/>
        <v>110</v>
      </c>
      <c r="B4402" s="404" t="s">
        <v>2698</v>
      </c>
      <c r="C4402" s="455" t="s">
        <v>272</v>
      </c>
      <c r="D4402" s="808">
        <v>5332</v>
      </c>
      <c r="E4402" s="391">
        <v>445.8</v>
      </c>
      <c r="F4402" s="391" t="s">
        <v>223</v>
      </c>
      <c r="G4402" s="391">
        <v>579.5</v>
      </c>
      <c r="H4402" s="528">
        <v>4</v>
      </c>
      <c r="I4402" s="528">
        <v>2</v>
      </c>
      <c r="J4402" s="528">
        <v>32</v>
      </c>
      <c r="K4402" s="458" t="s">
        <v>30</v>
      </c>
      <c r="L4402" s="391">
        <f t="shared" si="657"/>
        <v>885082</v>
      </c>
      <c r="M4402" s="391">
        <v>864000</v>
      </c>
      <c r="N4402" s="391"/>
      <c r="O4402" s="391">
        <v>2592</v>
      </c>
      <c r="P4402" s="391"/>
      <c r="Q4402" s="391">
        <v>18490</v>
      </c>
      <c r="R4402" s="528"/>
      <c r="S4402" s="486"/>
      <c r="T4402" s="416"/>
      <c r="U4402" s="416"/>
    </row>
    <row r="4403" spans="1:219" s="401" customFormat="1" ht="66.75" customHeight="1">
      <c r="A4403" s="492">
        <f t="shared" si="655"/>
        <v>111</v>
      </c>
      <c r="B4403" s="404" t="s">
        <v>3724</v>
      </c>
      <c r="C4403" s="455" t="s">
        <v>272</v>
      </c>
      <c r="D4403" s="808">
        <v>7240</v>
      </c>
      <c r="E4403" s="391">
        <v>4077</v>
      </c>
      <c r="F4403" s="391" t="s">
        <v>223</v>
      </c>
      <c r="G4403" s="391">
        <v>2429</v>
      </c>
      <c r="H4403" s="528">
        <v>6</v>
      </c>
      <c r="I4403" s="528">
        <v>7</v>
      </c>
      <c r="J4403" s="528">
        <v>140</v>
      </c>
      <c r="K4403" s="458" t="s">
        <v>225</v>
      </c>
      <c r="L4403" s="391">
        <f t="shared" si="657"/>
        <v>2855000</v>
      </c>
      <c r="M4403" s="391">
        <v>2800000</v>
      </c>
      <c r="N4403" s="391">
        <v>35000</v>
      </c>
      <c r="O4403" s="391"/>
      <c r="P4403" s="391"/>
      <c r="Q4403" s="391">
        <v>20000</v>
      </c>
      <c r="R4403" s="528"/>
      <c r="S4403" s="486"/>
      <c r="T4403" s="416"/>
      <c r="U4403" s="416"/>
    </row>
    <row r="4404" spans="1:219" s="401" customFormat="1" ht="66.75" customHeight="1">
      <c r="A4404" s="492">
        <f t="shared" si="655"/>
        <v>112</v>
      </c>
      <c r="B4404" s="404" t="s">
        <v>3300</v>
      </c>
      <c r="C4404" s="455" t="s">
        <v>230</v>
      </c>
      <c r="D4404" s="808">
        <v>1357</v>
      </c>
      <c r="E4404" s="391">
        <v>602</v>
      </c>
      <c r="F4404" s="391" t="s">
        <v>223</v>
      </c>
      <c r="G4404" s="391">
        <v>261</v>
      </c>
      <c r="H4404" s="528">
        <v>2</v>
      </c>
      <c r="I4404" s="528">
        <v>2</v>
      </c>
      <c r="J4404" s="528">
        <v>8</v>
      </c>
      <c r="K4404" s="458" t="s">
        <v>33</v>
      </c>
      <c r="L4404" s="391">
        <f t="shared" si="657"/>
        <v>611488</v>
      </c>
      <c r="M4404" s="391">
        <v>574200</v>
      </c>
      <c r="N4404" s="391">
        <v>25000</v>
      </c>
      <c r="O4404" s="391"/>
      <c r="P4404" s="391"/>
      <c r="Q4404" s="391">
        <v>12288</v>
      </c>
      <c r="R4404" s="528"/>
      <c r="S4404" s="486"/>
      <c r="T4404" s="416"/>
      <c r="U4404" s="416"/>
    </row>
    <row r="4405" spans="1:219" s="401" customFormat="1" ht="66.75" customHeight="1">
      <c r="A4405" s="492">
        <f t="shared" si="655"/>
        <v>113</v>
      </c>
      <c r="B4405" s="404" t="s">
        <v>3304</v>
      </c>
      <c r="C4405" s="455" t="s">
        <v>230</v>
      </c>
      <c r="D4405" s="808">
        <v>1305</v>
      </c>
      <c r="E4405" s="391">
        <v>480</v>
      </c>
      <c r="F4405" s="391" t="s">
        <v>223</v>
      </c>
      <c r="G4405" s="391">
        <v>278</v>
      </c>
      <c r="H4405" s="528">
        <v>2</v>
      </c>
      <c r="I4405" s="528">
        <v>1</v>
      </c>
      <c r="J4405" s="528">
        <v>8</v>
      </c>
      <c r="K4405" s="458" t="s">
        <v>33</v>
      </c>
      <c r="L4405" s="391">
        <f t="shared" si="657"/>
        <v>649688</v>
      </c>
      <c r="M4405" s="391">
        <v>611600</v>
      </c>
      <c r="N4405" s="391">
        <v>25000</v>
      </c>
      <c r="O4405" s="391"/>
      <c r="P4405" s="391"/>
      <c r="Q4405" s="391">
        <v>13088</v>
      </c>
      <c r="R4405" s="528"/>
      <c r="S4405" s="486"/>
      <c r="T4405" s="416"/>
      <c r="U4405" s="416"/>
    </row>
    <row r="4406" spans="1:219" s="401" customFormat="1" ht="66.75" customHeight="1">
      <c r="A4406" s="492">
        <f t="shared" si="655"/>
        <v>114</v>
      </c>
      <c r="B4406" s="404" t="s">
        <v>653</v>
      </c>
      <c r="C4406" s="455" t="s">
        <v>272</v>
      </c>
      <c r="D4406" s="808">
        <v>3395</v>
      </c>
      <c r="E4406" s="391">
        <v>758.87</v>
      </c>
      <c r="F4406" s="391" t="s">
        <v>223</v>
      </c>
      <c r="G4406" s="391">
        <v>679</v>
      </c>
      <c r="H4406" s="528">
        <v>2</v>
      </c>
      <c r="I4406" s="528">
        <v>2</v>
      </c>
      <c r="J4406" s="528">
        <v>12</v>
      </c>
      <c r="K4406" s="458" t="s">
        <v>225</v>
      </c>
      <c r="L4406" s="391">
        <f t="shared" si="657"/>
        <v>1920795</v>
      </c>
      <c r="M4406" s="391">
        <v>1882188</v>
      </c>
      <c r="N4406" s="391">
        <v>34965</v>
      </c>
      <c r="O4406" s="391"/>
      <c r="P4406" s="391"/>
      <c r="Q4406" s="391">
        <v>3642</v>
      </c>
      <c r="R4406" s="528"/>
      <c r="S4406" s="486"/>
      <c r="T4406" s="416"/>
      <c r="U4406" s="416"/>
    </row>
    <row r="4407" spans="1:219" s="431" customFormat="1" ht="42.75" customHeight="1">
      <c r="A4407" s="1112" t="s">
        <v>209</v>
      </c>
      <c r="B4407" s="1112"/>
      <c r="C4407" s="446" t="s">
        <v>28</v>
      </c>
      <c r="D4407" s="637">
        <f>SUM(D4281:D4406)</f>
        <v>1744879</v>
      </c>
      <c r="E4407" s="637">
        <f>SUM(E4281:E4406)</f>
        <v>314079.60000000003</v>
      </c>
      <c r="F4407" s="388" t="s">
        <v>28</v>
      </c>
      <c r="G4407" s="637">
        <f>SUM(G4281:G4406)</f>
        <v>116100.09999999999</v>
      </c>
      <c r="H4407" s="446" t="s">
        <v>28</v>
      </c>
      <c r="I4407" s="446" t="s">
        <v>28</v>
      </c>
      <c r="J4407" s="638">
        <f>SUM(J4281:J4406)</f>
        <v>8561</v>
      </c>
      <c r="K4407" s="458" t="s">
        <v>28</v>
      </c>
      <c r="L4407" s="639">
        <f t="shared" ref="L4407:Q4407" si="658">SUM(L4281:L4406)</f>
        <v>402958068.88999999</v>
      </c>
      <c r="M4407" s="639">
        <f t="shared" si="658"/>
        <v>394218383</v>
      </c>
      <c r="N4407" s="637">
        <f t="shared" si="658"/>
        <v>2187465</v>
      </c>
      <c r="O4407" s="640">
        <f t="shared" si="658"/>
        <v>464753.89</v>
      </c>
      <c r="P4407" s="637">
        <f t="shared" si="658"/>
        <v>0</v>
      </c>
      <c r="Q4407" s="637">
        <f t="shared" si="658"/>
        <v>6087467</v>
      </c>
      <c r="R4407" s="382" t="s">
        <v>28</v>
      </c>
      <c r="S4407" s="388">
        <f>L4407-M4407-N4407-O4407-P4407-Q4407</f>
        <v>-1.3969838619232178E-8</v>
      </c>
      <c r="T4407" s="387" t="e">
        <f>'1.перечень МКД'!#REF!</f>
        <v>#REF!</v>
      </c>
      <c r="U4407" s="390" t="e">
        <f>L4407-T4407</f>
        <v>#REF!</v>
      </c>
      <c r="V4407" s="389"/>
      <c r="W4407" s="984"/>
      <c r="X4407" s="984"/>
      <c r="Y4407" s="502"/>
      <c r="Z4407" s="502"/>
      <c r="AA4407" s="502"/>
      <c r="AB4407" s="985"/>
      <c r="AC4407" s="499"/>
      <c r="AD4407" s="499"/>
      <c r="AE4407" s="499"/>
      <c r="AF4407" s="986"/>
      <c r="AG4407" s="986"/>
      <c r="AH4407" s="986"/>
      <c r="AI4407" s="987"/>
      <c r="AJ4407" s="500"/>
      <c r="AK4407" s="988"/>
      <c r="AL4407" s="989"/>
      <c r="AM4407" s="984"/>
      <c r="AN4407" s="984"/>
      <c r="AO4407" s="984"/>
      <c r="AP4407" s="502"/>
      <c r="AQ4407" s="502"/>
      <c r="AR4407" s="502"/>
      <c r="AS4407" s="502"/>
      <c r="AT4407" s="985"/>
      <c r="AU4407" s="499"/>
      <c r="AV4407" s="499"/>
      <c r="AW4407" s="499"/>
      <c r="AX4407" s="986"/>
      <c r="AY4407" s="986"/>
      <c r="AZ4407" s="986"/>
      <c r="BA4407" s="987"/>
      <c r="BB4407" s="500"/>
      <c r="BC4407" s="988"/>
      <c r="BD4407" s="989"/>
      <c r="BE4407" s="984"/>
      <c r="BF4407" s="984"/>
      <c r="BG4407" s="984"/>
      <c r="BH4407" s="502"/>
      <c r="BI4407" s="502"/>
      <c r="BJ4407" s="502"/>
      <c r="BK4407" s="502"/>
      <c r="BL4407" s="985"/>
      <c r="BM4407" s="499"/>
      <c r="BN4407" s="499"/>
      <c r="BO4407" s="499"/>
      <c r="BP4407" s="986"/>
      <c r="BQ4407" s="986"/>
      <c r="BR4407" s="986"/>
      <c r="BS4407" s="987"/>
      <c r="BT4407" s="500"/>
      <c r="BU4407" s="988"/>
      <c r="BV4407" s="989"/>
      <c r="BW4407" s="984"/>
      <c r="BX4407" s="984"/>
      <c r="BY4407" s="984"/>
      <c r="BZ4407" s="502"/>
      <c r="CA4407" s="502"/>
      <c r="CB4407" s="502"/>
      <c r="CC4407" s="502"/>
      <c r="CD4407" s="985"/>
      <c r="CE4407" s="499"/>
      <c r="CF4407" s="499"/>
      <c r="CG4407" s="499"/>
      <c r="CH4407" s="986"/>
      <c r="CI4407" s="986"/>
      <c r="CJ4407" s="986"/>
      <c r="CK4407" s="987"/>
      <c r="CL4407" s="500"/>
      <c r="CM4407" s="988"/>
      <c r="CN4407" s="989"/>
      <c r="CO4407" s="984"/>
      <c r="CP4407" s="984"/>
      <c r="CQ4407" s="984"/>
      <c r="CR4407" s="502"/>
      <c r="CS4407" s="502"/>
      <c r="CT4407" s="502"/>
      <c r="CU4407" s="502"/>
      <c r="CV4407" s="985"/>
      <c r="CW4407" s="499"/>
      <c r="CX4407" s="499"/>
      <c r="CY4407" s="499"/>
      <c r="CZ4407" s="986"/>
      <c r="DA4407" s="986"/>
      <c r="DB4407" s="986"/>
      <c r="DC4407" s="987"/>
      <c r="DD4407" s="500"/>
      <c r="DE4407" s="988"/>
      <c r="DF4407" s="989"/>
      <c r="DG4407" s="984"/>
      <c r="DH4407" s="984"/>
      <c r="DI4407" s="984"/>
      <c r="DJ4407" s="502"/>
      <c r="DK4407" s="502"/>
      <c r="DL4407" s="502"/>
      <c r="DM4407" s="502"/>
      <c r="DN4407" s="985"/>
      <c r="DO4407" s="499"/>
      <c r="DP4407" s="499"/>
      <c r="DQ4407" s="499"/>
      <c r="DR4407" s="986"/>
      <c r="DS4407" s="986"/>
      <c r="DT4407" s="986"/>
      <c r="DU4407" s="987"/>
      <c r="DV4407" s="500"/>
      <c r="DW4407" s="988"/>
      <c r="DX4407" s="989"/>
      <c r="DY4407" s="984"/>
      <c r="DZ4407" s="984"/>
      <c r="EA4407" s="984"/>
      <c r="EB4407" s="502"/>
      <c r="EC4407" s="502"/>
      <c r="ED4407" s="502"/>
      <c r="EE4407" s="502"/>
      <c r="EF4407" s="985"/>
      <c r="EG4407" s="499"/>
      <c r="EH4407" s="499"/>
      <c r="EI4407" s="499"/>
      <c r="EJ4407" s="986"/>
      <c r="EK4407" s="986"/>
      <c r="EL4407" s="986"/>
      <c r="EM4407" s="987"/>
      <c r="EN4407" s="500"/>
      <c r="EO4407" s="988"/>
      <c r="EP4407" s="989"/>
      <c r="EQ4407" s="984"/>
      <c r="ER4407" s="984"/>
      <c r="ES4407" s="984"/>
      <c r="ET4407" s="502"/>
      <c r="EU4407" s="502"/>
      <c r="EV4407" s="502"/>
      <c r="EW4407" s="502"/>
      <c r="EX4407" s="985"/>
      <c r="EY4407" s="499"/>
      <c r="EZ4407" s="499"/>
      <c r="FA4407" s="499"/>
      <c r="FB4407" s="986"/>
      <c r="FC4407" s="986"/>
      <c r="FD4407" s="986"/>
      <c r="FE4407" s="987"/>
      <c r="FF4407" s="500"/>
      <c r="FG4407" s="988"/>
      <c r="FH4407" s="989"/>
      <c r="FI4407" s="984"/>
      <c r="FJ4407" s="984"/>
      <c r="FK4407" s="984"/>
      <c r="FL4407" s="502"/>
      <c r="FM4407" s="502"/>
      <c r="FN4407" s="502"/>
      <c r="FO4407" s="502"/>
      <c r="FP4407" s="985"/>
      <c r="FQ4407" s="499"/>
      <c r="FR4407" s="499"/>
      <c r="FS4407" s="499"/>
      <c r="FT4407" s="986"/>
      <c r="FU4407" s="986"/>
      <c r="FV4407" s="986"/>
      <c r="FW4407" s="987"/>
      <c r="FX4407" s="500"/>
      <c r="FY4407" s="988"/>
      <c r="FZ4407" s="989"/>
      <c r="GA4407" s="984"/>
      <c r="GB4407" s="984"/>
      <c r="GC4407" s="984"/>
      <c r="GD4407" s="502"/>
      <c r="GE4407" s="502"/>
      <c r="GF4407" s="502"/>
      <c r="GG4407" s="502"/>
      <c r="GH4407" s="985"/>
      <c r="GI4407" s="499"/>
      <c r="GJ4407" s="499"/>
      <c r="GK4407" s="499"/>
      <c r="GL4407" s="986"/>
      <c r="GM4407" s="986"/>
      <c r="GN4407" s="986"/>
      <c r="GO4407" s="987"/>
      <c r="GP4407" s="500"/>
      <c r="GQ4407" s="988"/>
      <c r="GR4407" s="989"/>
      <c r="GS4407" s="984"/>
      <c r="GT4407" s="984"/>
      <c r="GU4407" s="984"/>
      <c r="GV4407" s="502"/>
      <c r="GW4407" s="502"/>
      <c r="GX4407" s="502"/>
      <c r="GY4407" s="502"/>
      <c r="GZ4407" s="985"/>
      <c r="HA4407" s="499"/>
      <c r="HB4407" s="499"/>
      <c r="HC4407" s="499"/>
      <c r="HD4407" s="986"/>
      <c r="HE4407" s="986"/>
      <c r="HF4407" s="986"/>
      <c r="HG4407" s="987"/>
      <c r="HH4407" s="500"/>
      <c r="HI4407" s="988"/>
      <c r="HJ4407" s="989"/>
      <c r="HK4407" s="984"/>
    </row>
    <row r="4408" spans="1:219" s="431" customFormat="1" ht="51" customHeight="1">
      <c r="A4408" s="1126" t="s">
        <v>138</v>
      </c>
      <c r="B4408" s="1126"/>
      <c r="C4408" s="1126"/>
      <c r="D4408" s="1126"/>
      <c r="E4408" s="1126"/>
      <c r="F4408" s="1126"/>
      <c r="G4408" s="1126"/>
      <c r="H4408" s="1126"/>
      <c r="I4408" s="1126"/>
      <c r="J4408" s="1126"/>
      <c r="K4408" s="1126"/>
      <c r="L4408" s="1126"/>
      <c r="M4408" s="1126"/>
      <c r="N4408" s="1126"/>
      <c r="O4408" s="1126"/>
      <c r="P4408" s="1126"/>
      <c r="Q4408" s="1126"/>
      <c r="R4408" s="818"/>
      <c r="S4408" s="388">
        <f>L4408-M4408-N4408-O4408-P4408-Q4408</f>
        <v>0</v>
      </c>
      <c r="T4408" s="387"/>
      <c r="U4408" s="404"/>
      <c r="V4408" s="389"/>
      <c r="W4408" s="984"/>
      <c r="X4408" s="984"/>
      <c r="Y4408" s="502"/>
      <c r="Z4408" s="502"/>
      <c r="AA4408" s="502"/>
      <c r="AB4408" s="985"/>
      <c r="AC4408" s="499"/>
      <c r="AD4408" s="499"/>
      <c r="AE4408" s="499"/>
      <c r="AF4408" s="986"/>
      <c r="AG4408" s="986"/>
      <c r="AH4408" s="986"/>
      <c r="AI4408" s="987"/>
      <c r="AJ4408" s="500"/>
      <c r="AK4408" s="988"/>
      <c r="AL4408" s="989"/>
      <c r="AM4408" s="984"/>
      <c r="AN4408" s="984"/>
      <c r="AO4408" s="984"/>
      <c r="AP4408" s="502"/>
      <c r="AQ4408" s="502"/>
      <c r="AR4408" s="502"/>
      <c r="AS4408" s="502"/>
      <c r="AT4408" s="985"/>
      <c r="AU4408" s="499"/>
      <c r="AV4408" s="499"/>
      <c r="AW4408" s="499"/>
      <c r="AX4408" s="986"/>
      <c r="AY4408" s="986"/>
      <c r="AZ4408" s="986"/>
      <c r="BA4408" s="987"/>
      <c r="BB4408" s="500"/>
      <c r="BC4408" s="988"/>
      <c r="BD4408" s="989"/>
      <c r="BE4408" s="984"/>
      <c r="BF4408" s="984"/>
      <c r="BG4408" s="984"/>
      <c r="BH4408" s="502"/>
      <c r="BI4408" s="502"/>
      <c r="BJ4408" s="502"/>
      <c r="BK4408" s="502"/>
      <c r="BL4408" s="985"/>
      <c r="BM4408" s="499"/>
      <c r="BN4408" s="499"/>
      <c r="BO4408" s="499"/>
      <c r="BP4408" s="986"/>
      <c r="BQ4408" s="986"/>
      <c r="BR4408" s="986"/>
      <c r="BS4408" s="987"/>
      <c r="BT4408" s="500"/>
      <c r="BU4408" s="988"/>
      <c r="BV4408" s="989"/>
      <c r="BW4408" s="984"/>
      <c r="BX4408" s="984"/>
      <c r="BY4408" s="984"/>
      <c r="BZ4408" s="502"/>
      <c r="CA4408" s="502"/>
      <c r="CB4408" s="502"/>
      <c r="CC4408" s="502"/>
      <c r="CD4408" s="985"/>
      <c r="CE4408" s="499"/>
      <c r="CF4408" s="499"/>
      <c r="CG4408" s="499"/>
      <c r="CH4408" s="986"/>
      <c r="CI4408" s="986"/>
      <c r="CJ4408" s="986"/>
      <c r="CK4408" s="987"/>
      <c r="CL4408" s="500"/>
      <c r="CM4408" s="988"/>
      <c r="CN4408" s="989"/>
      <c r="CO4408" s="984"/>
      <c r="CP4408" s="984"/>
      <c r="CQ4408" s="984"/>
      <c r="CR4408" s="502"/>
      <c r="CS4408" s="502"/>
      <c r="CT4408" s="502"/>
      <c r="CU4408" s="502"/>
      <c r="CV4408" s="985"/>
      <c r="CW4408" s="499"/>
      <c r="CX4408" s="499"/>
      <c r="CY4408" s="499"/>
      <c r="CZ4408" s="986"/>
      <c r="DA4408" s="986"/>
      <c r="DB4408" s="986"/>
      <c r="DC4408" s="987"/>
      <c r="DD4408" s="500"/>
      <c r="DE4408" s="988"/>
      <c r="DF4408" s="989"/>
      <c r="DG4408" s="984"/>
      <c r="DH4408" s="984"/>
      <c r="DI4408" s="984"/>
      <c r="DJ4408" s="502"/>
      <c r="DK4408" s="502"/>
      <c r="DL4408" s="502"/>
      <c r="DM4408" s="502"/>
      <c r="DN4408" s="985"/>
      <c r="DO4408" s="499"/>
      <c r="DP4408" s="499"/>
      <c r="DQ4408" s="499"/>
      <c r="DR4408" s="986"/>
      <c r="DS4408" s="986"/>
      <c r="DT4408" s="986"/>
      <c r="DU4408" s="987"/>
      <c r="DV4408" s="500"/>
      <c r="DW4408" s="988"/>
      <c r="DX4408" s="989"/>
      <c r="DY4408" s="984"/>
      <c r="DZ4408" s="984"/>
      <c r="EA4408" s="984"/>
      <c r="EB4408" s="502"/>
      <c r="EC4408" s="502"/>
      <c r="ED4408" s="502"/>
      <c r="EE4408" s="502"/>
      <c r="EF4408" s="985"/>
      <c r="EG4408" s="499"/>
      <c r="EH4408" s="499"/>
      <c r="EI4408" s="499"/>
      <c r="EJ4408" s="986"/>
      <c r="EK4408" s="986"/>
      <c r="EL4408" s="986"/>
      <c r="EM4408" s="987"/>
      <c r="EN4408" s="500"/>
      <c r="EO4408" s="988"/>
      <c r="EP4408" s="989"/>
      <c r="EQ4408" s="984"/>
      <c r="ER4408" s="984"/>
      <c r="ES4408" s="984"/>
      <c r="ET4408" s="502"/>
      <c r="EU4408" s="502"/>
      <c r="EV4408" s="502"/>
      <c r="EW4408" s="502"/>
      <c r="EX4408" s="985"/>
      <c r="EY4408" s="499"/>
      <c r="EZ4408" s="499"/>
      <c r="FA4408" s="499"/>
      <c r="FB4408" s="986"/>
      <c r="FC4408" s="986"/>
      <c r="FD4408" s="986"/>
      <c r="FE4408" s="987"/>
      <c r="FF4408" s="500"/>
      <c r="FG4408" s="988"/>
      <c r="FH4408" s="989"/>
      <c r="FI4408" s="984"/>
      <c r="FJ4408" s="984"/>
      <c r="FK4408" s="984"/>
      <c r="FL4408" s="502"/>
      <c r="FM4408" s="502"/>
      <c r="FN4408" s="502"/>
      <c r="FO4408" s="502"/>
      <c r="FP4408" s="985"/>
      <c r="FQ4408" s="499"/>
      <c r="FR4408" s="499"/>
      <c r="FS4408" s="499"/>
      <c r="FT4408" s="986"/>
      <c r="FU4408" s="986"/>
      <c r="FV4408" s="986"/>
      <c r="FW4408" s="987"/>
      <c r="FX4408" s="500"/>
      <c r="FY4408" s="988"/>
      <c r="FZ4408" s="989"/>
      <c r="GA4408" s="984"/>
      <c r="GB4408" s="984"/>
      <c r="GC4408" s="984"/>
      <c r="GD4408" s="502"/>
      <c r="GE4408" s="502"/>
      <c r="GF4408" s="502"/>
      <c r="GG4408" s="502"/>
      <c r="GH4408" s="985"/>
      <c r="GI4408" s="499"/>
      <c r="GJ4408" s="499"/>
      <c r="GK4408" s="499"/>
      <c r="GL4408" s="986"/>
      <c r="GM4408" s="986"/>
      <c r="GN4408" s="986"/>
      <c r="GO4408" s="987"/>
      <c r="GP4408" s="500"/>
      <c r="GQ4408" s="988"/>
      <c r="GR4408" s="989"/>
      <c r="GS4408" s="984"/>
      <c r="GT4408" s="984"/>
      <c r="GU4408" s="984"/>
      <c r="GV4408" s="502"/>
      <c r="GW4408" s="502"/>
      <c r="GX4408" s="502"/>
      <c r="GY4408" s="502"/>
      <c r="GZ4408" s="985"/>
      <c r="HA4408" s="499"/>
      <c r="HB4408" s="499"/>
      <c r="HC4408" s="499"/>
      <c r="HD4408" s="986"/>
      <c r="HE4408" s="986"/>
      <c r="HF4408" s="986"/>
      <c r="HG4408" s="987"/>
      <c r="HH4408" s="500"/>
      <c r="HI4408" s="988"/>
      <c r="HJ4408" s="989"/>
      <c r="HK4408" s="984"/>
    </row>
    <row r="4409" spans="1:219" s="431" customFormat="1" ht="37.5" customHeight="1">
      <c r="A4409" s="1133" t="s">
        <v>137</v>
      </c>
      <c r="B4409" s="1133"/>
      <c r="C4409" s="382" t="s">
        <v>28</v>
      </c>
      <c r="D4409" s="383">
        <f>D4414+D4468+D4480+D4484+D4487+D4491+D4501+D4507+D4511+D4528+D4532+D4550+D4557+D4563+D4569+D4574+D4579+D4583+D4589+D4595+D4602+D4607+D4612+D4616+D4620+D4628+D4632+D4639+D4662+D4665+D4674+D4599+D4671</f>
        <v>1614336.3541499998</v>
      </c>
      <c r="E4409" s="383">
        <f>E4414+E4468+E4480+E4484+E4487+E4491+E4501+E4507+E4511+E4528+E4532+E4550+E4557+E4563+E4569+E4574+E4579+E4583+E4589+E4595+E4602+E4607+E4612+E4616+E4620+E4628+E4632+E4639+E4662+E4665+E4674+E4599+E4671</f>
        <v>368521.85499999998</v>
      </c>
      <c r="F4409" s="383" t="s">
        <v>28</v>
      </c>
      <c r="G4409" s="383">
        <f>G4414+G4468+G4480+G4484+G4487+G4491+G4501+G4507+G4511+G4528+G4532+G4550+G4557+G4563+G4569+G4574+G4579+G4583+G4589+G4595+G4602+G4607+G4612+G4616+G4620+G4628+G4632+G4639+G4662+G4665+G4674+G4599+G4671</f>
        <v>182468.034052</v>
      </c>
      <c r="H4409" s="382" t="s">
        <v>28</v>
      </c>
      <c r="I4409" s="382" t="s">
        <v>28</v>
      </c>
      <c r="J4409" s="382">
        <f>J4414+J4468+J4480+J4484+J4487+J4491+J4501+J4507+J4511+J4528+J4532+J4550+J4557+J4563+J4569+J4574+J4579+J4583+J4589+J4595+J4602+J4607+J4612+J4616+J4620+J4628+J4632+J4639+J4662+J4665+J4674+J4599+J4671</f>
        <v>8904</v>
      </c>
      <c r="K4409" s="387" t="s">
        <v>28</v>
      </c>
      <c r="L4409" s="384">
        <f t="shared" ref="L4409:Q4409" si="659">L4414+L4468+L4480+L4484+L4487+L4491+L4501+L4507+L4511+L4528+L4532+L4550+L4557+L4563+L4569+L4574+L4579+L4583+L4589+L4595+L4602+L4607+L4612+L4616+L4620+L4628+L4632+L4639+L4662+L4665+L4674+L4599+L4671</f>
        <v>432592260.16000003</v>
      </c>
      <c r="M4409" s="384">
        <f t="shared" si="659"/>
        <v>421546592.05000001</v>
      </c>
      <c r="N4409" s="383">
        <f t="shared" si="659"/>
        <v>3441361.2</v>
      </c>
      <c r="O4409" s="385">
        <f t="shared" si="659"/>
        <v>474307</v>
      </c>
      <c r="P4409" s="383">
        <f t="shared" si="659"/>
        <v>0</v>
      </c>
      <c r="Q4409" s="383">
        <f t="shared" si="659"/>
        <v>7129999.9100000001</v>
      </c>
      <c r="R4409" s="446" t="s">
        <v>28</v>
      </c>
      <c r="S4409" s="388">
        <f>L4409-M4409-N4409-O4409-P4409-Q4409</f>
        <v>1.3969838619232178E-8</v>
      </c>
      <c r="T4409" s="387" t="e">
        <f>'1.перечень МКД'!#REF!</f>
        <v>#REF!</v>
      </c>
      <c r="U4409" s="390" t="e">
        <f>L4409-T4409</f>
        <v>#REF!</v>
      </c>
      <c r="V4409" s="389"/>
      <c r="W4409" s="984"/>
      <c r="X4409" s="984"/>
      <c r="Y4409" s="502"/>
      <c r="Z4409" s="502"/>
      <c r="AA4409" s="502"/>
      <c r="AB4409" s="985"/>
      <c r="AC4409" s="499"/>
      <c r="AD4409" s="499"/>
      <c r="AE4409" s="499"/>
      <c r="AF4409" s="986"/>
      <c r="AG4409" s="986"/>
      <c r="AH4409" s="986"/>
      <c r="AI4409" s="987"/>
      <c r="AJ4409" s="500"/>
      <c r="AK4409" s="988"/>
      <c r="AL4409" s="989"/>
      <c r="AM4409" s="984"/>
      <c r="AN4409" s="984"/>
      <c r="AO4409" s="984"/>
      <c r="AP4409" s="502"/>
      <c r="AQ4409" s="502"/>
      <c r="AR4409" s="502"/>
      <c r="AS4409" s="502"/>
      <c r="AT4409" s="985"/>
      <c r="AU4409" s="499"/>
      <c r="AV4409" s="499"/>
      <c r="AW4409" s="499"/>
      <c r="AX4409" s="986"/>
      <c r="AY4409" s="986"/>
      <c r="AZ4409" s="986"/>
      <c r="BA4409" s="987"/>
      <c r="BB4409" s="500"/>
      <c r="BC4409" s="988"/>
      <c r="BD4409" s="989"/>
      <c r="BE4409" s="984"/>
      <c r="BF4409" s="984"/>
      <c r="BG4409" s="984"/>
      <c r="BH4409" s="502"/>
      <c r="BI4409" s="502"/>
      <c r="BJ4409" s="502"/>
      <c r="BK4409" s="502"/>
      <c r="BL4409" s="985"/>
      <c r="BM4409" s="499"/>
      <c r="BN4409" s="499"/>
      <c r="BO4409" s="499"/>
      <c r="BP4409" s="986"/>
      <c r="BQ4409" s="986"/>
      <c r="BR4409" s="986"/>
      <c r="BS4409" s="987"/>
      <c r="BT4409" s="500"/>
      <c r="BU4409" s="988"/>
      <c r="BV4409" s="989"/>
      <c r="BW4409" s="984"/>
      <c r="BX4409" s="984"/>
      <c r="BY4409" s="984"/>
      <c r="BZ4409" s="502"/>
      <c r="CA4409" s="502"/>
      <c r="CB4409" s="502"/>
      <c r="CC4409" s="502"/>
      <c r="CD4409" s="985"/>
      <c r="CE4409" s="499"/>
      <c r="CF4409" s="499"/>
      <c r="CG4409" s="499"/>
      <c r="CH4409" s="986"/>
      <c r="CI4409" s="986"/>
      <c r="CJ4409" s="986"/>
      <c r="CK4409" s="987"/>
      <c r="CL4409" s="500"/>
      <c r="CM4409" s="988"/>
      <c r="CN4409" s="989"/>
      <c r="CO4409" s="984"/>
      <c r="CP4409" s="984"/>
      <c r="CQ4409" s="984"/>
      <c r="CR4409" s="502"/>
      <c r="CS4409" s="502"/>
      <c r="CT4409" s="502"/>
      <c r="CU4409" s="502"/>
      <c r="CV4409" s="985"/>
      <c r="CW4409" s="499"/>
      <c r="CX4409" s="499"/>
      <c r="CY4409" s="499"/>
      <c r="CZ4409" s="986"/>
      <c r="DA4409" s="986"/>
      <c r="DB4409" s="986"/>
      <c r="DC4409" s="987"/>
      <c r="DD4409" s="500"/>
      <c r="DE4409" s="988"/>
      <c r="DF4409" s="989"/>
      <c r="DG4409" s="984"/>
      <c r="DH4409" s="984"/>
      <c r="DI4409" s="984"/>
      <c r="DJ4409" s="502"/>
      <c r="DK4409" s="502"/>
      <c r="DL4409" s="502"/>
      <c r="DM4409" s="502"/>
      <c r="DN4409" s="985"/>
      <c r="DO4409" s="499"/>
      <c r="DP4409" s="499"/>
      <c r="DQ4409" s="499"/>
      <c r="DR4409" s="986"/>
      <c r="DS4409" s="986"/>
      <c r="DT4409" s="986"/>
      <c r="DU4409" s="987"/>
      <c r="DV4409" s="500"/>
      <c r="DW4409" s="988"/>
      <c r="DX4409" s="989"/>
      <c r="DY4409" s="984"/>
      <c r="DZ4409" s="984"/>
      <c r="EA4409" s="984"/>
      <c r="EB4409" s="502"/>
      <c r="EC4409" s="502"/>
      <c r="ED4409" s="502"/>
      <c r="EE4409" s="502"/>
      <c r="EF4409" s="985"/>
      <c r="EG4409" s="499"/>
      <c r="EH4409" s="499"/>
      <c r="EI4409" s="499"/>
      <c r="EJ4409" s="986"/>
      <c r="EK4409" s="986"/>
      <c r="EL4409" s="986"/>
      <c r="EM4409" s="987"/>
      <c r="EN4409" s="500"/>
      <c r="EO4409" s="988"/>
      <c r="EP4409" s="989"/>
      <c r="EQ4409" s="984"/>
      <c r="ER4409" s="984"/>
      <c r="ES4409" s="984"/>
      <c r="ET4409" s="502"/>
      <c r="EU4409" s="502"/>
      <c r="EV4409" s="502"/>
      <c r="EW4409" s="502"/>
      <c r="EX4409" s="985"/>
      <c r="EY4409" s="499"/>
      <c r="EZ4409" s="499"/>
      <c r="FA4409" s="499"/>
      <c r="FB4409" s="986"/>
      <c r="FC4409" s="986"/>
      <c r="FD4409" s="986"/>
      <c r="FE4409" s="987"/>
      <c r="FF4409" s="500"/>
      <c r="FG4409" s="988"/>
      <c r="FH4409" s="989"/>
      <c r="FI4409" s="984"/>
      <c r="FJ4409" s="984"/>
      <c r="FK4409" s="984"/>
      <c r="FL4409" s="502"/>
      <c r="FM4409" s="502"/>
      <c r="FN4409" s="502"/>
      <c r="FO4409" s="502"/>
      <c r="FP4409" s="985"/>
      <c r="FQ4409" s="499"/>
      <c r="FR4409" s="499"/>
      <c r="FS4409" s="499"/>
      <c r="FT4409" s="986"/>
      <c r="FU4409" s="986"/>
      <c r="FV4409" s="986"/>
      <c r="FW4409" s="987"/>
      <c r="FX4409" s="500"/>
      <c r="FY4409" s="988"/>
      <c r="FZ4409" s="989"/>
      <c r="GA4409" s="984"/>
      <c r="GB4409" s="984"/>
      <c r="GC4409" s="984"/>
      <c r="GD4409" s="502"/>
      <c r="GE4409" s="502"/>
      <c r="GF4409" s="502"/>
      <c r="GG4409" s="502"/>
      <c r="GH4409" s="985"/>
      <c r="GI4409" s="499"/>
      <c r="GJ4409" s="499"/>
      <c r="GK4409" s="499"/>
      <c r="GL4409" s="986"/>
      <c r="GM4409" s="986"/>
      <c r="GN4409" s="986"/>
      <c r="GO4409" s="987"/>
      <c r="GP4409" s="500"/>
      <c r="GQ4409" s="988"/>
      <c r="GR4409" s="989"/>
      <c r="GS4409" s="984"/>
      <c r="GT4409" s="984"/>
      <c r="GU4409" s="984"/>
      <c r="GV4409" s="502"/>
      <c r="GW4409" s="502"/>
      <c r="GX4409" s="502"/>
      <c r="GY4409" s="502"/>
      <c r="GZ4409" s="985"/>
      <c r="HA4409" s="499"/>
      <c r="HB4409" s="499"/>
      <c r="HC4409" s="499"/>
      <c r="HD4409" s="986"/>
      <c r="HE4409" s="986"/>
      <c r="HF4409" s="986"/>
      <c r="HG4409" s="987"/>
      <c r="HH4409" s="500"/>
      <c r="HI4409" s="988"/>
      <c r="HJ4409" s="989"/>
      <c r="HK4409" s="984"/>
    </row>
    <row r="4410" spans="1:219" s="431" customFormat="1" ht="42.75" customHeight="1">
      <c r="A4410" s="1136" t="s">
        <v>29</v>
      </c>
      <c r="B4410" s="1136"/>
      <c r="C4410" s="1136"/>
      <c r="D4410" s="1136"/>
      <c r="E4410" s="1136"/>
      <c r="F4410" s="1136"/>
      <c r="G4410" s="1136"/>
      <c r="H4410" s="1136"/>
      <c r="I4410" s="1136"/>
      <c r="J4410" s="1136"/>
      <c r="K4410" s="1136"/>
      <c r="L4410" s="1136"/>
      <c r="M4410" s="1136"/>
      <c r="N4410" s="1136"/>
      <c r="O4410" s="1136"/>
      <c r="P4410" s="1136"/>
      <c r="Q4410" s="1136"/>
      <c r="R4410" s="377"/>
      <c r="S4410" s="383"/>
      <c r="T4410" s="387"/>
      <c r="U4410" s="404"/>
      <c r="V4410" s="389"/>
      <c r="W4410" s="984"/>
      <c r="X4410" s="984"/>
      <c r="Y4410" s="502"/>
      <c r="Z4410" s="502"/>
      <c r="AA4410" s="502"/>
      <c r="AB4410" s="985"/>
      <c r="AC4410" s="499"/>
      <c r="AD4410" s="499"/>
      <c r="AE4410" s="499"/>
      <c r="AF4410" s="986"/>
      <c r="AG4410" s="986"/>
      <c r="AH4410" s="986"/>
      <c r="AI4410" s="987"/>
      <c r="AJ4410" s="500"/>
      <c r="AK4410" s="988"/>
      <c r="AL4410" s="989"/>
      <c r="AM4410" s="984"/>
      <c r="AN4410" s="984"/>
      <c r="AO4410" s="984"/>
      <c r="AP4410" s="502"/>
      <c r="AQ4410" s="502"/>
      <c r="AR4410" s="502"/>
      <c r="AS4410" s="502"/>
      <c r="AT4410" s="985"/>
      <c r="AU4410" s="499"/>
      <c r="AV4410" s="499"/>
      <c r="AW4410" s="499"/>
      <c r="AX4410" s="986"/>
      <c r="AY4410" s="986"/>
      <c r="AZ4410" s="986"/>
      <c r="BA4410" s="987"/>
      <c r="BB4410" s="500"/>
      <c r="BC4410" s="988"/>
      <c r="BD4410" s="989"/>
      <c r="BE4410" s="984"/>
      <c r="BF4410" s="984"/>
      <c r="BG4410" s="984"/>
      <c r="BH4410" s="502"/>
      <c r="BI4410" s="502"/>
      <c r="BJ4410" s="502"/>
      <c r="BK4410" s="502"/>
      <c r="BL4410" s="985"/>
      <c r="BM4410" s="499"/>
      <c r="BN4410" s="499"/>
      <c r="BO4410" s="499"/>
      <c r="BP4410" s="986"/>
      <c r="BQ4410" s="986"/>
      <c r="BR4410" s="986"/>
      <c r="BS4410" s="987"/>
      <c r="BT4410" s="500"/>
      <c r="BU4410" s="988"/>
      <c r="BV4410" s="989"/>
      <c r="BW4410" s="984"/>
      <c r="BX4410" s="984"/>
      <c r="BY4410" s="984"/>
      <c r="BZ4410" s="502"/>
      <c r="CA4410" s="502"/>
      <c r="CB4410" s="502"/>
      <c r="CC4410" s="502"/>
      <c r="CD4410" s="985"/>
      <c r="CE4410" s="499"/>
      <c r="CF4410" s="499"/>
      <c r="CG4410" s="499"/>
      <c r="CH4410" s="986"/>
      <c r="CI4410" s="986"/>
      <c r="CJ4410" s="986"/>
      <c r="CK4410" s="987"/>
      <c r="CL4410" s="500"/>
      <c r="CM4410" s="988"/>
      <c r="CN4410" s="989"/>
      <c r="CO4410" s="984"/>
      <c r="CP4410" s="984"/>
      <c r="CQ4410" s="984"/>
      <c r="CR4410" s="502"/>
      <c r="CS4410" s="502"/>
      <c r="CT4410" s="502"/>
      <c r="CU4410" s="502"/>
      <c r="CV4410" s="985"/>
      <c r="CW4410" s="499"/>
      <c r="CX4410" s="499"/>
      <c r="CY4410" s="499"/>
      <c r="CZ4410" s="986"/>
      <c r="DA4410" s="986"/>
      <c r="DB4410" s="986"/>
      <c r="DC4410" s="987"/>
      <c r="DD4410" s="500"/>
      <c r="DE4410" s="988"/>
      <c r="DF4410" s="989"/>
      <c r="DG4410" s="984"/>
      <c r="DH4410" s="984"/>
      <c r="DI4410" s="984"/>
      <c r="DJ4410" s="502"/>
      <c r="DK4410" s="502"/>
      <c r="DL4410" s="502"/>
      <c r="DM4410" s="502"/>
      <c r="DN4410" s="985"/>
      <c r="DO4410" s="499"/>
      <c r="DP4410" s="499"/>
      <c r="DQ4410" s="499"/>
      <c r="DR4410" s="986"/>
      <c r="DS4410" s="986"/>
      <c r="DT4410" s="986"/>
      <c r="DU4410" s="987"/>
      <c r="DV4410" s="500"/>
      <c r="DW4410" s="988"/>
      <c r="DX4410" s="989"/>
      <c r="DY4410" s="984"/>
      <c r="DZ4410" s="984"/>
      <c r="EA4410" s="984"/>
      <c r="EB4410" s="502"/>
      <c r="EC4410" s="502"/>
      <c r="ED4410" s="502"/>
      <c r="EE4410" s="502"/>
      <c r="EF4410" s="985"/>
      <c r="EG4410" s="499"/>
      <c r="EH4410" s="499"/>
      <c r="EI4410" s="499"/>
      <c r="EJ4410" s="986"/>
      <c r="EK4410" s="986"/>
      <c r="EL4410" s="986"/>
      <c r="EM4410" s="987"/>
      <c r="EN4410" s="500"/>
      <c r="EO4410" s="988"/>
      <c r="EP4410" s="989"/>
      <c r="EQ4410" s="984"/>
      <c r="ER4410" s="984"/>
      <c r="ES4410" s="984"/>
      <c r="ET4410" s="502"/>
      <c r="EU4410" s="502"/>
      <c r="EV4410" s="502"/>
      <c r="EW4410" s="502"/>
      <c r="EX4410" s="985"/>
      <c r="EY4410" s="499"/>
      <c r="EZ4410" s="499"/>
      <c r="FA4410" s="499"/>
      <c r="FB4410" s="986"/>
      <c r="FC4410" s="986"/>
      <c r="FD4410" s="986"/>
      <c r="FE4410" s="987"/>
      <c r="FF4410" s="500"/>
      <c r="FG4410" s="988"/>
      <c r="FH4410" s="989"/>
      <c r="FI4410" s="984"/>
      <c r="FJ4410" s="984"/>
      <c r="FK4410" s="984"/>
      <c r="FL4410" s="502"/>
      <c r="FM4410" s="502"/>
      <c r="FN4410" s="502"/>
      <c r="FO4410" s="502"/>
      <c r="FP4410" s="985"/>
      <c r="FQ4410" s="499"/>
      <c r="FR4410" s="499"/>
      <c r="FS4410" s="499"/>
      <c r="FT4410" s="986"/>
      <c r="FU4410" s="986"/>
      <c r="FV4410" s="986"/>
      <c r="FW4410" s="987"/>
      <c r="FX4410" s="500"/>
      <c r="FY4410" s="988"/>
      <c r="FZ4410" s="989"/>
      <c r="GA4410" s="984"/>
      <c r="GB4410" s="984"/>
      <c r="GC4410" s="984"/>
      <c r="GD4410" s="502"/>
      <c r="GE4410" s="502"/>
      <c r="GF4410" s="502"/>
      <c r="GG4410" s="502"/>
      <c r="GH4410" s="985"/>
      <c r="GI4410" s="499"/>
      <c r="GJ4410" s="499"/>
      <c r="GK4410" s="499"/>
      <c r="GL4410" s="986"/>
      <c r="GM4410" s="986"/>
      <c r="GN4410" s="986"/>
      <c r="GO4410" s="987"/>
      <c r="GP4410" s="500"/>
      <c r="GQ4410" s="988"/>
      <c r="GR4410" s="989"/>
      <c r="GS4410" s="984"/>
      <c r="GT4410" s="984"/>
      <c r="GU4410" s="984"/>
      <c r="GV4410" s="502"/>
      <c r="GW4410" s="502"/>
      <c r="GX4410" s="502"/>
      <c r="GY4410" s="502"/>
      <c r="GZ4410" s="985"/>
      <c r="HA4410" s="499"/>
      <c r="HB4410" s="499"/>
      <c r="HC4410" s="499"/>
      <c r="HD4410" s="986"/>
      <c r="HE4410" s="986"/>
      <c r="HF4410" s="986"/>
      <c r="HG4410" s="987"/>
      <c r="HH4410" s="500"/>
      <c r="HI4410" s="988"/>
      <c r="HJ4410" s="989"/>
      <c r="HK4410" s="984"/>
    </row>
    <row r="4411" spans="1:219" s="420" customFormat="1" ht="37.5" customHeight="1">
      <c r="A4411" s="458">
        <v>1</v>
      </c>
      <c r="B4411" s="403" t="s">
        <v>3537</v>
      </c>
      <c r="C4411" s="446" t="s">
        <v>218</v>
      </c>
      <c r="D4411" s="641">
        <v>36552.060000000005</v>
      </c>
      <c r="E4411" s="388">
        <v>2984.04</v>
      </c>
      <c r="F4411" s="651" t="s">
        <v>234</v>
      </c>
      <c r="G4411" s="388">
        <v>1504.2</v>
      </c>
      <c r="H4411" s="446">
        <v>9</v>
      </c>
      <c r="I4411" s="446">
        <v>4</v>
      </c>
      <c r="J4411" s="446">
        <v>135</v>
      </c>
      <c r="K4411" s="458" t="s">
        <v>33</v>
      </c>
      <c r="L4411" s="519">
        <f>M4411+N4411+O4411+P4411+Q4411</f>
        <v>3852257</v>
      </c>
      <c r="M4411" s="519">
        <v>3760500</v>
      </c>
      <c r="N4411" s="388"/>
      <c r="O4411" s="643">
        <v>11282</v>
      </c>
      <c r="P4411" s="388"/>
      <c r="Q4411" s="388">
        <v>80475</v>
      </c>
      <c r="R4411" s="528">
        <f>M4411/G4411</f>
        <v>2500</v>
      </c>
      <c r="S4411" s="497">
        <f>L4411-M4411-N4411-O4411-Q4411</f>
        <v>0</v>
      </c>
      <c r="T4411" s="406">
        <f>L4411-M4411-N4411-O4411-Q4411</f>
        <v>0</v>
      </c>
      <c r="U4411" s="406"/>
    </row>
    <row r="4412" spans="1:219" s="405" customFormat="1" ht="65.25" customHeight="1">
      <c r="A4412" s="682">
        <f>A4411+1</f>
        <v>2</v>
      </c>
      <c r="B4412" s="403" t="s">
        <v>3316</v>
      </c>
      <c r="C4412" s="446" t="s">
        <v>218</v>
      </c>
      <c r="D4412" s="641">
        <v>31682.5</v>
      </c>
      <c r="E4412" s="391">
        <v>2973.5</v>
      </c>
      <c r="F4412" s="388" t="s">
        <v>234</v>
      </c>
      <c r="G4412" s="388">
        <v>1667.5</v>
      </c>
      <c r="H4412" s="446">
        <v>5</v>
      </c>
      <c r="I4412" s="446">
        <v>7</v>
      </c>
      <c r="J4412" s="446">
        <v>108</v>
      </c>
      <c r="K4412" s="642" t="s">
        <v>30</v>
      </c>
      <c r="L4412" s="519">
        <f>M4412+N4412+O4412+P4412+Q4412</f>
        <v>3319056</v>
      </c>
      <c r="M4412" s="519">
        <v>3240000</v>
      </c>
      <c r="N4412" s="391"/>
      <c r="O4412" s="643">
        <v>9720</v>
      </c>
      <c r="P4412" s="388"/>
      <c r="Q4412" s="388">
        <v>69336</v>
      </c>
      <c r="R4412" s="446">
        <f>M4412/J4412</f>
        <v>30000</v>
      </c>
      <c r="S4412" s="497">
        <f>L4412-M4412-N4412-O4412-Q4412</f>
        <v>0</v>
      </c>
      <c r="T4412" s="406">
        <f>L4412-M4412-N4412-O4412-Q4412</f>
        <v>0</v>
      </c>
    </row>
    <row r="4413" spans="1:219" s="405" customFormat="1" ht="65.25" customHeight="1">
      <c r="A4413" s="682">
        <f>A4412+1</f>
        <v>3</v>
      </c>
      <c r="B4413" s="403" t="s">
        <v>4184</v>
      </c>
      <c r="C4413" s="446" t="s">
        <v>218</v>
      </c>
      <c r="D4413" s="641">
        <v>15180</v>
      </c>
      <c r="E4413" s="391">
        <v>3090</v>
      </c>
      <c r="F4413" s="388" t="s">
        <v>224</v>
      </c>
      <c r="G4413" s="388">
        <v>1012</v>
      </c>
      <c r="H4413" s="446">
        <v>5</v>
      </c>
      <c r="I4413" s="446">
        <v>6</v>
      </c>
      <c r="J4413" s="446">
        <v>90</v>
      </c>
      <c r="K4413" s="642" t="s">
        <v>30</v>
      </c>
      <c r="L4413" s="519">
        <f>M4413+N4413+O4413+P4413+Q4413</f>
        <v>2765880</v>
      </c>
      <c r="M4413" s="519">
        <v>2700000</v>
      </c>
      <c r="N4413" s="388"/>
      <c r="O4413" s="643">
        <v>8100</v>
      </c>
      <c r="P4413" s="388"/>
      <c r="Q4413" s="388">
        <v>57780</v>
      </c>
      <c r="R4413" s="446">
        <f>M4413/J4413</f>
        <v>30000</v>
      </c>
      <c r="S4413" s="497">
        <f>L4413-M4413-N4413-O4413-Q4413</f>
        <v>0</v>
      </c>
      <c r="T4413" s="406"/>
    </row>
    <row r="4414" spans="1:219" s="498" customFormat="1" ht="42.75" customHeight="1">
      <c r="A4414" s="1112" t="s">
        <v>31</v>
      </c>
      <c r="B4414" s="1112"/>
      <c r="C4414" s="455" t="s">
        <v>28</v>
      </c>
      <c r="D4414" s="641">
        <f>SUM(D4411:D4413)</f>
        <v>83414.559999999998</v>
      </c>
      <c r="E4414" s="388">
        <f>SUM(E4411:E4413)</f>
        <v>9047.5400000000009</v>
      </c>
      <c r="F4414" s="388" t="s">
        <v>28</v>
      </c>
      <c r="G4414" s="388">
        <f>SUM(G4411:G4413)</f>
        <v>4183.7</v>
      </c>
      <c r="H4414" s="446" t="s">
        <v>28</v>
      </c>
      <c r="I4414" s="446" t="s">
        <v>28</v>
      </c>
      <c r="J4414" s="446">
        <f>SUM(J4411:J4413)</f>
        <v>333</v>
      </c>
      <c r="K4414" s="458" t="s">
        <v>28</v>
      </c>
      <c r="L4414" s="519">
        <f t="shared" ref="L4414:Q4414" si="660">SUM(L4411:L4413)</f>
        <v>9937193</v>
      </c>
      <c r="M4414" s="519">
        <f t="shared" si="660"/>
        <v>9700500</v>
      </c>
      <c r="N4414" s="388">
        <f t="shared" si="660"/>
        <v>0</v>
      </c>
      <c r="O4414" s="473">
        <f t="shared" si="660"/>
        <v>29102</v>
      </c>
      <c r="P4414" s="641">
        <f t="shared" si="660"/>
        <v>0</v>
      </c>
      <c r="Q4414" s="641">
        <f t="shared" si="660"/>
        <v>207591</v>
      </c>
      <c r="R4414" s="446" t="s">
        <v>28</v>
      </c>
      <c r="S4414" s="497">
        <f>L4414-M4414-N4414-O4414-Q4414</f>
        <v>0</v>
      </c>
      <c r="T4414" s="406">
        <f t="shared" ref="T4414:T4426" si="661">L4414-M4414-N4414-O4414-Q4414</f>
        <v>0</v>
      </c>
      <c r="U4414" s="469"/>
    </row>
    <row r="4415" spans="1:219" s="403" customFormat="1" ht="42.75" customHeight="1">
      <c r="A4415" s="1113" t="s">
        <v>35</v>
      </c>
      <c r="B4415" s="1113"/>
      <c r="C4415" s="1113"/>
      <c r="D4415" s="1113"/>
      <c r="E4415" s="1113"/>
      <c r="F4415" s="1113"/>
      <c r="G4415" s="1113"/>
      <c r="H4415" s="1113"/>
      <c r="I4415" s="1113"/>
      <c r="J4415" s="1113"/>
      <c r="K4415" s="1113"/>
      <c r="L4415" s="1113"/>
      <c r="M4415" s="1113"/>
      <c r="N4415" s="1113"/>
      <c r="O4415" s="1113"/>
      <c r="P4415" s="1113"/>
      <c r="Q4415" s="1113"/>
      <c r="R4415" s="458"/>
      <c r="T4415" s="406">
        <f t="shared" si="661"/>
        <v>0</v>
      </c>
      <c r="U4415" s="404"/>
    </row>
    <row r="4416" spans="1:219" s="405" customFormat="1" ht="56.25" customHeight="1">
      <c r="A4416" s="500">
        <v>1</v>
      </c>
      <c r="B4416" s="403" t="s">
        <v>3317</v>
      </c>
      <c r="C4416" s="648" t="s">
        <v>222</v>
      </c>
      <c r="D4416" s="641">
        <v>16358</v>
      </c>
      <c r="E4416" s="391">
        <v>2139.37</v>
      </c>
      <c r="F4416" s="391" t="s">
        <v>223</v>
      </c>
      <c r="G4416" s="644">
        <f>(20*I4416)*12*1.2</f>
        <v>576</v>
      </c>
      <c r="H4416" s="446">
        <v>5</v>
      </c>
      <c r="I4416" s="446">
        <v>2</v>
      </c>
      <c r="J4416" s="528">
        <v>159</v>
      </c>
      <c r="K4416" s="642" t="s">
        <v>30</v>
      </c>
      <c r="L4416" s="519">
        <f t="shared" ref="L4416:L4443" si="662">M4416+N4416+O4416+P4416+Q4416</f>
        <v>4071990</v>
      </c>
      <c r="M4416" s="529">
        <v>3975000</v>
      </c>
      <c r="N4416" s="391"/>
      <c r="O4416" s="643">
        <v>11925</v>
      </c>
      <c r="P4416" s="391"/>
      <c r="Q4416" s="388">
        <v>85065</v>
      </c>
      <c r="R4416" s="446">
        <f>M4416/J4416</f>
        <v>25000</v>
      </c>
      <c r="S4416" s="497">
        <f>L4416-M4416-N4416-O4416-Q4416</f>
        <v>0</v>
      </c>
      <c r="T4416" s="406">
        <f t="shared" si="661"/>
        <v>0</v>
      </c>
    </row>
    <row r="4417" spans="1:22" s="405" customFormat="1" ht="37.5" customHeight="1">
      <c r="A4417" s="500">
        <f t="shared" ref="A4417:A4467" si="663">A4416+1</f>
        <v>2</v>
      </c>
      <c r="B4417" s="403" t="s">
        <v>3318</v>
      </c>
      <c r="C4417" s="446" t="s">
        <v>222</v>
      </c>
      <c r="D4417" s="606">
        <v>9935</v>
      </c>
      <c r="E4417" s="391">
        <v>2268.1999999999998</v>
      </c>
      <c r="F4417" s="391" t="s">
        <v>224</v>
      </c>
      <c r="G4417" s="391">
        <v>1296.9000000000001</v>
      </c>
      <c r="H4417" s="528">
        <v>9</v>
      </c>
      <c r="I4417" s="528">
        <v>1</v>
      </c>
      <c r="J4417" s="528">
        <v>53</v>
      </c>
      <c r="K4417" s="458" t="s">
        <v>38</v>
      </c>
      <c r="L4417" s="650">
        <f t="shared" si="662"/>
        <v>3813594.9999999995</v>
      </c>
      <c r="M4417" s="650">
        <v>3722759.9999999995</v>
      </c>
      <c r="N4417" s="651"/>
      <c r="O4417" s="643">
        <v>11168</v>
      </c>
      <c r="P4417" s="651"/>
      <c r="Q4417" s="388">
        <v>79667</v>
      </c>
      <c r="R4417" s="528">
        <f>M4417/E4417</f>
        <v>1641.2838374041089</v>
      </c>
      <c r="S4417" s="497">
        <f t="shared" ref="S4417:S4451" si="664">L4417-M4417-N4417-O4417-Q4417</f>
        <v>0</v>
      </c>
      <c r="T4417" s="406">
        <f t="shared" si="661"/>
        <v>0</v>
      </c>
    </row>
    <row r="4418" spans="1:22" s="405" customFormat="1" ht="37.5" customHeight="1">
      <c r="A4418" s="500">
        <f t="shared" si="663"/>
        <v>3</v>
      </c>
      <c r="B4418" s="403" t="s">
        <v>3319</v>
      </c>
      <c r="C4418" s="820" t="s">
        <v>218</v>
      </c>
      <c r="D4418" s="606">
        <v>9941</v>
      </c>
      <c r="E4418" s="391">
        <v>2268.1999999999998</v>
      </c>
      <c r="F4418" s="391" t="s">
        <v>224</v>
      </c>
      <c r="G4418" s="391">
        <v>1396</v>
      </c>
      <c r="H4418" s="528">
        <v>9</v>
      </c>
      <c r="I4418" s="528">
        <v>1</v>
      </c>
      <c r="J4418" s="528">
        <v>53</v>
      </c>
      <c r="K4418" s="458" t="s">
        <v>38</v>
      </c>
      <c r="L4418" s="650">
        <f t="shared" si="662"/>
        <v>3813594.9999999995</v>
      </c>
      <c r="M4418" s="650">
        <v>3722759.9999999995</v>
      </c>
      <c r="N4418" s="651"/>
      <c r="O4418" s="643">
        <v>11168</v>
      </c>
      <c r="P4418" s="651"/>
      <c r="Q4418" s="388">
        <v>79667</v>
      </c>
      <c r="R4418" s="528">
        <f>M4418/E4418</f>
        <v>1641.2838374041089</v>
      </c>
      <c r="S4418" s="497">
        <f t="shared" si="664"/>
        <v>0</v>
      </c>
      <c r="T4418" s="406">
        <f t="shared" si="661"/>
        <v>0</v>
      </c>
    </row>
    <row r="4419" spans="1:22" s="405" customFormat="1" ht="37.5" customHeight="1">
      <c r="A4419" s="500">
        <f t="shared" si="663"/>
        <v>4</v>
      </c>
      <c r="B4419" s="403" t="s">
        <v>3320</v>
      </c>
      <c r="C4419" s="820" t="s">
        <v>218</v>
      </c>
      <c r="D4419" s="606">
        <v>15045</v>
      </c>
      <c r="E4419" s="391">
        <v>2937.38</v>
      </c>
      <c r="F4419" s="391" t="s">
        <v>223</v>
      </c>
      <c r="G4419" s="391">
        <v>1372.8</v>
      </c>
      <c r="H4419" s="528">
        <v>5</v>
      </c>
      <c r="I4419" s="528">
        <v>6</v>
      </c>
      <c r="J4419" s="528">
        <v>90</v>
      </c>
      <c r="K4419" s="458" t="s">
        <v>38</v>
      </c>
      <c r="L4419" s="650">
        <f t="shared" si="662"/>
        <v>4863118</v>
      </c>
      <c r="M4419" s="650">
        <v>4747284</v>
      </c>
      <c r="N4419" s="651"/>
      <c r="O4419" s="643">
        <v>14242</v>
      </c>
      <c r="P4419" s="651"/>
      <c r="Q4419" s="388">
        <v>101592</v>
      </c>
      <c r="R4419" s="528">
        <f>M4419/E4419</f>
        <v>1616.1627028167959</v>
      </c>
      <c r="S4419" s="497">
        <f t="shared" si="664"/>
        <v>0</v>
      </c>
      <c r="T4419" s="406">
        <f t="shared" si="661"/>
        <v>0</v>
      </c>
    </row>
    <row r="4420" spans="1:22" s="405" customFormat="1" ht="37.5" customHeight="1">
      <c r="A4420" s="500">
        <f t="shared" si="663"/>
        <v>5</v>
      </c>
      <c r="B4420" s="403" t="s">
        <v>3321</v>
      </c>
      <c r="C4420" s="382" t="s">
        <v>222</v>
      </c>
      <c r="D4420" s="606">
        <v>22854</v>
      </c>
      <c r="E4420" s="391">
        <v>2871</v>
      </c>
      <c r="F4420" s="391" t="s">
        <v>223</v>
      </c>
      <c r="G4420" s="391">
        <v>2112</v>
      </c>
      <c r="H4420" s="528">
        <v>5</v>
      </c>
      <c r="I4420" s="528">
        <v>8</v>
      </c>
      <c r="J4420" s="528">
        <v>127</v>
      </c>
      <c r="K4420" s="458" t="s">
        <v>33</v>
      </c>
      <c r="L4420" s="519">
        <f t="shared" si="662"/>
        <v>5429952</v>
      </c>
      <c r="M4420" s="519">
        <v>5280000</v>
      </c>
      <c r="N4420" s="388">
        <v>36960</v>
      </c>
      <c r="O4420" s="473"/>
      <c r="P4420" s="388"/>
      <c r="Q4420" s="388">
        <v>112992</v>
      </c>
      <c r="R4420" s="446">
        <f>M4420/G4420</f>
        <v>2500</v>
      </c>
      <c r="S4420" s="497">
        <f t="shared" si="664"/>
        <v>0</v>
      </c>
      <c r="T4420" s="406">
        <f t="shared" si="661"/>
        <v>0</v>
      </c>
    </row>
    <row r="4421" spans="1:22" s="405" customFormat="1" ht="37.5" customHeight="1">
      <c r="A4421" s="500">
        <f t="shared" si="663"/>
        <v>6</v>
      </c>
      <c r="B4421" s="403" t="s">
        <v>3322</v>
      </c>
      <c r="C4421" s="382" t="s">
        <v>222</v>
      </c>
      <c r="D4421" s="606">
        <v>28995</v>
      </c>
      <c r="E4421" s="391">
        <v>2870</v>
      </c>
      <c r="F4421" s="391" t="s">
        <v>224</v>
      </c>
      <c r="G4421" s="391">
        <v>2681.5</v>
      </c>
      <c r="H4421" s="528">
        <v>5</v>
      </c>
      <c r="I4421" s="528">
        <v>8</v>
      </c>
      <c r="J4421" s="528">
        <v>32</v>
      </c>
      <c r="K4421" s="458" t="s">
        <v>33</v>
      </c>
      <c r="L4421" s="519">
        <f t="shared" si="662"/>
        <v>5768550</v>
      </c>
      <c r="M4421" s="519">
        <v>5631150</v>
      </c>
      <c r="N4421" s="388"/>
      <c r="O4421" s="643">
        <v>16893</v>
      </c>
      <c r="P4421" s="388"/>
      <c r="Q4421" s="388">
        <v>120507</v>
      </c>
      <c r="R4421" s="446">
        <f>M4421/G4421</f>
        <v>2100</v>
      </c>
      <c r="S4421" s="497">
        <f t="shared" si="664"/>
        <v>0</v>
      </c>
      <c r="T4421" s="406">
        <f t="shared" si="661"/>
        <v>0</v>
      </c>
    </row>
    <row r="4422" spans="1:22" s="405" customFormat="1" ht="37.5" customHeight="1">
      <c r="A4422" s="500">
        <f t="shared" si="663"/>
        <v>7</v>
      </c>
      <c r="B4422" s="403" t="s">
        <v>3323</v>
      </c>
      <c r="C4422" s="648" t="s">
        <v>222</v>
      </c>
      <c r="D4422" s="641">
        <v>45515</v>
      </c>
      <c r="E4422" s="391">
        <v>5640</v>
      </c>
      <c r="F4422" s="391" t="s">
        <v>224</v>
      </c>
      <c r="G4422" s="644">
        <f>(20*I4422)*12*1.2</f>
        <v>1440</v>
      </c>
      <c r="H4422" s="446">
        <v>9</v>
      </c>
      <c r="I4422" s="446">
        <v>5</v>
      </c>
      <c r="J4422" s="528">
        <v>159</v>
      </c>
      <c r="K4422" s="458" t="s">
        <v>225</v>
      </c>
      <c r="L4422" s="645">
        <f t="shared" si="662"/>
        <v>3607837</v>
      </c>
      <c r="M4422" s="645">
        <v>3498000</v>
      </c>
      <c r="N4422" s="646">
        <v>34980</v>
      </c>
      <c r="O4422" s="647"/>
      <c r="P4422" s="646"/>
      <c r="Q4422" s="388">
        <v>74857</v>
      </c>
      <c r="R4422" s="648">
        <f>M4422/J4422</f>
        <v>22000</v>
      </c>
      <c r="S4422" s="497">
        <f t="shared" si="664"/>
        <v>0</v>
      </c>
      <c r="T4422" s="406">
        <f t="shared" si="661"/>
        <v>0</v>
      </c>
    </row>
    <row r="4423" spans="1:22" s="420" customFormat="1" ht="56.25" customHeight="1">
      <c r="A4423" s="500">
        <f t="shared" si="663"/>
        <v>8</v>
      </c>
      <c r="B4423" s="403" t="s">
        <v>3324</v>
      </c>
      <c r="C4423" s="455" t="s">
        <v>218</v>
      </c>
      <c r="D4423" s="641">
        <v>27438</v>
      </c>
      <c r="E4423" s="391">
        <v>4681.4799999999996</v>
      </c>
      <c r="F4423" s="391" t="s">
        <v>224</v>
      </c>
      <c r="G4423" s="644">
        <f>(20*I4423)*12*1.2</f>
        <v>2880</v>
      </c>
      <c r="H4423" s="446">
        <v>5</v>
      </c>
      <c r="I4423" s="446">
        <v>10</v>
      </c>
      <c r="J4423" s="528">
        <v>157</v>
      </c>
      <c r="K4423" s="642" t="s">
        <v>30</v>
      </c>
      <c r="L4423" s="519">
        <f t="shared" si="662"/>
        <v>4020770</v>
      </c>
      <c r="M4423" s="529">
        <v>3925000</v>
      </c>
      <c r="N4423" s="391"/>
      <c r="O4423" s="643">
        <v>11775</v>
      </c>
      <c r="P4423" s="391"/>
      <c r="Q4423" s="388">
        <v>83995</v>
      </c>
      <c r="R4423" s="446">
        <f>M4423/J4423</f>
        <v>25000</v>
      </c>
      <c r="S4423" s="497">
        <f t="shared" si="664"/>
        <v>0</v>
      </c>
      <c r="T4423" s="406">
        <f t="shared" si="661"/>
        <v>0</v>
      </c>
      <c r="U4423" s="390"/>
    </row>
    <row r="4424" spans="1:22" s="420" customFormat="1" ht="37.5" customHeight="1">
      <c r="A4424" s="500">
        <f t="shared" si="663"/>
        <v>9</v>
      </c>
      <c r="B4424" s="403" t="s">
        <v>3325</v>
      </c>
      <c r="C4424" s="820" t="s">
        <v>218</v>
      </c>
      <c r="D4424" s="606">
        <v>31363</v>
      </c>
      <c r="E4424" s="391">
        <v>4910</v>
      </c>
      <c r="F4424" s="391" t="s">
        <v>224</v>
      </c>
      <c r="G4424" s="391">
        <v>2521.9</v>
      </c>
      <c r="H4424" s="528">
        <v>5</v>
      </c>
      <c r="I4424" s="528">
        <v>11</v>
      </c>
      <c r="J4424" s="528">
        <v>189</v>
      </c>
      <c r="K4424" s="458" t="s">
        <v>38</v>
      </c>
      <c r="L4424" s="650">
        <f t="shared" si="662"/>
        <v>8306030</v>
      </c>
      <c r="M4424" s="650">
        <v>8108190</v>
      </c>
      <c r="N4424" s="651"/>
      <c r="O4424" s="643">
        <v>24325</v>
      </c>
      <c r="P4424" s="651"/>
      <c r="Q4424" s="388">
        <v>173515</v>
      </c>
      <c r="R4424" s="528">
        <f>M4424/E4424</f>
        <v>1651.3625254582485</v>
      </c>
      <c r="S4424" s="497">
        <f t="shared" si="664"/>
        <v>0</v>
      </c>
      <c r="T4424" s="406">
        <f t="shared" si="661"/>
        <v>0</v>
      </c>
      <c r="U4424" s="390"/>
    </row>
    <row r="4425" spans="1:22" s="420" customFormat="1" ht="37.5" customHeight="1">
      <c r="A4425" s="500">
        <f>A4424+1</f>
        <v>10</v>
      </c>
      <c r="B4425" s="403" t="s">
        <v>3327</v>
      </c>
      <c r="C4425" s="648" t="s">
        <v>222</v>
      </c>
      <c r="D4425" s="641">
        <v>19563</v>
      </c>
      <c r="E4425" s="391">
        <v>2000</v>
      </c>
      <c r="F4425" s="391" t="s">
        <v>224</v>
      </c>
      <c r="G4425" s="644">
        <f>(20*I4425)*12*1.2</f>
        <v>1440</v>
      </c>
      <c r="H4425" s="446">
        <v>5</v>
      </c>
      <c r="I4425" s="446">
        <v>5</v>
      </c>
      <c r="J4425" s="528">
        <v>163</v>
      </c>
      <c r="K4425" s="458" t="s">
        <v>225</v>
      </c>
      <c r="L4425" s="645">
        <f t="shared" si="662"/>
        <v>3698600</v>
      </c>
      <c r="M4425" s="645">
        <v>3586000</v>
      </c>
      <c r="N4425" s="646">
        <v>35860</v>
      </c>
      <c r="O4425" s="647"/>
      <c r="P4425" s="646"/>
      <c r="Q4425" s="388">
        <v>76740</v>
      </c>
      <c r="R4425" s="648">
        <f>M4425/J4425</f>
        <v>22000</v>
      </c>
      <c r="S4425" s="497">
        <f t="shared" si="664"/>
        <v>0</v>
      </c>
      <c r="T4425" s="406">
        <f t="shared" si="661"/>
        <v>0</v>
      </c>
      <c r="U4425" s="405"/>
    </row>
    <row r="4426" spans="1:22" s="420" customFormat="1" ht="37.5" customHeight="1">
      <c r="A4426" s="500">
        <f t="shared" si="663"/>
        <v>11</v>
      </c>
      <c r="B4426" s="403" t="s">
        <v>3331</v>
      </c>
      <c r="C4426" s="382" t="s">
        <v>218</v>
      </c>
      <c r="D4426" s="606">
        <v>17015</v>
      </c>
      <c r="E4426" s="391">
        <v>2175</v>
      </c>
      <c r="F4426" s="391" t="s">
        <v>224</v>
      </c>
      <c r="G4426" s="391">
        <v>1416</v>
      </c>
      <c r="H4426" s="528">
        <v>5</v>
      </c>
      <c r="I4426" s="528">
        <v>6</v>
      </c>
      <c r="J4426" s="528">
        <v>90</v>
      </c>
      <c r="K4426" s="458" t="s">
        <v>33</v>
      </c>
      <c r="L4426" s="650">
        <f t="shared" si="662"/>
        <v>3626376</v>
      </c>
      <c r="M4426" s="519">
        <v>3540000</v>
      </c>
      <c r="N4426" s="651"/>
      <c r="O4426" s="643">
        <v>10620</v>
      </c>
      <c r="P4426" s="388"/>
      <c r="Q4426" s="388">
        <v>75756</v>
      </c>
      <c r="R4426" s="446">
        <f>M4426/G4426</f>
        <v>2500</v>
      </c>
      <c r="S4426" s="497">
        <f t="shared" si="664"/>
        <v>0</v>
      </c>
      <c r="T4426" s="406">
        <f t="shared" si="661"/>
        <v>0</v>
      </c>
      <c r="U4426" s="405"/>
    </row>
    <row r="4427" spans="1:22" s="1005" customFormat="1" ht="37.5" customHeight="1">
      <c r="A4427" s="500">
        <f t="shared" si="663"/>
        <v>12</v>
      </c>
      <c r="B4427" s="427" t="s">
        <v>3328</v>
      </c>
      <c r="C4427" s="403" t="s">
        <v>218</v>
      </c>
      <c r="D4427" s="822">
        <v>49471</v>
      </c>
      <c r="E4427" s="644">
        <f>(149+12.3)*2*9*2.7</f>
        <v>7839.1800000000012</v>
      </c>
      <c r="F4427" s="391" t="s">
        <v>224</v>
      </c>
      <c r="G4427" s="644">
        <f>149*12.3</f>
        <v>1832.7</v>
      </c>
      <c r="H4427" s="446">
        <v>9</v>
      </c>
      <c r="I4427" s="446">
        <v>6</v>
      </c>
      <c r="J4427" s="528">
        <v>216</v>
      </c>
      <c r="K4427" s="458" t="s">
        <v>225</v>
      </c>
      <c r="L4427" s="650">
        <f t="shared" si="662"/>
        <v>4815860</v>
      </c>
      <c r="M4427" s="645">
        <v>4752000</v>
      </c>
      <c r="N4427" s="646">
        <v>43860</v>
      </c>
      <c r="O4427" s="647"/>
      <c r="P4427" s="646"/>
      <c r="Q4427" s="388">
        <v>20000</v>
      </c>
      <c r="R4427" s="446">
        <f>M4427/J4427</f>
        <v>22000</v>
      </c>
      <c r="S4427" s="497">
        <f t="shared" si="664"/>
        <v>0</v>
      </c>
      <c r="T4427" s="825"/>
      <c r="U4427" s="416"/>
    </row>
    <row r="4428" spans="1:22" s="1005" customFormat="1" ht="37.5" customHeight="1">
      <c r="A4428" s="500">
        <f t="shared" si="663"/>
        <v>13</v>
      </c>
      <c r="B4428" s="427" t="s">
        <v>3329</v>
      </c>
      <c r="C4428" s="403" t="s">
        <v>218</v>
      </c>
      <c r="D4428" s="822">
        <v>41226</v>
      </c>
      <c r="E4428" s="644">
        <f>(123+11.1)*2*9*2.7</f>
        <v>6517.2599999999993</v>
      </c>
      <c r="F4428" s="391" t="s">
        <v>224</v>
      </c>
      <c r="G4428" s="644">
        <f>123*11.1</f>
        <v>1365.3</v>
      </c>
      <c r="H4428" s="446">
        <v>9</v>
      </c>
      <c r="I4428" s="446">
        <v>5</v>
      </c>
      <c r="J4428" s="528">
        <v>179</v>
      </c>
      <c r="K4428" s="458" t="s">
        <v>225</v>
      </c>
      <c r="L4428" s="650">
        <f t="shared" si="662"/>
        <v>3998955</v>
      </c>
      <c r="M4428" s="645">
        <v>3938000</v>
      </c>
      <c r="N4428" s="646">
        <v>40955</v>
      </c>
      <c r="O4428" s="647"/>
      <c r="P4428" s="646"/>
      <c r="Q4428" s="388">
        <v>20000</v>
      </c>
      <c r="R4428" s="446">
        <f>M4428/J4428</f>
        <v>22000</v>
      </c>
      <c r="S4428" s="497">
        <f t="shared" si="664"/>
        <v>0</v>
      </c>
      <c r="T4428" s="825"/>
      <c r="U4428" s="416"/>
    </row>
    <row r="4429" spans="1:22" s="420" customFormat="1" ht="37.5" customHeight="1">
      <c r="A4429" s="500">
        <f t="shared" si="663"/>
        <v>14</v>
      </c>
      <c r="B4429" s="403" t="s">
        <v>3833</v>
      </c>
      <c r="C4429" s="382" t="s">
        <v>222</v>
      </c>
      <c r="D4429" s="606">
        <v>19459.440000000002</v>
      </c>
      <c r="E4429" s="391">
        <v>3295.08</v>
      </c>
      <c r="F4429" s="391" t="s">
        <v>224</v>
      </c>
      <c r="G4429" s="391">
        <v>720.72</v>
      </c>
      <c r="H4429" s="528">
        <v>9</v>
      </c>
      <c r="I4429" s="528">
        <v>2</v>
      </c>
      <c r="J4429" s="528">
        <v>104</v>
      </c>
      <c r="K4429" s="458" t="s">
        <v>227</v>
      </c>
      <c r="L4429" s="650">
        <f t="shared" si="662"/>
        <v>2974468</v>
      </c>
      <c r="M4429" s="519">
        <v>2870000</v>
      </c>
      <c r="N4429" s="651">
        <v>43050</v>
      </c>
      <c r="O4429" s="643"/>
      <c r="P4429" s="388"/>
      <c r="Q4429" s="388">
        <v>61418</v>
      </c>
      <c r="R4429" s="446"/>
      <c r="S4429" s="497">
        <f t="shared" si="664"/>
        <v>0</v>
      </c>
      <c r="T4429" s="406"/>
      <c r="U4429" s="405"/>
    </row>
    <row r="4430" spans="1:22" s="420" customFormat="1" ht="37.5" customHeight="1">
      <c r="A4430" s="500">
        <f t="shared" si="663"/>
        <v>15</v>
      </c>
      <c r="B4430" s="403" t="s">
        <v>1816</v>
      </c>
      <c r="C4430" s="446" t="s">
        <v>222</v>
      </c>
      <c r="D4430" s="606">
        <v>17867</v>
      </c>
      <c r="E4430" s="391">
        <v>2660</v>
      </c>
      <c r="F4430" s="391" t="s">
        <v>223</v>
      </c>
      <c r="G4430" s="391">
        <v>1584</v>
      </c>
      <c r="H4430" s="528">
        <v>5</v>
      </c>
      <c r="I4430" s="528">
        <v>6</v>
      </c>
      <c r="J4430" s="528">
        <v>100</v>
      </c>
      <c r="K4430" s="458" t="s">
        <v>33</v>
      </c>
      <c r="L4430" s="519">
        <f t="shared" si="662"/>
        <v>3960000</v>
      </c>
      <c r="M4430" s="519">
        <v>3960000</v>
      </c>
      <c r="N4430" s="388"/>
      <c r="O4430" s="473"/>
      <c r="P4430" s="394"/>
      <c r="Q4430" s="388"/>
      <c r="R4430" s="446">
        <f>M4430/G4430</f>
        <v>2500</v>
      </c>
      <c r="S4430" s="497">
        <f t="shared" si="664"/>
        <v>0</v>
      </c>
      <c r="T4430" s="393"/>
      <c r="U4430" s="405"/>
      <c r="V4430" s="390"/>
    </row>
    <row r="4431" spans="1:22" s="420" customFormat="1" ht="37.5" customHeight="1">
      <c r="A4431" s="500">
        <f t="shared" si="663"/>
        <v>16</v>
      </c>
      <c r="B4431" s="403" t="s">
        <v>1829</v>
      </c>
      <c r="C4431" s="820" t="s">
        <v>218</v>
      </c>
      <c r="D4431" s="606">
        <v>17076</v>
      </c>
      <c r="E4431" s="391">
        <v>2829.95</v>
      </c>
      <c r="F4431" s="391" t="s">
        <v>224</v>
      </c>
      <c r="G4431" s="391">
        <v>1426.3</v>
      </c>
      <c r="H4431" s="528">
        <v>5</v>
      </c>
      <c r="I4431" s="528">
        <v>6</v>
      </c>
      <c r="J4431" s="528">
        <v>90</v>
      </c>
      <c r="K4431" s="458" t="s">
        <v>33</v>
      </c>
      <c r="L4431" s="519">
        <f t="shared" si="662"/>
        <v>2895119</v>
      </c>
      <c r="M4431" s="529">
        <v>2852600</v>
      </c>
      <c r="N4431" s="388"/>
      <c r="O4431" s="643">
        <v>22519</v>
      </c>
      <c r="P4431" s="394"/>
      <c r="Q4431" s="388">
        <v>20000</v>
      </c>
      <c r="R4431" s="446">
        <f>M4431/J4431</f>
        <v>31695.555555555555</v>
      </c>
      <c r="S4431" s="497">
        <f t="shared" si="664"/>
        <v>0</v>
      </c>
      <c r="T4431" s="393"/>
      <c r="U4431" s="405"/>
      <c r="V4431" s="390"/>
    </row>
    <row r="4432" spans="1:22" s="420" customFormat="1" ht="37.5" customHeight="1">
      <c r="A4432" s="500">
        <f t="shared" si="663"/>
        <v>17</v>
      </c>
      <c r="B4432" s="403" t="s">
        <v>1834</v>
      </c>
      <c r="C4432" s="446" t="s">
        <v>222</v>
      </c>
      <c r="D4432" s="606">
        <v>7739</v>
      </c>
      <c r="E4432" s="391">
        <v>1266</v>
      </c>
      <c r="F4432" s="391" t="s">
        <v>231</v>
      </c>
      <c r="G4432" s="391">
        <v>868.4</v>
      </c>
      <c r="H4432" s="528">
        <v>4</v>
      </c>
      <c r="I4432" s="528">
        <v>3</v>
      </c>
      <c r="J4432" s="528">
        <v>48</v>
      </c>
      <c r="K4432" s="458" t="s">
        <v>33</v>
      </c>
      <c r="L4432" s="519">
        <f t="shared" si="662"/>
        <v>2171000</v>
      </c>
      <c r="M4432" s="519">
        <v>2171000</v>
      </c>
      <c r="N4432" s="388"/>
      <c r="O4432" s="473"/>
      <c r="P4432" s="388"/>
      <c r="Q4432" s="388"/>
      <c r="R4432" s="446">
        <f>M4432/G4432</f>
        <v>2500</v>
      </c>
      <c r="S4432" s="497">
        <f t="shared" si="664"/>
        <v>0</v>
      </c>
      <c r="T4432" s="393"/>
      <c r="U4432" s="405"/>
      <c r="V4432" s="390"/>
    </row>
    <row r="4433" spans="1:24" s="420" customFormat="1" ht="48.75" customHeight="1">
      <c r="A4433" s="500">
        <f t="shared" si="663"/>
        <v>18</v>
      </c>
      <c r="B4433" s="403" t="s">
        <v>1846</v>
      </c>
      <c r="C4433" s="820" t="s">
        <v>218</v>
      </c>
      <c r="D4433" s="606">
        <v>2100</v>
      </c>
      <c r="E4433" s="391">
        <v>468</v>
      </c>
      <c r="F4433" s="391" t="s">
        <v>223</v>
      </c>
      <c r="G4433" s="391">
        <v>515</v>
      </c>
      <c r="H4433" s="528">
        <v>2</v>
      </c>
      <c r="I4433" s="528">
        <v>1</v>
      </c>
      <c r="J4433" s="528">
        <v>8</v>
      </c>
      <c r="K4433" s="458" t="s">
        <v>241</v>
      </c>
      <c r="L4433" s="650">
        <f t="shared" si="662"/>
        <v>1480568</v>
      </c>
      <c r="M4433" s="650">
        <v>1442000</v>
      </c>
      <c r="N4433" s="651">
        <v>28285</v>
      </c>
      <c r="O4433" s="643"/>
      <c r="P4433" s="649"/>
      <c r="Q4433" s="388">
        <v>10283</v>
      </c>
      <c r="R4433" s="528">
        <f>M4433/E4433</f>
        <v>3081.1965811965811</v>
      </c>
      <c r="S4433" s="497">
        <f t="shared" si="664"/>
        <v>0</v>
      </c>
      <c r="T4433" s="393"/>
      <c r="U4433" s="414"/>
      <c r="V4433" s="390"/>
      <c r="W4433" s="416"/>
      <c r="X4433" s="416"/>
    </row>
    <row r="4434" spans="1:24" s="420" customFormat="1" ht="37.5" customHeight="1">
      <c r="A4434" s="500">
        <f t="shared" si="663"/>
        <v>19</v>
      </c>
      <c r="B4434" s="403" t="s">
        <v>3948</v>
      </c>
      <c r="C4434" s="820" t="s">
        <v>222</v>
      </c>
      <c r="D4434" s="606">
        <v>3862</v>
      </c>
      <c r="E4434" s="391">
        <v>677</v>
      </c>
      <c r="F4434" s="391" t="s">
        <v>223</v>
      </c>
      <c r="G4434" s="391">
        <v>668</v>
      </c>
      <c r="H4434" s="528">
        <v>3</v>
      </c>
      <c r="I4434" s="528">
        <v>2</v>
      </c>
      <c r="J4434" s="528">
        <v>24</v>
      </c>
      <c r="K4434" s="458" t="s">
        <v>33</v>
      </c>
      <c r="L4434" s="519">
        <f t="shared" si="662"/>
        <v>1670000</v>
      </c>
      <c r="M4434" s="529">
        <v>1670000</v>
      </c>
      <c r="N4434" s="388"/>
      <c r="O4434" s="473"/>
      <c r="P4434" s="388"/>
      <c r="Q4434" s="388"/>
      <c r="R4434" s="528">
        <f>M4434/G4434</f>
        <v>2500</v>
      </c>
      <c r="S4434" s="497">
        <f t="shared" si="664"/>
        <v>0</v>
      </c>
      <c r="T4434" s="393"/>
      <c r="U4434" s="405"/>
      <c r="V4434" s="390"/>
    </row>
    <row r="4435" spans="1:24" s="420" customFormat="1" ht="37.5" customHeight="1">
      <c r="A4435" s="500">
        <f t="shared" si="663"/>
        <v>20</v>
      </c>
      <c r="B4435" s="403" t="s">
        <v>3807</v>
      </c>
      <c r="C4435" s="820" t="s">
        <v>222</v>
      </c>
      <c r="D4435" s="606">
        <v>4446</v>
      </c>
      <c r="E4435" s="391">
        <v>840</v>
      </c>
      <c r="F4435" s="391" t="s">
        <v>223</v>
      </c>
      <c r="G4435" s="391">
        <v>983</v>
      </c>
      <c r="H4435" s="528">
        <v>2</v>
      </c>
      <c r="I4435" s="528">
        <v>3</v>
      </c>
      <c r="J4435" s="528">
        <v>22</v>
      </c>
      <c r="K4435" s="458" t="s">
        <v>241</v>
      </c>
      <c r="L4435" s="519">
        <f t="shared" si="662"/>
        <v>2806654</v>
      </c>
      <c r="M4435" s="650">
        <v>2752400</v>
      </c>
      <c r="N4435" s="651">
        <v>32483</v>
      </c>
      <c r="O4435" s="643"/>
      <c r="P4435" s="651"/>
      <c r="Q4435" s="388">
        <v>21771</v>
      </c>
      <c r="R4435" s="528">
        <f>M4435/G4435</f>
        <v>2800</v>
      </c>
      <c r="S4435" s="497">
        <f t="shared" si="664"/>
        <v>0</v>
      </c>
      <c r="T4435" s="393"/>
      <c r="U4435" s="405"/>
      <c r="V4435" s="390"/>
    </row>
    <row r="4436" spans="1:24" s="420" customFormat="1" ht="37.5" customHeight="1">
      <c r="A4436" s="500">
        <f t="shared" si="663"/>
        <v>21</v>
      </c>
      <c r="B4436" s="403" t="s">
        <v>3808</v>
      </c>
      <c r="C4436" s="820" t="s">
        <v>218</v>
      </c>
      <c r="D4436" s="606">
        <v>3744</v>
      </c>
      <c r="E4436" s="391">
        <v>742</v>
      </c>
      <c r="F4436" s="391" t="s">
        <v>223</v>
      </c>
      <c r="G4436" s="391">
        <v>905</v>
      </c>
      <c r="H4436" s="528">
        <v>2</v>
      </c>
      <c r="I4436" s="528">
        <v>3</v>
      </c>
      <c r="J4436" s="528">
        <v>18</v>
      </c>
      <c r="K4436" s="458" t="s">
        <v>241</v>
      </c>
      <c r="L4436" s="519">
        <f t="shared" si="662"/>
        <v>2576102</v>
      </c>
      <c r="M4436" s="529">
        <v>2534000</v>
      </c>
      <c r="N4436" s="388">
        <v>31209</v>
      </c>
      <c r="O4436" s="473"/>
      <c r="P4436" s="388"/>
      <c r="Q4436" s="388">
        <v>10893</v>
      </c>
      <c r="R4436" s="528">
        <f>M4436/G4436</f>
        <v>2800</v>
      </c>
      <c r="S4436" s="497">
        <f t="shared" si="664"/>
        <v>0</v>
      </c>
      <c r="T4436" s="393"/>
      <c r="U4436" s="405"/>
      <c r="V4436" s="390"/>
    </row>
    <row r="4437" spans="1:24" s="420" customFormat="1" ht="37.5" customHeight="1">
      <c r="A4437" s="500">
        <f t="shared" si="663"/>
        <v>22</v>
      </c>
      <c r="B4437" s="403" t="s">
        <v>2757</v>
      </c>
      <c r="C4437" s="820" t="s">
        <v>222</v>
      </c>
      <c r="D4437" s="606">
        <v>3577</v>
      </c>
      <c r="E4437" s="391">
        <v>817.43200000000002</v>
      </c>
      <c r="F4437" s="391" t="s">
        <v>223</v>
      </c>
      <c r="G4437" s="391">
        <v>451.52000000000004</v>
      </c>
      <c r="H4437" s="528">
        <v>4</v>
      </c>
      <c r="I4437" s="528">
        <v>1</v>
      </c>
      <c r="J4437" s="528">
        <v>16</v>
      </c>
      <c r="K4437" s="458" t="s">
        <v>241</v>
      </c>
      <c r="L4437" s="519">
        <f t="shared" si="662"/>
        <v>1155184</v>
      </c>
      <c r="M4437" s="529">
        <v>1128800</v>
      </c>
      <c r="N4437" s="388">
        <v>26384</v>
      </c>
      <c r="O4437" s="473"/>
      <c r="P4437" s="388"/>
      <c r="Q4437" s="388"/>
      <c r="R4437" s="528">
        <f>M4437/G4437</f>
        <v>2500</v>
      </c>
      <c r="S4437" s="497">
        <f t="shared" si="664"/>
        <v>0</v>
      </c>
      <c r="T4437" s="393"/>
      <c r="U4437" s="405"/>
      <c r="V4437" s="390"/>
    </row>
    <row r="4438" spans="1:24" s="420" customFormat="1" ht="37.5" customHeight="1">
      <c r="A4438" s="500">
        <f t="shared" si="663"/>
        <v>23</v>
      </c>
      <c r="B4438" s="403" t="s">
        <v>1808</v>
      </c>
      <c r="C4438" s="820" t="s">
        <v>218</v>
      </c>
      <c r="D4438" s="606">
        <f>E4438*2.9</f>
        <v>3863.0609999999997</v>
      </c>
      <c r="E4438" s="391">
        <v>1332.09</v>
      </c>
      <c r="F4438" s="391" t="s">
        <v>224</v>
      </c>
      <c r="G4438" s="391">
        <v>601.5</v>
      </c>
      <c r="H4438" s="528">
        <v>5</v>
      </c>
      <c r="I4438" s="528">
        <v>1</v>
      </c>
      <c r="J4438" s="528">
        <v>82</v>
      </c>
      <c r="K4438" s="458" t="s">
        <v>33</v>
      </c>
      <c r="L4438" s="519">
        <f t="shared" si="662"/>
        <v>1203000</v>
      </c>
      <c r="M4438" s="519">
        <v>1203000</v>
      </c>
      <c r="N4438" s="388"/>
      <c r="O4438" s="643"/>
      <c r="P4438" s="388"/>
      <c r="Q4438" s="388"/>
      <c r="R4438" s="446">
        <f>M4438/G4438</f>
        <v>2000</v>
      </c>
      <c r="S4438" s="497">
        <f t="shared" si="664"/>
        <v>0</v>
      </c>
      <c r="T4438" s="407"/>
      <c r="U4438" s="414"/>
      <c r="V4438" s="390"/>
      <c r="W4438" s="416"/>
      <c r="X4438" s="416"/>
    </row>
    <row r="4439" spans="1:24" s="420" customFormat="1" ht="56.25" customHeight="1">
      <c r="A4439" s="500">
        <f t="shared" si="663"/>
        <v>24</v>
      </c>
      <c r="B4439" s="403" t="s">
        <v>1818</v>
      </c>
      <c r="C4439" s="820" t="s">
        <v>218</v>
      </c>
      <c r="D4439" s="606">
        <v>16998</v>
      </c>
      <c r="E4439" s="391">
        <v>2605</v>
      </c>
      <c r="F4439" s="391" t="s">
        <v>224</v>
      </c>
      <c r="G4439" s="391">
        <v>1395</v>
      </c>
      <c r="H4439" s="528">
        <v>5</v>
      </c>
      <c r="I4439" s="528">
        <v>6</v>
      </c>
      <c r="J4439" s="528">
        <v>86</v>
      </c>
      <c r="K4439" s="458" t="s">
        <v>238</v>
      </c>
      <c r="L4439" s="519">
        <f t="shared" si="662"/>
        <v>2150000</v>
      </c>
      <c r="M4439" s="529">
        <v>2150000</v>
      </c>
      <c r="N4439" s="391"/>
      <c r="O4439" s="643"/>
      <c r="P4439" s="391"/>
      <c r="Q4439" s="388"/>
      <c r="R4439" s="446">
        <f>M4439/J4439</f>
        <v>25000</v>
      </c>
      <c r="S4439" s="497">
        <f t="shared" si="664"/>
        <v>0</v>
      </c>
      <c r="T4439" s="393"/>
      <c r="U4439" s="405"/>
      <c r="V4439" s="390"/>
    </row>
    <row r="4440" spans="1:24" s="420" customFormat="1" ht="61.5" customHeight="1">
      <c r="A4440" s="500">
        <f t="shared" si="663"/>
        <v>25</v>
      </c>
      <c r="B4440" s="403" t="s">
        <v>1819</v>
      </c>
      <c r="C4440" s="820" t="s">
        <v>218</v>
      </c>
      <c r="D4440" s="606">
        <v>16612</v>
      </c>
      <c r="E4440" s="391">
        <v>830</v>
      </c>
      <c r="F4440" s="391" t="s">
        <v>224</v>
      </c>
      <c r="G4440" s="391">
        <v>1397.8</v>
      </c>
      <c r="H4440" s="528">
        <v>5</v>
      </c>
      <c r="I4440" s="528">
        <v>6</v>
      </c>
      <c r="J4440" s="528">
        <v>89</v>
      </c>
      <c r="K4440" s="458" t="s">
        <v>33</v>
      </c>
      <c r="L4440" s="519">
        <f t="shared" si="662"/>
        <v>2795600</v>
      </c>
      <c r="M4440" s="519">
        <v>2795600</v>
      </c>
      <c r="N4440" s="388"/>
      <c r="O4440" s="643"/>
      <c r="P4440" s="388"/>
      <c r="Q4440" s="388"/>
      <c r="R4440" s="446">
        <f>M4440/G4440</f>
        <v>2000</v>
      </c>
      <c r="S4440" s="497">
        <f t="shared" si="664"/>
        <v>0</v>
      </c>
      <c r="T4440" s="393"/>
      <c r="U4440" s="405"/>
      <c r="V4440" s="390"/>
    </row>
    <row r="4441" spans="1:24" s="416" customFormat="1" ht="56.25" customHeight="1">
      <c r="A4441" s="500">
        <f t="shared" si="663"/>
        <v>26</v>
      </c>
      <c r="B4441" s="403" t="s">
        <v>2749</v>
      </c>
      <c r="C4441" s="446" t="s">
        <v>222</v>
      </c>
      <c r="D4441" s="606">
        <v>17945</v>
      </c>
      <c r="E4441" s="391">
        <v>2370</v>
      </c>
      <c r="F4441" s="391" t="s">
        <v>224</v>
      </c>
      <c r="G4441" s="391">
        <v>1576</v>
      </c>
      <c r="H4441" s="528">
        <v>5</v>
      </c>
      <c r="I4441" s="528">
        <v>6</v>
      </c>
      <c r="J4441" s="528">
        <v>100</v>
      </c>
      <c r="K4441" s="458" t="s">
        <v>30</v>
      </c>
      <c r="L4441" s="519">
        <f t="shared" si="662"/>
        <v>2555518</v>
      </c>
      <c r="M4441" s="529">
        <v>2500000</v>
      </c>
      <c r="N4441" s="391"/>
      <c r="O4441" s="643">
        <v>15518</v>
      </c>
      <c r="P4441" s="391"/>
      <c r="Q4441" s="388">
        <v>40000</v>
      </c>
      <c r="R4441" s="446">
        <f>M4441/J4441</f>
        <v>25000</v>
      </c>
      <c r="S4441" s="497">
        <f t="shared" si="664"/>
        <v>0</v>
      </c>
      <c r="T4441" s="393"/>
      <c r="U4441" s="464"/>
    </row>
    <row r="4442" spans="1:24" s="405" customFormat="1" ht="56.25" customHeight="1">
      <c r="A4442" s="500">
        <f t="shared" si="663"/>
        <v>27</v>
      </c>
      <c r="B4442" s="403" t="s">
        <v>3533</v>
      </c>
      <c r="C4442" s="455" t="s">
        <v>218</v>
      </c>
      <c r="D4442" s="641">
        <v>11312</v>
      </c>
      <c r="E4442" s="391">
        <v>4040</v>
      </c>
      <c r="F4442" s="391" t="s">
        <v>224</v>
      </c>
      <c r="G4442" s="644">
        <v>1404.7</v>
      </c>
      <c r="H4442" s="446">
        <v>9</v>
      </c>
      <c r="I4442" s="446">
        <v>4</v>
      </c>
      <c r="J4442" s="528">
        <v>144</v>
      </c>
      <c r="K4442" s="458" t="s">
        <v>30</v>
      </c>
      <c r="L4442" s="519">
        <f t="shared" si="662"/>
        <v>3647414</v>
      </c>
      <c r="M4442" s="519">
        <v>3600000</v>
      </c>
      <c r="N4442" s="388"/>
      <c r="O4442" s="643">
        <v>19914</v>
      </c>
      <c r="P4442" s="388"/>
      <c r="Q4442" s="388">
        <v>27500</v>
      </c>
      <c r="R4442" s="446">
        <f>M4442/J4442</f>
        <v>25000</v>
      </c>
      <c r="S4442" s="497">
        <f t="shared" si="664"/>
        <v>0</v>
      </c>
      <c r="T4442" s="393"/>
    </row>
    <row r="4443" spans="1:24" s="405" customFormat="1" ht="61.5" customHeight="1">
      <c r="A4443" s="500">
        <f t="shared" si="663"/>
        <v>28</v>
      </c>
      <c r="B4443" s="403" t="s">
        <v>840</v>
      </c>
      <c r="C4443" s="648" t="s">
        <v>218</v>
      </c>
      <c r="D4443" s="641">
        <v>47262</v>
      </c>
      <c r="E4443" s="391">
        <v>5140</v>
      </c>
      <c r="F4443" s="391" t="s">
        <v>224</v>
      </c>
      <c r="G4443" s="644">
        <v>2085.1</v>
      </c>
      <c r="H4443" s="446">
        <v>9</v>
      </c>
      <c r="I4443" s="446">
        <v>5</v>
      </c>
      <c r="J4443" s="528">
        <v>180</v>
      </c>
      <c r="K4443" s="642" t="s">
        <v>30</v>
      </c>
      <c r="L4443" s="519">
        <f t="shared" si="662"/>
        <v>4563079</v>
      </c>
      <c r="M4443" s="650">
        <v>4500000</v>
      </c>
      <c r="N4443" s="651"/>
      <c r="O4443" s="647">
        <v>23079</v>
      </c>
      <c r="P4443" s="651"/>
      <c r="Q4443" s="388">
        <v>40000</v>
      </c>
      <c r="R4443" s="446">
        <f>M4443/J4443</f>
        <v>25000</v>
      </c>
      <c r="S4443" s="497">
        <f t="shared" si="664"/>
        <v>0</v>
      </c>
      <c r="T4443" s="393"/>
      <c r="V4443" s="390"/>
    </row>
    <row r="4444" spans="1:24" s="420" customFormat="1" ht="37.5" customHeight="1">
      <c r="A4444" s="500">
        <f t="shared" si="663"/>
        <v>29</v>
      </c>
      <c r="B4444" s="403" t="s">
        <v>1823</v>
      </c>
      <c r="C4444" s="446" t="s">
        <v>222</v>
      </c>
      <c r="D4444" s="606">
        <v>7283</v>
      </c>
      <c r="E4444" s="391">
        <v>1713.48</v>
      </c>
      <c r="F4444" s="391" t="s">
        <v>223</v>
      </c>
      <c r="G4444" s="391">
        <v>830</v>
      </c>
      <c r="H4444" s="528">
        <v>4</v>
      </c>
      <c r="I4444" s="528">
        <v>3</v>
      </c>
      <c r="J4444" s="528">
        <v>48</v>
      </c>
      <c r="K4444" s="458" t="s">
        <v>33</v>
      </c>
      <c r="L4444" s="1129">
        <f>M4444+N4444+O4444+P4444+Q4444+M4445+N4445+O4445+Q4445</f>
        <v>4849356</v>
      </c>
      <c r="M4444" s="519">
        <v>2075000</v>
      </c>
      <c r="N4444" s="388"/>
      <c r="O4444" s="473"/>
      <c r="P4444" s="388"/>
      <c r="Q4444" s="388"/>
      <c r="R4444" s="446">
        <f>M4444/G4444</f>
        <v>2500</v>
      </c>
      <c r="S4444" s="497">
        <f t="shared" si="664"/>
        <v>2774356</v>
      </c>
      <c r="T4444" s="393"/>
      <c r="U4444" s="405"/>
      <c r="V4444" s="390"/>
    </row>
    <row r="4445" spans="1:24" s="420" customFormat="1" ht="37.5" customHeight="1">
      <c r="A4445" s="500"/>
      <c r="B4445" s="403"/>
      <c r="C4445" s="446"/>
      <c r="D4445" s="606"/>
      <c r="E4445" s="391"/>
      <c r="F4445" s="391"/>
      <c r="G4445" s="391"/>
      <c r="H4445" s="528"/>
      <c r="I4445" s="528"/>
      <c r="J4445" s="528"/>
      <c r="K4445" s="458" t="s">
        <v>38</v>
      </c>
      <c r="L4445" s="1129"/>
      <c r="M4445" s="650">
        <v>2724264</v>
      </c>
      <c r="N4445" s="651">
        <v>50092</v>
      </c>
      <c r="O4445" s="473"/>
      <c r="P4445" s="651"/>
      <c r="Q4445" s="651"/>
      <c r="R4445" s="732">
        <v>1800</v>
      </c>
      <c r="S4445" s="497">
        <f t="shared" si="664"/>
        <v>-2774356</v>
      </c>
      <c r="T4445" s="393"/>
      <c r="U4445" s="405"/>
      <c r="V4445" s="390"/>
    </row>
    <row r="4446" spans="1:24" s="420" customFormat="1" ht="73.5" customHeight="1">
      <c r="A4446" s="500">
        <v>30</v>
      </c>
      <c r="B4446" s="403" t="s">
        <v>3516</v>
      </c>
      <c r="C4446" s="820" t="s">
        <v>222</v>
      </c>
      <c r="D4446" s="606">
        <v>11593</v>
      </c>
      <c r="E4446" s="391">
        <v>3572</v>
      </c>
      <c r="F4446" s="391" t="s">
        <v>224</v>
      </c>
      <c r="G4446" s="391">
        <v>1932</v>
      </c>
      <c r="H4446" s="528">
        <v>5</v>
      </c>
      <c r="I4446" s="528">
        <v>8</v>
      </c>
      <c r="J4446" s="528">
        <v>128</v>
      </c>
      <c r="K4446" s="458" t="s">
        <v>38</v>
      </c>
      <c r="L4446" s="519">
        <f t="shared" ref="L4446:L4451" si="665">M4446+N4446+O4446+P4446+Q4446</f>
        <v>5906302</v>
      </c>
      <c r="M4446" s="529">
        <v>5889600</v>
      </c>
      <c r="N4446" s="651"/>
      <c r="O4446" s="643">
        <v>16702</v>
      </c>
      <c r="P4446" s="651"/>
      <c r="Q4446" s="388"/>
      <c r="R4446" s="528">
        <f>M4446/E4446</f>
        <v>1648.8241881298993</v>
      </c>
      <c r="S4446" s="497">
        <f t="shared" si="664"/>
        <v>0</v>
      </c>
      <c r="T4446" s="393"/>
      <c r="U4446" s="405"/>
      <c r="V4446" s="390"/>
    </row>
    <row r="4447" spans="1:24" s="1007" customFormat="1" ht="56.25" customHeight="1">
      <c r="A4447" s="500">
        <f t="shared" si="663"/>
        <v>31</v>
      </c>
      <c r="B4447" s="403" t="s">
        <v>3806</v>
      </c>
      <c r="C4447" s="820" t="s">
        <v>218</v>
      </c>
      <c r="D4447" s="606">
        <v>16938</v>
      </c>
      <c r="E4447" s="391">
        <v>2604.88</v>
      </c>
      <c r="F4447" s="391" t="s">
        <v>224</v>
      </c>
      <c r="G4447" s="391">
        <v>1414.5</v>
      </c>
      <c r="H4447" s="528">
        <v>5</v>
      </c>
      <c r="I4447" s="528">
        <v>6</v>
      </c>
      <c r="J4447" s="528">
        <v>90</v>
      </c>
      <c r="K4447" s="458" t="s">
        <v>339</v>
      </c>
      <c r="L4447" s="519">
        <f t="shared" si="665"/>
        <v>2729843</v>
      </c>
      <c r="M4447" s="529">
        <v>2700000</v>
      </c>
      <c r="N4447" s="391">
        <v>29843</v>
      </c>
      <c r="O4447" s="643"/>
      <c r="P4447" s="632"/>
      <c r="Q4447" s="943"/>
      <c r="R4447" s="944"/>
      <c r="S4447" s="497">
        <f t="shared" si="664"/>
        <v>0</v>
      </c>
      <c r="T4447" s="508"/>
      <c r="U4447" s="509"/>
      <c r="V4447" s="1006"/>
    </row>
    <row r="4448" spans="1:24" s="420" customFormat="1" ht="56.25" customHeight="1">
      <c r="A4448" s="500">
        <f t="shared" si="663"/>
        <v>32</v>
      </c>
      <c r="B4448" s="403" t="s">
        <v>1814</v>
      </c>
      <c r="C4448" s="820" t="s">
        <v>218</v>
      </c>
      <c r="D4448" s="606">
        <v>15805</v>
      </c>
      <c r="E4448" s="391">
        <v>2631.61</v>
      </c>
      <c r="F4448" s="391" t="s">
        <v>224</v>
      </c>
      <c r="G4448" s="391">
        <v>1280</v>
      </c>
      <c r="H4448" s="528">
        <v>5</v>
      </c>
      <c r="I4448" s="528">
        <v>6</v>
      </c>
      <c r="J4448" s="528">
        <v>79</v>
      </c>
      <c r="K4448" s="458" t="s">
        <v>339</v>
      </c>
      <c r="L4448" s="519">
        <f t="shared" si="665"/>
        <v>2399304</v>
      </c>
      <c r="M4448" s="529">
        <v>2370000</v>
      </c>
      <c r="N4448" s="391">
        <v>29304</v>
      </c>
      <c r="O4448" s="643"/>
      <c r="P4448" s="632"/>
      <c r="Q4448" s="943"/>
      <c r="R4448" s="446"/>
      <c r="S4448" s="497">
        <f t="shared" si="664"/>
        <v>0</v>
      </c>
      <c r="T4448" s="393"/>
      <c r="U4448" s="405"/>
      <c r="V4448" s="390"/>
    </row>
    <row r="4449" spans="1:24" s="420" customFormat="1" ht="56.25" customHeight="1">
      <c r="A4449" s="500">
        <f t="shared" si="663"/>
        <v>33</v>
      </c>
      <c r="B4449" s="403" t="s">
        <v>1825</v>
      </c>
      <c r="C4449" s="820" t="s">
        <v>218</v>
      </c>
      <c r="D4449" s="606">
        <v>16608</v>
      </c>
      <c r="E4449" s="391">
        <v>3266.1</v>
      </c>
      <c r="F4449" s="391" t="s">
        <v>224</v>
      </c>
      <c r="G4449" s="391">
        <v>1441</v>
      </c>
      <c r="H4449" s="528">
        <v>5</v>
      </c>
      <c r="I4449" s="528">
        <v>6</v>
      </c>
      <c r="J4449" s="528">
        <v>78</v>
      </c>
      <c r="K4449" s="458" t="s">
        <v>339</v>
      </c>
      <c r="L4449" s="519">
        <f t="shared" si="665"/>
        <v>2369686</v>
      </c>
      <c r="M4449" s="529">
        <v>2340000</v>
      </c>
      <c r="N4449" s="391">
        <v>29686</v>
      </c>
      <c r="O4449" s="643"/>
      <c r="P4449" s="479"/>
      <c r="Q4449" s="632"/>
      <c r="R4449" s="446"/>
      <c r="S4449" s="497">
        <f t="shared" si="664"/>
        <v>0</v>
      </c>
      <c r="T4449" s="393"/>
      <c r="U4449" s="414"/>
      <c r="V4449" s="390"/>
      <c r="W4449" s="416"/>
      <c r="X4449" s="416"/>
    </row>
    <row r="4450" spans="1:24" s="420" customFormat="1" ht="56.25" customHeight="1">
      <c r="A4450" s="500">
        <f>A4449+1</f>
        <v>34</v>
      </c>
      <c r="B4450" s="403" t="s">
        <v>1832</v>
      </c>
      <c r="C4450" s="820" t="s">
        <v>218</v>
      </c>
      <c r="D4450" s="606">
        <v>33815</v>
      </c>
      <c r="E4450" s="391">
        <v>6915.92</v>
      </c>
      <c r="F4450" s="391" t="s">
        <v>224</v>
      </c>
      <c r="G4450" s="391">
        <v>1410.5</v>
      </c>
      <c r="H4450" s="528">
        <v>9</v>
      </c>
      <c r="I4450" s="528">
        <v>3</v>
      </c>
      <c r="J4450" s="528">
        <v>144</v>
      </c>
      <c r="K4450" s="458" t="s">
        <v>339</v>
      </c>
      <c r="L4450" s="519">
        <f t="shared" si="665"/>
        <v>4353474</v>
      </c>
      <c r="M4450" s="529">
        <v>4320000</v>
      </c>
      <c r="N4450" s="391">
        <v>33474</v>
      </c>
      <c r="O4450" s="643"/>
      <c r="P4450" s="479"/>
      <c r="Q4450" s="632"/>
      <c r="R4450" s="446"/>
      <c r="S4450" s="497">
        <f t="shared" si="664"/>
        <v>0</v>
      </c>
      <c r="T4450" s="393"/>
      <c r="U4450" s="405"/>
      <c r="V4450" s="390"/>
    </row>
    <row r="4451" spans="1:24" s="420" customFormat="1" ht="56.25" customHeight="1">
      <c r="A4451" s="500">
        <f t="shared" si="663"/>
        <v>35</v>
      </c>
      <c r="B4451" s="403" t="s">
        <v>1836</v>
      </c>
      <c r="C4451" s="820" t="s">
        <v>218</v>
      </c>
      <c r="D4451" s="606">
        <v>19081</v>
      </c>
      <c r="E4451" s="391">
        <v>2862.04</v>
      </c>
      <c r="F4451" s="391" t="s">
        <v>224</v>
      </c>
      <c r="G4451" s="391">
        <v>1573</v>
      </c>
      <c r="H4451" s="528">
        <v>5</v>
      </c>
      <c r="I4451" s="528">
        <v>8</v>
      </c>
      <c r="J4451" s="528">
        <v>117</v>
      </c>
      <c r="K4451" s="458" t="s">
        <v>339</v>
      </c>
      <c r="L4451" s="519">
        <f t="shared" si="665"/>
        <v>3540862</v>
      </c>
      <c r="M4451" s="529">
        <v>3510000</v>
      </c>
      <c r="N4451" s="391">
        <v>30862</v>
      </c>
      <c r="O4451" s="643"/>
      <c r="P4451" s="632"/>
      <c r="Q4451" s="943"/>
      <c r="R4451" s="446"/>
      <c r="S4451" s="497">
        <f t="shared" si="664"/>
        <v>0</v>
      </c>
      <c r="T4451" s="393"/>
      <c r="U4451" s="414"/>
      <c r="V4451" s="390"/>
      <c r="W4451" s="416"/>
      <c r="X4451" s="416"/>
    </row>
    <row r="4452" spans="1:24" s="420" customFormat="1" ht="63" customHeight="1">
      <c r="A4452" s="500">
        <f t="shared" si="663"/>
        <v>36</v>
      </c>
      <c r="B4452" s="403" t="s">
        <v>3963</v>
      </c>
      <c r="C4452" s="820" t="s">
        <v>218</v>
      </c>
      <c r="D4452" s="606">
        <v>16422</v>
      </c>
      <c r="E4452" s="391">
        <v>2880.9</v>
      </c>
      <c r="F4452" s="391" t="s">
        <v>228</v>
      </c>
      <c r="G4452" s="391">
        <v>1094.8</v>
      </c>
      <c r="H4452" s="528">
        <v>5</v>
      </c>
      <c r="I4452" s="528">
        <v>6</v>
      </c>
      <c r="J4452" s="528">
        <v>90</v>
      </c>
      <c r="K4452" s="458" t="s">
        <v>260</v>
      </c>
      <c r="L4452" s="519">
        <f>M4452+N4452+O4452+P4452+Q4452</f>
        <v>8674039</v>
      </c>
      <c r="M4452" s="529">
        <v>8642700</v>
      </c>
      <c r="N4452" s="388">
        <v>31339</v>
      </c>
      <c r="O4452" s="473"/>
      <c r="P4452" s="388"/>
      <c r="Q4452" s="388"/>
      <c r="R4452" s="446"/>
      <c r="S4452" s="497">
        <f>L4452-M4452-N4452-O4452-Q4452</f>
        <v>0</v>
      </c>
      <c r="T4452" s="393"/>
      <c r="U4452" s="405"/>
      <c r="V4452" s="390"/>
    </row>
    <row r="4453" spans="1:24" s="405" customFormat="1" ht="56.25" customHeight="1">
      <c r="A4453" s="500">
        <f t="shared" si="663"/>
        <v>37</v>
      </c>
      <c r="B4453" s="403" t="s">
        <v>4288</v>
      </c>
      <c r="C4453" s="455" t="s">
        <v>222</v>
      </c>
      <c r="D4453" s="641">
        <v>13390</v>
      </c>
      <c r="E4453" s="391">
        <v>1192.2</v>
      </c>
      <c r="F4453" s="391" t="s">
        <v>229</v>
      </c>
      <c r="G4453" s="644">
        <v>672.2</v>
      </c>
      <c r="H4453" s="446">
        <v>5</v>
      </c>
      <c r="I4453" s="446">
        <v>2</v>
      </c>
      <c r="J4453" s="528">
        <v>136</v>
      </c>
      <c r="K4453" s="458" t="s">
        <v>30</v>
      </c>
      <c r="L4453" s="519">
        <f>M4453+N4453+O4453+P4453+Q4453</f>
        <v>3482960</v>
      </c>
      <c r="M4453" s="519">
        <v>3400000</v>
      </c>
      <c r="N4453" s="388"/>
      <c r="O4453" s="643">
        <v>10200</v>
      </c>
      <c r="P4453" s="388"/>
      <c r="Q4453" s="388">
        <v>72760</v>
      </c>
      <c r="R4453" s="446">
        <f>M4453/J4453</f>
        <v>25000</v>
      </c>
      <c r="S4453" s="378">
        <f>L4453-M4453-N4453-O4453-P4453-Q4453</f>
        <v>0</v>
      </c>
      <c r="T4453" s="393"/>
    </row>
    <row r="4454" spans="1:24" s="416" customFormat="1" ht="37.5" customHeight="1">
      <c r="A4454" s="500">
        <f t="shared" si="663"/>
        <v>38</v>
      </c>
      <c r="B4454" s="403" t="s">
        <v>810</v>
      </c>
      <c r="C4454" s="446" t="s">
        <v>222</v>
      </c>
      <c r="D4454" s="606">
        <v>23589</v>
      </c>
      <c r="E4454" s="391">
        <v>3400</v>
      </c>
      <c r="F4454" s="388" t="s">
        <v>223</v>
      </c>
      <c r="G4454" s="391">
        <v>2304</v>
      </c>
      <c r="H4454" s="528">
        <v>5</v>
      </c>
      <c r="I4454" s="528">
        <v>8</v>
      </c>
      <c r="J4454" s="528">
        <v>122</v>
      </c>
      <c r="K4454" s="458" t="s">
        <v>273</v>
      </c>
      <c r="L4454" s="650">
        <f t="shared" ref="L4454:L4467" si="666">M4454+N4454+O4454+P4454+Q4454</f>
        <v>5605517</v>
      </c>
      <c r="M4454" s="650">
        <v>5472000</v>
      </c>
      <c r="N4454" s="651"/>
      <c r="O4454" s="643">
        <v>16416</v>
      </c>
      <c r="P4454" s="651"/>
      <c r="Q4454" s="388">
        <v>117101</v>
      </c>
      <c r="R4454" s="528">
        <f>M4454/E4454</f>
        <v>1609.4117647058824</v>
      </c>
      <c r="S4454" s="378">
        <f t="shared" ref="S4454:S4468" si="667">L4454-M4454-N4454-O4454-P4454-Q4454</f>
        <v>0</v>
      </c>
      <c r="T4454" s="393"/>
      <c r="U4454" s="464"/>
    </row>
    <row r="4455" spans="1:24" s="404" customFormat="1" ht="37.5" customHeight="1">
      <c r="A4455" s="500">
        <f t="shared" si="663"/>
        <v>39</v>
      </c>
      <c r="B4455" s="403" t="s">
        <v>2748</v>
      </c>
      <c r="C4455" s="446" t="s">
        <v>222</v>
      </c>
      <c r="D4455" s="606">
        <v>13892</v>
      </c>
      <c r="E4455" s="391">
        <v>1700</v>
      </c>
      <c r="F4455" s="391" t="s">
        <v>231</v>
      </c>
      <c r="G4455" s="391">
        <v>1308.25</v>
      </c>
      <c r="H4455" s="528">
        <v>5</v>
      </c>
      <c r="I4455" s="528">
        <v>2</v>
      </c>
      <c r="J4455" s="528">
        <v>155</v>
      </c>
      <c r="K4455" s="458" t="s">
        <v>38</v>
      </c>
      <c r="L4455" s="650">
        <f t="shared" si="666"/>
        <v>2839637</v>
      </c>
      <c r="M4455" s="650">
        <v>2772000</v>
      </c>
      <c r="N4455" s="651"/>
      <c r="O4455" s="643">
        <v>8316</v>
      </c>
      <c r="P4455" s="651"/>
      <c r="Q4455" s="388">
        <v>59321</v>
      </c>
      <c r="R4455" s="528">
        <f>M4455/E4455</f>
        <v>1630.5882352941176</v>
      </c>
      <c r="S4455" s="378">
        <f t="shared" si="667"/>
        <v>0</v>
      </c>
      <c r="T4455" s="393"/>
      <c r="U4455" s="464"/>
      <c r="V4455" s="416"/>
    </row>
    <row r="4456" spans="1:24" s="420" customFormat="1" ht="56.25" customHeight="1">
      <c r="A4456" s="500">
        <f t="shared" si="663"/>
        <v>40</v>
      </c>
      <c r="B4456" s="403" t="s">
        <v>2750</v>
      </c>
      <c r="C4456" s="446" t="s">
        <v>222</v>
      </c>
      <c r="D4456" s="606">
        <v>2171</v>
      </c>
      <c r="E4456" s="391">
        <v>452.92</v>
      </c>
      <c r="F4456" s="388" t="s">
        <v>223</v>
      </c>
      <c r="G4456" s="391">
        <v>541</v>
      </c>
      <c r="H4456" s="528">
        <v>2</v>
      </c>
      <c r="I4456" s="528">
        <v>2</v>
      </c>
      <c r="J4456" s="528">
        <v>14</v>
      </c>
      <c r="K4456" s="458" t="s">
        <v>30</v>
      </c>
      <c r="L4456" s="519">
        <f t="shared" si="666"/>
        <v>358540</v>
      </c>
      <c r="M4456" s="529">
        <v>350000</v>
      </c>
      <c r="N4456" s="391"/>
      <c r="O4456" s="643">
        <v>1050</v>
      </c>
      <c r="P4456" s="391"/>
      <c r="Q4456" s="388">
        <v>7490</v>
      </c>
      <c r="R4456" s="446">
        <f>M4456/J4456</f>
        <v>25000</v>
      </c>
      <c r="S4456" s="378">
        <f t="shared" si="667"/>
        <v>0</v>
      </c>
      <c r="T4456" s="393"/>
      <c r="U4456" s="464"/>
    </row>
    <row r="4457" spans="1:24" s="420" customFormat="1" ht="56.25" customHeight="1">
      <c r="A4457" s="500">
        <f t="shared" si="663"/>
        <v>41</v>
      </c>
      <c r="B4457" s="403" t="s">
        <v>2751</v>
      </c>
      <c r="C4457" s="446" t="s">
        <v>222</v>
      </c>
      <c r="D4457" s="606">
        <v>2481</v>
      </c>
      <c r="E4457" s="391">
        <v>452.92</v>
      </c>
      <c r="F4457" s="388" t="s">
        <v>223</v>
      </c>
      <c r="G4457" s="391">
        <v>544.1</v>
      </c>
      <c r="H4457" s="528">
        <v>2</v>
      </c>
      <c r="I4457" s="528">
        <v>2</v>
      </c>
      <c r="J4457" s="528">
        <v>16</v>
      </c>
      <c r="K4457" s="458" t="s">
        <v>30</v>
      </c>
      <c r="L4457" s="519">
        <f t="shared" si="666"/>
        <v>409760</v>
      </c>
      <c r="M4457" s="529">
        <v>400000</v>
      </c>
      <c r="N4457" s="391"/>
      <c r="O4457" s="643">
        <v>1200</v>
      </c>
      <c r="P4457" s="391"/>
      <c r="Q4457" s="388">
        <v>8560</v>
      </c>
      <c r="R4457" s="446">
        <f>M4457/J4457</f>
        <v>25000</v>
      </c>
      <c r="S4457" s="378">
        <f t="shared" si="667"/>
        <v>0</v>
      </c>
      <c r="T4457" s="393"/>
      <c r="U4457" s="464"/>
    </row>
    <row r="4458" spans="1:24" s="404" customFormat="1" ht="56.25" customHeight="1">
      <c r="A4458" s="500">
        <f t="shared" si="663"/>
        <v>42</v>
      </c>
      <c r="B4458" s="403" t="s">
        <v>2752</v>
      </c>
      <c r="C4458" s="382" t="s">
        <v>222</v>
      </c>
      <c r="D4458" s="606">
        <v>7138</v>
      </c>
      <c r="E4458" s="391">
        <v>1634.8</v>
      </c>
      <c r="F4458" s="391" t="s">
        <v>231</v>
      </c>
      <c r="G4458" s="391">
        <v>843.75</v>
      </c>
      <c r="H4458" s="528">
        <v>4</v>
      </c>
      <c r="I4458" s="528">
        <v>2</v>
      </c>
      <c r="J4458" s="528">
        <v>72</v>
      </c>
      <c r="K4458" s="458" t="s">
        <v>30</v>
      </c>
      <c r="L4458" s="519">
        <f t="shared" si="666"/>
        <v>1843920</v>
      </c>
      <c r="M4458" s="529">
        <v>1800000</v>
      </c>
      <c r="N4458" s="391"/>
      <c r="O4458" s="643">
        <v>5400</v>
      </c>
      <c r="P4458" s="391"/>
      <c r="Q4458" s="388">
        <v>38520</v>
      </c>
      <c r="R4458" s="446">
        <f>M4458/J4458</f>
        <v>25000</v>
      </c>
      <c r="S4458" s="378">
        <f t="shared" si="667"/>
        <v>0</v>
      </c>
      <c r="T4458" s="406"/>
      <c r="U4458" s="390"/>
    </row>
    <row r="4459" spans="1:24" s="420" customFormat="1" ht="56.25" customHeight="1">
      <c r="A4459" s="500">
        <f t="shared" si="663"/>
        <v>43</v>
      </c>
      <c r="B4459" s="403" t="s">
        <v>2753</v>
      </c>
      <c r="C4459" s="382" t="s">
        <v>222</v>
      </c>
      <c r="D4459" s="606">
        <v>16973</v>
      </c>
      <c r="E4459" s="391">
        <v>1450</v>
      </c>
      <c r="F4459" s="391" t="s">
        <v>224</v>
      </c>
      <c r="G4459" s="391">
        <v>1505</v>
      </c>
      <c r="H4459" s="528">
        <v>5</v>
      </c>
      <c r="I4459" s="528">
        <v>4</v>
      </c>
      <c r="J4459" s="528">
        <v>65</v>
      </c>
      <c r="K4459" s="458" t="s">
        <v>30</v>
      </c>
      <c r="L4459" s="519">
        <f t="shared" si="666"/>
        <v>1664650</v>
      </c>
      <c r="M4459" s="529">
        <v>1625000</v>
      </c>
      <c r="N4459" s="391"/>
      <c r="O4459" s="643">
        <v>4875</v>
      </c>
      <c r="P4459" s="391"/>
      <c r="Q4459" s="388">
        <v>34775</v>
      </c>
      <c r="R4459" s="446">
        <f>M4459/J4459</f>
        <v>25000</v>
      </c>
      <c r="S4459" s="378">
        <f t="shared" si="667"/>
        <v>0</v>
      </c>
      <c r="T4459" s="406"/>
      <c r="U4459" s="390"/>
      <c r="V4459" s="416"/>
      <c r="W4459" s="416"/>
      <c r="X4459" s="416"/>
    </row>
    <row r="4460" spans="1:24" s="416" customFormat="1" ht="47.25" customHeight="1">
      <c r="A4460" s="500">
        <f t="shared" si="663"/>
        <v>44</v>
      </c>
      <c r="B4460" s="403" t="s">
        <v>2771</v>
      </c>
      <c r="C4460" s="382" t="s">
        <v>218</v>
      </c>
      <c r="D4460" s="606">
        <v>4992</v>
      </c>
      <c r="E4460" s="391">
        <v>920</v>
      </c>
      <c r="F4460" s="391" t="s">
        <v>223</v>
      </c>
      <c r="G4460" s="391">
        <v>1189</v>
      </c>
      <c r="H4460" s="528">
        <v>2</v>
      </c>
      <c r="I4460" s="528">
        <v>4</v>
      </c>
      <c r="J4460" s="528">
        <v>24</v>
      </c>
      <c r="K4460" s="458" t="s">
        <v>38</v>
      </c>
      <c r="L4460" s="650">
        <f t="shared" si="666"/>
        <v>1548893</v>
      </c>
      <c r="M4460" s="650">
        <v>1512000</v>
      </c>
      <c r="N4460" s="651"/>
      <c r="O4460" s="643">
        <v>4536</v>
      </c>
      <c r="P4460" s="651"/>
      <c r="Q4460" s="388">
        <v>32357</v>
      </c>
      <c r="R4460" s="528">
        <f>M4460/E4460</f>
        <v>1643.4782608695652</v>
      </c>
      <c r="S4460" s="378">
        <f t="shared" si="667"/>
        <v>0</v>
      </c>
      <c r="T4460" s="393"/>
      <c r="U4460" s="464"/>
    </row>
    <row r="4461" spans="1:24" s="416" customFormat="1" ht="37.5" customHeight="1">
      <c r="A4461" s="500">
        <f t="shared" si="663"/>
        <v>45</v>
      </c>
      <c r="B4461" s="403" t="s">
        <v>2772</v>
      </c>
      <c r="C4461" s="446" t="s">
        <v>222</v>
      </c>
      <c r="D4461" s="606">
        <v>2775</v>
      </c>
      <c r="E4461" s="391">
        <v>740</v>
      </c>
      <c r="F4461" s="391" t="s">
        <v>223</v>
      </c>
      <c r="G4461" s="391">
        <v>622</v>
      </c>
      <c r="H4461" s="528">
        <v>2</v>
      </c>
      <c r="I4461" s="528">
        <v>2</v>
      </c>
      <c r="J4461" s="528">
        <v>16</v>
      </c>
      <c r="K4461" s="458" t="s">
        <v>38</v>
      </c>
      <c r="L4461" s="650">
        <f t="shared" si="666"/>
        <v>1244646</v>
      </c>
      <c r="M4461" s="650">
        <v>1215000</v>
      </c>
      <c r="N4461" s="651"/>
      <c r="O4461" s="643">
        <v>3645</v>
      </c>
      <c r="P4461" s="651"/>
      <c r="Q4461" s="388">
        <v>26001</v>
      </c>
      <c r="R4461" s="528">
        <f>M4461/E4461</f>
        <v>1641.8918918918919</v>
      </c>
      <c r="S4461" s="378">
        <f t="shared" si="667"/>
        <v>0</v>
      </c>
      <c r="T4461" s="393"/>
      <c r="U4461" s="464"/>
    </row>
    <row r="4462" spans="1:24" s="420" customFormat="1" ht="37.5" customHeight="1">
      <c r="A4462" s="500">
        <f t="shared" si="663"/>
        <v>46</v>
      </c>
      <c r="B4462" s="403" t="s">
        <v>1837</v>
      </c>
      <c r="C4462" s="446" t="s">
        <v>222</v>
      </c>
      <c r="D4462" s="606">
        <v>39168</v>
      </c>
      <c r="E4462" s="391">
        <v>7552.41</v>
      </c>
      <c r="F4462" s="391" t="s">
        <v>224</v>
      </c>
      <c r="G4462" s="391">
        <v>2077</v>
      </c>
      <c r="H4462" s="528">
        <v>9</v>
      </c>
      <c r="I4462" s="528">
        <v>5</v>
      </c>
      <c r="J4462" s="528">
        <v>169</v>
      </c>
      <c r="K4462" s="458" t="s">
        <v>33</v>
      </c>
      <c r="L4462" s="519">
        <f t="shared" si="666"/>
        <v>4093767</v>
      </c>
      <c r="M4462" s="519">
        <v>4093767</v>
      </c>
      <c r="N4462" s="388"/>
      <c r="O4462" s="643"/>
      <c r="P4462" s="391"/>
      <c r="Q4462" s="388"/>
      <c r="R4462" s="446">
        <f>M4462/G4462</f>
        <v>1971</v>
      </c>
      <c r="S4462" s="378">
        <f t="shared" si="667"/>
        <v>0</v>
      </c>
      <c r="T4462" s="393"/>
      <c r="U4462" s="414"/>
      <c r="V4462" s="390"/>
      <c r="W4462" s="416"/>
      <c r="X4462" s="416"/>
    </row>
    <row r="4463" spans="1:24" s="420" customFormat="1" ht="32.25" customHeight="1">
      <c r="A4463" s="500">
        <f t="shared" si="663"/>
        <v>47</v>
      </c>
      <c r="B4463" s="403" t="s">
        <v>3513</v>
      </c>
      <c r="C4463" s="820" t="s">
        <v>222</v>
      </c>
      <c r="D4463" s="606">
        <v>23601</v>
      </c>
      <c r="E4463" s="391">
        <v>3444.8</v>
      </c>
      <c r="F4463" s="391" t="s">
        <v>224</v>
      </c>
      <c r="G4463" s="391">
        <v>1924</v>
      </c>
      <c r="H4463" s="528">
        <v>5</v>
      </c>
      <c r="I4463" s="528">
        <v>8</v>
      </c>
      <c r="J4463" s="528">
        <v>127</v>
      </c>
      <c r="K4463" s="458" t="s">
        <v>33</v>
      </c>
      <c r="L4463" s="519">
        <f t="shared" si="666"/>
        <v>3848000</v>
      </c>
      <c r="M4463" s="529">
        <v>3848000</v>
      </c>
      <c r="N4463" s="388"/>
      <c r="O4463" s="643"/>
      <c r="P4463" s="388"/>
      <c r="Q4463" s="388"/>
      <c r="R4463" s="446">
        <f>M4463/G4463</f>
        <v>2000</v>
      </c>
      <c r="S4463" s="378">
        <f t="shared" si="667"/>
        <v>0</v>
      </c>
      <c r="T4463" s="393"/>
      <c r="U4463" s="405"/>
      <c r="V4463" s="390"/>
    </row>
    <row r="4464" spans="1:24" s="420" customFormat="1" ht="56.25" customHeight="1">
      <c r="A4464" s="500">
        <f t="shared" si="663"/>
        <v>48</v>
      </c>
      <c r="B4464" s="403" t="s">
        <v>819</v>
      </c>
      <c r="C4464" s="446" t="s">
        <v>222</v>
      </c>
      <c r="D4464" s="606">
        <v>10098</v>
      </c>
      <c r="E4464" s="391">
        <v>1513.48</v>
      </c>
      <c r="F4464" s="391" t="s">
        <v>229</v>
      </c>
      <c r="G4464" s="391">
        <v>1112.5</v>
      </c>
      <c r="H4464" s="528">
        <v>4</v>
      </c>
      <c r="I4464" s="528">
        <v>4</v>
      </c>
      <c r="J4464" s="528">
        <v>64</v>
      </c>
      <c r="K4464" s="458" t="s">
        <v>238</v>
      </c>
      <c r="L4464" s="519">
        <f t="shared" si="666"/>
        <v>1600000</v>
      </c>
      <c r="M4464" s="529">
        <v>1600000</v>
      </c>
      <c r="N4464" s="391"/>
      <c r="O4464" s="643"/>
      <c r="P4464" s="391"/>
      <c r="Q4464" s="388"/>
      <c r="R4464" s="446">
        <f>M4464/J4464</f>
        <v>25000</v>
      </c>
      <c r="S4464" s="378">
        <f t="shared" si="667"/>
        <v>0</v>
      </c>
      <c r="T4464" s="393"/>
      <c r="U4464" s="405"/>
      <c r="V4464" s="390"/>
    </row>
    <row r="4465" spans="1:24" s="420" customFormat="1" ht="37.5" customHeight="1">
      <c r="A4465" s="500">
        <f t="shared" si="663"/>
        <v>49</v>
      </c>
      <c r="B4465" s="403" t="s">
        <v>1824</v>
      </c>
      <c r="C4465" s="382" t="s">
        <v>222</v>
      </c>
      <c r="D4465" s="606">
        <v>16954</v>
      </c>
      <c r="E4465" s="391">
        <v>3266</v>
      </c>
      <c r="F4465" s="391" t="s">
        <v>224</v>
      </c>
      <c r="G4465" s="391">
        <v>1335.4</v>
      </c>
      <c r="H4465" s="528">
        <v>5</v>
      </c>
      <c r="I4465" s="528">
        <v>6</v>
      </c>
      <c r="J4465" s="528">
        <v>87</v>
      </c>
      <c r="K4465" s="458" t="s">
        <v>33</v>
      </c>
      <c r="L4465" s="519">
        <f t="shared" si="666"/>
        <v>2670800</v>
      </c>
      <c r="M4465" s="519">
        <v>2670800</v>
      </c>
      <c r="N4465" s="388"/>
      <c r="O4465" s="643"/>
      <c r="P4465" s="388"/>
      <c r="Q4465" s="388"/>
      <c r="R4465" s="446">
        <f>M4465/G4465</f>
        <v>1999.9999999999998</v>
      </c>
      <c r="S4465" s="378">
        <f t="shared" si="667"/>
        <v>0</v>
      </c>
      <c r="T4465" s="393"/>
      <c r="U4465" s="414"/>
      <c r="V4465" s="390"/>
      <c r="W4465" s="416"/>
      <c r="X4465" s="416"/>
    </row>
    <row r="4466" spans="1:24" s="420" customFormat="1" ht="56.25" customHeight="1">
      <c r="A4466" s="500">
        <f t="shared" si="663"/>
        <v>50</v>
      </c>
      <c r="B4466" s="403" t="s">
        <v>1833</v>
      </c>
      <c r="C4466" s="820" t="s">
        <v>218</v>
      </c>
      <c r="D4466" s="606">
        <v>5338</v>
      </c>
      <c r="E4466" s="391">
        <v>1377.86</v>
      </c>
      <c r="F4466" s="391" t="s">
        <v>231</v>
      </c>
      <c r="G4466" s="391">
        <v>441.9</v>
      </c>
      <c r="H4466" s="528">
        <v>5</v>
      </c>
      <c r="I4466" s="528">
        <v>2</v>
      </c>
      <c r="J4466" s="528">
        <v>29</v>
      </c>
      <c r="K4466" s="458" t="s">
        <v>238</v>
      </c>
      <c r="L4466" s="519">
        <f t="shared" si="666"/>
        <v>725000</v>
      </c>
      <c r="M4466" s="529">
        <v>725000</v>
      </c>
      <c r="N4466" s="391"/>
      <c r="O4466" s="643"/>
      <c r="P4466" s="391"/>
      <c r="Q4466" s="388"/>
      <c r="R4466" s="446">
        <f>M4466/J4466</f>
        <v>25000</v>
      </c>
      <c r="S4466" s="378">
        <f t="shared" si="667"/>
        <v>0</v>
      </c>
      <c r="T4466" s="393"/>
      <c r="U4466" s="414"/>
      <c r="V4466" s="390"/>
      <c r="W4466" s="416"/>
      <c r="X4466" s="416"/>
    </row>
    <row r="4467" spans="1:24" s="420" customFormat="1" ht="56.25" customHeight="1">
      <c r="A4467" s="500">
        <f t="shared" si="663"/>
        <v>51</v>
      </c>
      <c r="B4467" s="403" t="s">
        <v>1835</v>
      </c>
      <c r="C4467" s="820" t="s">
        <v>218</v>
      </c>
      <c r="D4467" s="606">
        <v>9299</v>
      </c>
      <c r="E4467" s="391">
        <v>1536.42</v>
      </c>
      <c r="F4467" s="391" t="s">
        <v>224</v>
      </c>
      <c r="G4467" s="391">
        <v>792.1</v>
      </c>
      <c r="H4467" s="528">
        <v>5</v>
      </c>
      <c r="I4467" s="528">
        <v>4</v>
      </c>
      <c r="J4467" s="528">
        <v>60</v>
      </c>
      <c r="K4467" s="458" t="s">
        <v>238</v>
      </c>
      <c r="L4467" s="519">
        <f t="shared" si="666"/>
        <v>1500000</v>
      </c>
      <c r="M4467" s="529">
        <v>1500000</v>
      </c>
      <c r="N4467" s="391"/>
      <c r="O4467" s="643"/>
      <c r="P4467" s="391"/>
      <c r="Q4467" s="388"/>
      <c r="R4467" s="446">
        <f>M4467/J4467</f>
        <v>25000</v>
      </c>
      <c r="S4467" s="378">
        <f t="shared" si="667"/>
        <v>0</v>
      </c>
      <c r="T4467" s="393"/>
      <c r="U4467" s="414"/>
      <c r="V4467" s="390"/>
      <c r="W4467" s="416"/>
      <c r="X4467" s="416"/>
    </row>
    <row r="4468" spans="1:24" s="403" customFormat="1" ht="42.75" customHeight="1">
      <c r="A4468" s="1112" t="s">
        <v>91</v>
      </c>
      <c r="B4468" s="1112"/>
      <c r="C4468" s="455" t="s">
        <v>28</v>
      </c>
      <c r="D4468" s="641">
        <f>SUM(D4416:D4467)</f>
        <v>857985.50099999993</v>
      </c>
      <c r="E4468" s="388">
        <f>SUM(E4416:E4467)</f>
        <v>136110.36199999999</v>
      </c>
      <c r="F4468" s="388" t="s">
        <v>28</v>
      </c>
      <c r="G4468" s="388">
        <f>SUM(G4416:G4467)</f>
        <v>67101.14</v>
      </c>
      <c r="H4468" s="446" t="s">
        <v>28</v>
      </c>
      <c r="I4468" s="446" t="s">
        <v>28</v>
      </c>
      <c r="J4468" s="446">
        <f>SUM(J4416:J4467)</f>
        <v>4708</v>
      </c>
      <c r="K4468" s="458" t="s">
        <v>28</v>
      </c>
      <c r="L4468" s="519">
        <f>SUM(L4416:L4467)</f>
        <v>166697890</v>
      </c>
      <c r="M4468" s="519">
        <f>SUM(M4416:M4467)</f>
        <v>164110675</v>
      </c>
      <c r="N4468" s="388">
        <f>SUM(N4416:N4467)</f>
        <v>588626</v>
      </c>
      <c r="O4468" s="473">
        <f>SUM(O4416:O4467)</f>
        <v>265486</v>
      </c>
      <c r="P4468" s="388"/>
      <c r="Q4468" s="388">
        <f>SUM(Q4416:Q4467)</f>
        <v>1733103</v>
      </c>
      <c r="R4468" s="446" t="s">
        <v>28</v>
      </c>
      <c r="S4468" s="378">
        <f t="shared" si="667"/>
        <v>0</v>
      </c>
      <c r="T4468" s="406"/>
      <c r="U4468" s="404"/>
    </row>
    <row r="4469" spans="1:24" s="403" customFormat="1" ht="30.75" customHeight="1">
      <c r="A4469" s="1113" t="s">
        <v>37</v>
      </c>
      <c r="B4469" s="1113"/>
      <c r="C4469" s="1113"/>
      <c r="D4469" s="1113"/>
      <c r="E4469" s="1113"/>
      <c r="F4469" s="1113"/>
      <c r="G4469" s="1113"/>
      <c r="H4469" s="1113"/>
      <c r="I4469" s="1113"/>
      <c r="J4469" s="1113"/>
      <c r="K4469" s="1113"/>
      <c r="L4469" s="1113"/>
      <c r="M4469" s="1113"/>
      <c r="N4469" s="1113"/>
      <c r="O4469" s="1113"/>
      <c r="P4469" s="1113"/>
      <c r="Q4469" s="1113"/>
      <c r="R4469" s="458"/>
      <c r="T4469" s="406"/>
      <c r="U4469" s="404"/>
    </row>
    <row r="4470" spans="1:24" s="416" customFormat="1" ht="37.5" customHeight="1">
      <c r="A4470" s="662">
        <v>1</v>
      </c>
      <c r="B4470" s="403" t="s">
        <v>3332</v>
      </c>
      <c r="C4470" s="487" t="s">
        <v>218</v>
      </c>
      <c r="D4470" s="606">
        <v>18364</v>
      </c>
      <c r="E4470" s="391">
        <v>3420</v>
      </c>
      <c r="F4470" s="391" t="s">
        <v>234</v>
      </c>
      <c r="G4470" s="391">
        <v>1226</v>
      </c>
      <c r="H4470" s="528">
        <v>5</v>
      </c>
      <c r="I4470" s="528">
        <v>6</v>
      </c>
      <c r="J4470" s="528">
        <v>90</v>
      </c>
      <c r="K4470" s="458" t="s">
        <v>237</v>
      </c>
      <c r="L4470" s="519">
        <f t="shared" ref="L4470:L4479" si="668">M4470+N4470+O4470+P4470+Q4470</f>
        <v>3139786</v>
      </c>
      <c r="M4470" s="519">
        <v>3065000</v>
      </c>
      <c r="N4470" s="388"/>
      <c r="O4470" s="643">
        <v>9195</v>
      </c>
      <c r="P4470" s="388"/>
      <c r="Q4470" s="388">
        <v>65591</v>
      </c>
      <c r="R4470" s="446">
        <f>M4470/G4470</f>
        <v>2500</v>
      </c>
      <c r="S4470" s="378">
        <f t="shared" ref="S4470:S4480" si="669">L4470-M4470-N4470-O4470-P4470-Q4470</f>
        <v>0</v>
      </c>
      <c r="T4470" s="406"/>
      <c r="U4470" s="414"/>
    </row>
    <row r="4471" spans="1:24" s="416" customFormat="1" ht="37.5" customHeight="1">
      <c r="A4471" s="662">
        <f>A4470+1</f>
        <v>2</v>
      </c>
      <c r="B4471" s="403" t="s">
        <v>3333</v>
      </c>
      <c r="C4471" s="648" t="s">
        <v>222</v>
      </c>
      <c r="D4471" s="606">
        <v>11106</v>
      </c>
      <c r="E4471" s="391">
        <v>3148</v>
      </c>
      <c r="F4471" s="391" t="s">
        <v>234</v>
      </c>
      <c r="G4471" s="391">
        <v>853</v>
      </c>
      <c r="H4471" s="528">
        <v>5</v>
      </c>
      <c r="I4471" s="528">
        <v>4</v>
      </c>
      <c r="J4471" s="528">
        <v>58</v>
      </c>
      <c r="K4471" s="458" t="s">
        <v>237</v>
      </c>
      <c r="L4471" s="519">
        <f t="shared" si="668"/>
        <v>2184534</v>
      </c>
      <c r="M4471" s="519">
        <v>2132500</v>
      </c>
      <c r="N4471" s="388"/>
      <c r="O4471" s="643">
        <v>6398</v>
      </c>
      <c r="P4471" s="388"/>
      <c r="Q4471" s="388">
        <v>45636</v>
      </c>
      <c r="R4471" s="446">
        <f>M4471/G4471</f>
        <v>2500</v>
      </c>
      <c r="S4471" s="378">
        <f t="shared" si="669"/>
        <v>0</v>
      </c>
      <c r="T4471" s="406"/>
      <c r="U4471" s="414"/>
    </row>
    <row r="4472" spans="1:24" s="424" customFormat="1" ht="56.25" customHeight="1">
      <c r="A4472" s="662">
        <f t="shared" ref="A4472:A4479" si="670">A4471+1</f>
        <v>3</v>
      </c>
      <c r="B4472" s="945" t="s">
        <v>3334</v>
      </c>
      <c r="C4472" s="648" t="s">
        <v>240</v>
      </c>
      <c r="D4472" s="669">
        <v>4495</v>
      </c>
      <c r="E4472" s="666">
        <v>676</v>
      </c>
      <c r="F4472" s="646" t="s">
        <v>223</v>
      </c>
      <c r="G4472" s="666">
        <v>474</v>
      </c>
      <c r="H4472" s="669">
        <v>3</v>
      </c>
      <c r="I4472" s="669">
        <v>1</v>
      </c>
      <c r="J4472" s="669">
        <v>9</v>
      </c>
      <c r="K4472" s="642" t="s">
        <v>238</v>
      </c>
      <c r="L4472" s="519">
        <f t="shared" si="668"/>
        <v>230490</v>
      </c>
      <c r="M4472" s="519">
        <v>225000</v>
      </c>
      <c r="N4472" s="388"/>
      <c r="O4472" s="643">
        <v>675</v>
      </c>
      <c r="P4472" s="388"/>
      <c r="Q4472" s="388">
        <v>4815</v>
      </c>
      <c r="R4472" s="446">
        <f>M4472/J4472</f>
        <v>25000</v>
      </c>
      <c r="S4472" s="378">
        <f t="shared" si="669"/>
        <v>0</v>
      </c>
      <c r="T4472" s="406"/>
      <c r="U4472" s="428"/>
      <c r="V4472" s="682"/>
    </row>
    <row r="4473" spans="1:24" s="424" customFormat="1" ht="37.5" customHeight="1">
      <c r="A4473" s="662">
        <f t="shared" si="670"/>
        <v>4</v>
      </c>
      <c r="B4473" s="945" t="s">
        <v>3335</v>
      </c>
      <c r="C4473" s="648" t="s">
        <v>240</v>
      </c>
      <c r="D4473" s="669">
        <v>749.07</v>
      </c>
      <c r="E4473" s="666">
        <v>318.3</v>
      </c>
      <c r="F4473" s="646" t="s">
        <v>223</v>
      </c>
      <c r="G4473" s="666">
        <v>481</v>
      </c>
      <c r="H4473" s="669">
        <v>2</v>
      </c>
      <c r="I4473" s="669">
        <v>1</v>
      </c>
      <c r="J4473" s="669">
        <v>8</v>
      </c>
      <c r="K4473" s="682" t="s">
        <v>38</v>
      </c>
      <c r="L4473" s="645">
        <f t="shared" si="668"/>
        <v>529205</v>
      </c>
      <c r="M4473" s="645">
        <v>516600</v>
      </c>
      <c r="N4473" s="646"/>
      <c r="O4473" s="643">
        <v>1550</v>
      </c>
      <c r="P4473" s="646"/>
      <c r="Q4473" s="388">
        <v>11055</v>
      </c>
      <c r="R4473" s="528">
        <f>M4473/E4473</f>
        <v>1622.9971724787936</v>
      </c>
      <c r="S4473" s="378">
        <f t="shared" si="669"/>
        <v>0</v>
      </c>
      <c r="T4473" s="406"/>
      <c r="U4473" s="428"/>
      <c r="V4473" s="682"/>
    </row>
    <row r="4474" spans="1:24" s="424" customFormat="1" ht="37.5" customHeight="1">
      <c r="A4474" s="662">
        <f t="shared" si="670"/>
        <v>5</v>
      </c>
      <c r="B4474" s="945" t="s">
        <v>3336</v>
      </c>
      <c r="C4474" s="648" t="s">
        <v>240</v>
      </c>
      <c r="D4474" s="669">
        <v>348</v>
      </c>
      <c r="E4474" s="666">
        <v>318.3</v>
      </c>
      <c r="F4474" s="646" t="s">
        <v>223</v>
      </c>
      <c r="G4474" s="666">
        <v>473</v>
      </c>
      <c r="H4474" s="669">
        <v>2</v>
      </c>
      <c r="I4474" s="669">
        <v>1</v>
      </c>
      <c r="J4474" s="669">
        <v>8</v>
      </c>
      <c r="K4474" s="682" t="s">
        <v>38</v>
      </c>
      <c r="L4474" s="645">
        <f t="shared" si="668"/>
        <v>529205</v>
      </c>
      <c r="M4474" s="645">
        <v>516600</v>
      </c>
      <c r="N4474" s="646"/>
      <c r="O4474" s="643">
        <v>1550</v>
      </c>
      <c r="P4474" s="646"/>
      <c r="Q4474" s="388">
        <v>11055</v>
      </c>
      <c r="R4474" s="528">
        <f>M4474/E4474</f>
        <v>1622.9971724787936</v>
      </c>
      <c r="S4474" s="378">
        <f t="shared" si="669"/>
        <v>0</v>
      </c>
      <c r="T4474" s="406"/>
      <c r="U4474" s="428"/>
      <c r="V4474" s="682"/>
    </row>
    <row r="4475" spans="1:24" s="416" customFormat="1" ht="56.25" customHeight="1">
      <c r="A4475" s="662">
        <f t="shared" si="670"/>
        <v>6</v>
      </c>
      <c r="B4475" s="403" t="s">
        <v>3337</v>
      </c>
      <c r="C4475" s="648" t="s">
        <v>222</v>
      </c>
      <c r="D4475" s="606">
        <v>2340</v>
      </c>
      <c r="E4475" s="391">
        <v>509</v>
      </c>
      <c r="F4475" s="391" t="s">
        <v>223</v>
      </c>
      <c r="G4475" s="391">
        <v>478</v>
      </c>
      <c r="H4475" s="528">
        <v>2</v>
      </c>
      <c r="I4475" s="528">
        <v>1</v>
      </c>
      <c r="J4475" s="528">
        <v>8</v>
      </c>
      <c r="K4475" s="458" t="s">
        <v>30</v>
      </c>
      <c r="L4475" s="519">
        <f t="shared" si="668"/>
        <v>204880</v>
      </c>
      <c r="M4475" s="519">
        <v>200000</v>
      </c>
      <c r="N4475" s="388"/>
      <c r="O4475" s="643">
        <v>600</v>
      </c>
      <c r="P4475" s="388"/>
      <c r="Q4475" s="388">
        <v>4280</v>
      </c>
      <c r="R4475" s="446">
        <f>M4475/J4475</f>
        <v>25000</v>
      </c>
      <c r="S4475" s="378">
        <f t="shared" si="669"/>
        <v>0</v>
      </c>
      <c r="T4475" s="406"/>
      <c r="U4475" s="414"/>
    </row>
    <row r="4476" spans="1:24" s="416" customFormat="1" ht="37.5" customHeight="1">
      <c r="A4476" s="662">
        <f t="shared" si="670"/>
        <v>7</v>
      </c>
      <c r="B4476" s="403" t="s">
        <v>3338</v>
      </c>
      <c r="C4476" s="648" t="s">
        <v>222</v>
      </c>
      <c r="D4476" s="606">
        <v>17876</v>
      </c>
      <c r="E4476" s="391">
        <v>3418</v>
      </c>
      <c r="F4476" s="391" t="s">
        <v>234</v>
      </c>
      <c r="G4476" s="391">
        <v>1440</v>
      </c>
      <c r="H4476" s="528">
        <v>5</v>
      </c>
      <c r="I4476" s="528">
        <v>6</v>
      </c>
      <c r="J4476" s="528">
        <v>91</v>
      </c>
      <c r="K4476" s="458" t="s">
        <v>237</v>
      </c>
      <c r="L4476" s="519">
        <f t="shared" si="668"/>
        <v>3687840</v>
      </c>
      <c r="M4476" s="519">
        <v>3600000</v>
      </c>
      <c r="N4476" s="388"/>
      <c r="O4476" s="643">
        <v>10800</v>
      </c>
      <c r="P4476" s="388"/>
      <c r="Q4476" s="388">
        <v>77040</v>
      </c>
      <c r="R4476" s="446">
        <f>M4476/G4476</f>
        <v>2500</v>
      </c>
      <c r="S4476" s="378">
        <f t="shared" si="669"/>
        <v>0</v>
      </c>
      <c r="T4476" s="406"/>
      <c r="U4476" s="414"/>
    </row>
    <row r="4477" spans="1:24" s="416" customFormat="1" ht="37.5" customHeight="1">
      <c r="A4477" s="662">
        <f t="shared" si="670"/>
        <v>8</v>
      </c>
      <c r="B4477" s="427" t="s">
        <v>3522</v>
      </c>
      <c r="C4477" s="455" t="s">
        <v>222</v>
      </c>
      <c r="D4477" s="606">
        <v>29057</v>
      </c>
      <c r="E4477" s="391">
        <v>4192</v>
      </c>
      <c r="F4477" s="391" t="s">
        <v>223</v>
      </c>
      <c r="G4477" s="391">
        <v>1692</v>
      </c>
      <c r="H4477" s="528">
        <v>5</v>
      </c>
      <c r="I4477" s="528">
        <v>8</v>
      </c>
      <c r="J4477" s="528">
        <v>129</v>
      </c>
      <c r="K4477" s="458" t="s">
        <v>225</v>
      </c>
      <c r="L4477" s="519">
        <f t="shared" si="668"/>
        <v>2927113</v>
      </c>
      <c r="M4477" s="519">
        <v>2838000</v>
      </c>
      <c r="N4477" s="388">
        <v>28380</v>
      </c>
      <c r="O4477" s="643"/>
      <c r="P4477" s="388"/>
      <c r="Q4477" s="388">
        <v>60733</v>
      </c>
      <c r="R4477" s="446">
        <f>M4477/J4477</f>
        <v>22000</v>
      </c>
      <c r="S4477" s="378">
        <f t="shared" si="669"/>
        <v>0</v>
      </c>
      <c r="T4477" s="406"/>
      <c r="U4477" s="414"/>
    </row>
    <row r="4478" spans="1:24" s="416" customFormat="1" ht="37.5" customHeight="1">
      <c r="A4478" s="662">
        <f t="shared" si="670"/>
        <v>9</v>
      </c>
      <c r="B4478" s="427" t="s">
        <v>899</v>
      </c>
      <c r="C4478" s="455" t="s">
        <v>222</v>
      </c>
      <c r="D4478" s="606">
        <v>35104</v>
      </c>
      <c r="E4478" s="391" t="s">
        <v>3712</v>
      </c>
      <c r="F4478" s="391" t="s">
        <v>223</v>
      </c>
      <c r="G4478" s="391">
        <v>1918</v>
      </c>
      <c r="H4478" s="528">
        <v>5</v>
      </c>
      <c r="I4478" s="528">
        <v>5</v>
      </c>
      <c r="J4478" s="528">
        <v>68</v>
      </c>
      <c r="K4478" s="458" t="s">
        <v>100</v>
      </c>
      <c r="L4478" s="519">
        <f t="shared" si="668"/>
        <v>1958796</v>
      </c>
      <c r="M4478" s="519">
        <v>1890000</v>
      </c>
      <c r="N4478" s="388">
        <v>28350</v>
      </c>
      <c r="O4478" s="643"/>
      <c r="P4478" s="388"/>
      <c r="Q4478" s="388">
        <v>40446</v>
      </c>
      <c r="R4478" s="446">
        <f>M4478/G4478</f>
        <v>985.40145985401455</v>
      </c>
      <c r="S4478" s="378">
        <f t="shared" si="669"/>
        <v>0</v>
      </c>
      <c r="T4478" s="406"/>
      <c r="U4478" s="414"/>
    </row>
    <row r="4479" spans="1:24" s="416" customFormat="1" ht="37.5" customHeight="1">
      <c r="A4479" s="662">
        <f t="shared" si="670"/>
        <v>10</v>
      </c>
      <c r="B4479" s="403" t="s">
        <v>851</v>
      </c>
      <c r="C4479" s="648" t="s">
        <v>222</v>
      </c>
      <c r="D4479" s="606">
        <v>15306</v>
      </c>
      <c r="E4479" s="391">
        <v>2904</v>
      </c>
      <c r="F4479" s="391" t="s">
        <v>234</v>
      </c>
      <c r="G4479" s="391">
        <v>1026</v>
      </c>
      <c r="H4479" s="528">
        <v>5</v>
      </c>
      <c r="I4479" s="528">
        <v>4</v>
      </c>
      <c r="J4479" s="528">
        <v>68</v>
      </c>
      <c r="K4479" s="458" t="s">
        <v>235</v>
      </c>
      <c r="L4479" s="519">
        <f t="shared" si="668"/>
        <v>2312276</v>
      </c>
      <c r="M4479" s="519">
        <v>2257200</v>
      </c>
      <c r="N4479" s="388"/>
      <c r="O4479" s="643">
        <v>6772</v>
      </c>
      <c r="P4479" s="388"/>
      <c r="Q4479" s="388">
        <v>48304</v>
      </c>
      <c r="R4479" s="446">
        <f>M4479/G4479</f>
        <v>2200</v>
      </c>
      <c r="S4479" s="378">
        <f t="shared" si="669"/>
        <v>0</v>
      </c>
      <c r="T4479" s="406"/>
      <c r="U4479" s="414"/>
    </row>
    <row r="4480" spans="1:24" s="403" customFormat="1" ht="42.75" customHeight="1">
      <c r="A4480" s="1112" t="s">
        <v>39</v>
      </c>
      <c r="B4480" s="1112"/>
      <c r="C4480" s="455" t="s">
        <v>28</v>
      </c>
      <c r="D4480" s="641">
        <f>SUM(D4470:D4479)</f>
        <v>134745.07</v>
      </c>
      <c r="E4480" s="388">
        <f>SUM(E4470:E4479)</f>
        <v>18903.599999999999</v>
      </c>
      <c r="F4480" s="388" t="s">
        <v>28</v>
      </c>
      <c r="G4480" s="388">
        <f>SUM(G4470:G4479)</f>
        <v>10061</v>
      </c>
      <c r="H4480" s="446" t="s">
        <v>28</v>
      </c>
      <c r="I4480" s="446" t="s">
        <v>28</v>
      </c>
      <c r="J4480" s="446">
        <f>SUM(J4470:J4479)</f>
        <v>537</v>
      </c>
      <c r="K4480" s="389" t="s">
        <v>28</v>
      </c>
      <c r="L4480" s="519">
        <f>SUM(L4470:L4479)</f>
        <v>17704125</v>
      </c>
      <c r="M4480" s="519">
        <f>SUM(M4470:M4479)</f>
        <v>17240900</v>
      </c>
      <c r="N4480" s="388">
        <f>SUM(N4470:N4479)</f>
        <v>56730</v>
      </c>
      <c r="O4480" s="473">
        <f>SUM(O4470:O4479)</f>
        <v>37540</v>
      </c>
      <c r="P4480" s="388"/>
      <c r="Q4480" s="388">
        <f>SUM(Q4470:Q4479)</f>
        <v>368955</v>
      </c>
      <c r="R4480" s="446" t="s">
        <v>28</v>
      </c>
      <c r="S4480" s="378">
        <f t="shared" si="669"/>
        <v>0</v>
      </c>
      <c r="T4480" s="406"/>
      <c r="U4480" s="390"/>
    </row>
    <row r="4481" spans="1:214" s="447" customFormat="1" ht="42.75" customHeight="1">
      <c r="A4481" s="1135" t="s">
        <v>42</v>
      </c>
      <c r="B4481" s="1135"/>
      <c r="C4481" s="1135"/>
      <c r="D4481" s="1135"/>
      <c r="E4481" s="1135"/>
      <c r="F4481" s="1135"/>
      <c r="G4481" s="1135"/>
      <c r="H4481" s="1135"/>
      <c r="I4481" s="1135"/>
      <c r="J4481" s="1135"/>
      <c r="K4481" s="1135"/>
      <c r="L4481" s="1135"/>
      <c r="M4481" s="1135"/>
      <c r="N4481" s="1135"/>
      <c r="O4481" s="1135"/>
      <c r="P4481" s="1135"/>
      <c r="Q4481" s="1135"/>
      <c r="R4481" s="458"/>
      <c r="S4481" s="498"/>
      <c r="T4481" s="406"/>
      <c r="U4481" s="469"/>
      <c r="V4481" s="498"/>
      <c r="W4481" s="498"/>
      <c r="X4481" s="498"/>
      <c r="Y4481" s="498"/>
      <c r="Z4481" s="498"/>
      <c r="AA4481" s="498"/>
      <c r="AB4481" s="498"/>
      <c r="AC4481" s="498"/>
      <c r="AD4481" s="498"/>
      <c r="AE4481" s="498"/>
      <c r="AF4481" s="498"/>
      <c r="AG4481" s="498"/>
      <c r="AH4481" s="498"/>
      <c r="AI4481" s="498"/>
      <c r="AJ4481" s="498"/>
      <c r="AK4481" s="498"/>
      <c r="AL4481" s="498"/>
      <c r="AM4481" s="498"/>
      <c r="AN4481" s="498"/>
      <c r="AO4481" s="498"/>
      <c r="AP4481" s="498"/>
      <c r="AQ4481" s="498"/>
      <c r="AR4481" s="498"/>
      <c r="AS4481" s="498"/>
      <c r="AT4481" s="498"/>
      <c r="AU4481" s="498"/>
      <c r="AV4481" s="498"/>
      <c r="AW4481" s="498"/>
      <c r="AX4481" s="498"/>
      <c r="AY4481" s="498"/>
      <c r="AZ4481" s="498"/>
      <c r="BA4481" s="498"/>
      <c r="BB4481" s="498"/>
      <c r="BC4481" s="498"/>
      <c r="BD4481" s="498"/>
      <c r="BE4481" s="498"/>
      <c r="BF4481" s="498"/>
      <c r="BG4481" s="498"/>
      <c r="BH4481" s="498"/>
      <c r="BI4481" s="498"/>
      <c r="BJ4481" s="498"/>
      <c r="BK4481" s="498"/>
      <c r="BL4481" s="498"/>
      <c r="BM4481" s="498"/>
      <c r="BN4481" s="498"/>
      <c r="BO4481" s="498"/>
      <c r="BP4481" s="498"/>
      <c r="BQ4481" s="498"/>
      <c r="BR4481" s="498"/>
      <c r="BS4481" s="498"/>
      <c r="BT4481" s="498"/>
      <c r="BU4481" s="498"/>
      <c r="BV4481" s="498"/>
      <c r="BW4481" s="498"/>
      <c r="BX4481" s="498"/>
      <c r="BY4481" s="498"/>
      <c r="BZ4481" s="498"/>
      <c r="CA4481" s="498"/>
      <c r="CB4481" s="498"/>
      <c r="CC4481" s="498"/>
      <c r="CD4481" s="498"/>
      <c r="CE4481" s="498"/>
      <c r="CF4481" s="498"/>
      <c r="CG4481" s="498"/>
      <c r="CH4481" s="498"/>
      <c r="CI4481" s="498"/>
      <c r="CJ4481" s="498"/>
      <c r="CK4481" s="498"/>
      <c r="CL4481" s="498"/>
      <c r="CM4481" s="498"/>
      <c r="CN4481" s="498"/>
      <c r="CO4481" s="498"/>
      <c r="CP4481" s="498"/>
      <c r="CQ4481" s="498"/>
      <c r="CR4481" s="498"/>
      <c r="CS4481" s="498"/>
      <c r="CT4481" s="498"/>
      <c r="CU4481" s="498"/>
      <c r="CV4481" s="498"/>
      <c r="CW4481" s="498"/>
      <c r="CX4481" s="498"/>
      <c r="CY4481" s="498"/>
      <c r="CZ4481" s="498"/>
      <c r="DA4481" s="498"/>
      <c r="DB4481" s="498"/>
      <c r="DC4481" s="498"/>
      <c r="DD4481" s="498"/>
      <c r="DE4481" s="498"/>
      <c r="DF4481" s="498"/>
      <c r="DG4481" s="498"/>
      <c r="DH4481" s="498"/>
      <c r="DI4481" s="498"/>
      <c r="DJ4481" s="498"/>
      <c r="DK4481" s="498"/>
      <c r="DL4481" s="498"/>
      <c r="DM4481" s="498"/>
      <c r="DN4481" s="498"/>
      <c r="DO4481" s="498"/>
      <c r="DP4481" s="498"/>
      <c r="DQ4481" s="498"/>
      <c r="DR4481" s="498"/>
      <c r="DS4481" s="498"/>
      <c r="DT4481" s="498"/>
      <c r="DU4481" s="498"/>
      <c r="DV4481" s="498"/>
      <c r="DW4481" s="498"/>
      <c r="DX4481" s="498"/>
      <c r="DY4481" s="498"/>
      <c r="DZ4481" s="498"/>
      <c r="EA4481" s="498"/>
      <c r="EB4481" s="498"/>
      <c r="EC4481" s="498"/>
      <c r="ED4481" s="498"/>
      <c r="EE4481" s="498"/>
      <c r="EF4481" s="498"/>
      <c r="EG4481" s="498"/>
      <c r="EH4481" s="498"/>
      <c r="EI4481" s="498"/>
      <c r="EJ4481" s="498"/>
      <c r="EK4481" s="498"/>
      <c r="EL4481" s="498"/>
      <c r="EM4481" s="498"/>
      <c r="EN4481" s="498"/>
      <c r="EO4481" s="498"/>
      <c r="EP4481" s="498"/>
      <c r="EQ4481" s="498"/>
      <c r="ER4481" s="498"/>
      <c r="ES4481" s="498"/>
      <c r="ET4481" s="498"/>
      <c r="EU4481" s="498"/>
      <c r="EV4481" s="498"/>
      <c r="EW4481" s="498"/>
      <c r="EX4481" s="498"/>
      <c r="EY4481" s="498"/>
      <c r="EZ4481" s="498"/>
      <c r="FA4481" s="498"/>
      <c r="FB4481" s="498"/>
      <c r="FC4481" s="498"/>
      <c r="FD4481" s="498"/>
      <c r="FE4481" s="498"/>
      <c r="FF4481" s="498"/>
      <c r="FG4481" s="498"/>
      <c r="FH4481" s="498"/>
      <c r="FI4481" s="498"/>
      <c r="FJ4481" s="498"/>
      <c r="FK4481" s="498"/>
      <c r="FL4481" s="498"/>
      <c r="FM4481" s="498"/>
      <c r="FN4481" s="498"/>
      <c r="FO4481" s="498"/>
      <c r="FP4481" s="498"/>
      <c r="FQ4481" s="498"/>
      <c r="FR4481" s="498"/>
      <c r="FS4481" s="498"/>
      <c r="FT4481" s="498"/>
      <c r="FU4481" s="498"/>
      <c r="FV4481" s="498"/>
      <c r="FW4481" s="498"/>
      <c r="FX4481" s="498"/>
      <c r="FY4481" s="498"/>
      <c r="FZ4481" s="498"/>
      <c r="GA4481" s="498"/>
      <c r="GB4481" s="498"/>
      <c r="GC4481" s="498"/>
      <c r="GD4481" s="498"/>
      <c r="GE4481" s="498"/>
      <c r="GF4481" s="498"/>
      <c r="GG4481" s="498"/>
      <c r="GH4481" s="498"/>
      <c r="GI4481" s="498"/>
      <c r="GJ4481" s="498"/>
      <c r="GK4481" s="498"/>
      <c r="GL4481" s="498"/>
      <c r="GM4481" s="498"/>
      <c r="GN4481" s="498"/>
      <c r="GO4481" s="498"/>
      <c r="GP4481" s="498"/>
      <c r="GQ4481" s="498"/>
      <c r="GR4481" s="498"/>
      <c r="GS4481" s="498"/>
      <c r="GT4481" s="498"/>
      <c r="GU4481" s="498"/>
      <c r="GV4481" s="498"/>
      <c r="GW4481" s="498"/>
      <c r="GX4481" s="498"/>
      <c r="GY4481" s="498"/>
      <c r="GZ4481" s="498"/>
      <c r="HA4481" s="498"/>
      <c r="HB4481" s="498"/>
      <c r="HC4481" s="498"/>
      <c r="HD4481" s="498"/>
      <c r="HE4481" s="498"/>
      <c r="HF4481" s="498"/>
    </row>
    <row r="4482" spans="1:214" s="420" customFormat="1" ht="93.75" customHeight="1">
      <c r="A4482" s="458">
        <v>1</v>
      </c>
      <c r="B4482" s="403" t="s">
        <v>905</v>
      </c>
      <c r="C4482" s="455" t="s">
        <v>222</v>
      </c>
      <c r="D4482" s="641">
        <v>864</v>
      </c>
      <c r="E4482" s="388">
        <v>288</v>
      </c>
      <c r="F4482" s="388" t="s">
        <v>242</v>
      </c>
      <c r="G4482" s="388">
        <v>428</v>
      </c>
      <c r="H4482" s="446">
        <v>2</v>
      </c>
      <c r="I4482" s="446">
        <v>1</v>
      </c>
      <c r="J4482" s="446">
        <v>8</v>
      </c>
      <c r="K4482" s="458" t="s">
        <v>243</v>
      </c>
      <c r="L4482" s="519">
        <f>M4482+N4482+O4482+P4482+Q4482</f>
        <v>1337158</v>
      </c>
      <c r="M4482" s="519">
        <v>1284000</v>
      </c>
      <c r="N4482" s="388">
        <v>25680</v>
      </c>
      <c r="O4482" s="473"/>
      <c r="P4482" s="388"/>
      <c r="Q4482" s="388">
        <v>27478</v>
      </c>
      <c r="R4482" s="446">
        <f>M4482/G4482</f>
        <v>3000</v>
      </c>
      <c r="S4482" s="378">
        <f t="shared" ref="S4482:S4532" si="671">L4482-M4482-N4482-O4482-P4482-Q4482</f>
        <v>0</v>
      </c>
      <c r="T4482" s="406"/>
      <c r="U4482" s="405"/>
    </row>
    <row r="4483" spans="1:214" s="420" customFormat="1" ht="37.5" customHeight="1">
      <c r="A4483" s="458">
        <v>2</v>
      </c>
      <c r="B4483" s="403" t="s">
        <v>2829</v>
      </c>
      <c r="C4483" s="455" t="s">
        <v>218</v>
      </c>
      <c r="D4483" s="641">
        <v>1188</v>
      </c>
      <c r="E4483" s="388">
        <v>396</v>
      </c>
      <c r="F4483" s="388" t="s">
        <v>223</v>
      </c>
      <c r="G4483" s="388">
        <v>624</v>
      </c>
      <c r="H4483" s="446">
        <v>2</v>
      </c>
      <c r="I4483" s="446">
        <v>1</v>
      </c>
      <c r="J4483" s="446">
        <v>16</v>
      </c>
      <c r="K4483" s="458" t="s">
        <v>243</v>
      </c>
      <c r="L4483" s="519">
        <v>1499700</v>
      </c>
      <c r="M4483" s="519">
        <v>1433200</v>
      </c>
      <c r="N4483" s="388">
        <v>35830</v>
      </c>
      <c r="O4483" s="473"/>
      <c r="P4483" s="388"/>
      <c r="Q4483" s="388">
        <v>30670</v>
      </c>
      <c r="R4483" s="446">
        <f>M4483/G4483</f>
        <v>2296.7948717948716</v>
      </c>
      <c r="S4483" s="378">
        <f t="shared" si="671"/>
        <v>0</v>
      </c>
      <c r="T4483" s="406"/>
      <c r="U4483" s="405"/>
    </row>
    <row r="4484" spans="1:214" s="403" customFormat="1" ht="42.75" customHeight="1">
      <c r="A4484" s="1137" t="s">
        <v>43</v>
      </c>
      <c r="B4484" s="1137"/>
      <c r="C4484" s="455" t="s">
        <v>28</v>
      </c>
      <c r="D4484" s="724">
        <f>SUM(D4482:D4483)</f>
        <v>2052</v>
      </c>
      <c r="E4484" s="742">
        <f>SUM(E4482:E4483)</f>
        <v>684</v>
      </c>
      <c r="F4484" s="388" t="s">
        <v>28</v>
      </c>
      <c r="G4484" s="742">
        <f>SUM(G4482:G4483)</f>
        <v>1052</v>
      </c>
      <c r="H4484" s="446" t="s">
        <v>28</v>
      </c>
      <c r="I4484" s="446" t="s">
        <v>28</v>
      </c>
      <c r="J4484" s="726">
        <f>SUM(J4482:J4483)</f>
        <v>24</v>
      </c>
      <c r="K4484" s="389" t="s">
        <v>28</v>
      </c>
      <c r="L4484" s="946">
        <f t="shared" ref="L4484:Q4484" si="672">SUM(L4482:L4483)</f>
        <v>2836858</v>
      </c>
      <c r="M4484" s="946">
        <f t="shared" si="672"/>
        <v>2717200</v>
      </c>
      <c r="N4484" s="742">
        <f t="shared" si="672"/>
        <v>61510</v>
      </c>
      <c r="O4484" s="947">
        <f t="shared" si="672"/>
        <v>0</v>
      </c>
      <c r="P4484" s="724">
        <f t="shared" si="672"/>
        <v>0</v>
      </c>
      <c r="Q4484" s="742">
        <f t="shared" si="672"/>
        <v>58148</v>
      </c>
      <c r="R4484" s="446" t="s">
        <v>28</v>
      </c>
      <c r="S4484" s="378">
        <f t="shared" si="671"/>
        <v>0</v>
      </c>
      <c r="T4484" s="406"/>
      <c r="U4484" s="404"/>
    </row>
    <row r="4485" spans="1:214" s="403" customFormat="1" ht="42.75" customHeight="1">
      <c r="A4485" s="1113" t="s">
        <v>45</v>
      </c>
      <c r="B4485" s="1113"/>
      <c r="C4485" s="1113"/>
      <c r="D4485" s="1113"/>
      <c r="E4485" s="1113"/>
      <c r="F4485" s="1113"/>
      <c r="G4485" s="1113"/>
      <c r="H4485" s="1113"/>
      <c r="I4485" s="1113"/>
      <c r="J4485" s="1113"/>
      <c r="K4485" s="1113"/>
      <c r="L4485" s="1113"/>
      <c r="M4485" s="1113"/>
      <c r="N4485" s="1113"/>
      <c r="O4485" s="1113"/>
      <c r="P4485" s="1113"/>
      <c r="Q4485" s="1113"/>
      <c r="R4485" s="458"/>
      <c r="T4485" s="406"/>
      <c r="U4485" s="404"/>
    </row>
    <row r="4486" spans="1:214" s="403" customFormat="1" ht="37.5" customHeight="1">
      <c r="A4486" s="458">
        <v>1</v>
      </c>
      <c r="B4486" s="403" t="s">
        <v>3339</v>
      </c>
      <c r="C4486" s="455" t="s">
        <v>222</v>
      </c>
      <c r="D4486" s="641">
        <f>E4486*3</f>
        <v>1873.8000000000002</v>
      </c>
      <c r="E4486" s="388">
        <v>624.6</v>
      </c>
      <c r="F4486" s="388" t="s">
        <v>223</v>
      </c>
      <c r="G4486" s="388">
        <v>642.70000000000005</v>
      </c>
      <c r="H4486" s="446">
        <v>2</v>
      </c>
      <c r="I4486" s="446">
        <v>2</v>
      </c>
      <c r="J4486" s="446">
        <v>13</v>
      </c>
      <c r="K4486" s="463" t="s">
        <v>33</v>
      </c>
      <c r="L4486" s="529">
        <f>M4486+N4486+O4486+P4486+Q4486</f>
        <v>1164578</v>
      </c>
      <c r="M4486" s="519">
        <v>1112938</v>
      </c>
      <c r="N4486" s="388">
        <v>27823</v>
      </c>
      <c r="O4486" s="473"/>
      <c r="P4486" s="388"/>
      <c r="Q4486" s="388">
        <v>23817</v>
      </c>
      <c r="R4486" s="446">
        <f>M4486/G4486</f>
        <v>1731.6601836004356</v>
      </c>
      <c r="S4486" s="378">
        <f t="shared" si="671"/>
        <v>0</v>
      </c>
      <c r="T4486" s="406"/>
      <c r="U4486" s="390"/>
    </row>
    <row r="4487" spans="1:214" s="403" customFormat="1" ht="42.75" customHeight="1">
      <c r="A4487" s="1112" t="s">
        <v>47</v>
      </c>
      <c r="B4487" s="1112"/>
      <c r="C4487" s="455" t="s">
        <v>28</v>
      </c>
      <c r="D4487" s="641">
        <f>SUM(D4486:D4486)</f>
        <v>1873.8000000000002</v>
      </c>
      <c r="E4487" s="388">
        <f>SUM(E4486:E4486)</f>
        <v>624.6</v>
      </c>
      <c r="F4487" s="388" t="s">
        <v>28</v>
      </c>
      <c r="G4487" s="388">
        <f>SUM(G4486:G4486)</f>
        <v>642.70000000000005</v>
      </c>
      <c r="H4487" s="446" t="s">
        <v>28</v>
      </c>
      <c r="I4487" s="446" t="s">
        <v>28</v>
      </c>
      <c r="J4487" s="446">
        <f>SUM(J4486)</f>
        <v>13</v>
      </c>
      <c r="K4487" s="458" t="s">
        <v>28</v>
      </c>
      <c r="L4487" s="519">
        <f>SUM(L4486:L4486)</f>
        <v>1164578</v>
      </c>
      <c r="M4487" s="519">
        <f>SUM(M4486:M4486)</f>
        <v>1112938</v>
      </c>
      <c r="N4487" s="388">
        <f>SUM(N4486:N4486)</f>
        <v>27823</v>
      </c>
      <c r="O4487" s="473"/>
      <c r="P4487" s="388"/>
      <c r="Q4487" s="388">
        <f>SUM(Q4486:Q4486)</f>
        <v>23817</v>
      </c>
      <c r="R4487" s="446" t="s">
        <v>28</v>
      </c>
      <c r="S4487" s="378">
        <f t="shared" si="671"/>
        <v>0</v>
      </c>
      <c r="T4487" s="406"/>
      <c r="U4487" s="404"/>
    </row>
    <row r="4488" spans="1:214" s="403" customFormat="1" ht="42.75" customHeight="1">
      <c r="A4488" s="1113" t="s">
        <v>48</v>
      </c>
      <c r="B4488" s="1113"/>
      <c r="C4488" s="1113"/>
      <c r="D4488" s="1113"/>
      <c r="E4488" s="1113"/>
      <c r="F4488" s="1113"/>
      <c r="G4488" s="1113"/>
      <c r="H4488" s="1113"/>
      <c r="I4488" s="1113"/>
      <c r="J4488" s="1113"/>
      <c r="K4488" s="1113"/>
      <c r="L4488" s="1113"/>
      <c r="M4488" s="1113"/>
      <c r="N4488" s="1113"/>
      <c r="O4488" s="1113"/>
      <c r="P4488" s="1113"/>
      <c r="Q4488" s="1113"/>
      <c r="R4488" s="458"/>
      <c r="T4488" s="406"/>
      <c r="U4488" s="404"/>
    </row>
    <row r="4489" spans="1:214" s="403" customFormat="1" ht="57.75" customHeight="1">
      <c r="A4489" s="458">
        <v>1</v>
      </c>
      <c r="B4489" s="403" t="s">
        <v>4178</v>
      </c>
      <c r="C4489" s="455" t="s">
        <v>222</v>
      </c>
      <c r="D4489" s="641">
        <v>2918.4</v>
      </c>
      <c r="E4489" s="388">
        <v>609.59999999999991</v>
      </c>
      <c r="F4489" s="388" t="s">
        <v>231</v>
      </c>
      <c r="G4489" s="388">
        <v>632.32000000000005</v>
      </c>
      <c r="H4489" s="446">
        <v>2</v>
      </c>
      <c r="I4489" s="446">
        <v>2</v>
      </c>
      <c r="J4489" s="446">
        <v>8</v>
      </c>
      <c r="K4489" s="458" t="s">
        <v>227</v>
      </c>
      <c r="L4489" s="519">
        <f>M4489+N4489+O4489+P4489+Q4489</f>
        <v>2211262.9999999995</v>
      </c>
      <c r="M4489" s="519">
        <v>2133599.9999999995</v>
      </c>
      <c r="N4489" s="388">
        <v>32003.999999999993</v>
      </c>
      <c r="O4489" s="473"/>
      <c r="P4489" s="388"/>
      <c r="Q4489" s="388">
        <v>45659</v>
      </c>
      <c r="R4489" s="446">
        <f>M4489/E4489</f>
        <v>3499.9999999999995</v>
      </c>
      <c r="S4489" s="378">
        <f t="shared" si="671"/>
        <v>0</v>
      </c>
      <c r="T4489" s="406"/>
      <c r="U4489" s="404"/>
    </row>
    <row r="4490" spans="1:214" s="403" customFormat="1" ht="57.75" customHeight="1">
      <c r="A4490" s="458">
        <v>2</v>
      </c>
      <c r="B4490" s="403" t="s">
        <v>913</v>
      </c>
      <c r="C4490" s="455" t="s">
        <v>222</v>
      </c>
      <c r="D4490" s="641">
        <v>2955</v>
      </c>
      <c r="E4490" s="388">
        <v>611</v>
      </c>
      <c r="F4490" s="388" t="s">
        <v>229</v>
      </c>
      <c r="G4490" s="388">
        <v>509.44</v>
      </c>
      <c r="H4490" s="446">
        <v>2</v>
      </c>
      <c r="I4490" s="446">
        <v>2</v>
      </c>
      <c r="J4490" s="446">
        <v>19</v>
      </c>
      <c r="K4490" s="458" t="s">
        <v>246</v>
      </c>
      <c r="L4490" s="519">
        <f>M4490+N4490+O4490+P4490+Q4490</f>
        <v>389272</v>
      </c>
      <c r="M4490" s="519">
        <v>380000</v>
      </c>
      <c r="N4490" s="388"/>
      <c r="O4490" s="473">
        <v>1140</v>
      </c>
      <c r="P4490" s="388"/>
      <c r="Q4490" s="388">
        <v>8132</v>
      </c>
      <c r="R4490" s="528">
        <f>M4490/J4490</f>
        <v>20000</v>
      </c>
      <c r="S4490" s="378">
        <f t="shared" si="671"/>
        <v>0</v>
      </c>
      <c r="T4490" s="406"/>
      <c r="U4490" s="404"/>
    </row>
    <row r="4491" spans="1:214" s="403" customFormat="1" ht="42.75" customHeight="1">
      <c r="A4491" s="1112" t="s">
        <v>119</v>
      </c>
      <c r="B4491" s="1112"/>
      <c r="C4491" s="455" t="s">
        <v>28</v>
      </c>
      <c r="D4491" s="641">
        <f>SUM(D4489:D4490)</f>
        <v>5873.4</v>
      </c>
      <c r="E4491" s="388">
        <f>SUM(E4489:E4490)</f>
        <v>1220.5999999999999</v>
      </c>
      <c r="F4491" s="388" t="s">
        <v>28</v>
      </c>
      <c r="G4491" s="388">
        <f>SUM(G4489:G4490)</f>
        <v>1141.76</v>
      </c>
      <c r="H4491" s="446" t="s">
        <v>28</v>
      </c>
      <c r="I4491" s="446" t="s">
        <v>28</v>
      </c>
      <c r="J4491" s="446">
        <f>SUM(J4489:J4490)</f>
        <v>27</v>
      </c>
      <c r="K4491" s="458" t="s">
        <v>28</v>
      </c>
      <c r="L4491" s="519">
        <f t="shared" ref="L4491:Q4491" si="673">SUM(L4489:L4490)</f>
        <v>2600534.9999999995</v>
      </c>
      <c r="M4491" s="519">
        <f t="shared" si="673"/>
        <v>2513599.9999999995</v>
      </c>
      <c r="N4491" s="388">
        <f t="shared" si="673"/>
        <v>32003.999999999993</v>
      </c>
      <c r="O4491" s="473">
        <f t="shared" si="673"/>
        <v>1140</v>
      </c>
      <c r="P4491" s="388">
        <f t="shared" si="673"/>
        <v>0</v>
      </c>
      <c r="Q4491" s="388">
        <f t="shared" si="673"/>
        <v>53791</v>
      </c>
      <c r="R4491" s="446" t="s">
        <v>28</v>
      </c>
      <c r="S4491" s="378">
        <f t="shared" si="671"/>
        <v>0</v>
      </c>
      <c r="T4491" s="406"/>
      <c r="U4491" s="404"/>
    </row>
    <row r="4492" spans="1:214" s="403" customFormat="1" ht="42.75" customHeight="1">
      <c r="A4492" s="1113" t="s">
        <v>49</v>
      </c>
      <c r="B4492" s="1113"/>
      <c r="C4492" s="1113"/>
      <c r="D4492" s="1113"/>
      <c r="E4492" s="1113"/>
      <c r="F4492" s="1113"/>
      <c r="G4492" s="1113"/>
      <c r="H4492" s="1113"/>
      <c r="I4492" s="1113"/>
      <c r="J4492" s="1113"/>
      <c r="K4492" s="1113"/>
      <c r="L4492" s="1113"/>
      <c r="M4492" s="1113"/>
      <c r="N4492" s="1113"/>
      <c r="O4492" s="1113"/>
      <c r="P4492" s="1113"/>
      <c r="Q4492" s="1113"/>
      <c r="R4492" s="458"/>
      <c r="T4492" s="406"/>
      <c r="U4492" s="404"/>
    </row>
    <row r="4493" spans="1:214" s="403" customFormat="1" ht="75" customHeight="1">
      <c r="A4493" s="504">
        <v>1</v>
      </c>
      <c r="B4493" s="403" t="s">
        <v>3341</v>
      </c>
      <c r="C4493" s="455" t="s">
        <v>240</v>
      </c>
      <c r="D4493" s="681">
        <v>1739</v>
      </c>
      <c r="E4493" s="646">
        <v>658.7</v>
      </c>
      <c r="F4493" s="388" t="s">
        <v>223</v>
      </c>
      <c r="G4493" s="646">
        <v>690</v>
      </c>
      <c r="H4493" s="446">
        <v>2</v>
      </c>
      <c r="I4493" s="446">
        <v>2</v>
      </c>
      <c r="J4493" s="648">
        <v>8</v>
      </c>
      <c r="K4493" s="458" t="s">
        <v>249</v>
      </c>
      <c r="L4493" s="519">
        <f>M4493+N4493+O4493+Q4493</f>
        <v>2288371</v>
      </c>
      <c r="M4493" s="519">
        <v>2208000</v>
      </c>
      <c r="N4493" s="388">
        <v>33120</v>
      </c>
      <c r="O4493" s="473"/>
      <c r="P4493" s="388"/>
      <c r="Q4493" s="388">
        <v>47251</v>
      </c>
      <c r="R4493" s="446">
        <f>M4493/G4493</f>
        <v>3200</v>
      </c>
      <c r="S4493" s="378">
        <f t="shared" si="671"/>
        <v>0</v>
      </c>
      <c r="T4493" s="406"/>
      <c r="U4493" s="428"/>
      <c r="V4493" s="458"/>
    </row>
    <row r="4494" spans="1:214" s="403" customFormat="1" ht="56.25" customHeight="1">
      <c r="A4494" s="504">
        <f t="shared" ref="A4494:A4500" si="674">A4493+1</f>
        <v>2</v>
      </c>
      <c r="B4494" s="403" t="s">
        <v>3342</v>
      </c>
      <c r="C4494" s="455" t="s">
        <v>222</v>
      </c>
      <c r="D4494" s="681">
        <v>3974</v>
      </c>
      <c r="E4494" s="646">
        <v>994</v>
      </c>
      <c r="F4494" s="388" t="s">
        <v>224</v>
      </c>
      <c r="G4494" s="646">
        <v>596</v>
      </c>
      <c r="H4494" s="446">
        <v>3</v>
      </c>
      <c r="I4494" s="446">
        <v>2</v>
      </c>
      <c r="J4494" s="648">
        <v>20</v>
      </c>
      <c r="K4494" s="458" t="s">
        <v>248</v>
      </c>
      <c r="L4494" s="519">
        <f>M4494+N4494+O4494+Q4494</f>
        <v>1404247</v>
      </c>
      <c r="M4494" s="519">
        <v>1370800</v>
      </c>
      <c r="N4494" s="388"/>
      <c r="O4494" s="643">
        <v>4112</v>
      </c>
      <c r="P4494" s="646"/>
      <c r="Q4494" s="388">
        <v>29335</v>
      </c>
      <c r="R4494" s="446">
        <f>M4494/G4494</f>
        <v>2300</v>
      </c>
      <c r="S4494" s="378">
        <f t="shared" si="671"/>
        <v>0</v>
      </c>
      <c r="T4494" s="406"/>
      <c r="U4494" s="428"/>
      <c r="V4494" s="458"/>
    </row>
    <row r="4495" spans="1:214" s="403" customFormat="1" ht="75" customHeight="1">
      <c r="A4495" s="504">
        <f t="shared" si="674"/>
        <v>3</v>
      </c>
      <c r="B4495" s="403" t="s">
        <v>3343</v>
      </c>
      <c r="C4495" s="455" t="s">
        <v>222</v>
      </c>
      <c r="D4495" s="681">
        <v>2079</v>
      </c>
      <c r="E4495" s="646">
        <v>525.29999999999995</v>
      </c>
      <c r="F4495" s="388" t="s">
        <v>224</v>
      </c>
      <c r="G4495" s="646">
        <v>396</v>
      </c>
      <c r="H4495" s="446">
        <v>3</v>
      </c>
      <c r="I4495" s="446">
        <v>1</v>
      </c>
      <c r="J4495" s="648">
        <v>42</v>
      </c>
      <c r="K4495" s="683" t="s">
        <v>418</v>
      </c>
      <c r="L4495" s="519">
        <f>M4495+N4495+O4495+P4495+Q4495</f>
        <v>946546</v>
      </c>
      <c r="M4495" s="519">
        <v>924000</v>
      </c>
      <c r="N4495" s="388"/>
      <c r="O4495" s="643">
        <v>2772</v>
      </c>
      <c r="P4495" s="388"/>
      <c r="Q4495" s="388">
        <v>19774</v>
      </c>
      <c r="R4495" s="446">
        <f>M4495/J4495</f>
        <v>22000</v>
      </c>
      <c r="S4495" s="378">
        <f t="shared" si="671"/>
        <v>0</v>
      </c>
      <c r="T4495" s="406"/>
      <c r="U4495" s="390"/>
      <c r="V4495" s="458"/>
    </row>
    <row r="4496" spans="1:214" s="404" customFormat="1" ht="56.25" customHeight="1">
      <c r="A4496" s="504">
        <f t="shared" si="674"/>
        <v>4</v>
      </c>
      <c r="B4496" s="403" t="s">
        <v>4018</v>
      </c>
      <c r="C4496" s="455" t="s">
        <v>222</v>
      </c>
      <c r="D4496" s="641">
        <v>20995</v>
      </c>
      <c r="E4496" s="388">
        <v>3127.8</v>
      </c>
      <c r="F4496" s="388" t="s">
        <v>224</v>
      </c>
      <c r="G4496" s="388">
        <v>1403.2</v>
      </c>
      <c r="H4496" s="446">
        <v>5</v>
      </c>
      <c r="I4496" s="446">
        <v>6</v>
      </c>
      <c r="J4496" s="446">
        <v>105</v>
      </c>
      <c r="K4496" s="458" t="s">
        <v>248</v>
      </c>
      <c r="L4496" s="519">
        <f>M4496+N4496+O4496+Q4496</f>
        <v>3306108</v>
      </c>
      <c r="M4496" s="519">
        <v>3227360</v>
      </c>
      <c r="N4496" s="388"/>
      <c r="O4496" s="643">
        <v>9682</v>
      </c>
      <c r="P4496" s="388"/>
      <c r="Q4496" s="388">
        <v>69066</v>
      </c>
      <c r="R4496" s="446">
        <f>M4496/G4496</f>
        <v>2300</v>
      </c>
      <c r="S4496" s="378">
        <f t="shared" si="671"/>
        <v>0</v>
      </c>
      <c r="T4496" s="403"/>
      <c r="U4496" s="428"/>
      <c r="V4496" s="389"/>
    </row>
    <row r="4497" spans="1:22" ht="75" customHeight="1">
      <c r="A4497" s="504">
        <f t="shared" si="674"/>
        <v>5</v>
      </c>
      <c r="B4497" s="424" t="s">
        <v>4019</v>
      </c>
      <c r="C4497" s="455" t="s">
        <v>222</v>
      </c>
      <c r="D4497" s="641">
        <v>2457</v>
      </c>
      <c r="E4497" s="388">
        <v>596</v>
      </c>
      <c r="F4497" s="388" t="s">
        <v>223</v>
      </c>
      <c r="G4497" s="388">
        <v>647.29999999999995</v>
      </c>
      <c r="H4497" s="446">
        <v>2</v>
      </c>
      <c r="I4497" s="446">
        <v>2</v>
      </c>
      <c r="J4497" s="446">
        <v>8</v>
      </c>
      <c r="K4497" s="458" t="s">
        <v>249</v>
      </c>
      <c r="L4497" s="519">
        <f>M4497+N4497+O4497+Q4497</f>
        <v>2146757</v>
      </c>
      <c r="M4497" s="519">
        <v>2071359.9999999998</v>
      </c>
      <c r="N4497" s="388">
        <v>31070</v>
      </c>
      <c r="O4497" s="473"/>
      <c r="P4497" s="388"/>
      <c r="Q4497" s="388">
        <v>44327</v>
      </c>
      <c r="R4497" s="446">
        <f>M4497/G4497</f>
        <v>3200</v>
      </c>
      <c r="S4497" s="378">
        <f t="shared" si="671"/>
        <v>2.3283064365386963E-10</v>
      </c>
      <c r="T4497" s="406"/>
      <c r="U4497" s="390"/>
      <c r="V4497" s="458"/>
    </row>
    <row r="4498" spans="1:22" s="403" customFormat="1" ht="75" customHeight="1">
      <c r="A4498" s="504">
        <f t="shared" si="674"/>
        <v>6</v>
      </c>
      <c r="B4498" s="424" t="s">
        <v>4020</v>
      </c>
      <c r="C4498" s="455" t="s">
        <v>222</v>
      </c>
      <c r="D4498" s="681">
        <v>1996</v>
      </c>
      <c r="E4498" s="646">
        <v>514.5</v>
      </c>
      <c r="F4498" s="388" t="s">
        <v>223</v>
      </c>
      <c r="G4498" s="646">
        <v>681</v>
      </c>
      <c r="H4498" s="648">
        <v>2</v>
      </c>
      <c r="I4498" s="648">
        <v>2</v>
      </c>
      <c r="J4498" s="648">
        <v>8</v>
      </c>
      <c r="K4498" s="683" t="s">
        <v>418</v>
      </c>
      <c r="L4498" s="519">
        <f>M4498+N4498+O4498+Q4498</f>
        <v>180294</v>
      </c>
      <c r="M4498" s="519">
        <v>176000</v>
      </c>
      <c r="N4498" s="388"/>
      <c r="O4498" s="643">
        <v>528</v>
      </c>
      <c r="P4498" s="388"/>
      <c r="Q4498" s="388">
        <v>3766</v>
      </c>
      <c r="R4498" s="446">
        <f>M4498/J4498</f>
        <v>22000</v>
      </c>
      <c r="S4498" s="378">
        <f t="shared" si="671"/>
        <v>0</v>
      </c>
      <c r="T4498" s="406"/>
      <c r="U4498" s="390"/>
      <c r="V4498" s="458"/>
    </row>
    <row r="4499" spans="1:22" s="404" customFormat="1" ht="75" customHeight="1">
      <c r="A4499" s="504">
        <f t="shared" si="674"/>
        <v>7</v>
      </c>
      <c r="B4499" s="403" t="s">
        <v>4021</v>
      </c>
      <c r="C4499" s="455" t="s">
        <v>222</v>
      </c>
      <c r="D4499" s="641">
        <v>2731.7</v>
      </c>
      <c r="E4499" s="388">
        <v>582.6</v>
      </c>
      <c r="F4499" s="388" t="s">
        <v>223</v>
      </c>
      <c r="G4499" s="388">
        <v>662.5</v>
      </c>
      <c r="H4499" s="446">
        <v>2</v>
      </c>
      <c r="I4499" s="446">
        <v>2</v>
      </c>
      <c r="J4499" s="446">
        <v>16</v>
      </c>
      <c r="K4499" s="683" t="s">
        <v>418</v>
      </c>
      <c r="L4499" s="519">
        <f>M4499+N4499+O4499+Q4499</f>
        <v>360589</v>
      </c>
      <c r="M4499" s="519">
        <v>352000</v>
      </c>
      <c r="N4499" s="388"/>
      <c r="O4499" s="643">
        <v>1056</v>
      </c>
      <c r="P4499" s="388"/>
      <c r="Q4499" s="388">
        <v>7533</v>
      </c>
      <c r="R4499" s="446">
        <f>M4499/J4499</f>
        <v>22000</v>
      </c>
      <c r="S4499" s="378">
        <f t="shared" si="671"/>
        <v>0</v>
      </c>
      <c r="T4499" s="406"/>
      <c r="U4499" s="378"/>
      <c r="V4499" s="389"/>
    </row>
    <row r="4500" spans="1:22" s="403" customFormat="1" ht="56.25" customHeight="1">
      <c r="A4500" s="504">
        <f t="shared" si="674"/>
        <v>8</v>
      </c>
      <c r="B4500" s="424" t="s">
        <v>4022</v>
      </c>
      <c r="C4500" s="455" t="s">
        <v>222</v>
      </c>
      <c r="D4500" s="641">
        <v>11602</v>
      </c>
      <c r="E4500" s="388">
        <v>2160</v>
      </c>
      <c r="F4500" s="388" t="s">
        <v>224</v>
      </c>
      <c r="G4500" s="388">
        <v>952</v>
      </c>
      <c r="H4500" s="446">
        <v>5</v>
      </c>
      <c r="I4500" s="446">
        <v>1</v>
      </c>
      <c r="J4500" s="446">
        <v>70</v>
      </c>
      <c r="K4500" s="458" t="s">
        <v>248</v>
      </c>
      <c r="L4500" s="519">
        <f>M4500+N4500+O4500+Q4500</f>
        <v>3120732</v>
      </c>
      <c r="M4500" s="519">
        <v>3046400</v>
      </c>
      <c r="N4500" s="388"/>
      <c r="O4500" s="643">
        <v>9139</v>
      </c>
      <c r="P4500" s="646"/>
      <c r="Q4500" s="388">
        <v>65193</v>
      </c>
      <c r="R4500" s="446">
        <f>M4500/G4500</f>
        <v>3200</v>
      </c>
      <c r="S4500" s="378">
        <f t="shared" si="671"/>
        <v>0</v>
      </c>
      <c r="T4500" s="406"/>
      <c r="U4500" s="378"/>
      <c r="V4500" s="458"/>
    </row>
    <row r="4501" spans="1:22" s="1008" customFormat="1" ht="42.75" customHeight="1">
      <c r="A4501" s="1115" t="s">
        <v>50</v>
      </c>
      <c r="B4501" s="1115"/>
      <c r="C4501" s="531" t="s">
        <v>278</v>
      </c>
      <c r="D4501" s="641">
        <f>SUM(D4493:D4500)</f>
        <v>47573.7</v>
      </c>
      <c r="E4501" s="388">
        <f>SUM(E4493:E4500)</f>
        <v>9158.9000000000015</v>
      </c>
      <c r="F4501" s="388" t="s">
        <v>278</v>
      </c>
      <c r="G4501" s="388">
        <f>SUM(G4493:G4500)</f>
        <v>6028</v>
      </c>
      <c r="H4501" s="446" t="s">
        <v>278</v>
      </c>
      <c r="I4501" s="446" t="s">
        <v>278</v>
      </c>
      <c r="J4501" s="446">
        <f>SUM(J4493:J4500)</f>
        <v>277</v>
      </c>
      <c r="K4501" s="458" t="s">
        <v>28</v>
      </c>
      <c r="L4501" s="519">
        <f>SUM(L4493:L4500)</f>
        <v>13753644</v>
      </c>
      <c r="M4501" s="519">
        <f>SUM(M4493:M4500)</f>
        <v>13375920</v>
      </c>
      <c r="N4501" s="388">
        <f>SUM(N4493:N4500)</f>
        <v>64190</v>
      </c>
      <c r="O4501" s="473">
        <f>SUM(O4493:O4500)</f>
        <v>27289</v>
      </c>
      <c r="P4501" s="388"/>
      <c r="Q4501" s="388">
        <f>SUM(Q4493:Q4500)</f>
        <v>286245</v>
      </c>
      <c r="R4501" s="446" t="s">
        <v>28</v>
      </c>
      <c r="S4501" s="378">
        <f t="shared" si="671"/>
        <v>0</v>
      </c>
      <c r="T4501" s="406"/>
      <c r="U4501" s="510"/>
    </row>
    <row r="4502" spans="1:22" s="403" customFormat="1" ht="42.75" customHeight="1">
      <c r="A4502" s="1113" t="s">
        <v>51</v>
      </c>
      <c r="B4502" s="1113"/>
      <c r="C4502" s="1113"/>
      <c r="D4502" s="1113"/>
      <c r="E4502" s="1113"/>
      <c r="F4502" s="1113"/>
      <c r="G4502" s="1113"/>
      <c r="H4502" s="1113"/>
      <c r="I4502" s="1113"/>
      <c r="J4502" s="1113"/>
      <c r="K4502" s="1113"/>
      <c r="L4502" s="1113"/>
      <c r="M4502" s="1113"/>
      <c r="N4502" s="1113"/>
      <c r="O4502" s="1113"/>
      <c r="P4502" s="1113"/>
      <c r="Q4502" s="1113"/>
      <c r="R4502" s="458"/>
      <c r="T4502" s="406"/>
      <c r="U4502" s="404"/>
    </row>
    <row r="4503" spans="1:22" s="511" customFormat="1" ht="37.5">
      <c r="A4503" s="397">
        <v>1</v>
      </c>
      <c r="B4503" s="427" t="s">
        <v>3344</v>
      </c>
      <c r="C4503" s="455" t="s">
        <v>222</v>
      </c>
      <c r="D4503" s="641">
        <v>1686</v>
      </c>
      <c r="E4503" s="388">
        <v>497</v>
      </c>
      <c r="F4503" s="388" t="s">
        <v>229</v>
      </c>
      <c r="G4503" s="388">
        <v>497</v>
      </c>
      <c r="H4503" s="446">
        <v>2</v>
      </c>
      <c r="I4503" s="446">
        <v>2</v>
      </c>
      <c r="J4503" s="446">
        <v>12</v>
      </c>
      <c r="K4503" s="458" t="s">
        <v>269</v>
      </c>
      <c r="L4503" s="519">
        <f>M4503+N4503+O4503+P4503+Q4503</f>
        <v>245856</v>
      </c>
      <c r="M4503" s="519">
        <v>240000</v>
      </c>
      <c r="N4503" s="388"/>
      <c r="O4503" s="473">
        <v>720</v>
      </c>
      <c r="P4503" s="388"/>
      <c r="Q4503" s="388">
        <v>5136</v>
      </c>
      <c r="R4503" s="446">
        <f>M4503/J4503</f>
        <v>20000</v>
      </c>
      <c r="S4503" s="378">
        <f t="shared" si="671"/>
        <v>0</v>
      </c>
      <c r="T4503" s="406"/>
    </row>
    <row r="4504" spans="1:22" s="403" customFormat="1" ht="37.5">
      <c r="A4504" s="397">
        <v>2</v>
      </c>
      <c r="B4504" s="427" t="s">
        <v>3345</v>
      </c>
      <c r="C4504" s="455" t="s">
        <v>240</v>
      </c>
      <c r="D4504" s="641">
        <v>2154</v>
      </c>
      <c r="E4504" s="388">
        <v>591</v>
      </c>
      <c r="F4504" s="388" t="s">
        <v>223</v>
      </c>
      <c r="G4504" s="388">
        <v>589</v>
      </c>
      <c r="H4504" s="446">
        <v>2</v>
      </c>
      <c r="I4504" s="446">
        <v>2</v>
      </c>
      <c r="J4504" s="446">
        <v>16</v>
      </c>
      <c r="K4504" s="458" t="s">
        <v>269</v>
      </c>
      <c r="L4504" s="519">
        <f>M4504+N4504+O4504+P4504+Q4504</f>
        <v>327808</v>
      </c>
      <c r="M4504" s="519">
        <v>320000</v>
      </c>
      <c r="N4504" s="388"/>
      <c r="O4504" s="473">
        <v>960</v>
      </c>
      <c r="P4504" s="388"/>
      <c r="Q4504" s="388">
        <v>6848</v>
      </c>
      <c r="R4504" s="446">
        <f>M4504/J4504</f>
        <v>20000</v>
      </c>
      <c r="S4504" s="378">
        <f t="shared" si="671"/>
        <v>0</v>
      </c>
      <c r="T4504" s="406"/>
      <c r="U4504" s="390"/>
    </row>
    <row r="4505" spans="1:22" s="420" customFormat="1" ht="37.5">
      <c r="A4505" s="397">
        <f>A4504+1</f>
        <v>3</v>
      </c>
      <c r="B4505" s="403" t="s">
        <v>3346</v>
      </c>
      <c r="C4505" s="455" t="s">
        <v>230</v>
      </c>
      <c r="D4505" s="641">
        <v>1236</v>
      </c>
      <c r="E4505" s="388">
        <v>378</v>
      </c>
      <c r="F4505" s="388" t="s">
        <v>229</v>
      </c>
      <c r="G4505" s="388">
        <v>285</v>
      </c>
      <c r="H4505" s="446">
        <v>2</v>
      </c>
      <c r="I4505" s="446">
        <v>2</v>
      </c>
      <c r="J4505" s="446">
        <v>8</v>
      </c>
      <c r="K4505" s="458" t="s">
        <v>269</v>
      </c>
      <c r="L4505" s="519">
        <f>M4505+N4505+O4505+P4505+Q4505</f>
        <v>163904</v>
      </c>
      <c r="M4505" s="529">
        <v>160000</v>
      </c>
      <c r="N4505" s="391"/>
      <c r="O4505" s="473">
        <v>480</v>
      </c>
      <c r="P4505" s="391"/>
      <c r="Q4505" s="388">
        <v>3424</v>
      </c>
      <c r="R4505" s="446">
        <f>M4505/J4505</f>
        <v>20000</v>
      </c>
      <c r="S4505" s="378">
        <f t="shared" si="671"/>
        <v>0</v>
      </c>
      <c r="T4505" s="406"/>
      <c r="U4505" s="405"/>
    </row>
    <row r="4506" spans="1:22" s="420" customFormat="1" ht="37.5">
      <c r="A4506" s="397">
        <f>A4505+1</f>
        <v>4</v>
      </c>
      <c r="B4506" s="427" t="s">
        <v>3347</v>
      </c>
      <c r="C4506" s="455" t="s">
        <v>230</v>
      </c>
      <c r="D4506" s="641">
        <v>1208</v>
      </c>
      <c r="E4506" s="388">
        <v>368</v>
      </c>
      <c r="F4506" s="388" t="s">
        <v>229</v>
      </c>
      <c r="G4506" s="388">
        <v>293</v>
      </c>
      <c r="H4506" s="446">
        <v>2</v>
      </c>
      <c r="I4506" s="446">
        <v>2</v>
      </c>
      <c r="J4506" s="446">
        <v>8</v>
      </c>
      <c r="K4506" s="458" t="s">
        <v>269</v>
      </c>
      <c r="L4506" s="519">
        <f>M4506+N4506+O4506+P4506+Q4506</f>
        <v>163904</v>
      </c>
      <c r="M4506" s="529">
        <v>160000</v>
      </c>
      <c r="N4506" s="391"/>
      <c r="O4506" s="473">
        <v>480</v>
      </c>
      <c r="P4506" s="391"/>
      <c r="Q4506" s="388">
        <v>3424</v>
      </c>
      <c r="R4506" s="446">
        <f>M4506/J4506</f>
        <v>20000</v>
      </c>
      <c r="S4506" s="378">
        <f t="shared" si="671"/>
        <v>0</v>
      </c>
      <c r="T4506" s="406"/>
      <c r="U4506" s="405"/>
    </row>
    <row r="4507" spans="1:22" s="403" customFormat="1" ht="42.75" customHeight="1">
      <c r="A4507" s="1112" t="s">
        <v>120</v>
      </c>
      <c r="B4507" s="1112"/>
      <c r="C4507" s="531" t="s">
        <v>278</v>
      </c>
      <c r="D4507" s="641">
        <f>SUM(D4503:D4506)</f>
        <v>6284</v>
      </c>
      <c r="E4507" s="388">
        <f>SUM(E4503:E4506)</f>
        <v>1834</v>
      </c>
      <c r="F4507" s="388" t="s">
        <v>28</v>
      </c>
      <c r="G4507" s="388">
        <f>SUM(G4503:G4506)</f>
        <v>1664</v>
      </c>
      <c r="H4507" s="446" t="s">
        <v>28</v>
      </c>
      <c r="I4507" s="446" t="s">
        <v>28</v>
      </c>
      <c r="J4507" s="446">
        <f>SUM(J4503:J4506)</f>
        <v>44</v>
      </c>
      <c r="K4507" s="458" t="s">
        <v>28</v>
      </c>
      <c r="L4507" s="519">
        <f>SUM(L4503:L4506)</f>
        <v>901472</v>
      </c>
      <c r="M4507" s="519">
        <f>SUM(M4503:M4506)</f>
        <v>880000</v>
      </c>
      <c r="N4507" s="388"/>
      <c r="O4507" s="473">
        <f>SUM(O4503:O4506)</f>
        <v>2640</v>
      </c>
      <c r="P4507" s="388"/>
      <c r="Q4507" s="388">
        <f>SUM(Q4503:Q4506)</f>
        <v>18832</v>
      </c>
      <c r="R4507" s="446" t="s">
        <v>28</v>
      </c>
      <c r="S4507" s="378">
        <f t="shared" si="671"/>
        <v>0</v>
      </c>
      <c r="T4507" s="406"/>
      <c r="U4507" s="404"/>
    </row>
    <row r="4508" spans="1:22" s="403" customFormat="1" ht="42.75" customHeight="1">
      <c r="A4508" s="1113" t="s">
        <v>52</v>
      </c>
      <c r="B4508" s="1113"/>
      <c r="C4508" s="1113"/>
      <c r="D4508" s="1113"/>
      <c r="E4508" s="1113"/>
      <c r="F4508" s="1113"/>
      <c r="G4508" s="1113"/>
      <c r="H4508" s="1113"/>
      <c r="I4508" s="1113"/>
      <c r="J4508" s="1113"/>
      <c r="K4508" s="1113"/>
      <c r="L4508" s="1113"/>
      <c r="M4508" s="1113"/>
      <c r="N4508" s="1113"/>
      <c r="O4508" s="1113"/>
      <c r="P4508" s="1113"/>
      <c r="Q4508" s="1113"/>
      <c r="R4508" s="458"/>
      <c r="T4508" s="406"/>
      <c r="U4508" s="404"/>
    </row>
    <row r="4509" spans="1:22" s="431" customFormat="1" ht="37.5" customHeight="1">
      <c r="A4509" s="458">
        <v>1</v>
      </c>
      <c r="B4509" s="403" t="s">
        <v>3348</v>
      </c>
      <c r="C4509" s="487" t="s">
        <v>240</v>
      </c>
      <c r="D4509" s="606">
        <v>2743</v>
      </c>
      <c r="E4509" s="391">
        <v>842.7</v>
      </c>
      <c r="F4509" s="388" t="s">
        <v>229</v>
      </c>
      <c r="G4509" s="391">
        <v>661.4</v>
      </c>
      <c r="H4509" s="528">
        <v>2</v>
      </c>
      <c r="I4509" s="528">
        <v>2</v>
      </c>
      <c r="J4509" s="528">
        <v>16</v>
      </c>
      <c r="K4509" s="642" t="s">
        <v>227</v>
      </c>
      <c r="L4509" s="650">
        <f>M4509+N4509+O4509+P4509+Q4509</f>
        <v>3042063</v>
      </c>
      <c r="M4509" s="650">
        <v>2949450</v>
      </c>
      <c r="N4509" s="651">
        <v>29495</v>
      </c>
      <c r="O4509" s="647"/>
      <c r="P4509" s="651"/>
      <c r="Q4509" s="388">
        <v>63118</v>
      </c>
      <c r="R4509" s="528">
        <f>M4509/E4509</f>
        <v>3500</v>
      </c>
      <c r="S4509" s="378">
        <f t="shared" si="671"/>
        <v>0</v>
      </c>
      <c r="T4509" s="406"/>
      <c r="U4509" s="432"/>
    </row>
    <row r="4510" spans="1:22" s="431" customFormat="1" ht="75" customHeight="1">
      <c r="A4510" s="458">
        <v>2</v>
      </c>
      <c r="B4510" s="403" t="s">
        <v>3349</v>
      </c>
      <c r="C4510" s="455" t="s">
        <v>222</v>
      </c>
      <c r="D4510" s="606">
        <v>4026</v>
      </c>
      <c r="E4510" s="391">
        <v>1069.5999999999999</v>
      </c>
      <c r="F4510" s="383" t="s">
        <v>223</v>
      </c>
      <c r="G4510" s="391">
        <v>950.5</v>
      </c>
      <c r="H4510" s="528">
        <v>2</v>
      </c>
      <c r="I4510" s="528">
        <v>3</v>
      </c>
      <c r="J4510" s="528">
        <v>18</v>
      </c>
      <c r="K4510" s="458" t="s">
        <v>275</v>
      </c>
      <c r="L4510" s="650">
        <f>M4510+N4510+O4510+P4510+Q4510</f>
        <v>2462746</v>
      </c>
      <c r="M4510" s="519">
        <v>2376250</v>
      </c>
      <c r="N4510" s="388">
        <v>35644</v>
      </c>
      <c r="O4510" s="473"/>
      <c r="P4510" s="388"/>
      <c r="Q4510" s="388">
        <v>50852</v>
      </c>
      <c r="R4510" s="446">
        <f>M4510/G4510</f>
        <v>2500</v>
      </c>
      <c r="S4510" s="378">
        <f t="shared" si="671"/>
        <v>0</v>
      </c>
      <c r="T4510" s="406"/>
      <c r="U4510" s="432"/>
    </row>
    <row r="4511" spans="1:22" s="403" customFormat="1" ht="42.75" customHeight="1">
      <c r="A4511" s="1112" t="s">
        <v>53</v>
      </c>
      <c r="B4511" s="1112"/>
      <c r="C4511" s="455" t="s">
        <v>28</v>
      </c>
      <c r="D4511" s="641">
        <f>SUM(D4509:D4510)</f>
        <v>6769</v>
      </c>
      <c r="E4511" s="388">
        <f>SUM(E4509:E4510)</f>
        <v>1912.3</v>
      </c>
      <c r="F4511" s="388" t="s">
        <v>28</v>
      </c>
      <c r="G4511" s="388">
        <f>SUM(G4509:G4510)</f>
        <v>1611.9</v>
      </c>
      <c r="H4511" s="446" t="s">
        <v>28</v>
      </c>
      <c r="I4511" s="446" t="s">
        <v>28</v>
      </c>
      <c r="J4511" s="446">
        <f>SUM(J4509:J4510)</f>
        <v>34</v>
      </c>
      <c r="K4511" s="458" t="s">
        <v>28</v>
      </c>
      <c r="L4511" s="519">
        <f>SUM(L4509:L4510)</f>
        <v>5504809</v>
      </c>
      <c r="M4511" s="519">
        <f>SUM(M4509:M4510)</f>
        <v>5325700</v>
      </c>
      <c r="N4511" s="388">
        <f>SUM(N4509:N4510)</f>
        <v>65139</v>
      </c>
      <c r="O4511" s="473">
        <f>SUM(O4509:O4510)</f>
        <v>0</v>
      </c>
      <c r="P4511" s="388"/>
      <c r="Q4511" s="388">
        <f>SUM(Q4509:Q4510)</f>
        <v>113970</v>
      </c>
      <c r="R4511" s="446" t="s">
        <v>28</v>
      </c>
      <c r="S4511" s="378">
        <f t="shared" si="671"/>
        <v>0</v>
      </c>
      <c r="T4511" s="406"/>
      <c r="U4511" s="404"/>
    </row>
    <row r="4512" spans="1:22" s="403" customFormat="1" ht="42.75" customHeight="1">
      <c r="A4512" s="1113" t="s">
        <v>54</v>
      </c>
      <c r="B4512" s="1113"/>
      <c r="C4512" s="1113"/>
      <c r="D4512" s="1113"/>
      <c r="E4512" s="1113"/>
      <c r="F4512" s="1113"/>
      <c r="G4512" s="1113"/>
      <c r="H4512" s="1113"/>
      <c r="I4512" s="1113"/>
      <c r="J4512" s="1113"/>
      <c r="K4512" s="1113"/>
      <c r="L4512" s="1113"/>
      <c r="M4512" s="1113"/>
      <c r="N4512" s="1113"/>
      <c r="O4512" s="1113"/>
      <c r="P4512" s="1113"/>
      <c r="Q4512" s="1113"/>
      <c r="R4512" s="458"/>
      <c r="T4512" s="406"/>
      <c r="U4512" s="404"/>
    </row>
    <row r="4513" spans="1:23" s="403" customFormat="1" ht="37.5">
      <c r="A4513" s="458">
        <v>1</v>
      </c>
      <c r="B4513" s="403" t="s">
        <v>3350</v>
      </c>
      <c r="C4513" s="455" t="s">
        <v>222</v>
      </c>
      <c r="D4513" s="641">
        <v>2634</v>
      </c>
      <c r="E4513" s="388">
        <v>570</v>
      </c>
      <c r="F4513" s="388" t="s">
        <v>223</v>
      </c>
      <c r="G4513" s="388">
        <v>610</v>
      </c>
      <c r="H4513" s="446">
        <v>2</v>
      </c>
      <c r="I4513" s="446">
        <v>2</v>
      </c>
      <c r="J4513" s="446">
        <v>14</v>
      </c>
      <c r="K4513" s="458" t="s">
        <v>33</v>
      </c>
      <c r="L4513" s="529">
        <f t="shared" ref="L4513:L4524" si="675">M4513+N4513+O4513+P4513+Q4513</f>
        <v>1588135</v>
      </c>
      <c r="M4513" s="519">
        <v>1525000</v>
      </c>
      <c r="N4513" s="388">
        <v>30500</v>
      </c>
      <c r="O4513" s="473"/>
      <c r="P4513" s="388"/>
      <c r="Q4513" s="388">
        <v>32635</v>
      </c>
      <c r="R4513" s="446">
        <f>M4513/G4513</f>
        <v>2500</v>
      </c>
      <c r="S4513" s="378">
        <f t="shared" si="671"/>
        <v>0</v>
      </c>
      <c r="T4513" s="406"/>
      <c r="U4513" s="404"/>
    </row>
    <row r="4514" spans="1:23" s="405" customFormat="1" ht="37.5" customHeight="1">
      <c r="A4514" s="458">
        <f t="shared" ref="A4514:A4527" si="676">A4513+1</f>
        <v>2</v>
      </c>
      <c r="B4514" s="403" t="s">
        <v>3351</v>
      </c>
      <c r="C4514" s="455" t="s">
        <v>222</v>
      </c>
      <c r="D4514" s="641">
        <v>12295</v>
      </c>
      <c r="E4514" s="388">
        <v>2190</v>
      </c>
      <c r="F4514" s="388" t="s">
        <v>228</v>
      </c>
      <c r="G4514" s="388">
        <v>960</v>
      </c>
      <c r="H4514" s="446">
        <v>5</v>
      </c>
      <c r="I4514" s="446">
        <v>4</v>
      </c>
      <c r="J4514" s="446">
        <v>60</v>
      </c>
      <c r="K4514" s="458" t="s">
        <v>33</v>
      </c>
      <c r="L4514" s="529">
        <f t="shared" si="675"/>
        <v>1966848</v>
      </c>
      <c r="M4514" s="650">
        <v>1920000</v>
      </c>
      <c r="N4514" s="688"/>
      <c r="O4514" s="643">
        <v>5760</v>
      </c>
      <c r="P4514" s="688"/>
      <c r="Q4514" s="388">
        <v>41088</v>
      </c>
      <c r="R4514" s="689">
        <f>M4514/G4514</f>
        <v>2000</v>
      </c>
      <c r="S4514" s="378">
        <f t="shared" si="671"/>
        <v>0</v>
      </c>
      <c r="T4514" s="406"/>
      <c r="U4514" s="390"/>
    </row>
    <row r="4515" spans="1:23" s="405" customFormat="1" ht="37.5" customHeight="1">
      <c r="A4515" s="458">
        <f t="shared" si="676"/>
        <v>3</v>
      </c>
      <c r="B4515" s="403" t="s">
        <v>3352</v>
      </c>
      <c r="C4515" s="455" t="s">
        <v>222</v>
      </c>
      <c r="D4515" s="641">
        <v>3513</v>
      </c>
      <c r="E4515" s="388">
        <v>620</v>
      </c>
      <c r="F4515" s="388" t="s">
        <v>223</v>
      </c>
      <c r="G4515" s="388">
        <v>690</v>
      </c>
      <c r="H4515" s="446">
        <v>3</v>
      </c>
      <c r="I4515" s="446">
        <v>2</v>
      </c>
      <c r="J4515" s="446">
        <v>18</v>
      </c>
      <c r="K4515" s="458" t="s">
        <v>33</v>
      </c>
      <c r="L4515" s="529">
        <f t="shared" si="675"/>
        <v>1787790</v>
      </c>
      <c r="M4515" s="519">
        <v>1725000</v>
      </c>
      <c r="N4515" s="388">
        <v>25875</v>
      </c>
      <c r="O4515" s="473"/>
      <c r="P4515" s="388"/>
      <c r="Q4515" s="388">
        <v>36915</v>
      </c>
      <c r="R4515" s="446">
        <f>M4515/G4515</f>
        <v>2500</v>
      </c>
      <c r="S4515" s="378">
        <f t="shared" si="671"/>
        <v>0</v>
      </c>
      <c r="T4515" s="406"/>
      <c r="U4515" s="390"/>
    </row>
    <row r="4516" spans="1:23" s="405" customFormat="1" ht="37.5" customHeight="1">
      <c r="A4516" s="458">
        <f t="shared" si="676"/>
        <v>4</v>
      </c>
      <c r="B4516" s="403" t="s">
        <v>3353</v>
      </c>
      <c r="C4516" s="455" t="s">
        <v>222</v>
      </c>
      <c r="D4516" s="641">
        <v>28823</v>
      </c>
      <c r="E4516" s="388">
        <v>4043</v>
      </c>
      <c r="F4516" s="388" t="s">
        <v>228</v>
      </c>
      <c r="G4516" s="388">
        <v>1294</v>
      </c>
      <c r="H4516" s="446">
        <v>5</v>
      </c>
      <c r="I4516" s="446">
        <v>7</v>
      </c>
      <c r="J4516" s="446">
        <v>93</v>
      </c>
      <c r="K4516" s="458" t="s">
        <v>239</v>
      </c>
      <c r="L4516" s="529">
        <f t="shared" si="675"/>
        <v>2877606</v>
      </c>
      <c r="M4516" s="519">
        <v>2790000</v>
      </c>
      <c r="N4516" s="388">
        <v>27900</v>
      </c>
      <c r="O4516" s="473"/>
      <c r="P4516" s="388"/>
      <c r="Q4516" s="388">
        <v>59706</v>
      </c>
      <c r="R4516" s="446">
        <f>M4516/J4516</f>
        <v>30000</v>
      </c>
      <c r="S4516" s="378">
        <f t="shared" si="671"/>
        <v>0</v>
      </c>
      <c r="T4516" s="406"/>
      <c r="U4516" s="390"/>
    </row>
    <row r="4517" spans="1:23" s="405" customFormat="1" ht="37.5" customHeight="1">
      <c r="A4517" s="458">
        <f t="shared" si="676"/>
        <v>5</v>
      </c>
      <c r="B4517" s="403" t="s">
        <v>3355</v>
      </c>
      <c r="C4517" s="455" t="s">
        <v>222</v>
      </c>
      <c r="D4517" s="641">
        <v>833</v>
      </c>
      <c r="E4517" s="388">
        <v>285</v>
      </c>
      <c r="F4517" s="388" t="s">
        <v>231</v>
      </c>
      <c r="G4517" s="388">
        <v>940</v>
      </c>
      <c r="H4517" s="446">
        <v>2</v>
      </c>
      <c r="I4517" s="446">
        <v>3</v>
      </c>
      <c r="J4517" s="446">
        <v>9</v>
      </c>
      <c r="K4517" s="458" t="s">
        <v>33</v>
      </c>
      <c r="L4517" s="529">
        <f t="shared" si="675"/>
        <v>2435540</v>
      </c>
      <c r="M4517" s="519">
        <v>2350000</v>
      </c>
      <c r="N4517" s="388">
        <v>35250</v>
      </c>
      <c r="O4517" s="473"/>
      <c r="P4517" s="388"/>
      <c r="Q4517" s="388">
        <v>50290</v>
      </c>
      <c r="R4517" s="446">
        <f t="shared" ref="R4517:R4524" si="677">M4517/G4517</f>
        <v>2500</v>
      </c>
      <c r="S4517" s="378">
        <f t="shared" si="671"/>
        <v>0</v>
      </c>
      <c r="T4517" s="406"/>
    </row>
    <row r="4518" spans="1:23" s="405" customFormat="1" ht="37.5" customHeight="1">
      <c r="A4518" s="458">
        <f t="shared" si="676"/>
        <v>6</v>
      </c>
      <c r="B4518" s="543" t="s">
        <v>3356</v>
      </c>
      <c r="C4518" s="455" t="s">
        <v>222</v>
      </c>
      <c r="D4518" s="641">
        <v>2666</v>
      </c>
      <c r="E4518" s="388">
        <v>574</v>
      </c>
      <c r="F4518" s="388" t="s">
        <v>223</v>
      </c>
      <c r="G4518" s="388">
        <v>690</v>
      </c>
      <c r="H4518" s="446">
        <v>2</v>
      </c>
      <c r="I4518" s="446">
        <v>2</v>
      </c>
      <c r="J4518" s="446">
        <v>16</v>
      </c>
      <c r="K4518" s="458" t="s">
        <v>33</v>
      </c>
      <c r="L4518" s="529">
        <f t="shared" si="675"/>
        <v>1573255</v>
      </c>
      <c r="M4518" s="519">
        <v>1518000</v>
      </c>
      <c r="N4518" s="388">
        <v>22770</v>
      </c>
      <c r="O4518" s="473"/>
      <c r="P4518" s="388"/>
      <c r="Q4518" s="388">
        <v>32485</v>
      </c>
      <c r="R4518" s="446">
        <f t="shared" si="677"/>
        <v>2200</v>
      </c>
      <c r="S4518" s="378">
        <f t="shared" si="671"/>
        <v>0</v>
      </c>
      <c r="T4518" s="406"/>
    </row>
    <row r="4519" spans="1:23" s="405" customFormat="1" ht="37.5" customHeight="1">
      <c r="A4519" s="458">
        <f t="shared" si="676"/>
        <v>7</v>
      </c>
      <c r="B4519" s="403" t="s">
        <v>3357</v>
      </c>
      <c r="C4519" s="455" t="s">
        <v>230</v>
      </c>
      <c r="D4519" s="641">
        <v>1974</v>
      </c>
      <c r="E4519" s="388">
        <v>403</v>
      </c>
      <c r="F4519" s="388" t="s">
        <v>223</v>
      </c>
      <c r="G4519" s="388">
        <v>936</v>
      </c>
      <c r="H4519" s="446">
        <v>1</v>
      </c>
      <c r="I4519" s="446">
        <v>3</v>
      </c>
      <c r="J4519" s="446">
        <v>14</v>
      </c>
      <c r="K4519" s="458" t="s">
        <v>33</v>
      </c>
      <c r="L4519" s="529">
        <f t="shared" si="675"/>
        <v>2425176</v>
      </c>
      <c r="M4519" s="519">
        <v>2340000</v>
      </c>
      <c r="N4519" s="388">
        <v>35100</v>
      </c>
      <c r="O4519" s="473"/>
      <c r="P4519" s="388"/>
      <c r="Q4519" s="388">
        <v>50076</v>
      </c>
      <c r="R4519" s="446">
        <f t="shared" si="677"/>
        <v>2500</v>
      </c>
      <c r="S4519" s="378">
        <f t="shared" si="671"/>
        <v>0</v>
      </c>
      <c r="T4519" s="406"/>
    </row>
    <row r="4520" spans="1:23" s="403" customFormat="1" ht="37.5">
      <c r="A4520" s="458">
        <f t="shared" si="676"/>
        <v>8</v>
      </c>
      <c r="B4520" s="403" t="s">
        <v>3358</v>
      </c>
      <c r="C4520" s="455" t="s">
        <v>222</v>
      </c>
      <c r="D4520" s="641">
        <v>2650</v>
      </c>
      <c r="E4520" s="388">
        <v>620</v>
      </c>
      <c r="F4520" s="388" t="s">
        <v>223</v>
      </c>
      <c r="G4520" s="388">
        <v>660</v>
      </c>
      <c r="H4520" s="446">
        <v>2</v>
      </c>
      <c r="I4520" s="446">
        <v>2</v>
      </c>
      <c r="J4520" s="446">
        <v>16</v>
      </c>
      <c r="K4520" s="458" t="s">
        <v>33</v>
      </c>
      <c r="L4520" s="529">
        <f t="shared" si="675"/>
        <v>1718310</v>
      </c>
      <c r="M4520" s="519">
        <v>1650000</v>
      </c>
      <c r="N4520" s="388">
        <v>33000</v>
      </c>
      <c r="O4520" s="473"/>
      <c r="P4520" s="388"/>
      <c r="Q4520" s="388">
        <v>35310</v>
      </c>
      <c r="R4520" s="446">
        <f t="shared" si="677"/>
        <v>2500</v>
      </c>
      <c r="S4520" s="378">
        <f t="shared" si="671"/>
        <v>0</v>
      </c>
      <c r="T4520" s="406"/>
      <c r="U4520" s="404"/>
    </row>
    <row r="4521" spans="1:23" s="403" customFormat="1" ht="37.5">
      <c r="A4521" s="458">
        <f t="shared" si="676"/>
        <v>9</v>
      </c>
      <c r="B4521" s="403" t="s">
        <v>3359</v>
      </c>
      <c r="C4521" s="455" t="s">
        <v>222</v>
      </c>
      <c r="D4521" s="641">
        <v>2650</v>
      </c>
      <c r="E4521" s="388">
        <v>620</v>
      </c>
      <c r="F4521" s="388" t="s">
        <v>223</v>
      </c>
      <c r="G4521" s="388">
        <v>660</v>
      </c>
      <c r="H4521" s="446">
        <v>2</v>
      </c>
      <c r="I4521" s="446">
        <v>2</v>
      </c>
      <c r="J4521" s="446">
        <v>12</v>
      </c>
      <c r="K4521" s="458" t="s">
        <v>33</v>
      </c>
      <c r="L4521" s="529">
        <f t="shared" si="675"/>
        <v>1718310</v>
      </c>
      <c r="M4521" s="519">
        <v>1650000</v>
      </c>
      <c r="N4521" s="388">
        <v>33000</v>
      </c>
      <c r="O4521" s="473"/>
      <c r="P4521" s="388"/>
      <c r="Q4521" s="388">
        <v>35310</v>
      </c>
      <c r="R4521" s="446">
        <f t="shared" si="677"/>
        <v>2500</v>
      </c>
      <c r="S4521" s="378">
        <f t="shared" si="671"/>
        <v>0</v>
      </c>
      <c r="T4521" s="406"/>
      <c r="U4521" s="404"/>
    </row>
    <row r="4522" spans="1:23" s="405" customFormat="1" ht="37.5" customHeight="1">
      <c r="A4522" s="458">
        <f t="shared" si="676"/>
        <v>10</v>
      </c>
      <c r="B4522" s="543" t="s">
        <v>3360</v>
      </c>
      <c r="C4522" s="455" t="s">
        <v>222</v>
      </c>
      <c r="D4522" s="641">
        <v>2210</v>
      </c>
      <c r="E4522" s="388">
        <v>721</v>
      </c>
      <c r="F4522" s="388" t="s">
        <v>223</v>
      </c>
      <c r="G4522" s="388">
        <v>680</v>
      </c>
      <c r="H4522" s="446">
        <v>2</v>
      </c>
      <c r="I4522" s="446">
        <v>2</v>
      </c>
      <c r="J4522" s="446">
        <v>12</v>
      </c>
      <c r="K4522" s="458" t="s">
        <v>33</v>
      </c>
      <c r="L4522" s="529">
        <f t="shared" si="675"/>
        <v>1761880</v>
      </c>
      <c r="M4522" s="519">
        <v>1700000</v>
      </c>
      <c r="N4522" s="388">
        <v>25500</v>
      </c>
      <c r="O4522" s="473"/>
      <c r="P4522" s="388"/>
      <c r="Q4522" s="388">
        <v>36380</v>
      </c>
      <c r="R4522" s="446">
        <f t="shared" si="677"/>
        <v>2500</v>
      </c>
      <c r="S4522" s="378">
        <f t="shared" si="671"/>
        <v>0</v>
      </c>
      <c r="T4522" s="406"/>
    </row>
    <row r="4523" spans="1:23" s="405" customFormat="1" ht="37.5" customHeight="1">
      <c r="A4523" s="458">
        <f t="shared" si="676"/>
        <v>11</v>
      </c>
      <c r="B4523" s="403" t="s">
        <v>3361</v>
      </c>
      <c r="C4523" s="455" t="s">
        <v>222</v>
      </c>
      <c r="D4523" s="641">
        <v>2820</v>
      </c>
      <c r="E4523" s="388">
        <v>884</v>
      </c>
      <c r="F4523" s="388" t="s">
        <v>223</v>
      </c>
      <c r="G4523" s="388">
        <v>921.04399999999998</v>
      </c>
      <c r="H4523" s="446">
        <v>2</v>
      </c>
      <c r="I4523" s="446">
        <v>3</v>
      </c>
      <c r="J4523" s="446">
        <v>19</v>
      </c>
      <c r="K4523" s="458" t="s">
        <v>33</v>
      </c>
      <c r="L4523" s="529">
        <f t="shared" si="675"/>
        <v>2386415</v>
      </c>
      <c r="M4523" s="519">
        <v>2302600</v>
      </c>
      <c r="N4523" s="388">
        <v>34539</v>
      </c>
      <c r="O4523" s="473"/>
      <c r="P4523" s="388"/>
      <c r="Q4523" s="388">
        <v>49276</v>
      </c>
      <c r="R4523" s="446">
        <f t="shared" si="677"/>
        <v>2499.9891427553948</v>
      </c>
      <c r="S4523" s="378">
        <f t="shared" si="671"/>
        <v>0</v>
      </c>
      <c r="T4523" s="406"/>
    </row>
    <row r="4524" spans="1:23" s="405" customFormat="1" ht="37.5" customHeight="1">
      <c r="A4524" s="458">
        <f t="shared" si="676"/>
        <v>12</v>
      </c>
      <c r="B4524" s="403" t="s">
        <v>946</v>
      </c>
      <c r="C4524" s="455" t="s">
        <v>222</v>
      </c>
      <c r="D4524" s="641">
        <v>5177</v>
      </c>
      <c r="E4524" s="388">
        <v>920</v>
      </c>
      <c r="F4524" s="388" t="s">
        <v>223</v>
      </c>
      <c r="G4524" s="388">
        <v>1200</v>
      </c>
      <c r="H4524" s="446">
        <v>2</v>
      </c>
      <c r="I4524" s="446">
        <v>4</v>
      </c>
      <c r="J4524" s="446">
        <v>24</v>
      </c>
      <c r="K4524" s="458" t="s">
        <v>33</v>
      </c>
      <c r="L4524" s="529">
        <f t="shared" si="675"/>
        <v>3094200</v>
      </c>
      <c r="M4524" s="519">
        <v>3000000</v>
      </c>
      <c r="N4524" s="388">
        <v>30000</v>
      </c>
      <c r="O4524" s="473"/>
      <c r="P4524" s="388"/>
      <c r="Q4524" s="388">
        <v>64200</v>
      </c>
      <c r="R4524" s="446">
        <f t="shared" si="677"/>
        <v>2500</v>
      </c>
      <c r="S4524" s="378">
        <f t="shared" si="671"/>
        <v>0</v>
      </c>
      <c r="T4524" s="406"/>
    </row>
    <row r="4525" spans="1:23" s="512" customFormat="1" ht="37.5" customHeight="1">
      <c r="A4525" s="458">
        <f t="shared" si="676"/>
        <v>13</v>
      </c>
      <c r="B4525" s="493" t="s">
        <v>4176</v>
      </c>
      <c r="C4525" s="455" t="s">
        <v>222</v>
      </c>
      <c r="D4525" s="641">
        <v>3970.2</v>
      </c>
      <c r="E4525" s="388">
        <v>345.06</v>
      </c>
      <c r="F4525" s="388" t="s">
        <v>223</v>
      </c>
      <c r="G4525" s="388">
        <v>827.125</v>
      </c>
      <c r="H4525" s="446">
        <v>2</v>
      </c>
      <c r="I4525" s="446">
        <v>3</v>
      </c>
      <c r="J4525" s="446">
        <v>22</v>
      </c>
      <c r="K4525" s="458" t="s">
        <v>33</v>
      </c>
      <c r="L4525" s="529">
        <f>M4525+N4525+O4525+P4525+Q4525</f>
        <v>2143081</v>
      </c>
      <c r="M4525" s="519">
        <v>2067813</v>
      </c>
      <c r="N4525" s="388">
        <v>31017</v>
      </c>
      <c r="O4525" s="473"/>
      <c r="P4525" s="388"/>
      <c r="Q4525" s="388">
        <v>44251</v>
      </c>
      <c r="R4525" s="446">
        <f>M4525/G4525</f>
        <v>2500.0006045035516</v>
      </c>
      <c r="S4525" s="378">
        <f t="shared" si="671"/>
        <v>0</v>
      </c>
      <c r="T4525" s="406"/>
      <c r="U4525" s="403"/>
      <c r="W4525" s="1005">
        <f>COUNTIF($B$12:$B$4415,B4525)</f>
        <v>0</v>
      </c>
    </row>
    <row r="4526" spans="1:23" s="512" customFormat="1" ht="37.5" customHeight="1">
      <c r="A4526" s="458">
        <f t="shared" si="676"/>
        <v>14</v>
      </c>
      <c r="B4526" s="493" t="s">
        <v>4295</v>
      </c>
      <c r="C4526" s="455" t="s">
        <v>222</v>
      </c>
      <c r="D4526" s="641">
        <v>11718</v>
      </c>
      <c r="E4526" s="388">
        <v>2262</v>
      </c>
      <c r="F4526" s="388" t="s">
        <v>223</v>
      </c>
      <c r="G4526" s="388">
        <v>1015.5600000000001</v>
      </c>
      <c r="H4526" s="446">
        <v>5</v>
      </c>
      <c r="I4526" s="446">
        <v>4</v>
      </c>
      <c r="J4526" s="446">
        <v>68</v>
      </c>
      <c r="K4526" s="458" t="s">
        <v>33</v>
      </c>
      <c r="L4526" s="391">
        <f>M4526+N4526+O4526+P4526+Q4526</f>
        <v>2618621</v>
      </c>
      <c r="M4526" s="388">
        <v>2538900</v>
      </c>
      <c r="N4526" s="388">
        <v>25389</v>
      </c>
      <c r="O4526" s="388"/>
      <c r="P4526" s="388"/>
      <c r="Q4526" s="388">
        <v>54332</v>
      </c>
      <c r="R4526" s="446"/>
      <c r="S4526" s="378">
        <f t="shared" si="671"/>
        <v>0</v>
      </c>
      <c r="T4526" s="406"/>
      <c r="U4526" s="403"/>
      <c r="W4526" s="1005"/>
    </row>
    <row r="4527" spans="1:23" s="512" customFormat="1" ht="37.5" customHeight="1">
      <c r="A4527" s="458">
        <f t="shared" si="676"/>
        <v>15</v>
      </c>
      <c r="B4527" s="493" t="s">
        <v>4296</v>
      </c>
      <c r="C4527" s="455" t="s">
        <v>222</v>
      </c>
      <c r="D4527" s="641">
        <v>5733</v>
      </c>
      <c r="E4527" s="388">
        <v>1086.3999999999999</v>
      </c>
      <c r="F4527" s="388" t="s">
        <v>223</v>
      </c>
      <c r="G4527" s="388">
        <v>1064.7</v>
      </c>
      <c r="H4527" s="446">
        <v>2</v>
      </c>
      <c r="I4527" s="446">
        <v>3</v>
      </c>
      <c r="J4527" s="446">
        <v>36</v>
      </c>
      <c r="K4527" s="458" t="s">
        <v>33</v>
      </c>
      <c r="L4527" s="391">
        <f>M4527+N4527+O4527+P4527+Q4527</f>
        <v>2746148</v>
      </c>
      <c r="M4527" s="388">
        <v>2661750</v>
      </c>
      <c r="N4527" s="388">
        <v>27437</v>
      </c>
      <c r="O4527" s="388"/>
      <c r="P4527" s="388"/>
      <c r="Q4527" s="388">
        <v>56961</v>
      </c>
      <c r="R4527" s="446"/>
      <c r="S4527" s="378">
        <f t="shared" si="671"/>
        <v>0</v>
      </c>
      <c r="T4527" s="406"/>
      <c r="U4527" s="403"/>
      <c r="W4527" s="1005"/>
    </row>
    <row r="4528" spans="1:23" s="403" customFormat="1" ht="42.75" customHeight="1">
      <c r="A4528" s="1112" t="s">
        <v>121</v>
      </c>
      <c r="B4528" s="1112"/>
      <c r="C4528" s="455" t="s">
        <v>28</v>
      </c>
      <c r="D4528" s="641">
        <f>SUM(D4513:D4527)</f>
        <v>89666.2</v>
      </c>
      <c r="E4528" s="388">
        <f>SUM(E4513:E4527)</f>
        <v>16143.46</v>
      </c>
      <c r="F4528" s="388" t="s">
        <v>28</v>
      </c>
      <c r="G4528" s="388">
        <f>SUM(G4513:G4527)</f>
        <v>13148.429</v>
      </c>
      <c r="H4528" s="446" t="s">
        <v>28</v>
      </c>
      <c r="I4528" s="446" t="s">
        <v>28</v>
      </c>
      <c r="J4528" s="446">
        <f>SUM(J4513:J4527)</f>
        <v>433</v>
      </c>
      <c r="K4528" s="458" t="s">
        <v>28</v>
      </c>
      <c r="L4528" s="519">
        <f>SUM(L4513:L4527)</f>
        <v>32841315</v>
      </c>
      <c r="M4528" s="519">
        <f>SUM(M4513:M4527)</f>
        <v>31739063</v>
      </c>
      <c r="N4528" s="388">
        <f>SUM(N4513:N4527)</f>
        <v>417277</v>
      </c>
      <c r="O4528" s="473">
        <f>SUM(O4513:O4527)</f>
        <v>5760</v>
      </c>
      <c r="P4528" s="388"/>
      <c r="Q4528" s="388">
        <f>SUM(Q4513:Q4527)</f>
        <v>679215</v>
      </c>
      <c r="R4528" s="446" t="s">
        <v>28</v>
      </c>
      <c r="S4528" s="378">
        <f t="shared" si="671"/>
        <v>0</v>
      </c>
      <c r="T4528" s="406"/>
      <c r="U4528" s="404"/>
    </row>
    <row r="4529" spans="1:221" s="403" customFormat="1" ht="42.75" customHeight="1">
      <c r="A4529" s="1113" t="s">
        <v>55</v>
      </c>
      <c r="B4529" s="1113"/>
      <c r="C4529" s="1113"/>
      <c r="D4529" s="1113"/>
      <c r="E4529" s="1113"/>
      <c r="F4529" s="1113"/>
      <c r="G4529" s="1113"/>
      <c r="H4529" s="1113"/>
      <c r="I4529" s="1113"/>
      <c r="J4529" s="1113"/>
      <c r="K4529" s="1113"/>
      <c r="L4529" s="1113"/>
      <c r="M4529" s="1113"/>
      <c r="N4529" s="1113"/>
      <c r="O4529" s="1113"/>
      <c r="P4529" s="1113"/>
      <c r="Q4529" s="1113"/>
      <c r="R4529" s="458"/>
      <c r="T4529" s="406"/>
      <c r="U4529" s="404"/>
    </row>
    <row r="4530" spans="1:221" s="471" customFormat="1" ht="82.5" customHeight="1">
      <c r="A4530" s="458">
        <v>1</v>
      </c>
      <c r="B4530" s="546" t="s">
        <v>3362</v>
      </c>
      <c r="C4530" s="455" t="s">
        <v>222</v>
      </c>
      <c r="D4530" s="833">
        <v>2630</v>
      </c>
      <c r="E4530" s="575">
        <v>487</v>
      </c>
      <c r="F4530" s="575" t="s">
        <v>223</v>
      </c>
      <c r="G4530" s="575">
        <v>660</v>
      </c>
      <c r="H4530" s="576">
        <v>2</v>
      </c>
      <c r="I4530" s="576">
        <v>2</v>
      </c>
      <c r="J4530" s="576">
        <v>12</v>
      </c>
      <c r="K4530" s="834" t="s">
        <v>275</v>
      </c>
      <c r="L4530" s="529">
        <f>M4530+N4530+O4530+Q4530</f>
        <v>1718310</v>
      </c>
      <c r="M4530" s="519">
        <v>1650000</v>
      </c>
      <c r="N4530" s="388">
        <v>33000</v>
      </c>
      <c r="O4530" s="473"/>
      <c r="P4530" s="388"/>
      <c r="Q4530" s="388">
        <v>35310</v>
      </c>
      <c r="R4530" s="446">
        <f>M4530/G4530</f>
        <v>2500</v>
      </c>
      <c r="S4530" s="378">
        <f t="shared" si="671"/>
        <v>0</v>
      </c>
      <c r="T4530" s="406"/>
      <c r="U4530" s="390"/>
    </row>
    <row r="4531" spans="1:221" s="471" customFormat="1" ht="91.5" customHeight="1">
      <c r="A4531" s="458">
        <v>2</v>
      </c>
      <c r="B4531" s="546" t="s">
        <v>2871</v>
      </c>
      <c r="C4531" s="455" t="s">
        <v>222</v>
      </c>
      <c r="D4531" s="833">
        <v>2392</v>
      </c>
      <c r="E4531" s="575">
        <v>460</v>
      </c>
      <c r="F4531" s="575" t="s">
        <v>223</v>
      </c>
      <c r="G4531" s="575">
        <v>660</v>
      </c>
      <c r="H4531" s="576">
        <v>2</v>
      </c>
      <c r="I4531" s="576">
        <v>2</v>
      </c>
      <c r="J4531" s="576">
        <v>12</v>
      </c>
      <c r="K4531" s="834" t="s">
        <v>275</v>
      </c>
      <c r="L4531" s="529">
        <f>SUM(M4531,N4531,O4531,Q4531)</f>
        <v>1682214</v>
      </c>
      <c r="M4531" s="650">
        <v>1650000</v>
      </c>
      <c r="N4531" s="688">
        <v>20382</v>
      </c>
      <c r="O4531" s="703"/>
      <c r="P4531" s="688"/>
      <c r="Q4531" s="388">
        <v>11832</v>
      </c>
      <c r="R4531" s="446">
        <f>SUM(L4531:Q4531)</f>
        <v>3364428</v>
      </c>
      <c r="S4531" s="378">
        <f>L4531-M4531-N4531-O4531-P4531-Q4531</f>
        <v>0</v>
      </c>
      <c r="T4531" s="406"/>
      <c r="U4531" s="390"/>
    </row>
    <row r="4532" spans="1:221" s="403" customFormat="1" ht="42.75" customHeight="1">
      <c r="A4532" s="1112" t="s">
        <v>56</v>
      </c>
      <c r="B4532" s="1112"/>
      <c r="C4532" s="455" t="s">
        <v>28</v>
      </c>
      <c r="D4532" s="641">
        <f>SUM(D4530:D4531)</f>
        <v>5022</v>
      </c>
      <c r="E4532" s="388">
        <f>SUM(E4530:E4531)</f>
        <v>947</v>
      </c>
      <c r="F4532" s="388" t="s">
        <v>28</v>
      </c>
      <c r="G4532" s="388">
        <f>SUM(G4530:G4531)</f>
        <v>1320</v>
      </c>
      <c r="H4532" s="446" t="s">
        <v>28</v>
      </c>
      <c r="I4532" s="446" t="s">
        <v>28</v>
      </c>
      <c r="J4532" s="446">
        <f>SUM(J4530:J4531)</f>
        <v>24</v>
      </c>
      <c r="K4532" s="458" t="s">
        <v>28</v>
      </c>
      <c r="L4532" s="388">
        <f t="shared" ref="L4532:Q4532" si="678">SUM(L4530:L4531)</f>
        <v>3400524</v>
      </c>
      <c r="M4532" s="388">
        <f t="shared" si="678"/>
        <v>3300000</v>
      </c>
      <c r="N4532" s="641">
        <f t="shared" si="678"/>
        <v>53382</v>
      </c>
      <c r="O4532" s="641">
        <f t="shared" si="678"/>
        <v>0</v>
      </c>
      <c r="P4532" s="641">
        <f t="shared" si="678"/>
        <v>0</v>
      </c>
      <c r="Q4532" s="641">
        <f t="shared" si="678"/>
        <v>47142</v>
      </c>
      <c r="R4532" s="446" t="s">
        <v>28</v>
      </c>
      <c r="S4532" s="378">
        <f t="shared" si="671"/>
        <v>0</v>
      </c>
      <c r="T4532" s="406"/>
      <c r="U4532" s="404"/>
    </row>
    <row r="4533" spans="1:221" s="403" customFormat="1" ht="42.75" customHeight="1">
      <c r="A4533" s="1113" t="s">
        <v>32</v>
      </c>
      <c r="B4533" s="1113"/>
      <c r="C4533" s="1113"/>
      <c r="D4533" s="1113"/>
      <c r="E4533" s="1113"/>
      <c r="F4533" s="1113"/>
      <c r="G4533" s="1113"/>
      <c r="H4533" s="1113"/>
      <c r="I4533" s="1113"/>
      <c r="J4533" s="1113"/>
      <c r="K4533" s="1113"/>
      <c r="L4533" s="1113"/>
      <c r="M4533" s="1113"/>
      <c r="N4533" s="1113"/>
      <c r="O4533" s="1113"/>
      <c r="P4533" s="1113"/>
      <c r="Q4533" s="1113"/>
      <c r="R4533" s="458"/>
      <c r="T4533" s="406"/>
      <c r="U4533" s="404"/>
    </row>
    <row r="4534" spans="1:221" s="438" customFormat="1" ht="37.5" customHeight="1">
      <c r="A4534" s="697">
        <v>1</v>
      </c>
      <c r="B4534" s="698" t="s">
        <v>3363</v>
      </c>
      <c r="C4534" s="948" t="s">
        <v>218</v>
      </c>
      <c r="D4534" s="700">
        <f>E4534*2.6</f>
        <v>1903.2</v>
      </c>
      <c r="E4534" s="688">
        <v>732</v>
      </c>
      <c r="F4534" s="651" t="s">
        <v>223</v>
      </c>
      <c r="G4534" s="688">
        <v>676.44</v>
      </c>
      <c r="H4534" s="701">
        <v>2</v>
      </c>
      <c r="I4534" s="701">
        <v>2</v>
      </c>
      <c r="J4534" s="689">
        <v>22</v>
      </c>
      <c r="K4534" s="697" t="s">
        <v>33</v>
      </c>
      <c r="L4534" s="650">
        <f t="shared" ref="L4534:L4549" si="679">M4534+N4534+O4534+P4534+Q4534</f>
        <v>1761112.0000000002</v>
      </c>
      <c r="M4534" s="650">
        <v>1691100.0000000002</v>
      </c>
      <c r="N4534" s="688">
        <v>33822.000000000007</v>
      </c>
      <c r="O4534" s="703"/>
      <c r="P4534" s="688"/>
      <c r="Q4534" s="388">
        <v>36190</v>
      </c>
      <c r="R4534" s="689">
        <f t="shared" ref="R4534:R4549" si="680">M4534/G4534</f>
        <v>2500</v>
      </c>
      <c r="T4534" s="406">
        <f t="shared" ref="T4534:T4563" si="681">L4534-M4534-N4534-O4534-Q4534</f>
        <v>0</v>
      </c>
      <c r="U4534" s="439"/>
    </row>
    <row r="4535" spans="1:221" s="438" customFormat="1" ht="37.5" customHeight="1">
      <c r="A4535" s="697">
        <f>A4534+1</f>
        <v>2</v>
      </c>
      <c r="B4535" s="698" t="s">
        <v>3364</v>
      </c>
      <c r="C4535" s="455" t="s">
        <v>222</v>
      </c>
      <c r="D4535" s="700">
        <f t="shared" ref="D4535:D4547" si="682">E4535*2.5</f>
        <v>1311</v>
      </c>
      <c r="E4535" s="651">
        <v>524.4</v>
      </c>
      <c r="F4535" s="651" t="s">
        <v>223</v>
      </c>
      <c r="G4535" s="688">
        <f>(20*I4535)*13*1.3</f>
        <v>676</v>
      </c>
      <c r="H4535" s="701">
        <v>2</v>
      </c>
      <c r="I4535" s="701">
        <v>2</v>
      </c>
      <c r="J4535" s="701">
        <v>12</v>
      </c>
      <c r="K4535" s="697" t="s">
        <v>33</v>
      </c>
      <c r="L4535" s="650">
        <f t="shared" si="679"/>
        <v>1751516</v>
      </c>
      <c r="M4535" s="650">
        <v>1690000</v>
      </c>
      <c r="N4535" s="688">
        <v>25350</v>
      </c>
      <c r="O4535" s="703"/>
      <c r="P4535" s="651"/>
      <c r="Q4535" s="388">
        <v>36166</v>
      </c>
      <c r="R4535" s="689">
        <f t="shared" si="680"/>
        <v>2500</v>
      </c>
      <c r="T4535" s="406">
        <f t="shared" si="681"/>
        <v>0</v>
      </c>
      <c r="U4535" s="439"/>
    </row>
    <row r="4536" spans="1:221" s="438" customFormat="1" ht="37.5" customHeight="1">
      <c r="A4536" s="697">
        <f t="shared" ref="A4536:A4549" si="683">A4535+1</f>
        <v>3</v>
      </c>
      <c r="B4536" s="698" t="s">
        <v>3365</v>
      </c>
      <c r="C4536" s="455" t="s">
        <v>222</v>
      </c>
      <c r="D4536" s="700">
        <f t="shared" si="682"/>
        <v>1395</v>
      </c>
      <c r="E4536" s="688">
        <v>558</v>
      </c>
      <c r="F4536" s="651" t="s">
        <v>228</v>
      </c>
      <c r="G4536" s="644">
        <f>(20*I4536)*12*1.2</f>
        <v>288</v>
      </c>
      <c r="H4536" s="689">
        <v>5</v>
      </c>
      <c r="I4536" s="689">
        <v>1</v>
      </c>
      <c r="J4536" s="689">
        <v>15</v>
      </c>
      <c r="K4536" s="697" t="s">
        <v>33</v>
      </c>
      <c r="L4536" s="650">
        <f t="shared" si="679"/>
        <v>708066</v>
      </c>
      <c r="M4536" s="650">
        <v>691200</v>
      </c>
      <c r="N4536" s="688"/>
      <c r="O4536" s="643">
        <v>2074</v>
      </c>
      <c r="P4536" s="688"/>
      <c r="Q4536" s="388">
        <v>14792</v>
      </c>
      <c r="R4536" s="689">
        <f t="shared" si="680"/>
        <v>2400</v>
      </c>
      <c r="T4536" s="406">
        <f t="shared" si="681"/>
        <v>0</v>
      </c>
      <c r="U4536" s="439"/>
    </row>
    <row r="4537" spans="1:221" s="438" customFormat="1" ht="37.5" customHeight="1">
      <c r="A4537" s="697">
        <f t="shared" si="683"/>
        <v>4</v>
      </c>
      <c r="B4537" s="698" t="s">
        <v>3367</v>
      </c>
      <c r="C4537" s="699" t="s">
        <v>222</v>
      </c>
      <c r="D4537" s="700">
        <f t="shared" si="682"/>
        <v>1462.5</v>
      </c>
      <c r="E4537" s="651">
        <v>585</v>
      </c>
      <c r="F4537" s="651" t="s">
        <v>223</v>
      </c>
      <c r="G4537" s="651">
        <v>657.94</v>
      </c>
      <c r="H4537" s="701">
        <v>2</v>
      </c>
      <c r="I4537" s="701">
        <v>2</v>
      </c>
      <c r="J4537" s="701">
        <v>16</v>
      </c>
      <c r="K4537" s="697" t="s">
        <v>33</v>
      </c>
      <c r="L4537" s="650">
        <f t="shared" si="679"/>
        <v>1704723.0000000002</v>
      </c>
      <c r="M4537" s="519">
        <v>1644850.0000000002</v>
      </c>
      <c r="N4537" s="388">
        <v>24673</v>
      </c>
      <c r="O4537" s="473"/>
      <c r="P4537" s="388"/>
      <c r="Q4537" s="388">
        <v>35200</v>
      </c>
      <c r="R4537" s="446">
        <f t="shared" si="680"/>
        <v>2500</v>
      </c>
      <c r="T4537" s="406">
        <f t="shared" si="681"/>
        <v>0</v>
      </c>
      <c r="U4537" s="439"/>
    </row>
    <row r="4538" spans="1:221" s="438" customFormat="1" ht="37.5" customHeight="1">
      <c r="A4538" s="697">
        <f t="shared" si="683"/>
        <v>5</v>
      </c>
      <c r="B4538" s="698" t="s">
        <v>3368</v>
      </c>
      <c r="C4538" s="699" t="s">
        <v>218</v>
      </c>
      <c r="D4538" s="700">
        <f t="shared" si="682"/>
        <v>1380</v>
      </c>
      <c r="E4538" s="651">
        <v>552</v>
      </c>
      <c r="F4538" s="651" t="s">
        <v>223</v>
      </c>
      <c r="G4538" s="651">
        <v>652.79999999999995</v>
      </c>
      <c r="H4538" s="701">
        <v>2</v>
      </c>
      <c r="I4538" s="701">
        <v>2</v>
      </c>
      <c r="J4538" s="701">
        <v>16</v>
      </c>
      <c r="K4538" s="697" t="s">
        <v>33</v>
      </c>
      <c r="L4538" s="650">
        <f t="shared" si="679"/>
        <v>1691405</v>
      </c>
      <c r="M4538" s="519">
        <v>1632000</v>
      </c>
      <c r="N4538" s="388">
        <v>24480</v>
      </c>
      <c r="O4538" s="473"/>
      <c r="P4538" s="388"/>
      <c r="Q4538" s="388">
        <v>34925</v>
      </c>
      <c r="R4538" s="446">
        <f t="shared" si="680"/>
        <v>2500</v>
      </c>
      <c r="T4538" s="406">
        <f t="shared" si="681"/>
        <v>0</v>
      </c>
      <c r="U4538" s="439"/>
    </row>
    <row r="4539" spans="1:221" s="420" customFormat="1" ht="37.5" customHeight="1">
      <c r="A4539" s="697">
        <f t="shared" si="683"/>
        <v>6</v>
      </c>
      <c r="B4539" s="698" t="s">
        <v>3369</v>
      </c>
      <c r="C4539" s="648" t="s">
        <v>222</v>
      </c>
      <c r="D4539" s="700">
        <f t="shared" si="682"/>
        <v>1305</v>
      </c>
      <c r="E4539" s="688">
        <v>522</v>
      </c>
      <c r="F4539" s="651" t="s">
        <v>223</v>
      </c>
      <c r="G4539" s="688">
        <v>425</v>
      </c>
      <c r="H4539" s="701">
        <v>2</v>
      </c>
      <c r="I4539" s="701">
        <v>1</v>
      </c>
      <c r="J4539" s="689">
        <v>12</v>
      </c>
      <c r="K4539" s="697" t="s">
        <v>33</v>
      </c>
      <c r="L4539" s="650">
        <f t="shared" si="679"/>
        <v>1106488</v>
      </c>
      <c r="M4539" s="519">
        <v>1062500</v>
      </c>
      <c r="N4539" s="388">
        <v>21250</v>
      </c>
      <c r="O4539" s="473"/>
      <c r="P4539" s="388"/>
      <c r="Q4539" s="388">
        <v>22738</v>
      </c>
      <c r="R4539" s="446">
        <f t="shared" si="680"/>
        <v>2500</v>
      </c>
      <c r="S4539" s="435"/>
      <c r="T4539" s="406">
        <f t="shared" si="681"/>
        <v>0</v>
      </c>
      <c r="U4539" s="390"/>
      <c r="V4539" s="435"/>
      <c r="W4539" s="435"/>
      <c r="X4539" s="435"/>
      <c r="Y4539" s="435"/>
      <c r="Z4539" s="435"/>
      <c r="AA4539" s="435"/>
      <c r="AB4539" s="435"/>
      <c r="AC4539" s="435"/>
      <c r="AD4539" s="435"/>
      <c r="AE4539" s="435"/>
      <c r="AF4539" s="435"/>
      <c r="AG4539" s="435"/>
      <c r="AH4539" s="435"/>
      <c r="AI4539" s="435"/>
      <c r="AJ4539" s="435"/>
      <c r="AK4539" s="435"/>
      <c r="AL4539" s="435"/>
      <c r="AM4539" s="435"/>
      <c r="AN4539" s="435"/>
      <c r="AO4539" s="435"/>
      <c r="AP4539" s="435"/>
      <c r="AQ4539" s="435"/>
      <c r="AR4539" s="435"/>
      <c r="AS4539" s="435"/>
      <c r="AT4539" s="435"/>
      <c r="AU4539" s="435"/>
      <c r="AV4539" s="435"/>
      <c r="AW4539" s="435"/>
      <c r="AX4539" s="435"/>
      <c r="AY4539" s="435"/>
      <c r="AZ4539" s="435"/>
      <c r="BA4539" s="435"/>
      <c r="BB4539" s="435"/>
      <c r="BC4539" s="435"/>
      <c r="BD4539" s="435"/>
      <c r="BE4539" s="435"/>
      <c r="BF4539" s="435"/>
      <c r="BG4539" s="435"/>
      <c r="BH4539" s="435"/>
      <c r="BI4539" s="435"/>
      <c r="BJ4539" s="435"/>
      <c r="BK4539" s="435"/>
      <c r="BL4539" s="435"/>
      <c r="BM4539" s="435"/>
      <c r="BN4539" s="435"/>
      <c r="BO4539" s="435"/>
      <c r="BP4539" s="435"/>
      <c r="BQ4539" s="435"/>
      <c r="BR4539" s="435"/>
      <c r="BS4539" s="435"/>
      <c r="BT4539" s="435"/>
      <c r="BU4539" s="435"/>
      <c r="BV4539" s="435"/>
      <c r="BW4539" s="435"/>
      <c r="BX4539" s="435"/>
      <c r="BY4539" s="435"/>
      <c r="BZ4539" s="435"/>
      <c r="CA4539" s="435"/>
      <c r="CB4539" s="435"/>
      <c r="CC4539" s="435"/>
      <c r="CD4539" s="435"/>
      <c r="CE4539" s="435"/>
      <c r="CF4539" s="435"/>
      <c r="CG4539" s="435"/>
      <c r="CH4539" s="435"/>
      <c r="CI4539" s="435"/>
      <c r="CJ4539" s="435"/>
      <c r="CK4539" s="435"/>
      <c r="CL4539" s="435"/>
      <c r="CM4539" s="435"/>
      <c r="CN4539" s="435"/>
      <c r="CO4539" s="435"/>
      <c r="CP4539" s="435"/>
      <c r="CQ4539" s="435"/>
      <c r="CR4539" s="435"/>
      <c r="CS4539" s="435"/>
      <c r="CT4539" s="435"/>
      <c r="CU4539" s="435"/>
      <c r="CV4539" s="435"/>
      <c r="CW4539" s="435"/>
      <c r="CX4539" s="435"/>
      <c r="CY4539" s="435"/>
      <c r="CZ4539" s="435"/>
      <c r="DA4539" s="435"/>
      <c r="DB4539" s="435"/>
      <c r="DC4539" s="435"/>
      <c r="DD4539" s="435"/>
      <c r="DE4539" s="435"/>
      <c r="DF4539" s="435"/>
      <c r="DG4539" s="435"/>
      <c r="DH4539" s="435"/>
      <c r="DI4539" s="435"/>
      <c r="DJ4539" s="435"/>
      <c r="DK4539" s="435"/>
      <c r="DL4539" s="435"/>
      <c r="DM4539" s="435"/>
      <c r="DN4539" s="435"/>
      <c r="DO4539" s="435"/>
      <c r="DP4539" s="435"/>
      <c r="DQ4539" s="435"/>
      <c r="DR4539" s="435"/>
      <c r="DS4539" s="435"/>
      <c r="DT4539" s="435"/>
      <c r="DU4539" s="435"/>
      <c r="DV4539" s="435"/>
      <c r="DW4539" s="435"/>
      <c r="DX4539" s="435"/>
      <c r="DY4539" s="435"/>
      <c r="DZ4539" s="435"/>
      <c r="EA4539" s="435"/>
      <c r="EB4539" s="435"/>
      <c r="EC4539" s="435"/>
      <c r="ED4539" s="435"/>
      <c r="EE4539" s="435"/>
      <c r="EF4539" s="435"/>
      <c r="EG4539" s="435"/>
      <c r="EH4539" s="435"/>
      <c r="EI4539" s="435"/>
      <c r="EJ4539" s="435"/>
      <c r="EK4539" s="435"/>
      <c r="EL4539" s="435"/>
      <c r="EM4539" s="435"/>
      <c r="EN4539" s="435"/>
      <c r="EO4539" s="435"/>
      <c r="EP4539" s="435"/>
      <c r="EQ4539" s="435"/>
      <c r="ER4539" s="435"/>
      <c r="ES4539" s="435"/>
      <c r="ET4539" s="435"/>
      <c r="EU4539" s="435"/>
      <c r="EV4539" s="435"/>
      <c r="EW4539" s="435"/>
      <c r="EX4539" s="435"/>
      <c r="EY4539" s="435"/>
      <c r="EZ4539" s="435"/>
      <c r="FA4539" s="435"/>
      <c r="FB4539" s="435"/>
      <c r="FC4539" s="435"/>
      <c r="FD4539" s="435"/>
      <c r="FE4539" s="435"/>
      <c r="FF4539" s="435"/>
      <c r="FG4539" s="435"/>
      <c r="FH4539" s="435"/>
      <c r="FI4539" s="435"/>
      <c r="FJ4539" s="435"/>
      <c r="FK4539" s="435"/>
      <c r="FL4539" s="435"/>
      <c r="FM4539" s="435"/>
      <c r="FN4539" s="435"/>
      <c r="FO4539" s="435"/>
      <c r="FP4539" s="435"/>
      <c r="FQ4539" s="435"/>
      <c r="FR4539" s="435"/>
      <c r="FS4539" s="435"/>
      <c r="FT4539" s="435"/>
      <c r="FU4539" s="435"/>
      <c r="FV4539" s="435"/>
      <c r="FW4539" s="435"/>
      <c r="FX4539" s="435"/>
      <c r="FY4539" s="435"/>
      <c r="FZ4539" s="435"/>
      <c r="GA4539" s="435"/>
      <c r="GB4539" s="435"/>
      <c r="GC4539" s="435"/>
      <c r="GD4539" s="435"/>
      <c r="GE4539" s="435"/>
      <c r="GF4539" s="435"/>
      <c r="GG4539" s="435"/>
      <c r="GH4539" s="435"/>
      <c r="GI4539" s="435"/>
      <c r="GJ4539" s="435"/>
      <c r="GK4539" s="435"/>
      <c r="GL4539" s="435"/>
      <c r="GM4539" s="435"/>
      <c r="GN4539" s="435"/>
      <c r="GO4539" s="435"/>
      <c r="GP4539" s="435"/>
      <c r="GQ4539" s="435"/>
      <c r="GR4539" s="435"/>
      <c r="GS4539" s="435"/>
      <c r="GT4539" s="435"/>
      <c r="GU4539" s="435"/>
      <c r="GV4539" s="435"/>
      <c r="GW4539" s="435"/>
      <c r="GX4539" s="435"/>
      <c r="GY4539" s="435"/>
      <c r="GZ4539" s="435"/>
      <c r="HA4539" s="435"/>
      <c r="HB4539" s="435"/>
    </row>
    <row r="4540" spans="1:221" s="420" customFormat="1" ht="37.5" customHeight="1">
      <c r="A4540" s="697">
        <f t="shared" si="683"/>
        <v>7</v>
      </c>
      <c r="B4540" s="698" t="s">
        <v>3370</v>
      </c>
      <c r="C4540" s="455" t="s">
        <v>222</v>
      </c>
      <c r="D4540" s="700">
        <f t="shared" si="682"/>
        <v>1127.5</v>
      </c>
      <c r="E4540" s="688">
        <v>451</v>
      </c>
      <c r="F4540" s="651" t="s">
        <v>223</v>
      </c>
      <c r="G4540" s="688">
        <v>798</v>
      </c>
      <c r="H4540" s="689">
        <v>2</v>
      </c>
      <c r="I4540" s="689">
        <v>2</v>
      </c>
      <c r="J4540" s="689">
        <v>16</v>
      </c>
      <c r="K4540" s="697" t="s">
        <v>33</v>
      </c>
      <c r="L4540" s="650">
        <f t="shared" si="679"/>
        <v>2067618</v>
      </c>
      <c r="M4540" s="650">
        <v>1995000</v>
      </c>
      <c r="N4540" s="688">
        <v>29925</v>
      </c>
      <c r="O4540" s="703"/>
      <c r="P4540" s="688"/>
      <c r="Q4540" s="388">
        <v>42693</v>
      </c>
      <c r="R4540" s="689">
        <f t="shared" si="680"/>
        <v>2500</v>
      </c>
      <c r="S4540" s="435"/>
      <c r="T4540" s="406">
        <f t="shared" si="681"/>
        <v>0</v>
      </c>
      <c r="U4540" s="390"/>
      <c r="V4540" s="435"/>
      <c r="W4540" s="435"/>
      <c r="X4540" s="435"/>
      <c r="Y4540" s="435"/>
      <c r="Z4540" s="435"/>
      <c r="AA4540" s="435"/>
      <c r="AB4540" s="435"/>
      <c r="AC4540" s="435"/>
      <c r="AD4540" s="435"/>
      <c r="AE4540" s="435"/>
      <c r="AF4540" s="435"/>
      <c r="AG4540" s="435"/>
      <c r="AH4540" s="435"/>
      <c r="AI4540" s="435"/>
      <c r="AJ4540" s="435"/>
      <c r="AK4540" s="435"/>
      <c r="AL4540" s="435"/>
      <c r="AM4540" s="435"/>
      <c r="AN4540" s="435"/>
      <c r="AO4540" s="435"/>
      <c r="AP4540" s="435"/>
      <c r="AQ4540" s="435"/>
      <c r="AR4540" s="435"/>
      <c r="AS4540" s="435"/>
      <c r="AT4540" s="435"/>
      <c r="AU4540" s="435"/>
      <c r="AV4540" s="435"/>
      <c r="AW4540" s="435"/>
      <c r="AX4540" s="435"/>
      <c r="AY4540" s="435"/>
      <c r="AZ4540" s="435"/>
      <c r="BA4540" s="435"/>
      <c r="BB4540" s="435"/>
      <c r="BC4540" s="435"/>
      <c r="BD4540" s="435"/>
      <c r="BE4540" s="435"/>
      <c r="BF4540" s="435"/>
      <c r="BG4540" s="435"/>
      <c r="BH4540" s="435"/>
      <c r="BI4540" s="435"/>
      <c r="BJ4540" s="435"/>
      <c r="BK4540" s="435"/>
      <c r="BL4540" s="435"/>
      <c r="BM4540" s="435"/>
      <c r="BN4540" s="435"/>
      <c r="BO4540" s="435"/>
      <c r="BP4540" s="435"/>
      <c r="BQ4540" s="435"/>
      <c r="BR4540" s="435"/>
      <c r="BS4540" s="435"/>
      <c r="BT4540" s="435"/>
      <c r="BU4540" s="435"/>
      <c r="BV4540" s="435"/>
      <c r="BW4540" s="435"/>
      <c r="BX4540" s="435"/>
      <c r="BY4540" s="435"/>
      <c r="BZ4540" s="435"/>
      <c r="CA4540" s="435"/>
      <c r="CB4540" s="435"/>
      <c r="CC4540" s="435"/>
      <c r="CD4540" s="435"/>
      <c r="CE4540" s="435"/>
      <c r="CF4540" s="435"/>
      <c r="CG4540" s="435"/>
      <c r="CH4540" s="435"/>
      <c r="CI4540" s="435"/>
      <c r="CJ4540" s="435"/>
      <c r="CK4540" s="435"/>
      <c r="CL4540" s="435"/>
      <c r="CM4540" s="435"/>
      <c r="CN4540" s="435"/>
      <c r="CO4540" s="435"/>
      <c r="CP4540" s="435"/>
      <c r="CQ4540" s="435"/>
      <c r="CR4540" s="435"/>
      <c r="CS4540" s="435"/>
      <c r="CT4540" s="435"/>
      <c r="CU4540" s="435"/>
      <c r="CV4540" s="435"/>
      <c r="CW4540" s="435"/>
      <c r="CX4540" s="435"/>
      <c r="CY4540" s="435"/>
      <c r="CZ4540" s="435"/>
      <c r="DA4540" s="435"/>
      <c r="DB4540" s="435"/>
      <c r="DC4540" s="435"/>
      <c r="DD4540" s="435"/>
      <c r="DE4540" s="435"/>
      <c r="DF4540" s="435"/>
      <c r="DG4540" s="435"/>
      <c r="DH4540" s="435"/>
      <c r="DI4540" s="435"/>
      <c r="DJ4540" s="435"/>
      <c r="DK4540" s="435"/>
      <c r="DL4540" s="435"/>
      <c r="DM4540" s="435"/>
      <c r="DN4540" s="435"/>
      <c r="DO4540" s="435"/>
      <c r="DP4540" s="435"/>
      <c r="DQ4540" s="435"/>
      <c r="DR4540" s="435"/>
      <c r="DS4540" s="435"/>
      <c r="DT4540" s="435"/>
      <c r="DU4540" s="435"/>
      <c r="DV4540" s="435"/>
      <c r="DW4540" s="435"/>
      <c r="DX4540" s="435"/>
      <c r="DY4540" s="435"/>
      <c r="DZ4540" s="435"/>
      <c r="EA4540" s="435"/>
      <c r="EB4540" s="435"/>
      <c r="EC4540" s="435"/>
      <c r="ED4540" s="435"/>
      <c r="EE4540" s="435"/>
      <c r="EF4540" s="435"/>
      <c r="EG4540" s="435"/>
      <c r="EH4540" s="435"/>
      <c r="EI4540" s="435"/>
      <c r="EJ4540" s="435"/>
      <c r="EK4540" s="435"/>
      <c r="EL4540" s="435"/>
      <c r="EM4540" s="435"/>
      <c r="EN4540" s="435"/>
      <c r="EO4540" s="435"/>
      <c r="EP4540" s="435"/>
      <c r="EQ4540" s="435"/>
      <c r="ER4540" s="435"/>
      <c r="ES4540" s="435"/>
      <c r="ET4540" s="435"/>
      <c r="EU4540" s="435"/>
      <c r="EV4540" s="435"/>
      <c r="EW4540" s="435"/>
      <c r="EX4540" s="435"/>
      <c r="EY4540" s="435"/>
      <c r="EZ4540" s="435"/>
      <c r="FA4540" s="435"/>
      <c r="FB4540" s="435"/>
      <c r="FC4540" s="435"/>
      <c r="FD4540" s="435"/>
      <c r="FE4540" s="435"/>
      <c r="FF4540" s="435"/>
      <c r="FG4540" s="435"/>
      <c r="FH4540" s="435"/>
      <c r="FI4540" s="435"/>
      <c r="FJ4540" s="435"/>
      <c r="FK4540" s="435"/>
      <c r="FL4540" s="435"/>
      <c r="FM4540" s="435"/>
      <c r="FN4540" s="435"/>
      <c r="FO4540" s="435"/>
      <c r="FP4540" s="435"/>
      <c r="FQ4540" s="435"/>
      <c r="FR4540" s="435"/>
      <c r="FS4540" s="435"/>
      <c r="FT4540" s="435"/>
      <c r="FU4540" s="435"/>
      <c r="FV4540" s="435"/>
      <c r="FW4540" s="435"/>
      <c r="FX4540" s="435"/>
      <c r="FY4540" s="435"/>
      <c r="FZ4540" s="435"/>
      <c r="GA4540" s="435"/>
      <c r="GB4540" s="435"/>
      <c r="GC4540" s="435"/>
      <c r="GD4540" s="435"/>
      <c r="GE4540" s="435"/>
      <c r="GF4540" s="435"/>
      <c r="GG4540" s="435"/>
      <c r="GH4540" s="435"/>
      <c r="GI4540" s="435"/>
      <c r="GJ4540" s="435"/>
      <c r="GK4540" s="435"/>
      <c r="GL4540" s="435"/>
      <c r="GM4540" s="435"/>
      <c r="GN4540" s="435"/>
      <c r="GO4540" s="435"/>
      <c r="GP4540" s="435"/>
      <c r="GQ4540" s="435"/>
      <c r="GR4540" s="435"/>
      <c r="GS4540" s="435"/>
      <c r="GT4540" s="435"/>
      <c r="GU4540" s="435"/>
      <c r="GV4540" s="435"/>
      <c r="GW4540" s="435"/>
      <c r="GX4540" s="435"/>
      <c r="GY4540" s="435"/>
      <c r="GZ4540" s="435"/>
      <c r="HA4540" s="435"/>
      <c r="HB4540" s="435"/>
      <c r="HC4540" s="435"/>
      <c r="HD4540" s="435"/>
      <c r="HE4540" s="435"/>
      <c r="HF4540" s="435"/>
      <c r="HG4540" s="435"/>
      <c r="HH4540" s="435"/>
      <c r="HI4540" s="435"/>
      <c r="HJ4540" s="435"/>
      <c r="HK4540" s="435"/>
      <c r="HL4540" s="435"/>
      <c r="HM4540" s="435"/>
    </row>
    <row r="4541" spans="1:221" s="1010" customFormat="1" ht="37.5" customHeight="1">
      <c r="A4541" s="697">
        <f t="shared" si="683"/>
        <v>8</v>
      </c>
      <c r="B4541" s="698" t="s">
        <v>3371</v>
      </c>
      <c r="C4541" s="455" t="s">
        <v>222</v>
      </c>
      <c r="D4541" s="700">
        <f>E4541*2.7</f>
        <v>1717.2</v>
      </c>
      <c r="E4541" s="688">
        <v>636</v>
      </c>
      <c r="F4541" s="651" t="s">
        <v>223</v>
      </c>
      <c r="G4541" s="688">
        <v>820</v>
      </c>
      <c r="H4541" s="689">
        <v>2</v>
      </c>
      <c r="I4541" s="689">
        <v>2</v>
      </c>
      <c r="J4541" s="689">
        <v>16</v>
      </c>
      <c r="K4541" s="697" t="s">
        <v>33</v>
      </c>
      <c r="L4541" s="650">
        <f t="shared" si="679"/>
        <v>1699696</v>
      </c>
      <c r="M4541" s="650">
        <v>1640000</v>
      </c>
      <c r="N4541" s="688">
        <v>24600</v>
      </c>
      <c r="O4541" s="703"/>
      <c r="P4541" s="688"/>
      <c r="Q4541" s="388">
        <v>35096</v>
      </c>
      <c r="R4541" s="689">
        <f t="shared" si="680"/>
        <v>2000</v>
      </c>
      <c r="S4541" s="435"/>
      <c r="T4541" s="406">
        <f t="shared" si="681"/>
        <v>0</v>
      </c>
      <c r="U4541" s="513"/>
      <c r="V4541" s="1009"/>
      <c r="W4541" s="1009"/>
      <c r="X4541" s="1009"/>
      <c r="Y4541" s="1009"/>
      <c r="Z4541" s="1009"/>
      <c r="AA4541" s="1009"/>
      <c r="AB4541" s="1009"/>
      <c r="AC4541" s="1009"/>
      <c r="AD4541" s="1009"/>
      <c r="AE4541" s="1009"/>
      <c r="AF4541" s="1009"/>
      <c r="AG4541" s="1009"/>
      <c r="AH4541" s="1009"/>
      <c r="AI4541" s="1009"/>
      <c r="AJ4541" s="1009"/>
      <c r="AK4541" s="1009"/>
      <c r="AL4541" s="1009"/>
      <c r="AM4541" s="1009"/>
      <c r="AN4541" s="1009"/>
      <c r="AO4541" s="1009"/>
      <c r="AP4541" s="1009"/>
      <c r="AQ4541" s="1009"/>
      <c r="AR4541" s="1009"/>
      <c r="AS4541" s="1009"/>
      <c r="AT4541" s="1009"/>
      <c r="AU4541" s="1009"/>
      <c r="AV4541" s="1009"/>
      <c r="AW4541" s="1009"/>
      <c r="AX4541" s="1009"/>
      <c r="AY4541" s="1009"/>
      <c r="AZ4541" s="1009"/>
      <c r="BA4541" s="1009"/>
      <c r="BB4541" s="1009"/>
      <c r="BC4541" s="1009"/>
      <c r="BD4541" s="1009"/>
      <c r="BE4541" s="1009"/>
      <c r="BF4541" s="1009"/>
      <c r="BG4541" s="1009"/>
      <c r="BH4541" s="1009"/>
      <c r="BI4541" s="1009"/>
      <c r="BJ4541" s="1009"/>
      <c r="BK4541" s="1009"/>
      <c r="BL4541" s="1009"/>
      <c r="BM4541" s="1009"/>
      <c r="BN4541" s="1009"/>
      <c r="BO4541" s="1009"/>
      <c r="BP4541" s="1009"/>
      <c r="BQ4541" s="1009"/>
      <c r="BR4541" s="1009"/>
      <c r="BS4541" s="1009"/>
      <c r="BT4541" s="1009"/>
      <c r="BU4541" s="1009"/>
      <c r="BV4541" s="1009"/>
      <c r="BW4541" s="1009"/>
      <c r="BX4541" s="1009"/>
      <c r="BY4541" s="1009"/>
      <c r="BZ4541" s="1009"/>
      <c r="CA4541" s="1009"/>
      <c r="CB4541" s="1009"/>
      <c r="CC4541" s="1009"/>
      <c r="CD4541" s="1009"/>
      <c r="CE4541" s="1009"/>
      <c r="CF4541" s="1009"/>
      <c r="CG4541" s="1009"/>
      <c r="CH4541" s="1009"/>
      <c r="CI4541" s="1009"/>
      <c r="CJ4541" s="1009"/>
      <c r="CK4541" s="1009"/>
      <c r="CL4541" s="1009"/>
      <c r="CM4541" s="1009"/>
      <c r="CN4541" s="1009"/>
      <c r="CO4541" s="1009"/>
      <c r="CP4541" s="1009"/>
      <c r="CQ4541" s="1009"/>
      <c r="CR4541" s="1009"/>
      <c r="CS4541" s="1009"/>
      <c r="CT4541" s="1009"/>
      <c r="CU4541" s="1009"/>
      <c r="CV4541" s="1009"/>
      <c r="CW4541" s="1009"/>
      <c r="CX4541" s="1009"/>
      <c r="CY4541" s="1009"/>
      <c r="CZ4541" s="1009"/>
      <c r="DA4541" s="1009"/>
      <c r="DB4541" s="1009"/>
      <c r="DC4541" s="1009"/>
      <c r="DD4541" s="1009"/>
      <c r="DE4541" s="1009"/>
      <c r="DF4541" s="1009"/>
      <c r="DG4541" s="1009"/>
      <c r="DH4541" s="1009"/>
      <c r="DI4541" s="1009"/>
      <c r="DJ4541" s="1009"/>
      <c r="DK4541" s="1009"/>
      <c r="DL4541" s="1009"/>
      <c r="DM4541" s="1009"/>
      <c r="DN4541" s="1009"/>
      <c r="DO4541" s="1009"/>
      <c r="DP4541" s="1009"/>
      <c r="DQ4541" s="1009"/>
      <c r="DR4541" s="1009"/>
      <c r="DS4541" s="1009"/>
      <c r="DT4541" s="1009"/>
      <c r="DU4541" s="1009"/>
      <c r="DV4541" s="1009"/>
      <c r="DW4541" s="1009"/>
      <c r="DX4541" s="1009"/>
      <c r="DY4541" s="1009"/>
      <c r="DZ4541" s="1009"/>
      <c r="EA4541" s="1009"/>
      <c r="EB4541" s="1009"/>
      <c r="EC4541" s="1009"/>
      <c r="ED4541" s="1009"/>
      <c r="EE4541" s="1009"/>
      <c r="EF4541" s="1009"/>
      <c r="EG4541" s="1009"/>
      <c r="EH4541" s="1009"/>
      <c r="EI4541" s="1009"/>
      <c r="EJ4541" s="1009"/>
      <c r="EK4541" s="1009"/>
      <c r="EL4541" s="1009"/>
      <c r="EM4541" s="1009"/>
      <c r="EN4541" s="1009"/>
      <c r="EO4541" s="1009"/>
      <c r="EP4541" s="1009"/>
      <c r="EQ4541" s="1009"/>
      <c r="ER4541" s="1009"/>
      <c r="ES4541" s="1009"/>
      <c r="ET4541" s="1009"/>
      <c r="EU4541" s="1009"/>
      <c r="EV4541" s="1009"/>
      <c r="EW4541" s="1009"/>
      <c r="EX4541" s="1009"/>
      <c r="EY4541" s="1009"/>
      <c r="EZ4541" s="1009"/>
      <c r="FA4541" s="1009"/>
      <c r="FB4541" s="1009"/>
      <c r="FC4541" s="1009"/>
      <c r="FD4541" s="1009"/>
      <c r="FE4541" s="1009"/>
      <c r="FF4541" s="1009"/>
      <c r="FG4541" s="1009"/>
      <c r="FH4541" s="1009"/>
      <c r="FI4541" s="1009"/>
      <c r="FJ4541" s="1009"/>
      <c r="FK4541" s="1009"/>
      <c r="FL4541" s="1009"/>
      <c r="FM4541" s="1009"/>
      <c r="FN4541" s="1009"/>
      <c r="FO4541" s="1009"/>
      <c r="FP4541" s="1009"/>
      <c r="FQ4541" s="1009"/>
      <c r="FR4541" s="1009"/>
      <c r="FS4541" s="1009"/>
      <c r="FT4541" s="1009"/>
      <c r="FU4541" s="1009"/>
      <c r="FV4541" s="1009"/>
      <c r="FW4541" s="1009"/>
      <c r="FX4541" s="1009"/>
      <c r="FY4541" s="1009"/>
      <c r="FZ4541" s="1009"/>
      <c r="GA4541" s="1009"/>
      <c r="GB4541" s="1009"/>
      <c r="GC4541" s="1009"/>
      <c r="GD4541" s="1009"/>
      <c r="GE4541" s="1009"/>
      <c r="GF4541" s="1009"/>
      <c r="GG4541" s="1009"/>
      <c r="GH4541" s="1009"/>
      <c r="GI4541" s="1009"/>
      <c r="GJ4541" s="1009"/>
      <c r="GK4541" s="1009"/>
      <c r="GL4541" s="1009"/>
      <c r="GM4541" s="1009"/>
      <c r="GN4541" s="1009"/>
      <c r="GO4541" s="1009"/>
      <c r="GP4541" s="1009"/>
      <c r="GQ4541" s="1009"/>
      <c r="GR4541" s="1009"/>
      <c r="GS4541" s="1009"/>
      <c r="GT4541" s="1009"/>
      <c r="GU4541" s="1009"/>
      <c r="GV4541" s="1009"/>
      <c r="GW4541" s="1009"/>
      <c r="GX4541" s="1009"/>
      <c r="GY4541" s="1009"/>
      <c r="GZ4541" s="1009"/>
      <c r="HA4541" s="1009"/>
      <c r="HB4541" s="1009"/>
      <c r="HC4541" s="1009"/>
      <c r="HD4541" s="1009"/>
      <c r="HE4541" s="1009"/>
      <c r="HF4541" s="1009"/>
      <c r="HG4541" s="1009"/>
      <c r="HH4541" s="1009"/>
      <c r="HI4541" s="1009"/>
      <c r="HJ4541" s="1009"/>
      <c r="HK4541" s="1009"/>
      <c r="HL4541" s="1009"/>
      <c r="HM4541" s="1009"/>
    </row>
    <row r="4542" spans="1:221" s="420" customFormat="1" ht="37.5" customHeight="1">
      <c r="A4542" s="697">
        <f t="shared" si="683"/>
        <v>9</v>
      </c>
      <c r="B4542" s="698" t="s">
        <v>3372</v>
      </c>
      <c r="C4542" s="699" t="s">
        <v>222</v>
      </c>
      <c r="D4542" s="700">
        <f t="shared" si="682"/>
        <v>1011</v>
      </c>
      <c r="E4542" s="651">
        <v>404.4</v>
      </c>
      <c r="F4542" s="651" t="s">
        <v>223</v>
      </c>
      <c r="G4542" s="651">
        <v>619.36</v>
      </c>
      <c r="H4542" s="701">
        <v>2</v>
      </c>
      <c r="I4542" s="701">
        <v>2</v>
      </c>
      <c r="J4542" s="701">
        <v>12</v>
      </c>
      <c r="K4542" s="697" t="s">
        <v>33</v>
      </c>
      <c r="L4542" s="650">
        <f t="shared" si="679"/>
        <v>1612504</v>
      </c>
      <c r="M4542" s="519">
        <v>1548400</v>
      </c>
      <c r="N4542" s="388">
        <v>30968</v>
      </c>
      <c r="O4542" s="473"/>
      <c r="P4542" s="388"/>
      <c r="Q4542" s="388">
        <v>33136</v>
      </c>
      <c r="R4542" s="446">
        <f t="shared" si="680"/>
        <v>2500</v>
      </c>
      <c r="S4542" s="435"/>
      <c r="T4542" s="406">
        <f t="shared" si="681"/>
        <v>0</v>
      </c>
      <c r="U4542" s="390"/>
      <c r="V4542" s="435"/>
      <c r="W4542" s="435"/>
      <c r="X4542" s="435"/>
      <c r="Y4542" s="435"/>
      <c r="Z4542" s="435"/>
      <c r="AA4542" s="435"/>
      <c r="AB4542" s="435"/>
      <c r="AC4542" s="435"/>
      <c r="AD4542" s="435"/>
      <c r="AE4542" s="435"/>
      <c r="AF4542" s="435"/>
      <c r="AG4542" s="435"/>
      <c r="AH4542" s="435"/>
      <c r="AI4542" s="435"/>
      <c r="AJ4542" s="435"/>
      <c r="AK4542" s="435"/>
      <c r="AL4542" s="435"/>
      <c r="AM4542" s="435"/>
      <c r="AN4542" s="435"/>
      <c r="AO4542" s="435"/>
      <c r="AP4542" s="435"/>
      <c r="AQ4542" s="435"/>
      <c r="AR4542" s="435"/>
      <c r="AS4542" s="435"/>
      <c r="AT4542" s="435"/>
      <c r="AU4542" s="435"/>
      <c r="AV4542" s="435"/>
      <c r="AW4542" s="435"/>
      <c r="AX4542" s="435"/>
      <c r="AY4542" s="435"/>
      <c r="AZ4542" s="435"/>
      <c r="BA4542" s="435"/>
      <c r="BB4542" s="435"/>
      <c r="BC4542" s="435"/>
      <c r="BD4542" s="435"/>
      <c r="BE4542" s="435"/>
      <c r="BF4542" s="435"/>
      <c r="BG4542" s="435"/>
      <c r="BH4542" s="435"/>
      <c r="BI4542" s="435"/>
      <c r="BJ4542" s="435"/>
      <c r="BK4542" s="435"/>
      <c r="BL4542" s="435"/>
      <c r="BM4542" s="435"/>
      <c r="BN4542" s="435"/>
      <c r="BO4542" s="435"/>
      <c r="BP4542" s="435"/>
      <c r="BQ4542" s="435"/>
      <c r="BR4542" s="435"/>
      <c r="BS4542" s="435"/>
      <c r="BT4542" s="435"/>
      <c r="BU4542" s="435"/>
      <c r="BV4542" s="435"/>
      <c r="BW4542" s="435"/>
      <c r="BX4542" s="435"/>
      <c r="BY4542" s="435"/>
      <c r="BZ4542" s="435"/>
      <c r="CA4542" s="435"/>
      <c r="CB4542" s="435"/>
      <c r="CC4542" s="435"/>
      <c r="CD4542" s="435"/>
      <c r="CE4542" s="435"/>
      <c r="CF4542" s="435"/>
      <c r="CG4542" s="435"/>
      <c r="CH4542" s="435"/>
      <c r="CI4542" s="435"/>
      <c r="CJ4542" s="435"/>
      <c r="CK4542" s="435"/>
      <c r="CL4542" s="435"/>
      <c r="CM4542" s="435"/>
      <c r="CN4542" s="435"/>
      <c r="CO4542" s="435"/>
      <c r="CP4542" s="435"/>
      <c r="CQ4542" s="435"/>
      <c r="CR4542" s="435"/>
      <c r="CS4542" s="435"/>
      <c r="CT4542" s="435"/>
      <c r="CU4542" s="435"/>
      <c r="CV4542" s="435"/>
      <c r="CW4542" s="435"/>
      <c r="CX4542" s="435"/>
      <c r="CY4542" s="435"/>
      <c r="CZ4542" s="435"/>
      <c r="DA4542" s="435"/>
      <c r="DB4542" s="435"/>
      <c r="DC4542" s="435"/>
      <c r="DD4542" s="435"/>
      <c r="DE4542" s="435"/>
      <c r="DF4542" s="435"/>
      <c r="DG4542" s="435"/>
      <c r="DH4542" s="435"/>
      <c r="DI4542" s="435"/>
      <c r="DJ4542" s="435"/>
      <c r="DK4542" s="435"/>
      <c r="DL4542" s="435"/>
      <c r="DM4542" s="435"/>
      <c r="DN4542" s="435"/>
      <c r="DO4542" s="435"/>
      <c r="DP4542" s="435"/>
      <c r="DQ4542" s="435"/>
      <c r="DR4542" s="435"/>
      <c r="DS4542" s="435"/>
      <c r="DT4542" s="435"/>
      <c r="DU4542" s="435"/>
      <c r="DV4542" s="435"/>
      <c r="DW4542" s="435"/>
      <c r="DX4542" s="435"/>
      <c r="DY4542" s="435"/>
      <c r="DZ4542" s="435"/>
      <c r="EA4542" s="435"/>
      <c r="EB4542" s="435"/>
      <c r="EC4542" s="435"/>
      <c r="ED4542" s="435"/>
      <c r="EE4542" s="435"/>
      <c r="EF4542" s="435"/>
      <c r="EG4542" s="435"/>
      <c r="EH4542" s="435"/>
      <c r="EI4542" s="435"/>
      <c r="EJ4542" s="435"/>
      <c r="EK4542" s="435"/>
      <c r="EL4542" s="435"/>
      <c r="EM4542" s="435"/>
      <c r="EN4542" s="435"/>
      <c r="EO4542" s="435"/>
      <c r="EP4542" s="435"/>
      <c r="EQ4542" s="435"/>
      <c r="ER4542" s="435"/>
      <c r="ES4542" s="435"/>
      <c r="ET4542" s="435"/>
      <c r="EU4542" s="435"/>
      <c r="EV4542" s="435"/>
      <c r="EW4542" s="435"/>
      <c r="EX4542" s="435"/>
      <c r="EY4542" s="435"/>
      <c r="EZ4542" s="435"/>
      <c r="FA4542" s="435"/>
      <c r="FB4542" s="435"/>
      <c r="FC4542" s="435"/>
      <c r="FD4542" s="435"/>
      <c r="FE4542" s="435"/>
      <c r="FF4542" s="435"/>
      <c r="FG4542" s="435"/>
      <c r="FH4542" s="435"/>
      <c r="FI4542" s="435"/>
      <c r="FJ4542" s="435"/>
      <c r="FK4542" s="435"/>
      <c r="FL4542" s="435"/>
      <c r="FM4542" s="435"/>
      <c r="FN4542" s="435"/>
      <c r="FO4542" s="435"/>
      <c r="FP4542" s="435"/>
      <c r="FQ4542" s="435"/>
      <c r="FR4542" s="435"/>
      <c r="FS4542" s="435"/>
      <c r="FT4542" s="435"/>
      <c r="FU4542" s="435"/>
      <c r="FV4542" s="435"/>
      <c r="FW4542" s="435"/>
      <c r="FX4542" s="435"/>
      <c r="FY4542" s="435"/>
      <c r="FZ4542" s="435"/>
      <c r="GA4542" s="435"/>
      <c r="GB4542" s="435"/>
      <c r="GC4542" s="435"/>
      <c r="GD4542" s="435"/>
      <c r="GE4542" s="435"/>
      <c r="GF4542" s="435"/>
      <c r="GG4542" s="435"/>
      <c r="GH4542" s="435"/>
      <c r="GI4542" s="435"/>
      <c r="GJ4542" s="435"/>
      <c r="GK4542" s="435"/>
      <c r="GL4542" s="435"/>
      <c r="GM4542" s="435"/>
      <c r="GN4542" s="435"/>
      <c r="GO4542" s="435"/>
      <c r="GP4542" s="435"/>
      <c r="GQ4542" s="435"/>
      <c r="GR4542" s="435"/>
      <c r="GS4542" s="435"/>
      <c r="GT4542" s="435"/>
      <c r="GU4542" s="435"/>
      <c r="GV4542" s="435"/>
      <c r="GW4542" s="435"/>
      <c r="GX4542" s="435"/>
      <c r="GY4542" s="435"/>
      <c r="GZ4542" s="435"/>
      <c r="HA4542" s="435"/>
      <c r="HB4542" s="435"/>
      <c r="HC4542" s="435"/>
      <c r="HD4542" s="435"/>
      <c r="HE4542" s="435"/>
      <c r="HF4542" s="435"/>
      <c r="HG4542" s="435"/>
      <c r="HH4542" s="435"/>
      <c r="HI4542" s="435"/>
      <c r="HJ4542" s="435"/>
      <c r="HK4542" s="435"/>
      <c r="HL4542" s="435"/>
      <c r="HM4542" s="435"/>
    </row>
    <row r="4543" spans="1:221" s="438" customFormat="1" ht="37.5" customHeight="1">
      <c r="A4543" s="697">
        <f t="shared" si="683"/>
        <v>10</v>
      </c>
      <c r="B4543" s="698" t="s">
        <v>3373</v>
      </c>
      <c r="C4543" s="699" t="s">
        <v>222</v>
      </c>
      <c r="D4543" s="700">
        <f t="shared" si="682"/>
        <v>933</v>
      </c>
      <c r="E4543" s="651">
        <v>373.2</v>
      </c>
      <c r="F4543" s="651" t="s">
        <v>223</v>
      </c>
      <c r="G4543" s="651">
        <v>353</v>
      </c>
      <c r="H4543" s="701">
        <v>2</v>
      </c>
      <c r="I4543" s="701">
        <v>1</v>
      </c>
      <c r="J4543" s="701">
        <v>8</v>
      </c>
      <c r="K4543" s="697" t="s">
        <v>33</v>
      </c>
      <c r="L4543" s="650">
        <f t="shared" si="679"/>
        <v>923449</v>
      </c>
      <c r="M4543" s="519">
        <v>882500</v>
      </c>
      <c r="N4543" s="388">
        <v>22063</v>
      </c>
      <c r="O4543" s="473"/>
      <c r="P4543" s="388"/>
      <c r="Q4543" s="388">
        <v>18886</v>
      </c>
      <c r="R4543" s="446">
        <f t="shared" si="680"/>
        <v>2500</v>
      </c>
      <c r="T4543" s="406">
        <f t="shared" si="681"/>
        <v>0</v>
      </c>
      <c r="U4543" s="439"/>
    </row>
    <row r="4544" spans="1:221" s="438" customFormat="1" ht="37.5" customHeight="1">
      <c r="A4544" s="697">
        <f t="shared" si="683"/>
        <v>11</v>
      </c>
      <c r="B4544" s="698" t="s">
        <v>3374</v>
      </c>
      <c r="C4544" s="617" t="s">
        <v>218</v>
      </c>
      <c r="D4544" s="700">
        <f t="shared" si="682"/>
        <v>825</v>
      </c>
      <c r="E4544" s="688">
        <f>(20+13)*2*2.5*2</f>
        <v>330</v>
      </c>
      <c r="F4544" s="651" t="s">
        <v>223</v>
      </c>
      <c r="G4544" s="688">
        <v>680</v>
      </c>
      <c r="H4544" s="701">
        <v>2</v>
      </c>
      <c r="I4544" s="701">
        <v>2</v>
      </c>
      <c r="J4544" s="689">
        <v>16</v>
      </c>
      <c r="K4544" s="697" t="s">
        <v>33</v>
      </c>
      <c r="L4544" s="650">
        <f t="shared" si="679"/>
        <v>1770380</v>
      </c>
      <c r="M4544" s="650">
        <v>1700000</v>
      </c>
      <c r="N4544" s="688">
        <v>34000</v>
      </c>
      <c r="O4544" s="703"/>
      <c r="P4544" s="688"/>
      <c r="Q4544" s="388">
        <v>36380</v>
      </c>
      <c r="R4544" s="689">
        <f t="shared" si="680"/>
        <v>2500</v>
      </c>
      <c r="T4544" s="406">
        <f t="shared" si="681"/>
        <v>0</v>
      </c>
      <c r="U4544" s="390"/>
    </row>
    <row r="4545" spans="1:210" s="420" customFormat="1" ht="37.5" customHeight="1">
      <c r="A4545" s="697">
        <f t="shared" si="683"/>
        <v>12</v>
      </c>
      <c r="B4545" s="698" t="s">
        <v>3375</v>
      </c>
      <c r="C4545" s="699" t="s">
        <v>218</v>
      </c>
      <c r="D4545" s="700">
        <f t="shared" si="682"/>
        <v>1325</v>
      </c>
      <c r="E4545" s="651">
        <f>(40+13)*2*2.5*2</f>
        <v>530</v>
      </c>
      <c r="F4545" s="651" t="s">
        <v>223</v>
      </c>
      <c r="G4545" s="651">
        <v>880</v>
      </c>
      <c r="H4545" s="701">
        <v>2</v>
      </c>
      <c r="I4545" s="701">
        <v>2</v>
      </c>
      <c r="J4545" s="701">
        <v>16</v>
      </c>
      <c r="K4545" s="697" t="s">
        <v>33</v>
      </c>
      <c r="L4545" s="650">
        <f t="shared" si="679"/>
        <v>2280080</v>
      </c>
      <c r="M4545" s="519">
        <v>2200000</v>
      </c>
      <c r="N4545" s="388">
        <v>33000</v>
      </c>
      <c r="O4545" s="473"/>
      <c r="P4545" s="388"/>
      <c r="Q4545" s="388">
        <v>47080</v>
      </c>
      <c r="R4545" s="446">
        <f t="shared" si="680"/>
        <v>2500</v>
      </c>
      <c r="S4545" s="435"/>
      <c r="T4545" s="406">
        <f t="shared" si="681"/>
        <v>0</v>
      </c>
      <c r="U4545" s="436"/>
      <c r="V4545" s="435"/>
      <c r="W4545" s="435"/>
      <c r="X4545" s="435"/>
      <c r="Y4545" s="435"/>
      <c r="Z4545" s="435"/>
      <c r="AA4545" s="435"/>
      <c r="AB4545" s="435"/>
      <c r="AC4545" s="435"/>
      <c r="AD4545" s="435"/>
      <c r="AE4545" s="435"/>
      <c r="AF4545" s="435"/>
      <c r="AG4545" s="435"/>
      <c r="AH4545" s="435"/>
      <c r="AI4545" s="435"/>
      <c r="AJ4545" s="435"/>
      <c r="AK4545" s="435"/>
      <c r="AL4545" s="435"/>
      <c r="AM4545" s="435"/>
      <c r="AN4545" s="435"/>
      <c r="AO4545" s="435"/>
      <c r="AP4545" s="435"/>
      <c r="AQ4545" s="435"/>
      <c r="AR4545" s="435"/>
      <c r="AS4545" s="435"/>
      <c r="AT4545" s="435"/>
      <c r="AU4545" s="435"/>
      <c r="AV4545" s="435"/>
      <c r="AW4545" s="435"/>
      <c r="AX4545" s="435"/>
      <c r="AY4545" s="435"/>
      <c r="AZ4545" s="435"/>
      <c r="BA4545" s="435"/>
      <c r="BB4545" s="435"/>
      <c r="BC4545" s="435"/>
      <c r="BD4545" s="435"/>
      <c r="BE4545" s="435"/>
      <c r="BF4545" s="435"/>
      <c r="BG4545" s="435"/>
      <c r="BH4545" s="435"/>
      <c r="BI4545" s="435"/>
      <c r="BJ4545" s="435"/>
      <c r="BK4545" s="435"/>
      <c r="BL4545" s="435"/>
      <c r="BM4545" s="435"/>
      <c r="BN4545" s="435"/>
      <c r="BO4545" s="435"/>
      <c r="BP4545" s="435"/>
      <c r="BQ4545" s="435"/>
      <c r="BR4545" s="435"/>
      <c r="BS4545" s="435"/>
      <c r="BT4545" s="435"/>
      <c r="BU4545" s="435"/>
      <c r="BV4545" s="435"/>
      <c r="BW4545" s="435"/>
      <c r="BX4545" s="435"/>
      <c r="BY4545" s="435"/>
      <c r="BZ4545" s="435"/>
      <c r="CA4545" s="435"/>
      <c r="CB4545" s="435"/>
      <c r="CC4545" s="435"/>
      <c r="CD4545" s="435"/>
      <c r="CE4545" s="435"/>
      <c r="CF4545" s="435"/>
      <c r="CG4545" s="435"/>
      <c r="CH4545" s="435"/>
      <c r="CI4545" s="435"/>
      <c r="CJ4545" s="435"/>
      <c r="CK4545" s="435"/>
      <c r="CL4545" s="435"/>
      <c r="CM4545" s="435"/>
      <c r="CN4545" s="435"/>
      <c r="CO4545" s="435"/>
      <c r="CP4545" s="435"/>
      <c r="CQ4545" s="435"/>
      <c r="CR4545" s="435"/>
      <c r="CS4545" s="435"/>
      <c r="CT4545" s="435"/>
      <c r="CU4545" s="435"/>
      <c r="CV4545" s="435"/>
      <c r="CW4545" s="435"/>
      <c r="CX4545" s="435"/>
      <c r="CY4545" s="435"/>
      <c r="CZ4545" s="435"/>
      <c r="DA4545" s="435"/>
      <c r="DB4545" s="435"/>
      <c r="DC4545" s="435"/>
      <c r="DD4545" s="435"/>
      <c r="DE4545" s="435"/>
      <c r="DF4545" s="435"/>
      <c r="DG4545" s="435"/>
      <c r="DH4545" s="435"/>
      <c r="DI4545" s="435"/>
      <c r="DJ4545" s="435"/>
      <c r="DK4545" s="435"/>
      <c r="DL4545" s="435"/>
      <c r="DM4545" s="435"/>
      <c r="DN4545" s="435"/>
      <c r="DO4545" s="435"/>
      <c r="DP4545" s="435"/>
      <c r="DQ4545" s="435"/>
      <c r="DR4545" s="435"/>
      <c r="DS4545" s="435"/>
      <c r="DT4545" s="435"/>
      <c r="DU4545" s="435"/>
      <c r="DV4545" s="435"/>
      <c r="DW4545" s="435"/>
      <c r="DX4545" s="435"/>
      <c r="DY4545" s="435"/>
      <c r="DZ4545" s="435"/>
      <c r="EA4545" s="435"/>
      <c r="EB4545" s="435"/>
      <c r="EC4545" s="435"/>
      <c r="ED4545" s="435"/>
      <c r="EE4545" s="435"/>
      <c r="EF4545" s="435"/>
      <c r="EG4545" s="435"/>
      <c r="EH4545" s="435"/>
      <c r="EI4545" s="435"/>
      <c r="EJ4545" s="435"/>
      <c r="EK4545" s="435"/>
      <c r="EL4545" s="435"/>
      <c r="EM4545" s="435"/>
      <c r="EN4545" s="435"/>
      <c r="EO4545" s="435"/>
      <c r="EP4545" s="435"/>
      <c r="EQ4545" s="435"/>
      <c r="ER4545" s="435"/>
      <c r="ES4545" s="435"/>
      <c r="ET4545" s="435"/>
      <c r="EU4545" s="435"/>
      <c r="EV4545" s="435"/>
      <c r="EW4545" s="435"/>
      <c r="EX4545" s="435"/>
      <c r="EY4545" s="435"/>
      <c r="EZ4545" s="435"/>
      <c r="FA4545" s="435"/>
      <c r="FB4545" s="435"/>
      <c r="FC4545" s="435"/>
      <c r="FD4545" s="435"/>
      <c r="FE4545" s="435"/>
      <c r="FF4545" s="435"/>
      <c r="FG4545" s="435"/>
      <c r="FH4545" s="435"/>
      <c r="FI4545" s="435"/>
      <c r="FJ4545" s="435"/>
      <c r="FK4545" s="435"/>
      <c r="FL4545" s="435"/>
      <c r="FM4545" s="435"/>
      <c r="FN4545" s="435"/>
      <c r="FO4545" s="435"/>
      <c r="FP4545" s="435"/>
      <c r="FQ4545" s="435"/>
      <c r="FR4545" s="435"/>
      <c r="FS4545" s="435"/>
      <c r="FT4545" s="435"/>
      <c r="FU4545" s="435"/>
      <c r="FV4545" s="435"/>
      <c r="FW4545" s="435"/>
      <c r="FX4545" s="435"/>
      <c r="FY4545" s="435"/>
      <c r="FZ4545" s="435"/>
      <c r="GA4545" s="435"/>
      <c r="GB4545" s="435"/>
      <c r="GC4545" s="435"/>
      <c r="GD4545" s="435"/>
      <c r="GE4545" s="435"/>
      <c r="GF4545" s="435"/>
      <c r="GG4545" s="435"/>
      <c r="GH4545" s="435"/>
      <c r="GI4545" s="435"/>
      <c r="GJ4545" s="435"/>
      <c r="GK4545" s="435"/>
      <c r="GL4545" s="435"/>
      <c r="GM4545" s="435"/>
      <c r="GN4545" s="435"/>
      <c r="GO4545" s="435"/>
      <c r="GP4545" s="435"/>
      <c r="GQ4545" s="435"/>
      <c r="GR4545" s="435"/>
      <c r="GS4545" s="435"/>
      <c r="GT4545" s="435"/>
      <c r="GU4545" s="435"/>
      <c r="GV4545" s="435"/>
      <c r="GW4545" s="435"/>
      <c r="GX4545" s="435"/>
      <c r="GY4545" s="435"/>
      <c r="GZ4545" s="435"/>
      <c r="HA4545" s="435"/>
      <c r="HB4545" s="435"/>
    </row>
    <row r="4546" spans="1:210" s="431" customFormat="1" ht="37.5" customHeight="1">
      <c r="A4546" s="697">
        <f t="shared" si="683"/>
        <v>13</v>
      </c>
      <c r="B4546" s="698" t="s">
        <v>3376</v>
      </c>
      <c r="C4546" s="699" t="s">
        <v>218</v>
      </c>
      <c r="D4546" s="700">
        <f t="shared" si="682"/>
        <v>1325</v>
      </c>
      <c r="E4546" s="651">
        <f>(40+13)*2*2.5*2</f>
        <v>530</v>
      </c>
      <c r="F4546" s="651" t="s">
        <v>223</v>
      </c>
      <c r="G4546" s="651">
        <v>880</v>
      </c>
      <c r="H4546" s="701">
        <v>2</v>
      </c>
      <c r="I4546" s="701">
        <v>2</v>
      </c>
      <c r="J4546" s="701">
        <v>16</v>
      </c>
      <c r="K4546" s="697" t="s">
        <v>33</v>
      </c>
      <c r="L4546" s="650">
        <f t="shared" si="679"/>
        <v>2280080</v>
      </c>
      <c r="M4546" s="519">
        <v>2200000</v>
      </c>
      <c r="N4546" s="388">
        <v>33000</v>
      </c>
      <c r="O4546" s="473"/>
      <c r="P4546" s="388"/>
      <c r="Q4546" s="388">
        <v>47080</v>
      </c>
      <c r="R4546" s="446">
        <f t="shared" si="680"/>
        <v>2500</v>
      </c>
      <c r="S4546" s="514"/>
      <c r="T4546" s="406">
        <f t="shared" si="681"/>
        <v>0</v>
      </c>
      <c r="U4546" s="515"/>
      <c r="V4546" s="514"/>
      <c r="W4546" s="514"/>
      <c r="X4546" s="514"/>
      <c r="Y4546" s="514"/>
      <c r="Z4546" s="514"/>
      <c r="AA4546" s="514"/>
      <c r="AB4546" s="514"/>
      <c r="AC4546" s="514"/>
      <c r="AD4546" s="514"/>
      <c r="AE4546" s="514"/>
      <c r="AF4546" s="514"/>
      <c r="AG4546" s="514"/>
      <c r="AH4546" s="514"/>
      <c r="AI4546" s="514"/>
      <c r="AJ4546" s="514"/>
      <c r="AK4546" s="514"/>
      <c r="AL4546" s="514"/>
      <c r="AM4546" s="514"/>
      <c r="AN4546" s="514"/>
      <c r="AO4546" s="514"/>
      <c r="AP4546" s="514"/>
      <c r="AQ4546" s="514"/>
      <c r="AR4546" s="514"/>
      <c r="AS4546" s="514"/>
      <c r="AT4546" s="514"/>
      <c r="AU4546" s="514"/>
      <c r="AV4546" s="514"/>
      <c r="AW4546" s="514"/>
      <c r="AX4546" s="514"/>
      <c r="AY4546" s="514"/>
      <c r="AZ4546" s="514"/>
      <c r="BA4546" s="514"/>
      <c r="BB4546" s="514"/>
      <c r="BC4546" s="514"/>
      <c r="BD4546" s="514"/>
      <c r="BE4546" s="514"/>
      <c r="BF4546" s="514"/>
      <c r="BG4546" s="514"/>
      <c r="BH4546" s="514"/>
      <c r="BI4546" s="514"/>
      <c r="BJ4546" s="514"/>
      <c r="BK4546" s="514"/>
      <c r="BL4546" s="514"/>
      <c r="BM4546" s="514"/>
      <c r="BN4546" s="514"/>
      <c r="BO4546" s="514"/>
      <c r="BP4546" s="514"/>
      <c r="BQ4546" s="514"/>
      <c r="BR4546" s="514"/>
      <c r="BS4546" s="514"/>
      <c r="BT4546" s="514"/>
      <c r="BU4546" s="514"/>
      <c r="BV4546" s="514"/>
      <c r="BW4546" s="514"/>
      <c r="BX4546" s="514"/>
      <c r="BY4546" s="514"/>
      <c r="BZ4546" s="514"/>
      <c r="CA4546" s="514"/>
      <c r="CB4546" s="514"/>
      <c r="CC4546" s="514"/>
      <c r="CD4546" s="514"/>
      <c r="CE4546" s="514"/>
      <c r="CF4546" s="514"/>
      <c r="CG4546" s="514"/>
      <c r="CH4546" s="514"/>
      <c r="CI4546" s="514"/>
      <c r="CJ4546" s="514"/>
      <c r="CK4546" s="514"/>
      <c r="CL4546" s="514"/>
      <c r="CM4546" s="514"/>
      <c r="CN4546" s="514"/>
      <c r="CO4546" s="514"/>
      <c r="CP4546" s="514"/>
      <c r="CQ4546" s="514"/>
      <c r="CR4546" s="514"/>
      <c r="CS4546" s="514"/>
      <c r="CT4546" s="514"/>
      <c r="CU4546" s="514"/>
      <c r="CV4546" s="514"/>
      <c r="CW4546" s="514"/>
      <c r="CX4546" s="514"/>
      <c r="CY4546" s="514"/>
      <c r="CZ4546" s="514"/>
      <c r="DA4546" s="514"/>
      <c r="DB4546" s="514"/>
      <c r="DC4546" s="514"/>
      <c r="DD4546" s="514"/>
      <c r="DE4546" s="514"/>
      <c r="DF4546" s="514"/>
      <c r="DG4546" s="514"/>
      <c r="DH4546" s="514"/>
      <c r="DI4546" s="514"/>
      <c r="DJ4546" s="514"/>
      <c r="DK4546" s="514"/>
      <c r="DL4546" s="514"/>
      <c r="DM4546" s="514"/>
      <c r="DN4546" s="514"/>
      <c r="DO4546" s="514"/>
      <c r="DP4546" s="514"/>
      <c r="DQ4546" s="514"/>
      <c r="DR4546" s="514"/>
      <c r="DS4546" s="514"/>
      <c r="DT4546" s="514"/>
      <c r="DU4546" s="514"/>
      <c r="DV4546" s="514"/>
      <c r="DW4546" s="514"/>
      <c r="DX4546" s="514"/>
      <c r="DY4546" s="514"/>
      <c r="DZ4546" s="514"/>
      <c r="EA4546" s="514"/>
      <c r="EB4546" s="514"/>
      <c r="EC4546" s="514"/>
      <c r="ED4546" s="514"/>
      <c r="EE4546" s="514"/>
      <c r="EF4546" s="514"/>
      <c r="EG4546" s="514"/>
      <c r="EH4546" s="514"/>
      <c r="EI4546" s="514"/>
      <c r="EJ4546" s="514"/>
      <c r="EK4546" s="514"/>
      <c r="EL4546" s="514"/>
      <c r="EM4546" s="514"/>
      <c r="EN4546" s="514"/>
      <c r="EO4546" s="514"/>
      <c r="EP4546" s="514"/>
      <c r="EQ4546" s="514"/>
      <c r="ER4546" s="514"/>
      <c r="ES4546" s="514"/>
      <c r="ET4546" s="514"/>
      <c r="EU4546" s="514"/>
      <c r="EV4546" s="514"/>
      <c r="EW4546" s="514"/>
      <c r="EX4546" s="514"/>
      <c r="EY4546" s="514"/>
      <c r="EZ4546" s="514"/>
      <c r="FA4546" s="514"/>
      <c r="FB4546" s="514"/>
      <c r="FC4546" s="514"/>
      <c r="FD4546" s="514"/>
      <c r="FE4546" s="514"/>
      <c r="FF4546" s="514"/>
      <c r="FG4546" s="514"/>
      <c r="FH4546" s="514"/>
      <c r="FI4546" s="514"/>
      <c r="FJ4546" s="514"/>
      <c r="FK4546" s="514"/>
      <c r="FL4546" s="514"/>
      <c r="FM4546" s="514"/>
      <c r="FN4546" s="514"/>
      <c r="FO4546" s="514"/>
      <c r="FP4546" s="514"/>
      <c r="FQ4546" s="514"/>
      <c r="FR4546" s="514"/>
      <c r="FS4546" s="514"/>
      <c r="FT4546" s="514"/>
      <c r="FU4546" s="514"/>
      <c r="FV4546" s="514"/>
      <c r="FW4546" s="514"/>
      <c r="FX4546" s="514"/>
      <c r="FY4546" s="514"/>
      <c r="FZ4546" s="514"/>
      <c r="GA4546" s="514"/>
      <c r="GB4546" s="514"/>
      <c r="GC4546" s="514"/>
      <c r="GD4546" s="514"/>
      <c r="GE4546" s="514"/>
      <c r="GF4546" s="514"/>
      <c r="GG4546" s="514"/>
      <c r="GH4546" s="514"/>
      <c r="GI4546" s="514"/>
      <c r="GJ4546" s="514"/>
      <c r="GK4546" s="514"/>
      <c r="GL4546" s="514"/>
      <c r="GM4546" s="514"/>
      <c r="GN4546" s="514"/>
      <c r="GO4546" s="514"/>
      <c r="GP4546" s="514"/>
      <c r="GQ4546" s="514"/>
      <c r="GR4546" s="514"/>
      <c r="GS4546" s="514"/>
      <c r="GT4546" s="514"/>
      <c r="GU4546" s="514"/>
      <c r="GV4546" s="514"/>
      <c r="GW4546" s="514"/>
      <c r="GX4546" s="514"/>
      <c r="GY4546" s="514"/>
      <c r="GZ4546" s="514"/>
      <c r="HA4546" s="514"/>
      <c r="HB4546" s="514"/>
    </row>
    <row r="4547" spans="1:210" s="420" customFormat="1" ht="37.5" customHeight="1">
      <c r="A4547" s="697">
        <f t="shared" si="683"/>
        <v>14</v>
      </c>
      <c r="B4547" s="698" t="s">
        <v>3377</v>
      </c>
      <c r="C4547" s="949" t="s">
        <v>218</v>
      </c>
      <c r="D4547" s="700">
        <f t="shared" si="682"/>
        <v>1328.5</v>
      </c>
      <c r="E4547" s="651">
        <v>531.4</v>
      </c>
      <c r="F4547" s="651" t="s">
        <v>223</v>
      </c>
      <c r="G4547" s="688">
        <v>780</v>
      </c>
      <c r="H4547" s="701">
        <v>2</v>
      </c>
      <c r="I4547" s="701">
        <v>2</v>
      </c>
      <c r="J4547" s="701">
        <v>16</v>
      </c>
      <c r="K4547" s="697" t="s">
        <v>33</v>
      </c>
      <c r="L4547" s="650">
        <f t="shared" si="679"/>
        <v>2020980</v>
      </c>
      <c r="M4547" s="650">
        <v>1950000</v>
      </c>
      <c r="N4547" s="688">
        <v>29250</v>
      </c>
      <c r="O4547" s="703"/>
      <c r="P4547" s="651"/>
      <c r="Q4547" s="388">
        <v>41730</v>
      </c>
      <c r="R4547" s="689">
        <f t="shared" si="680"/>
        <v>2500</v>
      </c>
      <c r="S4547" s="435"/>
      <c r="T4547" s="406">
        <f t="shared" si="681"/>
        <v>0</v>
      </c>
      <c r="U4547" s="436"/>
      <c r="V4547" s="435"/>
      <c r="W4547" s="435"/>
      <c r="X4547" s="435"/>
      <c r="Y4547" s="435"/>
      <c r="Z4547" s="435"/>
      <c r="AA4547" s="435"/>
      <c r="AB4547" s="435"/>
      <c r="AC4547" s="435"/>
      <c r="AD4547" s="435"/>
      <c r="AE4547" s="435"/>
      <c r="AF4547" s="435"/>
      <c r="AG4547" s="435"/>
      <c r="AH4547" s="435"/>
      <c r="AI4547" s="435"/>
      <c r="AJ4547" s="435"/>
      <c r="AK4547" s="435"/>
      <c r="AL4547" s="435"/>
      <c r="AM4547" s="435"/>
      <c r="AN4547" s="435"/>
      <c r="AO4547" s="435"/>
      <c r="AP4547" s="435"/>
      <c r="AQ4547" s="435"/>
      <c r="AR4547" s="435"/>
      <c r="AS4547" s="435"/>
      <c r="AT4547" s="435"/>
      <c r="AU4547" s="435"/>
      <c r="AV4547" s="435"/>
      <c r="AW4547" s="435"/>
      <c r="AX4547" s="435"/>
      <c r="AY4547" s="435"/>
      <c r="AZ4547" s="435"/>
      <c r="BA4547" s="435"/>
      <c r="BB4547" s="435"/>
      <c r="BC4547" s="435"/>
      <c r="BD4547" s="435"/>
      <c r="BE4547" s="435"/>
      <c r="BF4547" s="435"/>
      <c r="BG4547" s="435"/>
      <c r="BH4547" s="435"/>
      <c r="BI4547" s="435"/>
      <c r="BJ4547" s="435"/>
      <c r="BK4547" s="435"/>
      <c r="BL4547" s="435"/>
      <c r="BM4547" s="435"/>
      <c r="BN4547" s="435"/>
      <c r="BO4547" s="435"/>
      <c r="BP4547" s="435"/>
      <c r="BQ4547" s="435"/>
      <c r="BR4547" s="435"/>
      <c r="BS4547" s="435"/>
      <c r="BT4547" s="435"/>
      <c r="BU4547" s="435"/>
      <c r="BV4547" s="435"/>
      <c r="BW4547" s="435"/>
      <c r="BX4547" s="435"/>
      <c r="BY4547" s="435"/>
      <c r="BZ4547" s="435"/>
      <c r="CA4547" s="435"/>
      <c r="CB4547" s="435"/>
      <c r="CC4547" s="435"/>
      <c r="CD4547" s="435"/>
      <c r="CE4547" s="435"/>
      <c r="CF4547" s="435"/>
      <c r="CG4547" s="435"/>
      <c r="CH4547" s="435"/>
      <c r="CI4547" s="435"/>
      <c r="CJ4547" s="435"/>
      <c r="CK4547" s="435"/>
      <c r="CL4547" s="435"/>
      <c r="CM4547" s="435"/>
      <c r="CN4547" s="435"/>
      <c r="CO4547" s="435"/>
      <c r="CP4547" s="435"/>
      <c r="CQ4547" s="435"/>
      <c r="CR4547" s="435"/>
      <c r="CS4547" s="435"/>
      <c r="CT4547" s="435"/>
      <c r="CU4547" s="435"/>
      <c r="CV4547" s="435"/>
      <c r="CW4547" s="435"/>
      <c r="CX4547" s="435"/>
      <c r="CY4547" s="435"/>
      <c r="CZ4547" s="435"/>
      <c r="DA4547" s="435"/>
      <c r="DB4547" s="435"/>
      <c r="DC4547" s="435"/>
      <c r="DD4547" s="435"/>
      <c r="DE4547" s="435"/>
      <c r="DF4547" s="435"/>
      <c r="DG4547" s="435"/>
      <c r="DH4547" s="435"/>
      <c r="DI4547" s="435"/>
      <c r="DJ4547" s="435"/>
      <c r="DK4547" s="435"/>
      <c r="DL4547" s="435"/>
      <c r="DM4547" s="435"/>
      <c r="DN4547" s="435"/>
      <c r="DO4547" s="435"/>
      <c r="DP4547" s="435"/>
      <c r="DQ4547" s="435"/>
      <c r="DR4547" s="435"/>
      <c r="DS4547" s="435"/>
      <c r="DT4547" s="435"/>
      <c r="DU4547" s="435"/>
      <c r="DV4547" s="435"/>
      <c r="DW4547" s="435"/>
      <c r="DX4547" s="435"/>
      <c r="DY4547" s="435"/>
      <c r="DZ4547" s="435"/>
      <c r="EA4547" s="435"/>
      <c r="EB4547" s="435"/>
      <c r="EC4547" s="435"/>
      <c r="ED4547" s="435"/>
      <c r="EE4547" s="435"/>
      <c r="EF4547" s="435"/>
      <c r="EG4547" s="435"/>
      <c r="EH4547" s="435"/>
      <c r="EI4547" s="435"/>
      <c r="EJ4547" s="435"/>
      <c r="EK4547" s="435"/>
      <c r="EL4547" s="435"/>
      <c r="EM4547" s="435"/>
      <c r="EN4547" s="435"/>
      <c r="EO4547" s="435"/>
      <c r="EP4547" s="435"/>
      <c r="EQ4547" s="435"/>
      <c r="ER4547" s="435"/>
      <c r="ES4547" s="435"/>
      <c r="ET4547" s="435"/>
      <c r="EU4547" s="435"/>
      <c r="EV4547" s="435"/>
      <c r="EW4547" s="435"/>
      <c r="EX4547" s="435"/>
      <c r="EY4547" s="435"/>
      <c r="EZ4547" s="435"/>
      <c r="FA4547" s="435"/>
      <c r="FB4547" s="435"/>
      <c r="FC4547" s="435"/>
      <c r="FD4547" s="435"/>
      <c r="FE4547" s="435"/>
      <c r="FF4547" s="435"/>
      <c r="FG4547" s="435"/>
      <c r="FH4547" s="435"/>
      <c r="FI4547" s="435"/>
      <c r="FJ4547" s="435"/>
      <c r="FK4547" s="435"/>
      <c r="FL4547" s="435"/>
      <c r="FM4547" s="435"/>
      <c r="FN4547" s="435"/>
      <c r="FO4547" s="435"/>
      <c r="FP4547" s="435"/>
      <c r="FQ4547" s="435"/>
      <c r="FR4547" s="435"/>
      <c r="FS4547" s="435"/>
      <c r="FT4547" s="435"/>
      <c r="FU4547" s="435"/>
      <c r="FV4547" s="435"/>
      <c r="FW4547" s="435"/>
      <c r="FX4547" s="435"/>
      <c r="FY4547" s="435"/>
      <c r="FZ4547" s="435"/>
      <c r="GA4547" s="435"/>
      <c r="GB4547" s="435"/>
      <c r="GC4547" s="435"/>
      <c r="GD4547" s="435"/>
      <c r="GE4547" s="435"/>
      <c r="GF4547" s="435"/>
      <c r="GG4547" s="435"/>
      <c r="GH4547" s="435"/>
      <c r="GI4547" s="435"/>
      <c r="GJ4547" s="435"/>
      <c r="GK4547" s="435"/>
      <c r="GL4547" s="435"/>
      <c r="GM4547" s="435"/>
      <c r="GN4547" s="435"/>
      <c r="GO4547" s="435"/>
      <c r="GP4547" s="435"/>
      <c r="GQ4547" s="435"/>
      <c r="GR4547" s="435"/>
      <c r="GS4547" s="435"/>
      <c r="GT4547" s="435"/>
      <c r="GU4547" s="435"/>
      <c r="GV4547" s="435"/>
      <c r="GW4547" s="435"/>
      <c r="GX4547" s="435"/>
      <c r="GY4547" s="435"/>
      <c r="GZ4547" s="435"/>
      <c r="HA4547" s="435"/>
      <c r="HB4547" s="435"/>
    </row>
    <row r="4548" spans="1:210" s="420" customFormat="1" ht="37.5" customHeight="1">
      <c r="A4548" s="697">
        <f t="shared" si="683"/>
        <v>15</v>
      </c>
      <c r="B4548" s="698" t="s">
        <v>3378</v>
      </c>
      <c r="C4548" s="949" t="s">
        <v>218</v>
      </c>
      <c r="D4548" s="700">
        <f>E4548*2.5</f>
        <v>1361</v>
      </c>
      <c r="E4548" s="651">
        <v>544.4</v>
      </c>
      <c r="F4548" s="651" t="s">
        <v>223</v>
      </c>
      <c r="G4548" s="688">
        <v>880</v>
      </c>
      <c r="H4548" s="701">
        <v>2</v>
      </c>
      <c r="I4548" s="701">
        <v>2</v>
      </c>
      <c r="J4548" s="701">
        <v>16</v>
      </c>
      <c r="K4548" s="697" t="s">
        <v>33</v>
      </c>
      <c r="L4548" s="650">
        <f t="shared" si="679"/>
        <v>2280080</v>
      </c>
      <c r="M4548" s="650">
        <v>2200000</v>
      </c>
      <c r="N4548" s="688">
        <v>33000</v>
      </c>
      <c r="O4548" s="703"/>
      <c r="P4548" s="651"/>
      <c r="Q4548" s="388">
        <v>47080</v>
      </c>
      <c r="R4548" s="689">
        <f t="shared" si="680"/>
        <v>2500</v>
      </c>
      <c r="S4548" s="435"/>
      <c r="T4548" s="406">
        <f t="shared" si="681"/>
        <v>0</v>
      </c>
      <c r="U4548" s="436"/>
      <c r="V4548" s="435"/>
      <c r="W4548" s="435"/>
      <c r="X4548" s="435"/>
      <c r="Y4548" s="435"/>
      <c r="Z4548" s="435"/>
      <c r="AA4548" s="435"/>
      <c r="AB4548" s="435"/>
      <c r="AC4548" s="435"/>
      <c r="AD4548" s="435"/>
      <c r="AE4548" s="435"/>
      <c r="AF4548" s="435"/>
      <c r="AG4548" s="435"/>
      <c r="AH4548" s="435"/>
      <c r="AI4548" s="435"/>
      <c r="AJ4548" s="435"/>
      <c r="AK4548" s="435"/>
      <c r="AL4548" s="435"/>
      <c r="AM4548" s="435"/>
      <c r="AN4548" s="435"/>
      <c r="AO4548" s="435"/>
      <c r="AP4548" s="435"/>
      <c r="AQ4548" s="435"/>
      <c r="AR4548" s="435"/>
      <c r="AS4548" s="435"/>
      <c r="AT4548" s="435"/>
      <c r="AU4548" s="435"/>
      <c r="AV4548" s="435"/>
      <c r="AW4548" s="435"/>
      <c r="AX4548" s="435"/>
      <c r="AY4548" s="435"/>
      <c r="AZ4548" s="435"/>
      <c r="BA4548" s="435"/>
      <c r="BB4548" s="435"/>
      <c r="BC4548" s="435"/>
      <c r="BD4548" s="435"/>
      <c r="BE4548" s="435"/>
      <c r="BF4548" s="435"/>
      <c r="BG4548" s="435"/>
      <c r="BH4548" s="435"/>
      <c r="BI4548" s="435"/>
      <c r="BJ4548" s="435"/>
      <c r="BK4548" s="435"/>
      <c r="BL4548" s="435"/>
      <c r="BM4548" s="435"/>
      <c r="BN4548" s="435"/>
      <c r="BO4548" s="435"/>
      <c r="BP4548" s="435"/>
      <c r="BQ4548" s="435"/>
      <c r="BR4548" s="435"/>
      <c r="BS4548" s="435"/>
      <c r="BT4548" s="435"/>
      <c r="BU4548" s="435"/>
      <c r="BV4548" s="435"/>
      <c r="BW4548" s="435"/>
      <c r="BX4548" s="435"/>
      <c r="BY4548" s="435"/>
      <c r="BZ4548" s="435"/>
      <c r="CA4548" s="435"/>
      <c r="CB4548" s="435"/>
      <c r="CC4548" s="435"/>
      <c r="CD4548" s="435"/>
      <c r="CE4548" s="435"/>
      <c r="CF4548" s="435"/>
      <c r="CG4548" s="435"/>
      <c r="CH4548" s="435"/>
      <c r="CI4548" s="435"/>
      <c r="CJ4548" s="435"/>
      <c r="CK4548" s="435"/>
      <c r="CL4548" s="435"/>
      <c r="CM4548" s="435"/>
      <c r="CN4548" s="435"/>
      <c r="CO4548" s="435"/>
      <c r="CP4548" s="435"/>
      <c r="CQ4548" s="435"/>
      <c r="CR4548" s="435"/>
      <c r="CS4548" s="435"/>
      <c r="CT4548" s="435"/>
      <c r="CU4548" s="435"/>
      <c r="CV4548" s="435"/>
      <c r="CW4548" s="435"/>
      <c r="CX4548" s="435"/>
      <c r="CY4548" s="435"/>
      <c r="CZ4548" s="435"/>
      <c r="DA4548" s="435"/>
      <c r="DB4548" s="435"/>
      <c r="DC4548" s="435"/>
      <c r="DD4548" s="435"/>
      <c r="DE4548" s="435"/>
      <c r="DF4548" s="435"/>
      <c r="DG4548" s="435"/>
      <c r="DH4548" s="435"/>
      <c r="DI4548" s="435"/>
      <c r="DJ4548" s="435"/>
      <c r="DK4548" s="435"/>
      <c r="DL4548" s="435"/>
      <c r="DM4548" s="435"/>
      <c r="DN4548" s="435"/>
      <c r="DO4548" s="435"/>
      <c r="DP4548" s="435"/>
      <c r="DQ4548" s="435"/>
      <c r="DR4548" s="435"/>
      <c r="DS4548" s="435"/>
      <c r="DT4548" s="435"/>
      <c r="DU4548" s="435"/>
      <c r="DV4548" s="435"/>
      <c r="DW4548" s="435"/>
      <c r="DX4548" s="435"/>
      <c r="DY4548" s="435"/>
      <c r="DZ4548" s="435"/>
      <c r="EA4548" s="435"/>
      <c r="EB4548" s="435"/>
      <c r="EC4548" s="435"/>
      <c r="ED4548" s="435"/>
      <c r="EE4548" s="435"/>
      <c r="EF4548" s="435"/>
      <c r="EG4548" s="435"/>
      <c r="EH4548" s="435"/>
      <c r="EI4548" s="435"/>
      <c r="EJ4548" s="435"/>
      <c r="EK4548" s="435"/>
      <c r="EL4548" s="435"/>
      <c r="EM4548" s="435"/>
      <c r="EN4548" s="435"/>
      <c r="EO4548" s="435"/>
      <c r="EP4548" s="435"/>
      <c r="EQ4548" s="435"/>
      <c r="ER4548" s="435"/>
      <c r="ES4548" s="435"/>
      <c r="ET4548" s="435"/>
      <c r="EU4548" s="435"/>
      <c r="EV4548" s="435"/>
      <c r="EW4548" s="435"/>
      <c r="EX4548" s="435"/>
      <c r="EY4548" s="435"/>
      <c r="EZ4548" s="435"/>
      <c r="FA4548" s="435"/>
      <c r="FB4548" s="435"/>
      <c r="FC4548" s="435"/>
      <c r="FD4548" s="435"/>
      <c r="FE4548" s="435"/>
      <c r="FF4548" s="435"/>
      <c r="FG4548" s="435"/>
      <c r="FH4548" s="435"/>
      <c r="FI4548" s="435"/>
      <c r="FJ4548" s="435"/>
      <c r="FK4548" s="435"/>
      <c r="FL4548" s="435"/>
      <c r="FM4548" s="435"/>
      <c r="FN4548" s="435"/>
      <c r="FO4548" s="435"/>
      <c r="FP4548" s="435"/>
      <c r="FQ4548" s="435"/>
      <c r="FR4548" s="435"/>
      <c r="FS4548" s="435"/>
      <c r="FT4548" s="435"/>
      <c r="FU4548" s="435"/>
      <c r="FV4548" s="435"/>
      <c r="FW4548" s="435"/>
      <c r="FX4548" s="435"/>
      <c r="FY4548" s="435"/>
      <c r="FZ4548" s="435"/>
      <c r="GA4548" s="435"/>
      <c r="GB4548" s="435"/>
      <c r="GC4548" s="435"/>
      <c r="GD4548" s="435"/>
      <c r="GE4548" s="435"/>
      <c r="GF4548" s="435"/>
      <c r="GG4548" s="435"/>
      <c r="GH4548" s="435"/>
      <c r="GI4548" s="435"/>
      <c r="GJ4548" s="435"/>
      <c r="GK4548" s="435"/>
      <c r="GL4548" s="435"/>
      <c r="GM4548" s="435"/>
      <c r="GN4548" s="435"/>
      <c r="GO4548" s="435"/>
      <c r="GP4548" s="435"/>
      <c r="GQ4548" s="435"/>
      <c r="GR4548" s="435"/>
      <c r="GS4548" s="435"/>
      <c r="GT4548" s="435"/>
      <c r="GU4548" s="435"/>
      <c r="GV4548" s="435"/>
      <c r="GW4548" s="435"/>
      <c r="GX4548" s="435"/>
      <c r="GY4548" s="435"/>
      <c r="GZ4548" s="435"/>
      <c r="HA4548" s="435"/>
      <c r="HB4548" s="435"/>
    </row>
    <row r="4549" spans="1:210" s="1005" customFormat="1" ht="37.5" customHeight="1">
      <c r="A4549" s="697">
        <f t="shared" si="683"/>
        <v>16</v>
      </c>
      <c r="B4549" s="950" t="s">
        <v>3872</v>
      </c>
      <c r="C4549" s="951" t="s">
        <v>218</v>
      </c>
      <c r="D4549" s="952">
        <f>168*13*24</f>
        <v>52416</v>
      </c>
      <c r="E4549" s="688">
        <f>(168+13)*2*24</f>
        <v>8688</v>
      </c>
      <c r="F4549" s="651" t="s">
        <v>224</v>
      </c>
      <c r="G4549" s="688">
        <f>168*13</f>
        <v>2184</v>
      </c>
      <c r="H4549" s="701">
        <v>9</v>
      </c>
      <c r="I4549" s="701">
        <v>6</v>
      </c>
      <c r="J4549" s="701">
        <v>225</v>
      </c>
      <c r="K4549" s="697" t="s">
        <v>33</v>
      </c>
      <c r="L4549" s="650">
        <f t="shared" si="679"/>
        <v>5593224</v>
      </c>
      <c r="M4549" s="650">
        <v>5460000</v>
      </c>
      <c r="N4549" s="688"/>
      <c r="O4549" s="703">
        <v>16380</v>
      </c>
      <c r="P4549" s="651"/>
      <c r="Q4549" s="388">
        <v>116844</v>
      </c>
      <c r="R4549" s="689">
        <f t="shared" si="680"/>
        <v>2500</v>
      </c>
      <c r="S4549" s="825"/>
      <c r="T4549" s="406">
        <f t="shared" si="681"/>
        <v>0</v>
      </c>
      <c r="U4549" s="435"/>
      <c r="V4549" s="516"/>
      <c r="W4549" s="516"/>
      <c r="X4549" s="516"/>
      <c r="Y4549" s="516"/>
      <c r="Z4549" s="516"/>
      <c r="AA4549" s="516"/>
      <c r="AB4549" s="516"/>
      <c r="AC4549" s="516"/>
      <c r="AD4549" s="516"/>
      <c r="AE4549" s="516"/>
      <c r="AF4549" s="516"/>
      <c r="AG4549" s="516"/>
      <c r="AH4549" s="516"/>
      <c r="AI4549" s="516"/>
      <c r="AJ4549" s="516"/>
      <c r="AK4549" s="516"/>
      <c r="AL4549" s="516"/>
      <c r="AM4549" s="516"/>
      <c r="AN4549" s="516"/>
      <c r="AO4549" s="516"/>
      <c r="AP4549" s="516"/>
      <c r="AQ4549" s="516"/>
      <c r="AR4549" s="516"/>
      <c r="AS4549" s="516"/>
      <c r="AT4549" s="516"/>
      <c r="AU4549" s="516"/>
      <c r="AV4549" s="516"/>
      <c r="AW4549" s="516"/>
      <c r="AX4549" s="516"/>
      <c r="AY4549" s="516"/>
      <c r="AZ4549" s="516"/>
      <c r="BA4549" s="516"/>
      <c r="BB4549" s="516"/>
      <c r="BC4549" s="516"/>
      <c r="BD4549" s="516"/>
      <c r="BE4549" s="516"/>
      <c r="BF4549" s="516"/>
      <c r="BG4549" s="516"/>
      <c r="BH4549" s="516"/>
      <c r="BI4549" s="516"/>
      <c r="BJ4549" s="516"/>
      <c r="BK4549" s="516"/>
      <c r="BL4549" s="516"/>
      <c r="BM4549" s="516"/>
      <c r="BN4549" s="516"/>
      <c r="BO4549" s="516"/>
      <c r="BP4549" s="516"/>
      <c r="BQ4549" s="516"/>
      <c r="BR4549" s="516"/>
      <c r="BS4549" s="516"/>
      <c r="BT4549" s="516"/>
      <c r="BU4549" s="516"/>
      <c r="BV4549" s="516"/>
      <c r="BW4549" s="516"/>
      <c r="BX4549" s="516"/>
      <c r="BY4549" s="516"/>
      <c r="BZ4549" s="516"/>
      <c r="CA4549" s="516"/>
      <c r="CB4549" s="516"/>
      <c r="CC4549" s="516"/>
      <c r="CD4549" s="516"/>
      <c r="CE4549" s="516"/>
      <c r="CF4549" s="516"/>
      <c r="CG4549" s="516"/>
      <c r="CH4549" s="516"/>
      <c r="CI4549" s="516"/>
      <c r="CJ4549" s="516"/>
      <c r="CK4549" s="516"/>
      <c r="CL4549" s="516"/>
      <c r="CM4549" s="516"/>
      <c r="CN4549" s="516"/>
      <c r="CO4549" s="516"/>
      <c r="CP4549" s="516"/>
      <c r="CQ4549" s="516"/>
      <c r="CR4549" s="516"/>
      <c r="CS4549" s="516"/>
      <c r="CT4549" s="516"/>
      <c r="CU4549" s="516"/>
      <c r="CV4549" s="516"/>
      <c r="CW4549" s="516"/>
      <c r="CX4549" s="516"/>
      <c r="CY4549" s="516"/>
      <c r="CZ4549" s="516"/>
      <c r="DA4549" s="516"/>
      <c r="DB4549" s="516"/>
      <c r="DC4549" s="516"/>
      <c r="DD4549" s="516"/>
      <c r="DE4549" s="516"/>
      <c r="DF4549" s="516"/>
      <c r="DG4549" s="516"/>
      <c r="DH4549" s="516"/>
      <c r="DI4549" s="516"/>
      <c r="DJ4549" s="516"/>
      <c r="DK4549" s="516"/>
      <c r="DL4549" s="516"/>
      <c r="DM4549" s="516"/>
      <c r="DN4549" s="516"/>
      <c r="DO4549" s="516"/>
      <c r="DP4549" s="516"/>
      <c r="DQ4549" s="516"/>
      <c r="DR4549" s="516"/>
      <c r="DS4549" s="516"/>
      <c r="DT4549" s="516"/>
      <c r="DU4549" s="516"/>
      <c r="DV4549" s="516"/>
      <c r="DW4549" s="516"/>
      <c r="DX4549" s="516"/>
      <c r="DY4549" s="516"/>
      <c r="DZ4549" s="516"/>
      <c r="EA4549" s="516"/>
      <c r="EB4549" s="516"/>
      <c r="EC4549" s="516"/>
      <c r="ED4549" s="516"/>
      <c r="EE4549" s="516"/>
      <c r="EF4549" s="516"/>
      <c r="EG4549" s="516"/>
      <c r="EH4549" s="516"/>
      <c r="EI4549" s="516"/>
      <c r="EJ4549" s="516"/>
      <c r="EK4549" s="516"/>
      <c r="EL4549" s="516"/>
      <c r="EM4549" s="516"/>
      <c r="EN4549" s="516"/>
      <c r="EO4549" s="516"/>
      <c r="EP4549" s="516"/>
      <c r="EQ4549" s="516"/>
      <c r="ER4549" s="516"/>
      <c r="ES4549" s="516"/>
      <c r="ET4549" s="516"/>
      <c r="EU4549" s="516"/>
      <c r="EV4549" s="516"/>
      <c r="EW4549" s="516"/>
      <c r="EX4549" s="516"/>
      <c r="EY4549" s="516"/>
      <c r="EZ4549" s="516"/>
      <c r="FA4549" s="516"/>
      <c r="FB4549" s="516"/>
      <c r="FC4549" s="516"/>
      <c r="FD4549" s="516"/>
      <c r="FE4549" s="516"/>
      <c r="FF4549" s="516"/>
      <c r="FG4549" s="516"/>
      <c r="FH4549" s="516"/>
      <c r="FI4549" s="516"/>
      <c r="FJ4549" s="516"/>
      <c r="FK4549" s="516"/>
      <c r="FL4549" s="516"/>
      <c r="FM4549" s="516"/>
      <c r="FN4549" s="516"/>
      <c r="FO4549" s="516"/>
      <c r="FP4549" s="516"/>
      <c r="FQ4549" s="516"/>
      <c r="FR4549" s="516"/>
      <c r="FS4549" s="516"/>
      <c r="FT4549" s="516"/>
      <c r="FU4549" s="516"/>
      <c r="FV4549" s="516"/>
      <c r="FW4549" s="516"/>
      <c r="FX4549" s="516"/>
      <c r="FY4549" s="516"/>
      <c r="FZ4549" s="516"/>
      <c r="GA4549" s="516"/>
      <c r="GB4549" s="516"/>
      <c r="GC4549" s="516"/>
      <c r="GD4549" s="516"/>
      <c r="GE4549" s="516"/>
      <c r="GF4549" s="516"/>
      <c r="GG4549" s="516"/>
      <c r="GH4549" s="516"/>
      <c r="GI4549" s="516"/>
      <c r="GJ4549" s="516"/>
      <c r="GK4549" s="516"/>
      <c r="GL4549" s="516"/>
      <c r="GM4549" s="516"/>
      <c r="GN4549" s="516"/>
      <c r="GO4549" s="516"/>
      <c r="GP4549" s="516"/>
      <c r="GQ4549" s="516"/>
      <c r="GR4549" s="516"/>
      <c r="GS4549" s="516"/>
      <c r="GT4549" s="516"/>
      <c r="GU4549" s="516"/>
      <c r="GV4549" s="516"/>
      <c r="GW4549" s="516"/>
      <c r="GX4549" s="516"/>
      <c r="GY4549" s="516"/>
      <c r="GZ4549" s="516"/>
      <c r="HA4549" s="516"/>
    </row>
    <row r="4550" spans="1:210" s="403" customFormat="1" ht="42.75" customHeight="1">
      <c r="A4550" s="1112" t="s">
        <v>34</v>
      </c>
      <c r="B4550" s="1112"/>
      <c r="C4550" s="455" t="s">
        <v>28</v>
      </c>
      <c r="D4550" s="641">
        <f>SUM(D4534:D4549)</f>
        <v>72125.899999999994</v>
      </c>
      <c r="E4550" s="388">
        <f>SUM(E4534:E4549)</f>
        <v>16491.8</v>
      </c>
      <c r="F4550" s="388" t="s">
        <v>28</v>
      </c>
      <c r="G4550" s="388">
        <f>SUM(G4534:G4549)</f>
        <v>12250.54</v>
      </c>
      <c r="H4550" s="446" t="s">
        <v>28</v>
      </c>
      <c r="I4550" s="446" t="s">
        <v>28</v>
      </c>
      <c r="J4550" s="446">
        <f>SUM(J4534:J4549)</f>
        <v>450</v>
      </c>
      <c r="K4550" s="458" t="s">
        <v>28</v>
      </c>
      <c r="L4550" s="519">
        <f t="shared" ref="L4550:Q4550" si="684">SUM(L4534:L4549)</f>
        <v>31251401</v>
      </c>
      <c r="M4550" s="519">
        <f t="shared" si="684"/>
        <v>30187550</v>
      </c>
      <c r="N4550" s="388">
        <f t="shared" si="684"/>
        <v>399381</v>
      </c>
      <c r="O4550" s="473">
        <f t="shared" si="684"/>
        <v>18454</v>
      </c>
      <c r="P4550" s="388">
        <f t="shared" si="684"/>
        <v>0</v>
      </c>
      <c r="Q4550" s="388">
        <f t="shared" si="684"/>
        <v>646016</v>
      </c>
      <c r="R4550" s="446" t="s">
        <v>28</v>
      </c>
      <c r="T4550" s="406">
        <f t="shared" si="681"/>
        <v>0</v>
      </c>
      <c r="U4550" s="390"/>
    </row>
    <row r="4551" spans="1:210" s="403" customFormat="1" ht="42.75" customHeight="1">
      <c r="A4551" s="1113" t="s">
        <v>57</v>
      </c>
      <c r="B4551" s="1113"/>
      <c r="C4551" s="1113"/>
      <c r="D4551" s="1113"/>
      <c r="E4551" s="1113"/>
      <c r="F4551" s="1113"/>
      <c r="G4551" s="1113"/>
      <c r="H4551" s="1113"/>
      <c r="I4551" s="1113"/>
      <c r="J4551" s="1113"/>
      <c r="K4551" s="1113"/>
      <c r="L4551" s="1113"/>
      <c r="M4551" s="1113"/>
      <c r="N4551" s="1113"/>
      <c r="O4551" s="1113"/>
      <c r="P4551" s="1113"/>
      <c r="Q4551" s="1113"/>
      <c r="R4551" s="458"/>
      <c r="T4551" s="406">
        <f t="shared" si="681"/>
        <v>0</v>
      </c>
      <c r="U4551" s="404"/>
    </row>
    <row r="4552" spans="1:210" s="424" customFormat="1" ht="75" customHeight="1">
      <c r="A4552" s="682">
        <v>1</v>
      </c>
      <c r="B4552" s="424" t="s">
        <v>3379</v>
      </c>
      <c r="C4552" s="455" t="s">
        <v>222</v>
      </c>
      <c r="D4552" s="681">
        <v>3601</v>
      </c>
      <c r="E4552" s="646">
        <v>694</v>
      </c>
      <c r="F4552" s="646" t="s">
        <v>223</v>
      </c>
      <c r="G4552" s="646">
        <v>787</v>
      </c>
      <c r="H4552" s="648">
        <v>2</v>
      </c>
      <c r="I4552" s="648">
        <v>3</v>
      </c>
      <c r="J4552" s="648">
        <v>18</v>
      </c>
      <c r="K4552" s="458" t="s">
        <v>274</v>
      </c>
      <c r="L4552" s="519">
        <f>M4552+N4552+O4552+P4552+Q4552</f>
        <v>460980</v>
      </c>
      <c r="M4552" s="519">
        <v>450000</v>
      </c>
      <c r="N4552" s="388"/>
      <c r="O4552" s="643">
        <v>1350</v>
      </c>
      <c r="P4552" s="388"/>
      <c r="Q4552" s="388">
        <v>9630</v>
      </c>
      <c r="R4552" s="648">
        <f>M4552/J4552</f>
        <v>25000</v>
      </c>
      <c r="T4552" s="406">
        <f t="shared" si="681"/>
        <v>0</v>
      </c>
      <c r="U4552" s="426"/>
    </row>
    <row r="4553" spans="1:210" s="403" customFormat="1" ht="75" customHeight="1">
      <c r="A4553" s="458">
        <f>A4552+1</f>
        <v>2</v>
      </c>
      <c r="B4553" s="403" t="s">
        <v>3380</v>
      </c>
      <c r="C4553" s="648" t="s">
        <v>222</v>
      </c>
      <c r="D4553" s="641">
        <f>E4553*3</f>
        <v>1028.0999999999999</v>
      </c>
      <c r="E4553" s="388">
        <v>342.7</v>
      </c>
      <c r="F4553" s="646" t="s">
        <v>223</v>
      </c>
      <c r="G4553" s="388">
        <v>431</v>
      </c>
      <c r="H4553" s="446">
        <v>2</v>
      </c>
      <c r="I4553" s="446">
        <v>1</v>
      </c>
      <c r="J4553" s="446">
        <v>8</v>
      </c>
      <c r="K4553" s="458" t="s">
        <v>256</v>
      </c>
      <c r="L4553" s="519">
        <f>M4553+N4553+O4553+P4553+Q4553</f>
        <v>1127497</v>
      </c>
      <c r="M4553" s="519">
        <v>1077500</v>
      </c>
      <c r="N4553" s="388">
        <v>26938</v>
      </c>
      <c r="O4553" s="473"/>
      <c r="P4553" s="388"/>
      <c r="Q4553" s="388">
        <v>23059</v>
      </c>
      <c r="R4553" s="528">
        <f>M4553/G4553</f>
        <v>2500</v>
      </c>
      <c r="T4553" s="406">
        <f t="shared" si="681"/>
        <v>0</v>
      </c>
      <c r="U4553" s="404"/>
    </row>
    <row r="4554" spans="1:210" s="424" customFormat="1" ht="56.25" customHeight="1">
      <c r="A4554" s="458">
        <f>A4553+1</f>
        <v>3</v>
      </c>
      <c r="B4554" s="424" t="s">
        <v>3381</v>
      </c>
      <c r="C4554" s="648" t="s">
        <v>222</v>
      </c>
      <c r="D4554" s="681">
        <f>E4554*3</f>
        <v>1173.51</v>
      </c>
      <c r="E4554" s="646">
        <v>391.17</v>
      </c>
      <c r="F4554" s="646" t="s">
        <v>223</v>
      </c>
      <c r="G4554" s="646">
        <v>311.27999999999997</v>
      </c>
      <c r="H4554" s="648">
        <v>2</v>
      </c>
      <c r="I4554" s="648">
        <v>2</v>
      </c>
      <c r="J4554" s="648">
        <v>8</v>
      </c>
      <c r="K4554" s="682" t="s">
        <v>30</v>
      </c>
      <c r="L4554" s="645">
        <f>M4554+N4554+O4554+P4554+Q4554</f>
        <v>188490</v>
      </c>
      <c r="M4554" s="645">
        <v>184000</v>
      </c>
      <c r="N4554" s="646"/>
      <c r="O4554" s="647">
        <v>552</v>
      </c>
      <c r="P4554" s="646"/>
      <c r="Q4554" s="727">
        <v>3938</v>
      </c>
      <c r="R4554" s="648">
        <f>M4554/J4554</f>
        <v>23000</v>
      </c>
      <c r="T4554" s="406">
        <f t="shared" si="681"/>
        <v>0</v>
      </c>
      <c r="U4554" s="426"/>
    </row>
    <row r="4555" spans="1:210" s="424" customFormat="1" ht="75" customHeight="1">
      <c r="A4555" s="458">
        <f>A4554+1</f>
        <v>4</v>
      </c>
      <c r="B4555" s="403" t="s">
        <v>3382</v>
      </c>
      <c r="C4555" s="648" t="s">
        <v>222</v>
      </c>
      <c r="D4555" s="641">
        <v>2513.1999999999998</v>
      </c>
      <c r="E4555" s="388">
        <v>644.4</v>
      </c>
      <c r="F4555" s="646" t="s">
        <v>223</v>
      </c>
      <c r="G4555" s="388">
        <v>684.5</v>
      </c>
      <c r="H4555" s="446">
        <v>2</v>
      </c>
      <c r="I4555" s="446">
        <v>3</v>
      </c>
      <c r="J4555" s="446">
        <v>18</v>
      </c>
      <c r="K4555" s="458" t="s">
        <v>418</v>
      </c>
      <c r="L4555" s="519">
        <f>M4555+N4555+O4555+P4555+Q4555</f>
        <v>460980</v>
      </c>
      <c r="M4555" s="519">
        <v>450000</v>
      </c>
      <c r="N4555" s="388"/>
      <c r="O4555" s="643">
        <v>1350</v>
      </c>
      <c r="P4555" s="388"/>
      <c r="Q4555" s="388">
        <v>9630</v>
      </c>
      <c r="R4555" s="648">
        <f>M4555/J4555</f>
        <v>25000</v>
      </c>
      <c r="T4555" s="406">
        <f t="shared" si="681"/>
        <v>0</v>
      </c>
      <c r="U4555" s="390"/>
    </row>
    <row r="4556" spans="1:210" s="424" customFormat="1" ht="75" customHeight="1">
      <c r="A4556" s="458">
        <f>A4555+1</f>
        <v>5</v>
      </c>
      <c r="B4556" s="424" t="s">
        <v>3383</v>
      </c>
      <c r="C4556" s="648" t="s">
        <v>222</v>
      </c>
      <c r="D4556" s="681">
        <v>2508</v>
      </c>
      <c r="E4556" s="646">
        <v>600.6</v>
      </c>
      <c r="F4556" s="646" t="s">
        <v>223</v>
      </c>
      <c r="G4556" s="646">
        <v>651</v>
      </c>
      <c r="H4556" s="648">
        <v>2</v>
      </c>
      <c r="I4556" s="648">
        <v>2</v>
      </c>
      <c r="J4556" s="648">
        <v>16</v>
      </c>
      <c r="K4556" s="458" t="s">
        <v>418</v>
      </c>
      <c r="L4556" s="519">
        <f>M4556+N4556+O4556+P4556+Q4556</f>
        <v>409760</v>
      </c>
      <c r="M4556" s="645">
        <v>400000</v>
      </c>
      <c r="N4556" s="646"/>
      <c r="O4556" s="643">
        <v>1200</v>
      </c>
      <c r="P4556" s="646"/>
      <c r="Q4556" s="388">
        <v>8560</v>
      </c>
      <c r="R4556" s="648">
        <f>M4556/J4556</f>
        <v>25000</v>
      </c>
      <c r="T4556" s="406">
        <f t="shared" si="681"/>
        <v>0</v>
      </c>
      <c r="U4556" s="390"/>
    </row>
    <row r="4557" spans="1:210" s="403" customFormat="1" ht="42.75" customHeight="1">
      <c r="A4557" s="1112" t="s">
        <v>58</v>
      </c>
      <c r="B4557" s="1112"/>
      <c r="C4557" s="455" t="s">
        <v>28</v>
      </c>
      <c r="D4557" s="641">
        <f>SUM(D4552:D4556)</f>
        <v>10823.810000000001</v>
      </c>
      <c r="E4557" s="388">
        <f>SUM(E4552:E4556)</f>
        <v>2672.87</v>
      </c>
      <c r="F4557" s="388" t="s">
        <v>28</v>
      </c>
      <c r="G4557" s="388">
        <f>SUM(G4552:G4556)</f>
        <v>2864.7799999999997</v>
      </c>
      <c r="H4557" s="446" t="s">
        <v>28</v>
      </c>
      <c r="I4557" s="446" t="s">
        <v>28</v>
      </c>
      <c r="J4557" s="446">
        <f>SUM(J4552:J4556)</f>
        <v>68</v>
      </c>
      <c r="K4557" s="458" t="s">
        <v>28</v>
      </c>
      <c r="L4557" s="519">
        <f t="shared" ref="L4557:Q4557" si="685">SUM(L4552:L4556)</f>
        <v>2647707</v>
      </c>
      <c r="M4557" s="519">
        <f t="shared" si="685"/>
        <v>2561500</v>
      </c>
      <c r="N4557" s="388">
        <f t="shared" si="685"/>
        <v>26938</v>
      </c>
      <c r="O4557" s="473">
        <f t="shared" si="685"/>
        <v>4452</v>
      </c>
      <c r="P4557" s="388">
        <f t="shared" si="685"/>
        <v>0</v>
      </c>
      <c r="Q4557" s="388">
        <f t="shared" si="685"/>
        <v>54817</v>
      </c>
      <c r="R4557" s="446" t="s">
        <v>28</v>
      </c>
      <c r="T4557" s="406">
        <f t="shared" si="681"/>
        <v>0</v>
      </c>
      <c r="U4557" s="404"/>
    </row>
    <row r="4558" spans="1:210" s="403" customFormat="1" ht="42.75" customHeight="1">
      <c r="A4558" s="1113" t="s">
        <v>59</v>
      </c>
      <c r="B4558" s="1113"/>
      <c r="C4558" s="1113"/>
      <c r="D4558" s="1113"/>
      <c r="E4558" s="1113"/>
      <c r="F4558" s="1113"/>
      <c r="G4558" s="1113"/>
      <c r="H4558" s="1113"/>
      <c r="I4558" s="1113"/>
      <c r="J4558" s="1113"/>
      <c r="K4558" s="1113"/>
      <c r="L4558" s="1113"/>
      <c r="M4558" s="1113"/>
      <c r="N4558" s="1113"/>
      <c r="O4558" s="1113"/>
      <c r="P4558" s="1113"/>
      <c r="Q4558" s="1113"/>
      <c r="R4558" s="458"/>
      <c r="T4558" s="406">
        <f t="shared" si="681"/>
        <v>0</v>
      </c>
      <c r="U4558" s="404"/>
    </row>
    <row r="4559" spans="1:210" s="403" customFormat="1" ht="75" customHeight="1">
      <c r="A4559" s="704">
        <v>1</v>
      </c>
      <c r="B4559" s="705" t="s">
        <v>3384</v>
      </c>
      <c r="C4559" s="706" t="s">
        <v>222</v>
      </c>
      <c r="D4559" s="707">
        <f>E4559*2.95</f>
        <v>1876.2</v>
      </c>
      <c r="E4559" s="902">
        <f>((20*I4559)+13)*2*3*H4559</f>
        <v>636</v>
      </c>
      <c r="F4559" s="388" t="s">
        <v>223</v>
      </c>
      <c r="G4559" s="902">
        <v>715</v>
      </c>
      <c r="H4559" s="708">
        <v>2</v>
      </c>
      <c r="I4559" s="708">
        <v>2</v>
      </c>
      <c r="J4559" s="708">
        <v>13</v>
      </c>
      <c r="K4559" s="709" t="s">
        <v>3767</v>
      </c>
      <c r="L4559" s="650">
        <f>M4559+N4559+O4559+Q4559</f>
        <v>1489202</v>
      </c>
      <c r="M4559" s="519">
        <v>1430000</v>
      </c>
      <c r="N4559" s="688">
        <v>28600</v>
      </c>
      <c r="O4559" s="703"/>
      <c r="P4559" s="688"/>
      <c r="Q4559" s="388">
        <v>30602</v>
      </c>
      <c r="R4559" s="446">
        <f>M4559/G4559</f>
        <v>2000</v>
      </c>
      <c r="T4559" s="406">
        <f t="shared" si="681"/>
        <v>0</v>
      </c>
      <c r="U4559" s="464">
        <f>L4559-M4559-N4559-O4559-Q4559</f>
        <v>0</v>
      </c>
    </row>
    <row r="4560" spans="1:210" s="403" customFormat="1" ht="37.5" customHeight="1">
      <c r="A4560" s="704">
        <f>A4559+1</f>
        <v>2</v>
      </c>
      <c r="B4560" s="705" t="s">
        <v>3387</v>
      </c>
      <c r="C4560" s="953" t="s">
        <v>222</v>
      </c>
      <c r="D4560" s="954">
        <v>1227.6000000000001</v>
      </c>
      <c r="E4560" s="388">
        <v>409.20000000000005</v>
      </c>
      <c r="F4560" s="388" t="s">
        <v>223</v>
      </c>
      <c r="G4560" s="644">
        <v>1010</v>
      </c>
      <c r="H4560" s="955">
        <v>2</v>
      </c>
      <c r="I4560" s="955">
        <v>1</v>
      </c>
      <c r="J4560" s="955">
        <v>33</v>
      </c>
      <c r="K4560" s="642" t="s">
        <v>33</v>
      </c>
      <c r="L4560" s="650">
        <f>M4560+N4560+O4560+Q4560</f>
        <v>2093528</v>
      </c>
      <c r="M4560" s="519">
        <v>2020000</v>
      </c>
      <c r="N4560" s="388">
        <v>30300</v>
      </c>
      <c r="O4560" s="473"/>
      <c r="P4560" s="388"/>
      <c r="Q4560" s="388">
        <v>43228</v>
      </c>
      <c r="R4560" s="446">
        <f>M4560/G4560</f>
        <v>2000</v>
      </c>
      <c r="T4560" s="406">
        <f>L4560-M4560-N4560-O4560-Q4560</f>
        <v>0</v>
      </c>
      <c r="U4560" s="404"/>
    </row>
    <row r="4561" spans="1:21" s="403" customFormat="1" ht="37.5" customHeight="1">
      <c r="A4561" s="704">
        <f>A4560+1</f>
        <v>3</v>
      </c>
      <c r="B4561" s="705" t="s">
        <v>1958</v>
      </c>
      <c r="C4561" s="953" t="s">
        <v>222</v>
      </c>
      <c r="D4561" s="954">
        <v>1841.4</v>
      </c>
      <c r="E4561" s="388">
        <v>613.80000000000007</v>
      </c>
      <c r="F4561" s="388" t="s">
        <v>223</v>
      </c>
      <c r="G4561" s="644">
        <v>748.8</v>
      </c>
      <c r="H4561" s="955">
        <v>3</v>
      </c>
      <c r="I4561" s="955">
        <v>1</v>
      </c>
      <c r="J4561" s="955">
        <v>61</v>
      </c>
      <c r="K4561" s="642" t="s">
        <v>33</v>
      </c>
      <c r="L4561" s="650">
        <f>M4561+N4561+O4561+Q4561</f>
        <v>1856696.91</v>
      </c>
      <c r="M4561" s="651">
        <v>1822340</v>
      </c>
      <c r="N4561" s="688">
        <v>25385</v>
      </c>
      <c r="O4561" s="688"/>
      <c r="P4561" s="688"/>
      <c r="Q4561" s="388">
        <v>8971.91</v>
      </c>
      <c r="R4561" s="446"/>
      <c r="T4561" s="406"/>
      <c r="U4561" s="404"/>
    </row>
    <row r="4562" spans="1:21" s="403" customFormat="1" ht="64.5" customHeight="1">
      <c r="A4562" s="704">
        <f>A4561+1</f>
        <v>4</v>
      </c>
      <c r="B4562" s="705" t="s">
        <v>2889</v>
      </c>
      <c r="C4562" s="953" t="s">
        <v>222</v>
      </c>
      <c r="D4562" s="954">
        <v>1876.2</v>
      </c>
      <c r="E4562" s="388">
        <v>636</v>
      </c>
      <c r="F4562" s="388" t="s">
        <v>223</v>
      </c>
      <c r="G4562" s="644">
        <v>635</v>
      </c>
      <c r="H4562" s="955">
        <v>2</v>
      </c>
      <c r="I4562" s="955">
        <v>2</v>
      </c>
      <c r="J4562" s="955">
        <v>22</v>
      </c>
      <c r="K4562" s="642" t="s">
        <v>3767</v>
      </c>
      <c r="L4562" s="650">
        <f>M4562+N4562+O4562+Q4562</f>
        <v>1822840</v>
      </c>
      <c r="M4562" s="519">
        <v>1778000</v>
      </c>
      <c r="N4562" s="388">
        <v>35560</v>
      </c>
      <c r="O4562" s="473"/>
      <c r="P4562" s="388"/>
      <c r="Q4562" s="388">
        <v>9280</v>
      </c>
      <c r="R4562" s="446">
        <v>2800</v>
      </c>
      <c r="T4562" s="406"/>
      <c r="U4562" s="404"/>
    </row>
    <row r="4563" spans="1:21" s="403" customFormat="1" ht="42.75" customHeight="1">
      <c r="A4563" s="1112" t="s">
        <v>60</v>
      </c>
      <c r="B4563" s="1112"/>
      <c r="C4563" s="388" t="s">
        <v>28</v>
      </c>
      <c r="D4563" s="641">
        <f>SUM(D4559:D4562)</f>
        <v>6821.4000000000005</v>
      </c>
      <c r="E4563" s="388">
        <f>SUM(E4559:E4562)</f>
        <v>2295</v>
      </c>
      <c r="F4563" s="388" t="s">
        <v>28</v>
      </c>
      <c r="G4563" s="388">
        <f>SUM(G4559:G4562)</f>
        <v>3108.8</v>
      </c>
      <c r="H4563" s="446" t="s">
        <v>28</v>
      </c>
      <c r="I4563" s="446" t="s">
        <v>28</v>
      </c>
      <c r="J4563" s="446">
        <f>SUM(J4559:J4562)</f>
        <v>129</v>
      </c>
      <c r="K4563" s="389" t="s">
        <v>28</v>
      </c>
      <c r="L4563" s="519">
        <f>SUM(L4559:L4562)</f>
        <v>7262266.9100000001</v>
      </c>
      <c r="M4563" s="519">
        <f>SUM(M4559:M4562)</f>
        <v>7050340</v>
      </c>
      <c r="N4563" s="388">
        <f>SUM(N4559:N4562)</f>
        <v>119845</v>
      </c>
      <c r="O4563" s="473"/>
      <c r="P4563" s="388"/>
      <c r="Q4563" s="388">
        <f>SUM(Q4559:Q4562)</f>
        <v>92081.91</v>
      </c>
      <c r="R4563" s="446" t="s">
        <v>28</v>
      </c>
      <c r="T4563" s="406">
        <f t="shared" si="681"/>
        <v>1.4551915228366852E-10</v>
      </c>
      <c r="U4563" s="404"/>
    </row>
    <row r="4564" spans="1:21" s="403" customFormat="1" ht="42.75" customHeight="1">
      <c r="A4564" s="1113" t="s">
        <v>61</v>
      </c>
      <c r="B4564" s="1113"/>
      <c r="C4564" s="1113"/>
      <c r="D4564" s="1113"/>
      <c r="E4564" s="1113"/>
      <c r="F4564" s="1113"/>
      <c r="G4564" s="1113"/>
      <c r="H4564" s="1113"/>
      <c r="I4564" s="1113"/>
      <c r="J4564" s="1113"/>
      <c r="K4564" s="1113"/>
      <c r="L4564" s="1113"/>
      <c r="M4564" s="1113"/>
      <c r="N4564" s="1113"/>
      <c r="O4564" s="1113"/>
      <c r="P4564" s="1113"/>
      <c r="Q4564" s="1113"/>
      <c r="R4564" s="458"/>
      <c r="T4564" s="406">
        <f t="shared" ref="T4564:T4572" si="686">L4564-M4564-N4564-O4564-Q4564</f>
        <v>0</v>
      </c>
      <c r="U4564" s="404"/>
    </row>
    <row r="4565" spans="1:21" s="403" customFormat="1" ht="37.5" customHeight="1">
      <c r="A4565" s="458">
        <v>1</v>
      </c>
      <c r="B4565" s="403" t="s">
        <v>3389</v>
      </c>
      <c r="C4565" s="648" t="s">
        <v>222</v>
      </c>
      <c r="D4565" s="641">
        <v>1500.8</v>
      </c>
      <c r="E4565" s="388">
        <v>536</v>
      </c>
      <c r="F4565" s="646" t="s">
        <v>242</v>
      </c>
      <c r="G4565" s="388">
        <v>943.80000000000007</v>
      </c>
      <c r="H4565" s="446">
        <v>2</v>
      </c>
      <c r="I4565" s="446">
        <v>3</v>
      </c>
      <c r="J4565" s="446">
        <v>12</v>
      </c>
      <c r="K4565" s="458" t="s">
        <v>235</v>
      </c>
      <c r="L4565" s="519">
        <f>M4565+N4565+O4565+P4565+Q4565</f>
        <v>2738832</v>
      </c>
      <c r="M4565" s="519">
        <v>2642640</v>
      </c>
      <c r="N4565" s="388">
        <v>39640</v>
      </c>
      <c r="O4565" s="473"/>
      <c r="P4565" s="388"/>
      <c r="Q4565" s="388">
        <v>56552</v>
      </c>
      <c r="R4565" s="446">
        <f>M4565/G4565</f>
        <v>2800</v>
      </c>
      <c r="T4565" s="406">
        <f t="shared" si="686"/>
        <v>0</v>
      </c>
      <c r="U4565" s="404"/>
    </row>
    <row r="4566" spans="1:21" s="403" customFormat="1" ht="37.5" customHeight="1">
      <c r="A4566" s="458">
        <v>2</v>
      </c>
      <c r="B4566" s="403" t="s">
        <v>3388</v>
      </c>
      <c r="C4566" s="648" t="s">
        <v>222</v>
      </c>
      <c r="D4566" s="641">
        <v>672</v>
      </c>
      <c r="E4566" s="388">
        <v>240</v>
      </c>
      <c r="F4566" s="646" t="s">
        <v>242</v>
      </c>
      <c r="G4566" s="388">
        <v>514</v>
      </c>
      <c r="H4566" s="446">
        <v>2</v>
      </c>
      <c r="I4566" s="446">
        <v>1</v>
      </c>
      <c r="J4566" s="446">
        <v>16</v>
      </c>
      <c r="K4566" s="458" t="s">
        <v>33</v>
      </c>
      <c r="L4566" s="519">
        <f>M4566+N4566+O4566+P4566+Q4566</f>
        <v>1498783</v>
      </c>
      <c r="M4566" s="519">
        <v>1439200</v>
      </c>
      <c r="N4566" s="388">
        <v>28784</v>
      </c>
      <c r="O4566" s="473"/>
      <c r="P4566" s="388"/>
      <c r="Q4566" s="388">
        <v>30799</v>
      </c>
      <c r="R4566" s="446">
        <f>M4566/G4566</f>
        <v>2800</v>
      </c>
      <c r="T4566" s="406">
        <f t="shared" si="686"/>
        <v>0</v>
      </c>
      <c r="U4566" s="404"/>
    </row>
    <row r="4567" spans="1:21" s="403" customFormat="1" ht="37.5" customHeight="1">
      <c r="A4567" s="458">
        <v>3</v>
      </c>
      <c r="B4567" s="403" t="s">
        <v>3539</v>
      </c>
      <c r="C4567" s="648" t="s">
        <v>222</v>
      </c>
      <c r="D4567" s="641">
        <v>2772</v>
      </c>
      <c r="E4567" s="388">
        <v>924</v>
      </c>
      <c r="F4567" s="646" t="s">
        <v>242</v>
      </c>
      <c r="G4567" s="388">
        <v>598</v>
      </c>
      <c r="H4567" s="446">
        <v>3</v>
      </c>
      <c r="I4567" s="446">
        <v>1</v>
      </c>
      <c r="J4567" s="446">
        <v>24</v>
      </c>
      <c r="K4567" s="458" t="s">
        <v>33</v>
      </c>
      <c r="L4567" s="519">
        <f>M4567+N4567+O4567+P4567+Q4567</f>
        <v>1735348</v>
      </c>
      <c r="M4567" s="519">
        <v>1674400</v>
      </c>
      <c r="N4567" s="388">
        <v>25116</v>
      </c>
      <c r="O4567" s="473"/>
      <c r="P4567" s="388"/>
      <c r="Q4567" s="388">
        <v>35832</v>
      </c>
      <c r="R4567" s="528">
        <f>M4567/G4567</f>
        <v>2800</v>
      </c>
      <c r="T4567" s="406">
        <f t="shared" si="686"/>
        <v>0</v>
      </c>
      <c r="U4567" s="404"/>
    </row>
    <row r="4568" spans="1:21" s="403" customFormat="1" ht="37.5" customHeight="1">
      <c r="A4568" s="458">
        <v>4</v>
      </c>
      <c r="B4568" s="403" t="s">
        <v>3540</v>
      </c>
      <c r="C4568" s="648" t="s">
        <v>222</v>
      </c>
      <c r="D4568" s="641">
        <v>31200</v>
      </c>
      <c r="E4568" s="388">
        <v>5724</v>
      </c>
      <c r="F4568" s="646" t="s">
        <v>224</v>
      </c>
      <c r="G4568" s="388">
        <v>2600</v>
      </c>
      <c r="H4568" s="446">
        <v>5</v>
      </c>
      <c r="I4568" s="446">
        <v>10</v>
      </c>
      <c r="J4568" s="446">
        <v>120</v>
      </c>
      <c r="K4568" s="458" t="s">
        <v>33</v>
      </c>
      <c r="L4568" s="519">
        <f>M4568+N4568+O4568+P4568+Q4568</f>
        <v>5859568</v>
      </c>
      <c r="M4568" s="519">
        <v>5720000</v>
      </c>
      <c r="N4568" s="388"/>
      <c r="O4568" s="473">
        <v>17160</v>
      </c>
      <c r="P4568" s="388"/>
      <c r="Q4568" s="388">
        <v>122408</v>
      </c>
      <c r="R4568" s="528">
        <f>M4568/G4568</f>
        <v>2200</v>
      </c>
      <c r="T4568" s="406">
        <f t="shared" si="686"/>
        <v>0</v>
      </c>
      <c r="U4568" s="404"/>
    </row>
    <row r="4569" spans="1:21" s="403" customFormat="1" ht="42.75" customHeight="1">
      <c r="A4569" s="1112" t="s">
        <v>62</v>
      </c>
      <c r="B4569" s="1112"/>
      <c r="C4569" s="455" t="s">
        <v>28</v>
      </c>
      <c r="D4569" s="641">
        <f>SUM(D4565:D4568)</f>
        <v>36144.800000000003</v>
      </c>
      <c r="E4569" s="388">
        <f>SUM(E4565:E4568)</f>
        <v>7424</v>
      </c>
      <c r="F4569" s="388" t="s">
        <v>28</v>
      </c>
      <c r="G4569" s="388">
        <f>SUM(G4565:G4568)</f>
        <v>4655.8</v>
      </c>
      <c r="H4569" s="446" t="s">
        <v>28</v>
      </c>
      <c r="I4569" s="446" t="s">
        <v>28</v>
      </c>
      <c r="J4569" s="446">
        <f>SUM(J4565:J4568)</f>
        <v>172</v>
      </c>
      <c r="K4569" s="670" t="s">
        <v>28</v>
      </c>
      <c r="L4569" s="519">
        <f>SUM(L4565:L4568)</f>
        <v>11832531</v>
      </c>
      <c r="M4569" s="519">
        <f>SUM(M4565:M4568)</f>
        <v>11476240</v>
      </c>
      <c r="N4569" s="388">
        <f>SUM(N4565:N4568)</f>
        <v>93540</v>
      </c>
      <c r="O4569" s="473">
        <f>SUM(O4565:O4568)</f>
        <v>17160</v>
      </c>
      <c r="P4569" s="388"/>
      <c r="Q4569" s="388">
        <f>SUM(Q4565:Q4568)</f>
        <v>245591</v>
      </c>
      <c r="R4569" s="446" t="s">
        <v>28</v>
      </c>
      <c r="T4569" s="406">
        <f t="shared" si="686"/>
        <v>0</v>
      </c>
      <c r="U4569" s="404"/>
    </row>
    <row r="4570" spans="1:21" s="403" customFormat="1" ht="42.75" customHeight="1">
      <c r="A4570" s="1113" t="s">
        <v>63</v>
      </c>
      <c r="B4570" s="1113"/>
      <c r="C4570" s="1113"/>
      <c r="D4570" s="1113"/>
      <c r="E4570" s="1113"/>
      <c r="F4570" s="1113"/>
      <c r="G4570" s="1113"/>
      <c r="H4570" s="1113"/>
      <c r="I4570" s="1113"/>
      <c r="J4570" s="1113"/>
      <c r="K4570" s="1113"/>
      <c r="L4570" s="1113"/>
      <c r="M4570" s="1113"/>
      <c r="N4570" s="1113"/>
      <c r="O4570" s="1113"/>
      <c r="P4570" s="1113"/>
      <c r="Q4570" s="1113"/>
      <c r="R4570" s="458"/>
      <c r="T4570" s="406">
        <f t="shared" si="686"/>
        <v>0</v>
      </c>
      <c r="U4570" s="404"/>
    </row>
    <row r="4571" spans="1:21" s="424" customFormat="1" ht="37.5" customHeight="1">
      <c r="A4571" s="682">
        <v>1</v>
      </c>
      <c r="B4571" s="733" t="s">
        <v>3391</v>
      </c>
      <c r="C4571" s="648" t="s">
        <v>222</v>
      </c>
      <c r="D4571" s="681">
        <v>2904</v>
      </c>
      <c r="E4571" s="646">
        <v>571.98</v>
      </c>
      <c r="F4571" s="646" t="s">
        <v>223</v>
      </c>
      <c r="G4571" s="646">
        <v>709.47</v>
      </c>
      <c r="H4571" s="648">
        <v>2</v>
      </c>
      <c r="I4571" s="648">
        <v>2</v>
      </c>
      <c r="J4571" s="648">
        <v>23</v>
      </c>
      <c r="K4571" s="642" t="s">
        <v>33</v>
      </c>
      <c r="L4571" s="519">
        <f>M4571+N4571+O4571+P4571+Q4571</f>
        <v>1838237</v>
      </c>
      <c r="M4571" s="519">
        <v>1773675</v>
      </c>
      <c r="N4571" s="388">
        <v>26605</v>
      </c>
      <c r="O4571" s="385"/>
      <c r="P4571" s="383"/>
      <c r="Q4571" s="388">
        <v>37957</v>
      </c>
      <c r="R4571" s="446">
        <f>M4571/G4571</f>
        <v>2500</v>
      </c>
      <c r="T4571" s="406">
        <f t="shared" si="686"/>
        <v>0</v>
      </c>
      <c r="U4571" s="426"/>
    </row>
    <row r="4572" spans="1:21" s="424" customFormat="1" ht="37.5" customHeight="1">
      <c r="A4572" s="682">
        <v>2</v>
      </c>
      <c r="B4572" s="733" t="s">
        <v>3392</v>
      </c>
      <c r="C4572" s="648" t="s">
        <v>218</v>
      </c>
      <c r="D4572" s="681">
        <v>2896.3</v>
      </c>
      <c r="E4572" s="646">
        <v>569.9</v>
      </c>
      <c r="F4572" s="646" t="s">
        <v>242</v>
      </c>
      <c r="G4572" s="646">
        <v>984.08</v>
      </c>
      <c r="H4572" s="648">
        <v>2</v>
      </c>
      <c r="I4572" s="648">
        <v>3</v>
      </c>
      <c r="J4572" s="648">
        <v>22</v>
      </c>
      <c r="K4572" s="642" t="s">
        <v>33</v>
      </c>
      <c r="L4572" s="519">
        <f>M4572+N4572+O4572+P4572+Q4572</f>
        <v>2549751</v>
      </c>
      <c r="M4572" s="519">
        <v>2460200</v>
      </c>
      <c r="N4572" s="388">
        <v>36903</v>
      </c>
      <c r="O4572" s="385"/>
      <c r="P4572" s="383"/>
      <c r="Q4572" s="388">
        <v>52648</v>
      </c>
      <c r="R4572" s="446">
        <f>M4572/G4572</f>
        <v>2500</v>
      </c>
      <c r="T4572" s="406">
        <f t="shared" si="686"/>
        <v>0</v>
      </c>
      <c r="U4572" s="426"/>
    </row>
    <row r="4573" spans="1:21" s="424" customFormat="1" ht="37.5" customHeight="1">
      <c r="A4573" s="682">
        <v>3</v>
      </c>
      <c r="B4573" s="493" t="s">
        <v>4189</v>
      </c>
      <c r="C4573" s="503" t="s">
        <v>222</v>
      </c>
      <c r="D4573" s="956">
        <f>13*57.9*6</f>
        <v>4516.2</v>
      </c>
      <c r="E4573" s="646">
        <f>(13+57.9)*2*6</f>
        <v>850.80000000000007</v>
      </c>
      <c r="F4573" s="646" t="s">
        <v>242</v>
      </c>
      <c r="G4573" s="646">
        <f>13*57.9*1.3</f>
        <v>978.51</v>
      </c>
      <c r="H4573" s="648">
        <v>2</v>
      </c>
      <c r="I4573" s="648">
        <v>2</v>
      </c>
      <c r="J4573" s="648">
        <v>22</v>
      </c>
      <c r="K4573" s="642" t="s">
        <v>33</v>
      </c>
      <c r="L4573" s="519">
        <f>M4573+N4573+O4573+P4573+Q4573</f>
        <v>2535319</v>
      </c>
      <c r="M4573" s="519">
        <v>2446275</v>
      </c>
      <c r="N4573" s="388">
        <v>36694</v>
      </c>
      <c r="O4573" s="385"/>
      <c r="P4573" s="383"/>
      <c r="Q4573" s="388">
        <v>52350</v>
      </c>
      <c r="R4573" s="446">
        <v>2500</v>
      </c>
      <c r="T4573" s="406"/>
      <c r="U4573" s="426"/>
    </row>
    <row r="4574" spans="1:21" s="403" customFormat="1" ht="42.75" customHeight="1">
      <c r="A4574" s="1112" t="s">
        <v>64</v>
      </c>
      <c r="B4574" s="1112"/>
      <c r="C4574" s="455" t="s">
        <v>28</v>
      </c>
      <c r="D4574" s="641">
        <f>SUM(D4571:D4573)</f>
        <v>10316.5</v>
      </c>
      <c r="E4574" s="388">
        <f>SUM(E4571:E4573)</f>
        <v>1992.6800000000003</v>
      </c>
      <c r="F4574" s="388" t="s">
        <v>28</v>
      </c>
      <c r="G4574" s="388">
        <f>SUM(G4571:G4573)</f>
        <v>2672.0600000000004</v>
      </c>
      <c r="H4574" s="446" t="s">
        <v>28</v>
      </c>
      <c r="I4574" s="446" t="s">
        <v>28</v>
      </c>
      <c r="J4574" s="446">
        <f>SUM(J4571:J4573)</f>
        <v>67</v>
      </c>
      <c r="K4574" s="670" t="s">
        <v>28</v>
      </c>
      <c r="L4574" s="519">
        <f>SUM(L4571:L4573)</f>
        <v>6923307</v>
      </c>
      <c r="M4574" s="519">
        <f>SUM(M4571:M4573)</f>
        <v>6680150</v>
      </c>
      <c r="N4574" s="388">
        <f>SUM(N4571:N4573)</f>
        <v>100202</v>
      </c>
      <c r="O4574" s="473">
        <f>SUM(O4571:O4573)</f>
        <v>0</v>
      </c>
      <c r="P4574" s="388"/>
      <c r="Q4574" s="388">
        <f>SUM(Q4571:Q4573)</f>
        <v>142955</v>
      </c>
      <c r="R4574" s="446" t="s">
        <v>28</v>
      </c>
      <c r="T4574" s="406">
        <f>L4574-M4574-N4574-O4574-Q4574</f>
        <v>0</v>
      </c>
      <c r="U4574" s="404"/>
    </row>
    <row r="4575" spans="1:21" s="403" customFormat="1" ht="42.75" customHeight="1">
      <c r="A4575" s="1113" t="s">
        <v>65</v>
      </c>
      <c r="B4575" s="1113"/>
      <c r="C4575" s="1113"/>
      <c r="D4575" s="1113"/>
      <c r="E4575" s="1113"/>
      <c r="F4575" s="1113"/>
      <c r="G4575" s="1113"/>
      <c r="H4575" s="1113"/>
      <c r="I4575" s="1113"/>
      <c r="J4575" s="1113"/>
      <c r="K4575" s="1113"/>
      <c r="L4575" s="1113"/>
      <c r="M4575" s="1113"/>
      <c r="N4575" s="1113"/>
      <c r="O4575" s="1113"/>
      <c r="P4575" s="1113"/>
      <c r="Q4575" s="1113"/>
      <c r="R4575" s="458"/>
      <c r="T4575" s="406">
        <f>L4575-M4575-N4575-O4575-Q4575</f>
        <v>0</v>
      </c>
      <c r="U4575" s="404"/>
    </row>
    <row r="4576" spans="1:21" s="442" customFormat="1" ht="37.5" customHeight="1">
      <c r="A4576" s="500">
        <v>1</v>
      </c>
      <c r="B4576" s="711" t="s">
        <v>3394</v>
      </c>
      <c r="C4576" s="648" t="s">
        <v>222</v>
      </c>
      <c r="D4576" s="681">
        <v>13452</v>
      </c>
      <c r="E4576" s="646">
        <v>2300</v>
      </c>
      <c r="F4576" s="646" t="s">
        <v>223</v>
      </c>
      <c r="G4576" s="646">
        <f>(20*I4576)*13*1.3</f>
        <v>1352</v>
      </c>
      <c r="H4576" s="648">
        <v>5</v>
      </c>
      <c r="I4576" s="648">
        <v>4</v>
      </c>
      <c r="J4576" s="648">
        <v>66</v>
      </c>
      <c r="K4576" s="458" t="s">
        <v>237</v>
      </c>
      <c r="L4576" s="519">
        <f>M4576+N4576+O4576+P4576+Q4576</f>
        <v>3486132</v>
      </c>
      <c r="M4576" s="645">
        <v>3380000</v>
      </c>
      <c r="N4576" s="388">
        <v>33800</v>
      </c>
      <c r="O4576" s="647"/>
      <c r="P4576" s="646"/>
      <c r="Q4576" s="388">
        <v>72332</v>
      </c>
      <c r="R4576" s="648">
        <f>M4576/G4576</f>
        <v>2500</v>
      </c>
      <c r="T4576" s="406">
        <f>L4576-M4576-N4576-O4576-Q4576</f>
        <v>0</v>
      </c>
    </row>
    <row r="4577" spans="1:21" s="404" customFormat="1" ht="37.5" customHeight="1">
      <c r="A4577" s="500">
        <v>2</v>
      </c>
      <c r="B4577" s="403" t="s">
        <v>3395</v>
      </c>
      <c r="C4577" s="648" t="s">
        <v>222</v>
      </c>
      <c r="D4577" s="606">
        <v>1617</v>
      </c>
      <c r="E4577" s="391">
        <v>539</v>
      </c>
      <c r="F4577" s="694" t="s">
        <v>223</v>
      </c>
      <c r="G4577" s="644">
        <v>640</v>
      </c>
      <c r="H4577" s="446">
        <v>2</v>
      </c>
      <c r="I4577" s="446">
        <v>2</v>
      </c>
      <c r="J4577" s="446">
        <v>12</v>
      </c>
      <c r="K4577" s="458" t="s">
        <v>33</v>
      </c>
      <c r="L4577" s="645">
        <f>M4577+N4577+O4577+P4577+Q4577</f>
        <v>1331152</v>
      </c>
      <c r="M4577" s="645">
        <v>1280000</v>
      </c>
      <c r="N4577" s="646">
        <v>23760</v>
      </c>
      <c r="O4577" s="647"/>
      <c r="P4577" s="646"/>
      <c r="Q4577" s="388">
        <v>27392</v>
      </c>
      <c r="R4577" s="648">
        <f>M4577/J4577</f>
        <v>106666.66666666667</v>
      </c>
    </row>
    <row r="4578" spans="1:21" s="517" customFormat="1" ht="37.5" customHeight="1">
      <c r="A4578" s="682">
        <f>A4577+1</f>
        <v>3</v>
      </c>
      <c r="B4578" s="403" t="s">
        <v>2902</v>
      </c>
      <c r="C4578" s="648" t="s">
        <v>222</v>
      </c>
      <c r="D4578" s="681">
        <v>2211</v>
      </c>
      <c r="E4578" s="646">
        <v>517</v>
      </c>
      <c r="F4578" s="646" t="s">
        <v>223</v>
      </c>
      <c r="G4578" s="644">
        <f>(20*I4578)*13*1.3</f>
        <v>676</v>
      </c>
      <c r="H4578" s="648">
        <v>2</v>
      </c>
      <c r="I4578" s="648">
        <v>2</v>
      </c>
      <c r="J4578" s="648">
        <v>16</v>
      </c>
      <c r="K4578" s="458" t="s">
        <v>33</v>
      </c>
      <c r="L4578" s="645">
        <f>M4578+N4578+O4578+P4578+Q4578</f>
        <v>1619169</v>
      </c>
      <c r="M4578" s="645">
        <v>1554800</v>
      </c>
      <c r="N4578" s="388">
        <v>31096</v>
      </c>
      <c r="O4578" s="647"/>
      <c r="P4578" s="646"/>
      <c r="Q4578" s="388">
        <v>33273</v>
      </c>
      <c r="R4578" s="648">
        <f>M4578/G4578</f>
        <v>2300</v>
      </c>
      <c r="U4578" s="464"/>
    </row>
    <row r="4579" spans="1:21" s="403" customFormat="1" ht="42.75" customHeight="1">
      <c r="A4579" s="1112" t="s">
        <v>66</v>
      </c>
      <c r="B4579" s="1112"/>
      <c r="C4579" s="455" t="s">
        <v>28</v>
      </c>
      <c r="D4579" s="641">
        <f>SUM(D4576:D4578)</f>
        <v>17280</v>
      </c>
      <c r="E4579" s="388">
        <f>SUM(E4576:E4578)</f>
        <v>3356</v>
      </c>
      <c r="F4579" s="388" t="s">
        <v>28</v>
      </c>
      <c r="G4579" s="388">
        <f>SUM(G4576:G4578)</f>
        <v>2668</v>
      </c>
      <c r="H4579" s="446" t="s">
        <v>28</v>
      </c>
      <c r="I4579" s="446" t="s">
        <v>28</v>
      </c>
      <c r="J4579" s="446">
        <f>SUM(J4576:J4578)</f>
        <v>94</v>
      </c>
      <c r="K4579" s="458" t="s">
        <v>28</v>
      </c>
      <c r="L4579" s="519">
        <f>SUM(L4576:L4578)</f>
        <v>6436453</v>
      </c>
      <c r="M4579" s="519">
        <f>SUM(M4576:M4578)</f>
        <v>6214800</v>
      </c>
      <c r="N4579" s="388">
        <f>SUM(N4576:N4578)</f>
        <v>88656</v>
      </c>
      <c r="O4579" s="473">
        <f>SUM(O4576:O4578)</f>
        <v>0</v>
      </c>
      <c r="P4579" s="388"/>
      <c r="Q4579" s="388">
        <f>SUM(Q4576:Q4578)</f>
        <v>132997</v>
      </c>
      <c r="R4579" s="446" t="s">
        <v>28</v>
      </c>
      <c r="T4579" s="406">
        <f t="shared" ref="T4579:T4587" si="687">L4579-M4579-N4579-O4579-Q4579</f>
        <v>0</v>
      </c>
      <c r="U4579" s="404"/>
    </row>
    <row r="4580" spans="1:21" s="403" customFormat="1" ht="42.75" customHeight="1">
      <c r="A4580" s="1113" t="s">
        <v>67</v>
      </c>
      <c r="B4580" s="1113"/>
      <c r="C4580" s="1113"/>
      <c r="D4580" s="1113"/>
      <c r="E4580" s="1113"/>
      <c r="F4580" s="1113"/>
      <c r="G4580" s="1113"/>
      <c r="H4580" s="1113"/>
      <c r="I4580" s="1113"/>
      <c r="J4580" s="1113"/>
      <c r="K4580" s="1113"/>
      <c r="L4580" s="1113"/>
      <c r="M4580" s="1113"/>
      <c r="N4580" s="1113"/>
      <c r="O4580" s="1113"/>
      <c r="P4580" s="1113"/>
      <c r="Q4580" s="1113"/>
      <c r="R4580" s="458"/>
      <c r="T4580" s="406">
        <f t="shared" si="687"/>
        <v>0</v>
      </c>
      <c r="U4580" s="404"/>
    </row>
    <row r="4581" spans="1:21" s="420" customFormat="1" ht="37.5" customHeight="1">
      <c r="A4581" s="458">
        <v>1</v>
      </c>
      <c r="B4581" s="403" t="s">
        <v>3396</v>
      </c>
      <c r="C4581" s="455" t="s">
        <v>222</v>
      </c>
      <c r="D4581" s="606">
        <v>4054.8</v>
      </c>
      <c r="E4581" s="391">
        <v>230</v>
      </c>
      <c r="F4581" s="391" t="s">
        <v>223</v>
      </c>
      <c r="G4581" s="391">
        <v>878</v>
      </c>
      <c r="H4581" s="528">
        <v>2</v>
      </c>
      <c r="I4581" s="528">
        <v>2</v>
      </c>
      <c r="J4581" s="528">
        <v>16</v>
      </c>
      <c r="K4581" s="458" t="s">
        <v>225</v>
      </c>
      <c r="L4581" s="519">
        <f>M4581+N4581+O4581+P4581+Q4581</f>
        <v>380653</v>
      </c>
      <c r="M4581" s="645">
        <v>352000</v>
      </c>
      <c r="N4581" s="388">
        <v>21120</v>
      </c>
      <c r="O4581" s="647"/>
      <c r="P4581" s="646"/>
      <c r="Q4581" s="388">
        <v>7533</v>
      </c>
      <c r="R4581" s="648">
        <f>M4581/J4581</f>
        <v>22000</v>
      </c>
      <c r="T4581" s="406">
        <f t="shared" si="687"/>
        <v>0</v>
      </c>
      <c r="U4581" s="390"/>
    </row>
    <row r="4582" spans="1:21" s="420" customFormat="1" ht="37.5" customHeight="1">
      <c r="A4582" s="458">
        <f>A4581+1</f>
        <v>2</v>
      </c>
      <c r="B4582" s="403" t="s">
        <v>3397</v>
      </c>
      <c r="C4582" s="455" t="s">
        <v>222</v>
      </c>
      <c r="D4582" s="606">
        <v>5656</v>
      </c>
      <c r="E4582" s="391">
        <v>230</v>
      </c>
      <c r="F4582" s="391" t="s">
        <v>223</v>
      </c>
      <c r="G4582" s="391">
        <v>754.2</v>
      </c>
      <c r="H4582" s="528">
        <v>2</v>
      </c>
      <c r="I4582" s="528">
        <v>2</v>
      </c>
      <c r="J4582" s="528">
        <v>10</v>
      </c>
      <c r="K4582" s="458" t="s">
        <v>225</v>
      </c>
      <c r="L4582" s="519">
        <f>M4582+N4582+O4582+P4582+Q4582</f>
        <v>246708</v>
      </c>
      <c r="M4582" s="645">
        <v>220000</v>
      </c>
      <c r="N4582" s="646">
        <v>22000</v>
      </c>
      <c r="O4582" s="647"/>
      <c r="P4582" s="646"/>
      <c r="Q4582" s="388">
        <v>4708</v>
      </c>
      <c r="R4582" s="648">
        <f>M4582/J4582</f>
        <v>22000</v>
      </c>
      <c r="T4582" s="406">
        <f t="shared" si="687"/>
        <v>0</v>
      </c>
      <c r="U4582" s="405"/>
    </row>
    <row r="4583" spans="1:21" s="403" customFormat="1" ht="42.75" customHeight="1">
      <c r="A4583" s="1112" t="s">
        <v>68</v>
      </c>
      <c r="B4583" s="1112"/>
      <c r="C4583" s="455" t="s">
        <v>28</v>
      </c>
      <c r="D4583" s="641">
        <f>SUM(D4581:D4582)</f>
        <v>9710.7999999999993</v>
      </c>
      <c r="E4583" s="388">
        <f>SUM(E4581:E4582)</f>
        <v>460</v>
      </c>
      <c r="F4583" s="388" t="s">
        <v>28</v>
      </c>
      <c r="G4583" s="388">
        <f>SUM(G4581:G4582)</f>
        <v>1632.2</v>
      </c>
      <c r="H4583" s="446" t="s">
        <v>28</v>
      </c>
      <c r="I4583" s="446" t="s">
        <v>28</v>
      </c>
      <c r="J4583" s="446">
        <f>SUM(J4581:J4582)</f>
        <v>26</v>
      </c>
      <c r="K4583" s="458" t="s">
        <v>28</v>
      </c>
      <c r="L4583" s="519">
        <f>SUM(L4581:L4582)</f>
        <v>627361</v>
      </c>
      <c r="M4583" s="519">
        <f>SUM(M4581:M4582)</f>
        <v>572000</v>
      </c>
      <c r="N4583" s="388">
        <f>SUM(N4581:N4582)</f>
        <v>43120</v>
      </c>
      <c r="O4583" s="473"/>
      <c r="P4583" s="388"/>
      <c r="Q4583" s="388">
        <f>SUM(Q4581:Q4582)</f>
        <v>12241</v>
      </c>
      <c r="R4583" s="446" t="s">
        <v>28</v>
      </c>
      <c r="T4583" s="406">
        <f t="shared" si="687"/>
        <v>0</v>
      </c>
      <c r="U4583" s="404"/>
    </row>
    <row r="4584" spans="1:21" s="403" customFormat="1" ht="42.75" customHeight="1">
      <c r="A4584" s="1113" t="s">
        <v>92</v>
      </c>
      <c r="B4584" s="1113"/>
      <c r="C4584" s="1113"/>
      <c r="D4584" s="1113"/>
      <c r="E4584" s="1113"/>
      <c r="F4584" s="1113"/>
      <c r="G4584" s="1113"/>
      <c r="H4584" s="1113"/>
      <c r="I4584" s="1113"/>
      <c r="J4584" s="1113"/>
      <c r="K4584" s="1113"/>
      <c r="L4584" s="1113"/>
      <c r="M4584" s="1113"/>
      <c r="N4584" s="1113"/>
      <c r="O4584" s="1113"/>
      <c r="P4584" s="1113"/>
      <c r="Q4584" s="1113"/>
      <c r="R4584" s="458"/>
      <c r="T4584" s="406">
        <f t="shared" si="687"/>
        <v>0</v>
      </c>
      <c r="U4584" s="404"/>
    </row>
    <row r="4585" spans="1:21" s="424" customFormat="1" ht="37.5">
      <c r="A4585" s="682">
        <v>1</v>
      </c>
      <c r="B4585" s="424" t="s">
        <v>3399</v>
      </c>
      <c r="C4585" s="648" t="s">
        <v>222</v>
      </c>
      <c r="D4585" s="681">
        <v>2086.7024000000001</v>
      </c>
      <c r="E4585" s="646">
        <v>388.108</v>
      </c>
      <c r="F4585" s="646" t="s">
        <v>231</v>
      </c>
      <c r="G4585" s="646">
        <v>639.36925199999996</v>
      </c>
      <c r="H4585" s="648">
        <v>2</v>
      </c>
      <c r="I4585" s="648">
        <v>2</v>
      </c>
      <c r="J4585" s="648">
        <v>12</v>
      </c>
      <c r="K4585" s="682" t="s">
        <v>33</v>
      </c>
      <c r="L4585" s="645">
        <f>M4585+N4585+O4585+P4585+Q4585</f>
        <v>1672590</v>
      </c>
      <c r="M4585" s="645">
        <v>1598423</v>
      </c>
      <c r="N4585" s="646">
        <v>39961</v>
      </c>
      <c r="O4585" s="647"/>
      <c r="P4585" s="646"/>
      <c r="Q4585" s="388">
        <v>34206</v>
      </c>
      <c r="R4585" s="648">
        <f>M4585/G4585</f>
        <v>2499.9997966746141</v>
      </c>
      <c r="T4585" s="406">
        <f t="shared" si="687"/>
        <v>0</v>
      </c>
      <c r="U4585" s="426"/>
    </row>
    <row r="4586" spans="1:21" ht="37.5" customHeight="1">
      <c r="A4586" s="377">
        <f>A4585+1</f>
        <v>2</v>
      </c>
      <c r="B4586" s="381" t="s">
        <v>3400</v>
      </c>
      <c r="C4586" s="382" t="s">
        <v>222</v>
      </c>
      <c r="D4586" s="691">
        <v>2637.1750000000002</v>
      </c>
      <c r="E4586" s="383">
        <v>654.87</v>
      </c>
      <c r="F4586" s="383" t="s">
        <v>223</v>
      </c>
      <c r="G4586" s="383">
        <v>636.99339999999995</v>
      </c>
      <c r="H4586" s="382">
        <v>2</v>
      </c>
      <c r="I4586" s="382">
        <v>2</v>
      </c>
      <c r="J4586" s="382">
        <v>16</v>
      </c>
      <c r="K4586" s="377" t="s">
        <v>33</v>
      </c>
      <c r="L4586" s="519">
        <f>M4586+N4586+O4586+P4586+Q4586</f>
        <v>1650450</v>
      </c>
      <c r="M4586" s="519">
        <v>1592484</v>
      </c>
      <c r="N4586" s="388">
        <v>23887</v>
      </c>
      <c r="Q4586" s="388">
        <v>34079</v>
      </c>
      <c r="R4586" s="446">
        <f>M4586/G4586</f>
        <v>2500.0007849374892</v>
      </c>
      <c r="S4586" s="381"/>
      <c r="T4586" s="406">
        <f t="shared" si="687"/>
        <v>0</v>
      </c>
      <c r="U4586" s="390"/>
    </row>
    <row r="4587" spans="1:21" ht="37.5" customHeight="1">
      <c r="A4587" s="377">
        <f>A4586+1</f>
        <v>3</v>
      </c>
      <c r="B4587" s="381" t="s">
        <v>3401</v>
      </c>
      <c r="C4587" s="382" t="s">
        <v>222</v>
      </c>
      <c r="D4587" s="691">
        <v>2594.7827499999999</v>
      </c>
      <c r="E4587" s="383">
        <v>625.40499999999997</v>
      </c>
      <c r="F4587" s="383" t="s">
        <v>223</v>
      </c>
      <c r="G4587" s="383">
        <v>676</v>
      </c>
      <c r="H4587" s="382">
        <v>2</v>
      </c>
      <c r="I4587" s="382">
        <v>2</v>
      </c>
      <c r="J4587" s="382">
        <v>16</v>
      </c>
      <c r="K4587" s="377" t="s">
        <v>33</v>
      </c>
      <c r="L4587" s="519">
        <f>M4587+N4587+O4587+P4587+Q4587</f>
        <v>1751516</v>
      </c>
      <c r="M4587" s="519">
        <v>1690000</v>
      </c>
      <c r="N4587" s="388">
        <v>25350</v>
      </c>
      <c r="Q4587" s="388">
        <v>36166</v>
      </c>
      <c r="R4587" s="446">
        <f>M4587/G4587</f>
        <v>2500</v>
      </c>
      <c r="S4587" s="381"/>
      <c r="T4587" s="406">
        <f t="shared" si="687"/>
        <v>0</v>
      </c>
    </row>
    <row r="4588" spans="1:21" ht="37.5" customHeight="1">
      <c r="A4588" s="377">
        <f>A4587+1</f>
        <v>4</v>
      </c>
      <c r="B4588" s="381" t="s">
        <v>3835</v>
      </c>
      <c r="C4588" s="382" t="s">
        <v>222</v>
      </c>
      <c r="D4588" s="691">
        <v>2449.5</v>
      </c>
      <c r="E4588" s="383">
        <v>584.40000000000009</v>
      </c>
      <c r="F4588" s="383" t="s">
        <v>223</v>
      </c>
      <c r="G4588" s="383">
        <v>636.87</v>
      </c>
      <c r="H4588" s="382">
        <v>2</v>
      </c>
      <c r="I4588" s="382">
        <v>2</v>
      </c>
      <c r="J4588" s="382">
        <v>12</v>
      </c>
      <c r="K4588" s="377" t="s">
        <v>33</v>
      </c>
      <c r="L4588" s="519">
        <f>M4588+N4588+O4588+P4588+Q4588</f>
        <v>1848146</v>
      </c>
      <c r="M4588" s="519">
        <v>1783236</v>
      </c>
      <c r="N4588" s="388">
        <v>26749</v>
      </c>
      <c r="Q4588" s="388">
        <v>38161</v>
      </c>
      <c r="R4588" s="446"/>
      <c r="S4588" s="381"/>
      <c r="T4588" s="406"/>
    </row>
    <row r="4589" spans="1:21" s="403" customFormat="1" ht="42.75" customHeight="1">
      <c r="A4589" s="1117" t="s">
        <v>279</v>
      </c>
      <c r="B4589" s="1117"/>
      <c r="C4589" s="455" t="s">
        <v>28</v>
      </c>
      <c r="D4589" s="641">
        <f>SUM(D4585:D4588)</f>
        <v>9768.1601499999997</v>
      </c>
      <c r="E4589" s="388">
        <f>SUM(E4585:E4588)</f>
        <v>2252.7830000000004</v>
      </c>
      <c r="F4589" s="388" t="s">
        <v>28</v>
      </c>
      <c r="G4589" s="388">
        <f>SUM(G4585:G4588)</f>
        <v>2589.2326519999997</v>
      </c>
      <c r="H4589" s="446" t="s">
        <v>28</v>
      </c>
      <c r="I4589" s="446" t="s">
        <v>28</v>
      </c>
      <c r="J4589" s="446">
        <f>SUM(J4585:J4588)</f>
        <v>56</v>
      </c>
      <c r="K4589" s="458" t="s">
        <v>28</v>
      </c>
      <c r="L4589" s="519">
        <f>SUM(L4585:L4588)</f>
        <v>6922702</v>
      </c>
      <c r="M4589" s="519">
        <f>SUM(M4585:M4588)</f>
        <v>6664143</v>
      </c>
      <c r="N4589" s="388">
        <f>SUM(N4585:N4588)</f>
        <v>115947</v>
      </c>
      <c r="O4589" s="473"/>
      <c r="P4589" s="388"/>
      <c r="Q4589" s="388">
        <f>SUM(Q4585:Q4588)</f>
        <v>142612</v>
      </c>
      <c r="R4589" s="446" t="s">
        <v>28</v>
      </c>
      <c r="T4589" s="406">
        <f t="shared" ref="T4589:T4603" si="688">L4589-M4589-N4589-O4589-Q4589</f>
        <v>0</v>
      </c>
      <c r="U4589" s="404"/>
    </row>
    <row r="4590" spans="1:21" s="403" customFormat="1" ht="42.75" customHeight="1">
      <c r="A4590" s="1113" t="s">
        <v>69</v>
      </c>
      <c r="B4590" s="1113"/>
      <c r="C4590" s="1113"/>
      <c r="D4590" s="1113"/>
      <c r="E4590" s="1113"/>
      <c r="F4590" s="1113"/>
      <c r="G4590" s="1113"/>
      <c r="H4590" s="1113"/>
      <c r="I4590" s="1113"/>
      <c r="J4590" s="1113"/>
      <c r="K4590" s="1113"/>
      <c r="L4590" s="1113"/>
      <c r="M4590" s="1113"/>
      <c r="N4590" s="1113"/>
      <c r="O4590" s="1113"/>
      <c r="P4590" s="1113"/>
      <c r="Q4590" s="1113"/>
      <c r="R4590" s="458"/>
      <c r="T4590" s="406">
        <f t="shared" si="688"/>
        <v>0</v>
      </c>
      <c r="U4590" s="404"/>
    </row>
    <row r="4591" spans="1:21" s="403" customFormat="1" ht="112.5" customHeight="1">
      <c r="A4591" s="458">
        <v>1</v>
      </c>
      <c r="B4591" s="403" t="s">
        <v>3402</v>
      </c>
      <c r="C4591" s="455" t="s">
        <v>222</v>
      </c>
      <c r="D4591" s="641">
        <v>2191</v>
      </c>
      <c r="E4591" s="388">
        <v>390</v>
      </c>
      <c r="F4591" s="388" t="s">
        <v>229</v>
      </c>
      <c r="G4591" s="388">
        <v>644</v>
      </c>
      <c r="H4591" s="446">
        <v>2</v>
      </c>
      <c r="I4591" s="446">
        <v>2</v>
      </c>
      <c r="J4591" s="446">
        <v>16</v>
      </c>
      <c r="K4591" s="458" t="s">
        <v>280</v>
      </c>
      <c r="L4591" s="519">
        <f>M4591+N4591+O4591+P4591+Q4591</f>
        <v>514272</v>
      </c>
      <c r="M4591" s="519">
        <v>480000</v>
      </c>
      <c r="N4591" s="388">
        <v>24000</v>
      </c>
      <c r="O4591" s="473"/>
      <c r="P4591" s="388"/>
      <c r="Q4591" s="388">
        <v>10272</v>
      </c>
      <c r="R4591" s="446">
        <f>M4591/J4591</f>
        <v>30000</v>
      </c>
      <c r="T4591" s="406">
        <f t="shared" si="688"/>
        <v>0</v>
      </c>
      <c r="U4591" s="404"/>
    </row>
    <row r="4592" spans="1:21" s="403" customFormat="1" ht="56.25" customHeight="1">
      <c r="A4592" s="458">
        <f>A4591+1</f>
        <v>2</v>
      </c>
      <c r="B4592" s="403" t="s">
        <v>3779</v>
      </c>
      <c r="C4592" s="455" t="s">
        <v>222</v>
      </c>
      <c r="D4592" s="641">
        <v>2919</v>
      </c>
      <c r="E4592" s="388">
        <v>391</v>
      </c>
      <c r="F4592" s="388" t="s">
        <v>223</v>
      </c>
      <c r="G4592" s="388">
        <v>652</v>
      </c>
      <c r="H4592" s="446">
        <v>2</v>
      </c>
      <c r="I4592" s="446">
        <v>2</v>
      </c>
      <c r="J4592" s="446">
        <v>16</v>
      </c>
      <c r="K4592" s="458" t="s">
        <v>30</v>
      </c>
      <c r="L4592" s="519">
        <f>M4592+N4592+O4592+P4592+Q4592</f>
        <v>409760</v>
      </c>
      <c r="M4592" s="519">
        <v>400000</v>
      </c>
      <c r="N4592" s="388"/>
      <c r="O4592" s="473">
        <v>1200</v>
      </c>
      <c r="P4592" s="388"/>
      <c r="Q4592" s="388">
        <v>8560</v>
      </c>
      <c r="R4592" s="446">
        <f>M4592/J4592</f>
        <v>25000</v>
      </c>
      <c r="T4592" s="406">
        <f t="shared" si="688"/>
        <v>0</v>
      </c>
      <c r="U4592" s="404"/>
    </row>
    <row r="4593" spans="1:21" s="403" customFormat="1" ht="37.5" customHeight="1">
      <c r="A4593" s="458">
        <f>A4592+1</f>
        <v>3</v>
      </c>
      <c r="B4593" s="403" t="s">
        <v>3541</v>
      </c>
      <c r="C4593" s="455" t="s">
        <v>222</v>
      </c>
      <c r="D4593" s="641">
        <v>2896</v>
      </c>
      <c r="E4593" s="388">
        <v>293</v>
      </c>
      <c r="F4593" s="388" t="s">
        <v>223</v>
      </c>
      <c r="G4593" s="388">
        <v>664</v>
      </c>
      <c r="H4593" s="446">
        <v>2</v>
      </c>
      <c r="I4593" s="446">
        <v>2</v>
      </c>
      <c r="J4593" s="446">
        <v>16</v>
      </c>
      <c r="K4593" s="458" t="s">
        <v>33</v>
      </c>
      <c r="L4593" s="519">
        <f>M4593+N4593+O4593+P4593+Q4593</f>
        <v>1720424</v>
      </c>
      <c r="M4593" s="519">
        <v>1660000</v>
      </c>
      <c r="N4593" s="388">
        <v>24900</v>
      </c>
      <c r="O4593" s="473"/>
      <c r="P4593" s="388"/>
      <c r="Q4593" s="388">
        <v>35524</v>
      </c>
      <c r="R4593" s="528">
        <f>M4593/G4593</f>
        <v>2500</v>
      </c>
      <c r="T4593" s="406">
        <f t="shared" si="688"/>
        <v>0</v>
      </c>
      <c r="U4593" s="404"/>
    </row>
    <row r="4594" spans="1:21" s="403" customFormat="1" ht="37.5" customHeight="1">
      <c r="A4594" s="458">
        <f>A4593+1</f>
        <v>4</v>
      </c>
      <c r="B4594" s="403" t="s">
        <v>3542</v>
      </c>
      <c r="C4594" s="455" t="s">
        <v>222</v>
      </c>
      <c r="D4594" s="641">
        <v>2853</v>
      </c>
      <c r="E4594" s="388">
        <v>289</v>
      </c>
      <c r="F4594" s="388" t="s">
        <v>223</v>
      </c>
      <c r="G4594" s="388">
        <v>656</v>
      </c>
      <c r="H4594" s="446">
        <v>2</v>
      </c>
      <c r="I4594" s="446">
        <v>2</v>
      </c>
      <c r="J4594" s="446">
        <v>16</v>
      </c>
      <c r="K4594" s="458" t="s">
        <v>33</v>
      </c>
      <c r="L4594" s="519">
        <f>M4594+N4594+O4594+P4594+Q4594</f>
        <v>1699696</v>
      </c>
      <c r="M4594" s="519">
        <v>1640000</v>
      </c>
      <c r="N4594" s="388">
        <v>24600</v>
      </c>
      <c r="O4594" s="473"/>
      <c r="P4594" s="388"/>
      <c r="Q4594" s="388">
        <v>35096</v>
      </c>
      <c r="R4594" s="528">
        <f>M4594/G4594</f>
        <v>2500</v>
      </c>
      <c r="T4594" s="406">
        <f t="shared" si="688"/>
        <v>0</v>
      </c>
      <c r="U4594" s="404"/>
    </row>
    <row r="4595" spans="1:21" s="403" customFormat="1" ht="42.75" customHeight="1">
      <c r="A4595" s="1112" t="s">
        <v>70</v>
      </c>
      <c r="B4595" s="1112"/>
      <c r="C4595" s="455" t="s">
        <v>28</v>
      </c>
      <c r="D4595" s="641">
        <f>SUM(D4591:D4594)</f>
        <v>10859</v>
      </c>
      <c r="E4595" s="388">
        <f>SUM(E4591:E4594)</f>
        <v>1363</v>
      </c>
      <c r="F4595" s="388" t="s">
        <v>28</v>
      </c>
      <c r="G4595" s="388">
        <f>SUM(G4591:G4594)</f>
        <v>2616</v>
      </c>
      <c r="H4595" s="446" t="s">
        <v>28</v>
      </c>
      <c r="I4595" s="446" t="s">
        <v>28</v>
      </c>
      <c r="J4595" s="446">
        <f>SUM(J4591:J4594)</f>
        <v>64</v>
      </c>
      <c r="K4595" s="458" t="s">
        <v>28</v>
      </c>
      <c r="L4595" s="519">
        <f t="shared" ref="L4595:Q4595" si="689">SUM(L4591:L4594)</f>
        <v>4344152</v>
      </c>
      <c r="M4595" s="519">
        <f t="shared" si="689"/>
        <v>4180000</v>
      </c>
      <c r="N4595" s="388">
        <f t="shared" si="689"/>
        <v>73500</v>
      </c>
      <c r="O4595" s="473">
        <f t="shared" si="689"/>
        <v>1200</v>
      </c>
      <c r="P4595" s="641">
        <f t="shared" si="689"/>
        <v>0</v>
      </c>
      <c r="Q4595" s="388">
        <f t="shared" si="689"/>
        <v>89452</v>
      </c>
      <c r="R4595" s="446" t="s">
        <v>28</v>
      </c>
      <c r="T4595" s="406">
        <f t="shared" si="688"/>
        <v>0</v>
      </c>
      <c r="U4595" s="404"/>
    </row>
    <row r="4596" spans="1:21" s="403" customFormat="1" ht="42.75" customHeight="1">
      <c r="A4596" s="1113" t="s">
        <v>71</v>
      </c>
      <c r="B4596" s="1113"/>
      <c r="C4596" s="1113"/>
      <c r="D4596" s="1113"/>
      <c r="E4596" s="1113"/>
      <c r="F4596" s="1113"/>
      <c r="G4596" s="1113"/>
      <c r="H4596" s="1113"/>
      <c r="I4596" s="1113"/>
      <c r="J4596" s="1113"/>
      <c r="K4596" s="1113"/>
      <c r="L4596" s="1113"/>
      <c r="M4596" s="1113"/>
      <c r="N4596" s="1113"/>
      <c r="O4596" s="1113"/>
      <c r="P4596" s="1113"/>
      <c r="Q4596" s="1113"/>
      <c r="R4596" s="458"/>
      <c r="T4596" s="406">
        <f t="shared" si="688"/>
        <v>0</v>
      </c>
      <c r="U4596" s="404"/>
    </row>
    <row r="4597" spans="1:21" s="420" customFormat="1" ht="37.5" customHeight="1">
      <c r="A4597" s="500">
        <v>1</v>
      </c>
      <c r="B4597" s="403" t="s">
        <v>3405</v>
      </c>
      <c r="C4597" s="455" t="s">
        <v>222</v>
      </c>
      <c r="D4597" s="606">
        <v>5240</v>
      </c>
      <c r="E4597" s="391">
        <v>5050</v>
      </c>
      <c r="F4597" s="719" t="s">
        <v>223</v>
      </c>
      <c r="G4597" s="391">
        <v>1152</v>
      </c>
      <c r="H4597" s="528">
        <v>2</v>
      </c>
      <c r="I4597" s="528">
        <v>2</v>
      </c>
      <c r="J4597" s="528">
        <v>24</v>
      </c>
      <c r="K4597" s="458" t="s">
        <v>33</v>
      </c>
      <c r="L4597" s="519">
        <f>M4597+N4597+O4597+P4597+Q4597</f>
        <v>2970432</v>
      </c>
      <c r="M4597" s="519">
        <v>2880000</v>
      </c>
      <c r="N4597" s="388">
        <v>28800</v>
      </c>
      <c r="O4597" s="473"/>
      <c r="P4597" s="388"/>
      <c r="Q4597" s="388">
        <v>61632</v>
      </c>
      <c r="R4597" s="446">
        <f>M4597/G4597</f>
        <v>2500</v>
      </c>
      <c r="T4597" s="406">
        <f t="shared" si="688"/>
        <v>0</v>
      </c>
      <c r="U4597" s="390"/>
    </row>
    <row r="4598" spans="1:21" s="420" customFormat="1" ht="55.5" customHeight="1">
      <c r="A4598" s="500">
        <v>2</v>
      </c>
      <c r="B4598" s="403" t="s">
        <v>3406</v>
      </c>
      <c r="C4598" s="648" t="s">
        <v>222</v>
      </c>
      <c r="D4598" s="606">
        <v>6542</v>
      </c>
      <c r="E4598" s="391">
        <v>900</v>
      </c>
      <c r="F4598" s="646" t="s">
        <v>223</v>
      </c>
      <c r="G4598" s="391">
        <v>1008</v>
      </c>
      <c r="H4598" s="528">
        <v>3</v>
      </c>
      <c r="I4598" s="528">
        <v>3</v>
      </c>
      <c r="J4598" s="528">
        <v>20</v>
      </c>
      <c r="K4598" s="458" t="s">
        <v>426</v>
      </c>
      <c r="L4598" s="650">
        <f>M4598+N4598+O4598+P4598+Q4598</f>
        <v>1253280</v>
      </c>
      <c r="M4598" s="650">
        <v>1200000</v>
      </c>
      <c r="N4598" s="651">
        <v>27600</v>
      </c>
      <c r="O4598" s="647"/>
      <c r="P4598" s="651"/>
      <c r="Q4598" s="646">
        <v>25680</v>
      </c>
      <c r="R4598" s="528">
        <f>M4598/E4598</f>
        <v>1333.3333333333333</v>
      </c>
      <c r="T4598" s="406">
        <f t="shared" si="688"/>
        <v>0</v>
      </c>
      <c r="U4598" s="405"/>
    </row>
    <row r="4599" spans="1:21" s="403" customFormat="1" ht="42.75" customHeight="1">
      <c r="A4599" s="1112" t="s">
        <v>72</v>
      </c>
      <c r="B4599" s="1112"/>
      <c r="C4599" s="455" t="s">
        <v>28</v>
      </c>
      <c r="D4599" s="641">
        <f>SUM(D4597:D4598)</f>
        <v>11782</v>
      </c>
      <c r="E4599" s="388">
        <f>SUM(E4597:E4598)</f>
        <v>5950</v>
      </c>
      <c r="F4599" s="388" t="s">
        <v>28</v>
      </c>
      <c r="G4599" s="388">
        <f>SUM(G4597:G4598)</f>
        <v>2160</v>
      </c>
      <c r="H4599" s="446" t="s">
        <v>28</v>
      </c>
      <c r="I4599" s="446" t="s">
        <v>28</v>
      </c>
      <c r="J4599" s="446">
        <f>SUM(J4597:J4598)</f>
        <v>44</v>
      </c>
      <c r="K4599" s="458" t="s">
        <v>28</v>
      </c>
      <c r="L4599" s="519">
        <f>SUM(L4597:L4598)</f>
        <v>4223712</v>
      </c>
      <c r="M4599" s="519">
        <f>SUM(M4597:M4598)</f>
        <v>4080000</v>
      </c>
      <c r="N4599" s="388">
        <f>SUM(N4597:N4598)</f>
        <v>56400</v>
      </c>
      <c r="O4599" s="473"/>
      <c r="P4599" s="388"/>
      <c r="Q4599" s="388">
        <f>SUM(Q4597:Q4598)</f>
        <v>87312</v>
      </c>
      <c r="R4599" s="446" t="s">
        <v>28</v>
      </c>
      <c r="T4599" s="406">
        <f t="shared" si="688"/>
        <v>0</v>
      </c>
      <c r="U4599" s="404"/>
    </row>
    <row r="4600" spans="1:21" s="403" customFormat="1" ht="42.75" customHeight="1">
      <c r="A4600" s="1113" t="s">
        <v>3543</v>
      </c>
      <c r="B4600" s="1113"/>
      <c r="C4600" s="1113"/>
      <c r="D4600" s="1113"/>
      <c r="E4600" s="1113"/>
      <c r="F4600" s="1113"/>
      <c r="G4600" s="1113"/>
      <c r="H4600" s="1113"/>
      <c r="I4600" s="1113"/>
      <c r="J4600" s="1113"/>
      <c r="K4600" s="1113"/>
      <c r="L4600" s="1113"/>
      <c r="M4600" s="1113"/>
      <c r="N4600" s="1113"/>
      <c r="O4600" s="1113"/>
      <c r="P4600" s="1113"/>
      <c r="Q4600" s="1113"/>
      <c r="R4600" s="458"/>
      <c r="T4600" s="406">
        <f t="shared" si="688"/>
        <v>0</v>
      </c>
      <c r="U4600" s="404"/>
    </row>
    <row r="4601" spans="1:21" s="420" customFormat="1" ht="37.5" customHeight="1">
      <c r="A4601" s="500">
        <v>1</v>
      </c>
      <c r="B4601" s="403" t="s">
        <v>3544</v>
      </c>
      <c r="C4601" s="455" t="s">
        <v>222</v>
      </c>
      <c r="D4601" s="606">
        <v>4153.7999999999993</v>
      </c>
      <c r="E4601" s="391">
        <v>1384.6</v>
      </c>
      <c r="F4601" s="719" t="s">
        <v>231</v>
      </c>
      <c r="G4601" s="391">
        <v>1266.3</v>
      </c>
      <c r="H4601" s="528">
        <v>2</v>
      </c>
      <c r="I4601" s="528">
        <v>4</v>
      </c>
      <c r="J4601" s="528">
        <v>30</v>
      </c>
      <c r="K4601" s="458" t="s">
        <v>239</v>
      </c>
      <c r="L4601" s="519">
        <f>M4601+N4601+O4601+P4601+Q4601</f>
        <v>941760</v>
      </c>
      <c r="M4601" s="519">
        <v>900000</v>
      </c>
      <c r="N4601" s="388">
        <v>22500</v>
      </c>
      <c r="O4601" s="473"/>
      <c r="P4601" s="388"/>
      <c r="Q4601" s="388">
        <v>19260</v>
      </c>
      <c r="R4601" s="446">
        <f>M4601/J4601</f>
        <v>30000</v>
      </c>
      <c r="T4601" s="406">
        <f t="shared" si="688"/>
        <v>0</v>
      </c>
      <c r="U4601" s="390"/>
    </row>
    <row r="4602" spans="1:21" s="403" customFormat="1" ht="42.75" customHeight="1">
      <c r="A4602" s="1112" t="s">
        <v>73</v>
      </c>
      <c r="B4602" s="1112"/>
      <c r="C4602" s="455" t="s">
        <v>28</v>
      </c>
      <c r="D4602" s="641">
        <f>SUM(D4601:D4601)</f>
        <v>4153.7999999999993</v>
      </c>
      <c r="E4602" s="388">
        <f>SUM(E4601:E4601)</f>
        <v>1384.6</v>
      </c>
      <c r="F4602" s="388" t="s">
        <v>28</v>
      </c>
      <c r="G4602" s="388">
        <f>SUM(G4601:G4601)</f>
        <v>1266.3</v>
      </c>
      <c r="H4602" s="446" t="s">
        <v>28</v>
      </c>
      <c r="I4602" s="446" t="s">
        <v>28</v>
      </c>
      <c r="J4602" s="446">
        <f>SUM(J4601:J4601)</f>
        <v>30</v>
      </c>
      <c r="K4602" s="458" t="s">
        <v>28</v>
      </c>
      <c r="L4602" s="519">
        <f>SUM(L4601:L4601)</f>
        <v>941760</v>
      </c>
      <c r="M4602" s="519">
        <f>SUM(M4601:M4601)</f>
        <v>900000</v>
      </c>
      <c r="N4602" s="388">
        <f>SUM(N4601:N4601)</f>
        <v>22500</v>
      </c>
      <c r="O4602" s="473"/>
      <c r="P4602" s="388"/>
      <c r="Q4602" s="388">
        <f>SUM(Q4601:Q4601)</f>
        <v>19260</v>
      </c>
      <c r="R4602" s="446" t="s">
        <v>28</v>
      </c>
      <c r="T4602" s="406">
        <f t="shared" si="688"/>
        <v>0</v>
      </c>
      <c r="U4602" s="404"/>
    </row>
    <row r="4603" spans="1:21" s="403" customFormat="1" ht="42.75" customHeight="1">
      <c r="A4603" s="1113" t="s">
        <v>75</v>
      </c>
      <c r="B4603" s="1113"/>
      <c r="C4603" s="1113"/>
      <c r="D4603" s="1113"/>
      <c r="E4603" s="1113"/>
      <c r="F4603" s="1113"/>
      <c r="G4603" s="1113"/>
      <c r="H4603" s="1113"/>
      <c r="I4603" s="1113"/>
      <c r="J4603" s="1113"/>
      <c r="K4603" s="1113"/>
      <c r="L4603" s="1113"/>
      <c r="M4603" s="1113"/>
      <c r="N4603" s="1113"/>
      <c r="O4603" s="1113"/>
      <c r="P4603" s="1113"/>
      <c r="Q4603" s="1113"/>
      <c r="R4603" s="458"/>
      <c r="T4603" s="406">
        <f t="shared" si="688"/>
        <v>0</v>
      </c>
      <c r="U4603" s="404"/>
    </row>
    <row r="4604" spans="1:21" s="403" customFormat="1" ht="56.25" customHeight="1">
      <c r="A4604" s="500">
        <v>1</v>
      </c>
      <c r="B4604" s="403" t="s">
        <v>3407</v>
      </c>
      <c r="C4604" s="455" t="s">
        <v>222</v>
      </c>
      <c r="D4604" s="641">
        <v>1698.7750000000001</v>
      </c>
      <c r="E4604" s="388">
        <v>679.51</v>
      </c>
      <c r="F4604" s="391" t="s">
        <v>223</v>
      </c>
      <c r="G4604" s="388">
        <v>677</v>
      </c>
      <c r="H4604" s="446">
        <v>2</v>
      </c>
      <c r="I4604" s="446">
        <v>2</v>
      </c>
      <c r="J4604" s="446">
        <v>16</v>
      </c>
      <c r="K4604" s="458" t="s">
        <v>30</v>
      </c>
      <c r="L4604" s="645">
        <f>M4604+N4604+O4604+P4604+Q4604</f>
        <v>409760</v>
      </c>
      <c r="M4604" s="645">
        <v>400000</v>
      </c>
      <c r="N4604" s="388"/>
      <c r="O4604" s="643">
        <v>1200</v>
      </c>
      <c r="P4604" s="646"/>
      <c r="Q4604" s="388">
        <v>8560</v>
      </c>
      <c r="R4604" s="648">
        <f>M4604/J4604</f>
        <v>25000</v>
      </c>
      <c r="T4604" s="393"/>
      <c r="U4604" s="464">
        <f>L4604-M4604-N4604-O4604-Q4604</f>
        <v>0</v>
      </c>
    </row>
    <row r="4605" spans="1:21" s="403" customFormat="1" ht="75" customHeight="1">
      <c r="A4605" s="500">
        <f>A4604+1</f>
        <v>2</v>
      </c>
      <c r="B4605" s="403" t="s">
        <v>3408</v>
      </c>
      <c r="C4605" s="455" t="s">
        <v>218</v>
      </c>
      <c r="D4605" s="641">
        <v>3010</v>
      </c>
      <c r="E4605" s="388">
        <v>567.9</v>
      </c>
      <c r="F4605" s="719" t="s">
        <v>223</v>
      </c>
      <c r="G4605" s="388">
        <v>710</v>
      </c>
      <c r="H4605" s="446">
        <v>2</v>
      </c>
      <c r="I4605" s="446">
        <v>3</v>
      </c>
      <c r="J4605" s="446">
        <v>18</v>
      </c>
      <c r="K4605" s="458" t="s">
        <v>227</v>
      </c>
      <c r="L4605" s="529">
        <f>M4605+N4605+Q4605</f>
        <v>1765714.5</v>
      </c>
      <c r="M4605" s="529">
        <v>1703700</v>
      </c>
      <c r="N4605" s="391">
        <v>25555.5</v>
      </c>
      <c r="O4605" s="530"/>
      <c r="P4605" s="391"/>
      <c r="Q4605" s="388">
        <v>36459</v>
      </c>
      <c r="R4605" s="528">
        <f>M4605/G4605</f>
        <v>2399.5774647887324</v>
      </c>
      <c r="T4605" s="406">
        <f>L4605-M4605-N4605-O4605-Q4605</f>
        <v>0</v>
      </c>
      <c r="U4605" s="404"/>
    </row>
    <row r="4606" spans="1:21" s="403" customFormat="1" ht="75" customHeight="1">
      <c r="A4606" s="500">
        <f>A4605+1</f>
        <v>3</v>
      </c>
      <c r="B4606" s="403" t="s">
        <v>3409</v>
      </c>
      <c r="C4606" s="455" t="s">
        <v>218</v>
      </c>
      <c r="D4606" s="641">
        <v>3540</v>
      </c>
      <c r="E4606" s="388">
        <v>620</v>
      </c>
      <c r="F4606" s="391" t="s">
        <v>223</v>
      </c>
      <c r="G4606" s="388">
        <v>930</v>
      </c>
      <c r="H4606" s="446">
        <v>2</v>
      </c>
      <c r="I4606" s="446">
        <v>3</v>
      </c>
      <c r="J4606" s="446">
        <v>18</v>
      </c>
      <c r="K4606" s="458" t="s">
        <v>256</v>
      </c>
      <c r="L4606" s="529">
        <f>M4606+N4606+Q4606</f>
        <v>2698786</v>
      </c>
      <c r="M4606" s="529">
        <v>2604000</v>
      </c>
      <c r="N4606" s="388">
        <v>39060</v>
      </c>
      <c r="O4606" s="473"/>
      <c r="P4606" s="388"/>
      <c r="Q4606" s="388">
        <v>55726</v>
      </c>
      <c r="R4606" s="528">
        <f>M4606/G4606</f>
        <v>2800</v>
      </c>
      <c r="T4606" s="393"/>
      <c r="U4606" s="464">
        <f>L4606-M4606-N4606-O4606-Q4606</f>
        <v>0</v>
      </c>
    </row>
    <row r="4607" spans="1:21" s="403" customFormat="1" ht="42.75" customHeight="1">
      <c r="A4607" s="1112" t="s">
        <v>127</v>
      </c>
      <c r="B4607" s="1112"/>
      <c r="C4607" s="455" t="s">
        <v>28</v>
      </c>
      <c r="D4607" s="641">
        <f>SUM(D4604:D4606)</f>
        <v>8248.7749999999996</v>
      </c>
      <c r="E4607" s="388">
        <f>SUM(E4604:E4606)</f>
        <v>1867.4099999999999</v>
      </c>
      <c r="F4607" s="388" t="s">
        <v>28</v>
      </c>
      <c r="G4607" s="388">
        <f>SUM(G4604:G4606)</f>
        <v>2317</v>
      </c>
      <c r="H4607" s="446" t="s">
        <v>28</v>
      </c>
      <c r="I4607" s="446" t="s">
        <v>28</v>
      </c>
      <c r="J4607" s="446">
        <f>SUM(J4604:J4606)</f>
        <v>52</v>
      </c>
      <c r="K4607" s="458" t="s">
        <v>28</v>
      </c>
      <c r="L4607" s="519">
        <f t="shared" ref="L4607:Q4607" si="690">SUM(L4604:L4606)</f>
        <v>4874260.5</v>
      </c>
      <c r="M4607" s="519">
        <f t="shared" si="690"/>
        <v>4707700</v>
      </c>
      <c r="N4607" s="388">
        <f t="shared" si="690"/>
        <v>64615.5</v>
      </c>
      <c r="O4607" s="473">
        <f t="shared" si="690"/>
        <v>1200</v>
      </c>
      <c r="P4607" s="388">
        <f t="shared" si="690"/>
        <v>0</v>
      </c>
      <c r="Q4607" s="388">
        <f t="shared" si="690"/>
        <v>100745</v>
      </c>
      <c r="R4607" s="446" t="s">
        <v>28</v>
      </c>
      <c r="S4607" s="393">
        <f>L4607-M4607-N4607-O4607-P4607-Q4607</f>
        <v>0</v>
      </c>
      <c r="T4607" s="406">
        <f t="shared" ref="T4607:T4614" si="691">L4607-M4607-N4607-O4607-Q4607</f>
        <v>0</v>
      </c>
      <c r="U4607" s="404"/>
    </row>
    <row r="4608" spans="1:21" s="403" customFormat="1" ht="42.75" customHeight="1">
      <c r="A4608" s="1113" t="s">
        <v>76</v>
      </c>
      <c r="B4608" s="1113"/>
      <c r="C4608" s="1113"/>
      <c r="D4608" s="1113"/>
      <c r="E4608" s="1113"/>
      <c r="F4608" s="1113"/>
      <c r="G4608" s="1113"/>
      <c r="H4608" s="1113"/>
      <c r="I4608" s="1113"/>
      <c r="J4608" s="1113"/>
      <c r="K4608" s="1113"/>
      <c r="L4608" s="1113"/>
      <c r="M4608" s="1113"/>
      <c r="N4608" s="1113"/>
      <c r="O4608" s="1113"/>
      <c r="P4608" s="1113"/>
      <c r="Q4608" s="1113"/>
      <c r="R4608" s="458"/>
      <c r="T4608" s="406">
        <f t="shared" si="691"/>
        <v>0</v>
      </c>
      <c r="U4608" s="404"/>
    </row>
    <row r="4609" spans="1:22" s="403" customFormat="1" ht="75">
      <c r="A4609" s="458">
        <v>1</v>
      </c>
      <c r="B4609" s="403" t="s">
        <v>3410</v>
      </c>
      <c r="C4609" s="455" t="s">
        <v>222</v>
      </c>
      <c r="D4609" s="641">
        <v>1248</v>
      </c>
      <c r="E4609" s="388">
        <v>364.8</v>
      </c>
      <c r="F4609" s="388" t="s">
        <v>223</v>
      </c>
      <c r="G4609" s="388">
        <v>667.8</v>
      </c>
      <c r="H4609" s="446">
        <v>2</v>
      </c>
      <c r="I4609" s="446">
        <v>2</v>
      </c>
      <c r="J4609" s="446">
        <v>8</v>
      </c>
      <c r="K4609" s="458" t="s">
        <v>275</v>
      </c>
      <c r="L4609" s="519">
        <f>M4609+N4609+O4609+P4609+Q4609</f>
        <v>1730270</v>
      </c>
      <c r="M4609" s="519">
        <v>1669500</v>
      </c>
      <c r="N4609" s="388">
        <v>25043</v>
      </c>
      <c r="O4609" s="385"/>
      <c r="P4609" s="383"/>
      <c r="Q4609" s="388">
        <v>35727</v>
      </c>
      <c r="R4609" s="446">
        <f>M4609/G4609</f>
        <v>2500</v>
      </c>
      <c r="S4609" s="404"/>
      <c r="T4609" s="406">
        <f t="shared" si="691"/>
        <v>0</v>
      </c>
      <c r="U4609" s="404"/>
    </row>
    <row r="4610" spans="1:22" s="403" customFormat="1" ht="56.25">
      <c r="A4610" s="458">
        <f>A4609+1</f>
        <v>2</v>
      </c>
      <c r="B4610" s="403" t="s">
        <v>3411</v>
      </c>
      <c r="C4610" s="455" t="s">
        <v>222</v>
      </c>
      <c r="D4610" s="641">
        <v>1084</v>
      </c>
      <c r="E4610" s="388">
        <v>659</v>
      </c>
      <c r="F4610" s="388" t="s">
        <v>223</v>
      </c>
      <c r="G4610" s="388">
        <v>245.7</v>
      </c>
      <c r="H4610" s="446">
        <v>2</v>
      </c>
      <c r="I4610" s="446">
        <v>2</v>
      </c>
      <c r="J4610" s="446">
        <v>8</v>
      </c>
      <c r="K4610" s="458" t="s">
        <v>268</v>
      </c>
      <c r="L4610" s="519">
        <f>M4610+N4610+O4610+P4610+Q4610</f>
        <v>1104508</v>
      </c>
      <c r="M4610" s="519">
        <v>1078200</v>
      </c>
      <c r="N4610" s="388"/>
      <c r="O4610" s="643">
        <v>3235</v>
      </c>
      <c r="P4610" s="388"/>
      <c r="Q4610" s="388">
        <v>23073</v>
      </c>
      <c r="R4610" s="528">
        <f>M4610/E4610</f>
        <v>1636.1153262518967</v>
      </c>
      <c r="S4610" s="404"/>
      <c r="T4610" s="406">
        <f t="shared" si="691"/>
        <v>0</v>
      </c>
      <c r="U4610" s="390"/>
    </row>
    <row r="4611" spans="1:22" s="403" customFormat="1" ht="56.25">
      <c r="A4611" s="458">
        <f>A4610+1</f>
        <v>3</v>
      </c>
      <c r="B4611" s="403" t="s">
        <v>3412</v>
      </c>
      <c r="C4611" s="455" t="s">
        <v>222</v>
      </c>
      <c r="D4611" s="641">
        <v>1817</v>
      </c>
      <c r="E4611" s="388">
        <v>617.20000000000005</v>
      </c>
      <c r="F4611" s="388" t="s">
        <v>231</v>
      </c>
      <c r="G4611" s="388">
        <v>405.3</v>
      </c>
      <c r="H4611" s="446">
        <v>2</v>
      </c>
      <c r="I4611" s="446">
        <v>3</v>
      </c>
      <c r="J4611" s="446">
        <v>18</v>
      </c>
      <c r="K4611" s="458" t="s">
        <v>268</v>
      </c>
      <c r="L4611" s="519">
        <f>M4611+N4611+O4611+P4611+Q4611</f>
        <v>1027432.0000000001</v>
      </c>
      <c r="M4611" s="519">
        <v>1002960.0000000001</v>
      </c>
      <c r="N4611" s="388"/>
      <c r="O4611" s="643">
        <v>3009</v>
      </c>
      <c r="P4611" s="388"/>
      <c r="Q4611" s="388">
        <v>21463</v>
      </c>
      <c r="R4611" s="528">
        <f>M4611/E4611</f>
        <v>1625.0162022034997</v>
      </c>
      <c r="S4611" s="404"/>
      <c r="T4611" s="406">
        <f t="shared" si="691"/>
        <v>0</v>
      </c>
      <c r="U4611" s="404"/>
    </row>
    <row r="4612" spans="1:22" s="403" customFormat="1" ht="42.75" customHeight="1">
      <c r="A4612" s="1112" t="s">
        <v>77</v>
      </c>
      <c r="B4612" s="1112"/>
      <c r="C4612" s="455" t="s">
        <v>28</v>
      </c>
      <c r="D4612" s="641">
        <f>SUM(D4609:D4611)</f>
        <v>4149</v>
      </c>
      <c r="E4612" s="388">
        <f>SUM(E4609:E4611)</f>
        <v>1641</v>
      </c>
      <c r="F4612" s="388" t="s">
        <v>28</v>
      </c>
      <c r="G4612" s="388">
        <f>SUM(G4609:G4611)</f>
        <v>1318.8</v>
      </c>
      <c r="H4612" s="446" t="s">
        <v>28</v>
      </c>
      <c r="I4612" s="446" t="s">
        <v>28</v>
      </c>
      <c r="J4612" s="446">
        <f>SUM(J4609:J4611)</f>
        <v>34</v>
      </c>
      <c r="K4612" s="458" t="s">
        <v>28</v>
      </c>
      <c r="L4612" s="519">
        <f>SUM(L4609:L4611)</f>
        <v>3862210</v>
      </c>
      <c r="M4612" s="519">
        <f>SUM(M4609:M4611)</f>
        <v>3750660</v>
      </c>
      <c r="N4612" s="388">
        <f>SUM(N4609:N4611)</f>
        <v>25043</v>
      </c>
      <c r="O4612" s="473">
        <f>SUM(O4609:O4611)</f>
        <v>6244</v>
      </c>
      <c r="P4612" s="388"/>
      <c r="Q4612" s="388">
        <f>SUM(Q4609:Q4611)</f>
        <v>80263</v>
      </c>
      <c r="R4612" s="446" t="s">
        <v>28</v>
      </c>
      <c r="T4612" s="406">
        <f t="shared" si="691"/>
        <v>0</v>
      </c>
      <c r="U4612" s="404"/>
    </row>
    <row r="4613" spans="1:22" s="403" customFormat="1" ht="42.75" customHeight="1">
      <c r="A4613" s="1113" t="s">
        <v>78</v>
      </c>
      <c r="B4613" s="1113"/>
      <c r="C4613" s="1113"/>
      <c r="D4613" s="1113"/>
      <c r="E4613" s="1113"/>
      <c r="F4613" s="1113"/>
      <c r="G4613" s="1113"/>
      <c r="H4613" s="1113"/>
      <c r="I4613" s="1113"/>
      <c r="J4613" s="1113"/>
      <c r="K4613" s="1113"/>
      <c r="L4613" s="1113"/>
      <c r="M4613" s="1113"/>
      <c r="N4613" s="1113"/>
      <c r="O4613" s="1113"/>
      <c r="P4613" s="1113"/>
      <c r="Q4613" s="1113"/>
      <c r="R4613" s="458"/>
      <c r="T4613" s="406">
        <f t="shared" si="691"/>
        <v>0</v>
      </c>
      <c r="U4613" s="404"/>
    </row>
    <row r="4614" spans="1:22" s="403" customFormat="1" ht="37.5" customHeight="1">
      <c r="A4614" s="957">
        <v>1</v>
      </c>
      <c r="B4614" s="836" t="s">
        <v>3413</v>
      </c>
      <c r="C4614" s="382" t="s">
        <v>222</v>
      </c>
      <c r="D4614" s="641">
        <v>2871.8</v>
      </c>
      <c r="E4614" s="388">
        <v>873.39</v>
      </c>
      <c r="F4614" s="388" t="s">
        <v>223</v>
      </c>
      <c r="G4614" s="388">
        <f>(20*I4614)*13*1.3</f>
        <v>338</v>
      </c>
      <c r="H4614" s="958">
        <v>2</v>
      </c>
      <c r="I4614" s="958">
        <v>1</v>
      </c>
      <c r="J4614" s="446">
        <v>16</v>
      </c>
      <c r="K4614" s="458" t="s">
        <v>33</v>
      </c>
      <c r="L4614" s="519">
        <f>M4614+N4614+O4614+P4614+Q4614</f>
        <v>888433</v>
      </c>
      <c r="M4614" s="519">
        <v>845000</v>
      </c>
      <c r="N4614" s="388">
        <v>25350</v>
      </c>
      <c r="O4614" s="385"/>
      <c r="P4614" s="383"/>
      <c r="Q4614" s="388">
        <v>18083</v>
      </c>
      <c r="R4614" s="446">
        <f>M4614/G4614</f>
        <v>2500</v>
      </c>
      <c r="T4614" s="406">
        <f t="shared" si="691"/>
        <v>0</v>
      </c>
      <c r="U4614" s="390"/>
    </row>
    <row r="4615" spans="1:22" s="403" customFormat="1" ht="37.5" customHeight="1">
      <c r="A4615" s="957">
        <v>2</v>
      </c>
      <c r="B4615" s="403" t="s">
        <v>3414</v>
      </c>
      <c r="C4615" s="720" t="s">
        <v>222</v>
      </c>
      <c r="D4615" s="641">
        <v>1213</v>
      </c>
      <c r="E4615" s="388">
        <v>718.08</v>
      </c>
      <c r="F4615" s="388" t="s">
        <v>223</v>
      </c>
      <c r="G4615" s="388">
        <f>(20*I4615)*12*1.3</f>
        <v>624</v>
      </c>
      <c r="H4615" s="446">
        <v>2</v>
      </c>
      <c r="I4615" s="446">
        <v>2</v>
      </c>
      <c r="J4615" s="446">
        <v>8</v>
      </c>
      <c r="K4615" s="458" t="s">
        <v>33</v>
      </c>
      <c r="L4615" s="519">
        <f>M4615+N4615+O4615+P4615+Q4615</f>
        <v>1616784</v>
      </c>
      <c r="M4615" s="645">
        <v>1560000</v>
      </c>
      <c r="N4615" s="646">
        <v>23400</v>
      </c>
      <c r="O4615" s="647"/>
      <c r="P4615" s="646"/>
      <c r="Q4615" s="388">
        <v>33384</v>
      </c>
      <c r="R4615" s="648">
        <f>M4615/G4615</f>
        <v>2500</v>
      </c>
      <c r="T4615" s="393"/>
      <c r="U4615" s="404"/>
    </row>
    <row r="4616" spans="1:22" s="403" customFormat="1" ht="42.75" customHeight="1">
      <c r="A4616" s="1112" t="s">
        <v>128</v>
      </c>
      <c r="B4616" s="1112"/>
      <c r="C4616" s="455" t="s">
        <v>28</v>
      </c>
      <c r="D4616" s="641">
        <f>SUM(D4614:D4615)</f>
        <v>4084.8</v>
      </c>
      <c r="E4616" s="388">
        <f>SUM(E4614:E4615)</f>
        <v>1591.47</v>
      </c>
      <c r="F4616" s="388" t="s">
        <v>28</v>
      </c>
      <c r="G4616" s="388">
        <f>SUM(G4614:G4615)</f>
        <v>962</v>
      </c>
      <c r="H4616" s="446" t="s">
        <v>28</v>
      </c>
      <c r="I4616" s="446" t="s">
        <v>28</v>
      </c>
      <c r="J4616" s="446">
        <f>SUM(J4614:J4615)</f>
        <v>24</v>
      </c>
      <c r="K4616" s="458" t="s">
        <v>28</v>
      </c>
      <c r="L4616" s="519">
        <f t="shared" ref="L4616:Q4616" si="692">SUM(L4614:L4615)</f>
        <v>2505217</v>
      </c>
      <c r="M4616" s="519">
        <f t="shared" si="692"/>
        <v>2405000</v>
      </c>
      <c r="N4616" s="388">
        <f t="shared" si="692"/>
        <v>48750</v>
      </c>
      <c r="O4616" s="473">
        <f t="shared" si="692"/>
        <v>0</v>
      </c>
      <c r="P4616" s="388">
        <f t="shared" si="692"/>
        <v>0</v>
      </c>
      <c r="Q4616" s="388">
        <f t="shared" si="692"/>
        <v>51467</v>
      </c>
      <c r="R4616" s="446" t="s">
        <v>28</v>
      </c>
      <c r="T4616" s="406">
        <f t="shared" ref="T4616:T4623" si="693">L4616-M4616-N4616-O4616-Q4616</f>
        <v>0</v>
      </c>
      <c r="U4616" s="404"/>
    </row>
    <row r="4617" spans="1:22" s="403" customFormat="1" ht="42.75" customHeight="1">
      <c r="A4617" s="1113" t="s">
        <v>79</v>
      </c>
      <c r="B4617" s="1113"/>
      <c r="C4617" s="1113"/>
      <c r="D4617" s="1113"/>
      <c r="E4617" s="1113"/>
      <c r="F4617" s="1113"/>
      <c r="G4617" s="1113"/>
      <c r="H4617" s="1113"/>
      <c r="I4617" s="1113"/>
      <c r="J4617" s="1113"/>
      <c r="K4617" s="1113"/>
      <c r="L4617" s="1113"/>
      <c r="M4617" s="1113"/>
      <c r="N4617" s="1113"/>
      <c r="O4617" s="1113"/>
      <c r="P4617" s="1113"/>
      <c r="Q4617" s="1113"/>
      <c r="R4617" s="458"/>
      <c r="T4617" s="406">
        <f t="shared" si="693"/>
        <v>0</v>
      </c>
      <c r="U4617" s="404"/>
    </row>
    <row r="4618" spans="1:22" s="420" customFormat="1" ht="37.5" customHeight="1">
      <c r="A4618" s="682">
        <v>1</v>
      </c>
      <c r="B4618" s="424" t="s">
        <v>3415</v>
      </c>
      <c r="C4618" s="382" t="s">
        <v>222</v>
      </c>
      <c r="D4618" s="681">
        <v>2148</v>
      </c>
      <c r="E4618" s="646">
        <v>491</v>
      </c>
      <c r="F4618" s="646" t="s">
        <v>231</v>
      </c>
      <c r="G4618" s="730">
        <v>444</v>
      </c>
      <c r="H4618" s="837">
        <v>2</v>
      </c>
      <c r="I4618" s="837">
        <v>2</v>
      </c>
      <c r="J4618" s="837">
        <v>12</v>
      </c>
      <c r="K4618" s="682" t="s">
        <v>269</v>
      </c>
      <c r="L4618" s="519">
        <f>M4618+N4618+O4618+P4618+Q4618</f>
        <v>245856</v>
      </c>
      <c r="M4618" s="729">
        <v>240000</v>
      </c>
      <c r="N4618" s="730"/>
      <c r="O4618" s="643">
        <v>720</v>
      </c>
      <c r="P4618" s="730"/>
      <c r="Q4618" s="388">
        <v>5136</v>
      </c>
      <c r="R4618" s="837">
        <f>M4618/J4618</f>
        <v>20000</v>
      </c>
      <c r="T4618" s="406">
        <f t="shared" si="693"/>
        <v>0</v>
      </c>
      <c r="U4618" s="405"/>
    </row>
    <row r="4619" spans="1:22" s="420" customFormat="1" ht="37.5" customHeight="1">
      <c r="A4619" s="682">
        <v>2</v>
      </c>
      <c r="B4619" s="424" t="s">
        <v>2930</v>
      </c>
      <c r="C4619" s="382" t="s">
        <v>222</v>
      </c>
      <c r="D4619" s="681">
        <v>4506</v>
      </c>
      <c r="E4619" s="646">
        <v>758</v>
      </c>
      <c r="F4619" s="646" t="s">
        <v>223</v>
      </c>
      <c r="G4619" s="730">
        <v>680</v>
      </c>
      <c r="H4619" s="837">
        <v>2</v>
      </c>
      <c r="I4619" s="837">
        <v>2</v>
      </c>
      <c r="J4619" s="837">
        <v>32</v>
      </c>
      <c r="K4619" s="682" t="s">
        <v>33</v>
      </c>
      <c r="L4619" s="519">
        <v>1324383</v>
      </c>
      <c r="M4619" s="729">
        <v>1274181</v>
      </c>
      <c r="N4619" s="730">
        <v>22935</v>
      </c>
      <c r="O4619" s="643"/>
      <c r="P4619" s="730"/>
      <c r="Q4619" s="388">
        <v>27267</v>
      </c>
      <c r="R4619" s="837"/>
      <c r="T4619" s="406"/>
      <c r="U4619" s="405"/>
    </row>
    <row r="4620" spans="1:22" s="403" customFormat="1" ht="42.75" customHeight="1">
      <c r="A4620" s="1112" t="s">
        <v>129</v>
      </c>
      <c r="B4620" s="1112"/>
      <c r="C4620" s="455" t="s">
        <v>28</v>
      </c>
      <c r="D4620" s="641">
        <f>SUM(D4618:D4619)</f>
        <v>6654</v>
      </c>
      <c r="E4620" s="641">
        <f>SUM(E4618:E4619)</f>
        <v>1249</v>
      </c>
      <c r="F4620" s="388" t="s">
        <v>28</v>
      </c>
      <c r="G4620" s="641">
        <f>SUM(G4618:G4619)</f>
        <v>1124</v>
      </c>
      <c r="H4620" s="446" t="s">
        <v>28</v>
      </c>
      <c r="I4620" s="446" t="s">
        <v>28</v>
      </c>
      <c r="J4620" s="641">
        <f>SUM(J4618:J4619)</f>
        <v>44</v>
      </c>
      <c r="K4620" s="458" t="s">
        <v>28</v>
      </c>
      <c r="L4620" s="388">
        <f t="shared" ref="L4620:Q4620" si="694">SUM(L4618:L4619)</f>
        <v>1570239</v>
      </c>
      <c r="M4620" s="388">
        <f t="shared" si="694"/>
        <v>1514181</v>
      </c>
      <c r="N4620" s="388">
        <f t="shared" si="694"/>
        <v>22935</v>
      </c>
      <c r="O4620" s="388">
        <f t="shared" si="694"/>
        <v>720</v>
      </c>
      <c r="P4620" s="388">
        <f t="shared" si="694"/>
        <v>0</v>
      </c>
      <c r="Q4620" s="388">
        <f t="shared" si="694"/>
        <v>32403</v>
      </c>
      <c r="R4620" s="446" t="s">
        <v>28</v>
      </c>
      <c r="T4620" s="406">
        <f t="shared" si="693"/>
        <v>0</v>
      </c>
      <c r="U4620" s="404"/>
    </row>
    <row r="4621" spans="1:22" s="403" customFormat="1" ht="42.75" customHeight="1">
      <c r="A4621" s="1113" t="s">
        <v>130</v>
      </c>
      <c r="B4621" s="1113"/>
      <c r="C4621" s="1113"/>
      <c r="D4621" s="1113"/>
      <c r="E4621" s="1113"/>
      <c r="F4621" s="1113"/>
      <c r="G4621" s="1113"/>
      <c r="H4621" s="1113"/>
      <c r="I4621" s="1113"/>
      <c r="J4621" s="1113"/>
      <c r="K4621" s="1113"/>
      <c r="L4621" s="1113"/>
      <c r="M4621" s="1113"/>
      <c r="N4621" s="1113"/>
      <c r="O4621" s="1113"/>
      <c r="P4621" s="1113"/>
      <c r="Q4621" s="1113"/>
      <c r="R4621" s="458"/>
      <c r="T4621" s="406">
        <f t="shared" si="693"/>
        <v>0</v>
      </c>
      <c r="U4621" s="404"/>
    </row>
    <row r="4622" spans="1:22" s="416" customFormat="1" ht="37.5">
      <c r="A4622" s="722">
        <v>1</v>
      </c>
      <c r="B4622" s="723" t="s">
        <v>3416</v>
      </c>
      <c r="C4622" s="455" t="s">
        <v>240</v>
      </c>
      <c r="D4622" s="724">
        <v>4690</v>
      </c>
      <c r="E4622" s="563">
        <v>6695.2</v>
      </c>
      <c r="F4622" s="646" t="s">
        <v>223</v>
      </c>
      <c r="G4622" s="725">
        <v>878.1</v>
      </c>
      <c r="H4622" s="726">
        <v>2</v>
      </c>
      <c r="I4622" s="726">
        <v>3</v>
      </c>
      <c r="J4622" s="726">
        <v>18</v>
      </c>
      <c r="K4622" s="612" t="s">
        <v>269</v>
      </c>
      <c r="L4622" s="519">
        <f>M4622+N4622+O4622+P4622+Q4622</f>
        <v>368784</v>
      </c>
      <c r="M4622" s="519">
        <v>360000</v>
      </c>
      <c r="N4622" s="388"/>
      <c r="O4622" s="643">
        <v>1080</v>
      </c>
      <c r="P4622" s="388"/>
      <c r="Q4622" s="388">
        <v>7704</v>
      </c>
      <c r="R4622" s="446">
        <f t="shared" ref="R4622:R4627" si="695">M4622/J4622</f>
        <v>20000</v>
      </c>
      <c r="T4622" s="406">
        <f t="shared" si="693"/>
        <v>0</v>
      </c>
      <c r="U4622" s="390"/>
    </row>
    <row r="4623" spans="1:22" s="416" customFormat="1" ht="37.5">
      <c r="A4623" s="722">
        <v>2</v>
      </c>
      <c r="B4623" s="723" t="s">
        <v>3417</v>
      </c>
      <c r="C4623" s="455" t="s">
        <v>222</v>
      </c>
      <c r="D4623" s="724">
        <v>4537</v>
      </c>
      <c r="E4623" s="563">
        <v>667.6</v>
      </c>
      <c r="F4623" s="388" t="s">
        <v>229</v>
      </c>
      <c r="G4623" s="725">
        <v>722.7</v>
      </c>
      <c r="H4623" s="726">
        <v>2</v>
      </c>
      <c r="I4623" s="726">
        <v>3</v>
      </c>
      <c r="J4623" s="726">
        <v>12</v>
      </c>
      <c r="K4623" s="612" t="s">
        <v>269</v>
      </c>
      <c r="L4623" s="519">
        <f>M4623+N4623+O4623+P4623+Q4623</f>
        <v>245856</v>
      </c>
      <c r="M4623" s="519">
        <v>240000</v>
      </c>
      <c r="N4623" s="388"/>
      <c r="O4623" s="643">
        <v>720</v>
      </c>
      <c r="P4623" s="388"/>
      <c r="Q4623" s="388">
        <v>5136</v>
      </c>
      <c r="R4623" s="446">
        <f t="shared" si="695"/>
        <v>20000</v>
      </c>
      <c r="T4623" s="406">
        <f t="shared" si="693"/>
        <v>0</v>
      </c>
      <c r="U4623" s="414"/>
    </row>
    <row r="4624" spans="1:22" s="416" customFormat="1" ht="48.75" customHeight="1">
      <c r="A4624" s="722">
        <f>A4623+1</f>
        <v>3</v>
      </c>
      <c r="B4624" s="493" t="s">
        <v>4165</v>
      </c>
      <c r="C4624" s="404" t="s">
        <v>222</v>
      </c>
      <c r="D4624" s="959">
        <f>31.8*11.8*6</f>
        <v>2251.44</v>
      </c>
      <c r="E4624" s="725">
        <f>(31.8+11.8)*2*6</f>
        <v>523.20000000000005</v>
      </c>
      <c r="F4624" s="646" t="s">
        <v>3577</v>
      </c>
      <c r="G4624" s="725">
        <f>31.8*11.8*1.3</f>
        <v>487.81200000000001</v>
      </c>
      <c r="H4624" s="726">
        <v>2</v>
      </c>
      <c r="I4624" s="726">
        <v>2</v>
      </c>
      <c r="J4624" s="726">
        <v>12</v>
      </c>
      <c r="K4624" s="612" t="s">
        <v>4169</v>
      </c>
      <c r="L4624" s="519">
        <f>M4624+N4624+O4624+P4624</f>
        <v>443599</v>
      </c>
      <c r="M4624" s="645">
        <v>420000</v>
      </c>
      <c r="N4624" s="388">
        <v>23599</v>
      </c>
      <c r="O4624" s="647"/>
      <c r="P4624" s="394"/>
      <c r="Q4624" s="487"/>
      <c r="R4624" s="689">
        <f t="shared" si="695"/>
        <v>35000</v>
      </c>
      <c r="S4624" s="407"/>
      <c r="U4624" s="414"/>
      <c r="V4624" s="390"/>
    </row>
    <row r="4625" spans="1:22 16382:16382" s="416" customFormat="1" ht="48.75" customHeight="1">
      <c r="A4625" s="722">
        <f>A4624+1</f>
        <v>4</v>
      </c>
      <c r="B4625" s="493" t="s">
        <v>4166</v>
      </c>
      <c r="C4625" s="404" t="s">
        <v>222</v>
      </c>
      <c r="D4625" s="959">
        <f>19.9*13.7*3</f>
        <v>817.88999999999987</v>
      </c>
      <c r="E4625" s="725">
        <f>(19.9+13.7)*2*3</f>
        <v>201.59999999999997</v>
      </c>
      <c r="F4625" s="646" t="s">
        <v>3577</v>
      </c>
      <c r="G4625" s="725">
        <f>19.9*13.7*1.3</f>
        <v>354.41899999999993</v>
      </c>
      <c r="H4625" s="726">
        <v>2</v>
      </c>
      <c r="I4625" s="726">
        <v>1</v>
      </c>
      <c r="J4625" s="726">
        <v>8</v>
      </c>
      <c r="K4625" s="612" t="s">
        <v>4169</v>
      </c>
      <c r="L4625" s="519">
        <f>M4625+N4625+O4625+P4625</f>
        <v>301508</v>
      </c>
      <c r="M4625" s="645">
        <v>280000</v>
      </c>
      <c r="N4625" s="388">
        <v>21508</v>
      </c>
      <c r="O4625" s="647"/>
      <c r="P4625" s="394"/>
      <c r="Q4625" s="487"/>
      <c r="R4625" s="689">
        <f t="shared" si="695"/>
        <v>35000</v>
      </c>
      <c r="S4625" s="407"/>
      <c r="U4625" s="414"/>
      <c r="V4625" s="390"/>
    </row>
    <row r="4626" spans="1:22 16382:16382" s="416" customFormat="1" ht="48.75" customHeight="1">
      <c r="A4626" s="722">
        <f>A4625+1</f>
        <v>5</v>
      </c>
      <c r="B4626" s="493" t="s">
        <v>4167</v>
      </c>
      <c r="C4626" s="404" t="s">
        <v>222</v>
      </c>
      <c r="D4626" s="959">
        <f>11*28*6</f>
        <v>1848</v>
      </c>
      <c r="E4626" s="725">
        <f>(11+28)*2*6</f>
        <v>468</v>
      </c>
      <c r="F4626" s="646" t="s">
        <v>3577</v>
      </c>
      <c r="G4626" s="725">
        <f>11*28*1.3</f>
        <v>400.40000000000003</v>
      </c>
      <c r="H4626" s="726">
        <v>2</v>
      </c>
      <c r="I4626" s="726">
        <v>2</v>
      </c>
      <c r="J4626" s="726">
        <v>8</v>
      </c>
      <c r="K4626" s="612" t="s">
        <v>4169</v>
      </c>
      <c r="L4626" s="519">
        <f>M4626+N4626+O4626+P4626</f>
        <v>302753</v>
      </c>
      <c r="M4626" s="645">
        <v>280000</v>
      </c>
      <c r="N4626" s="388">
        <v>22753</v>
      </c>
      <c r="O4626" s="647"/>
      <c r="P4626" s="394"/>
      <c r="Q4626" s="487"/>
      <c r="R4626" s="689">
        <f t="shared" si="695"/>
        <v>35000</v>
      </c>
      <c r="S4626" s="407"/>
      <c r="U4626" s="414"/>
      <c r="V4626" s="390"/>
    </row>
    <row r="4627" spans="1:22 16382:16382" s="416" customFormat="1" ht="48.75" customHeight="1">
      <c r="A4627" s="722">
        <f>A4626+1</f>
        <v>6</v>
      </c>
      <c r="B4627" s="493" t="s">
        <v>4168</v>
      </c>
      <c r="C4627" s="404" t="s">
        <v>222</v>
      </c>
      <c r="D4627" s="959">
        <f>36.34*11.7*6</f>
        <v>2551.0680000000002</v>
      </c>
      <c r="E4627" s="725">
        <f>(36.34+11.7)*2*6</f>
        <v>576.48</v>
      </c>
      <c r="F4627" s="646" t="s">
        <v>3577</v>
      </c>
      <c r="G4627" s="725">
        <f>36.34*11.7*1.3</f>
        <v>552.73140000000001</v>
      </c>
      <c r="H4627" s="726">
        <v>2</v>
      </c>
      <c r="I4627" s="726">
        <v>2</v>
      </c>
      <c r="J4627" s="726">
        <v>12</v>
      </c>
      <c r="K4627" s="612" t="s">
        <v>4169</v>
      </c>
      <c r="L4627" s="519">
        <f>M4627+N4627+O4627+P4627</f>
        <v>442753</v>
      </c>
      <c r="M4627" s="645">
        <v>420000</v>
      </c>
      <c r="N4627" s="388">
        <v>22753</v>
      </c>
      <c r="O4627" s="647"/>
      <c r="P4627" s="394"/>
      <c r="Q4627" s="487"/>
      <c r="R4627" s="689">
        <f t="shared" si="695"/>
        <v>35000</v>
      </c>
      <c r="S4627" s="407"/>
      <c r="U4627" s="414"/>
      <c r="V4627" s="390"/>
    </row>
    <row r="4628" spans="1:22 16382:16382" s="403" customFormat="1" ht="42.75" customHeight="1">
      <c r="A4628" s="1139" t="s">
        <v>131</v>
      </c>
      <c r="B4628" s="1139"/>
      <c r="C4628" s="617" t="s">
        <v>28</v>
      </c>
      <c r="D4628" s="674">
        <f>SUM(D4622:D4627)</f>
        <v>16695.398000000001</v>
      </c>
      <c r="E4628" s="675">
        <f>SUM(E4622:E4627)</f>
        <v>9132.08</v>
      </c>
      <c r="F4628" s="539" t="s">
        <v>28</v>
      </c>
      <c r="G4628" s="675">
        <f>SUM(G4622:G4627)</f>
        <v>3396.1624000000002</v>
      </c>
      <c r="H4628" s="599" t="s">
        <v>28</v>
      </c>
      <c r="I4628" s="599" t="s">
        <v>28</v>
      </c>
      <c r="J4628" s="676">
        <f>SUM(J4622:J4627)</f>
        <v>70</v>
      </c>
      <c r="K4628" s="728" t="s">
        <v>28</v>
      </c>
      <c r="L4628" s="677">
        <f t="shared" ref="L4628:Q4628" si="696">SUM(L4622:L4627)</f>
        <v>2105253</v>
      </c>
      <c r="M4628" s="677">
        <f t="shared" si="696"/>
        <v>2000000</v>
      </c>
      <c r="N4628" s="675">
        <f t="shared" si="696"/>
        <v>90613</v>
      </c>
      <c r="O4628" s="678">
        <f t="shared" si="696"/>
        <v>1800</v>
      </c>
      <c r="P4628" s="675">
        <f t="shared" si="696"/>
        <v>0</v>
      </c>
      <c r="Q4628" s="675">
        <f t="shared" si="696"/>
        <v>12840</v>
      </c>
      <c r="R4628" s="446" t="s">
        <v>28</v>
      </c>
      <c r="T4628" s="406">
        <f t="shared" ref="T4628:T4636" si="697">L4628-M4628-N4628-O4628-Q4628</f>
        <v>0</v>
      </c>
      <c r="U4628" s="404"/>
    </row>
    <row r="4629" spans="1:22 16382:16382" s="403" customFormat="1" ht="42.75" customHeight="1">
      <c r="A4629" s="1113" t="s">
        <v>81</v>
      </c>
      <c r="B4629" s="1113"/>
      <c r="C4629" s="1113"/>
      <c r="D4629" s="1113"/>
      <c r="E4629" s="1113"/>
      <c r="F4629" s="1113"/>
      <c r="G4629" s="1113"/>
      <c r="H4629" s="1113"/>
      <c r="I4629" s="1113"/>
      <c r="J4629" s="1113"/>
      <c r="K4629" s="1113"/>
      <c r="L4629" s="1113"/>
      <c r="M4629" s="1113"/>
      <c r="N4629" s="1113"/>
      <c r="O4629" s="1113"/>
      <c r="P4629" s="1113"/>
      <c r="Q4629" s="1113"/>
      <c r="R4629" s="458"/>
      <c r="T4629" s="406">
        <f t="shared" si="697"/>
        <v>0</v>
      </c>
      <c r="U4629" s="404"/>
    </row>
    <row r="4630" spans="1:22 16382:16382" s="403" customFormat="1" ht="56.25" customHeight="1">
      <c r="A4630" s="458">
        <v>1</v>
      </c>
      <c r="B4630" s="403" t="s">
        <v>3419</v>
      </c>
      <c r="C4630" s="455" t="s">
        <v>222</v>
      </c>
      <c r="D4630" s="641">
        <v>2890</v>
      </c>
      <c r="E4630" s="388">
        <v>538</v>
      </c>
      <c r="F4630" s="388" t="s">
        <v>229</v>
      </c>
      <c r="G4630" s="388">
        <v>590</v>
      </c>
      <c r="H4630" s="446">
        <v>2</v>
      </c>
      <c r="I4630" s="446">
        <v>2</v>
      </c>
      <c r="J4630" s="446">
        <v>16</v>
      </c>
      <c r="K4630" s="642" t="s">
        <v>30</v>
      </c>
      <c r="L4630" s="519">
        <f>M4630+N4630+O4630+P4630+Q4630</f>
        <v>409760</v>
      </c>
      <c r="M4630" s="529">
        <v>400000</v>
      </c>
      <c r="N4630" s="391"/>
      <c r="O4630" s="643">
        <v>1200</v>
      </c>
      <c r="P4630" s="391"/>
      <c r="Q4630" s="388">
        <v>8560</v>
      </c>
      <c r="R4630" s="528">
        <f>M4630/J4630</f>
        <v>25000</v>
      </c>
      <c r="T4630" s="406">
        <f t="shared" si="697"/>
        <v>0</v>
      </c>
      <c r="U4630" s="390"/>
    </row>
    <row r="4631" spans="1:22 16382:16382" s="403" customFormat="1" ht="56.25" customHeight="1">
      <c r="A4631" s="458">
        <v>2</v>
      </c>
      <c r="B4631" s="403" t="s">
        <v>3418</v>
      </c>
      <c r="C4631" s="382" t="s">
        <v>222</v>
      </c>
      <c r="D4631" s="641">
        <v>3046</v>
      </c>
      <c r="E4631" s="388">
        <v>583</v>
      </c>
      <c r="F4631" s="388" t="s">
        <v>229</v>
      </c>
      <c r="G4631" s="388">
        <v>633</v>
      </c>
      <c r="H4631" s="446">
        <v>2</v>
      </c>
      <c r="I4631" s="446">
        <v>2</v>
      </c>
      <c r="J4631" s="446">
        <v>16</v>
      </c>
      <c r="K4631" s="458" t="s">
        <v>30</v>
      </c>
      <c r="L4631" s="519">
        <f>M4631+N4631+O4631+P4631+Q4631</f>
        <v>409760</v>
      </c>
      <c r="M4631" s="645">
        <v>400000</v>
      </c>
      <c r="N4631" s="646"/>
      <c r="O4631" s="643">
        <v>1200</v>
      </c>
      <c r="P4631" s="646"/>
      <c r="Q4631" s="388">
        <v>8560</v>
      </c>
      <c r="R4631" s="648">
        <f>M4631/J4631</f>
        <v>25000</v>
      </c>
      <c r="T4631" s="406">
        <f t="shared" si="697"/>
        <v>0</v>
      </c>
      <c r="U4631" s="404"/>
    </row>
    <row r="4632" spans="1:22 16382:16382" s="403" customFormat="1" ht="42.75" customHeight="1">
      <c r="A4632" s="1112" t="s">
        <v>133</v>
      </c>
      <c r="B4632" s="1112"/>
      <c r="C4632" s="455" t="s">
        <v>28</v>
      </c>
      <c r="D4632" s="641">
        <f>SUM(D4630:D4631)</f>
        <v>5936</v>
      </c>
      <c r="E4632" s="388">
        <f>SUM(E4630:E4631)</f>
        <v>1121</v>
      </c>
      <c r="F4632" s="388" t="s">
        <v>28</v>
      </c>
      <c r="G4632" s="388">
        <f>SUM(G4630:G4631)</f>
        <v>1223</v>
      </c>
      <c r="H4632" s="446" t="s">
        <v>28</v>
      </c>
      <c r="I4632" s="446" t="s">
        <v>28</v>
      </c>
      <c r="J4632" s="446">
        <f>SUM(J4630:J4631)</f>
        <v>32</v>
      </c>
      <c r="K4632" s="458" t="s">
        <v>28</v>
      </c>
      <c r="L4632" s="519">
        <f t="shared" ref="L4632:Q4632" si="698">SUM(L4630:L4631)</f>
        <v>819520</v>
      </c>
      <c r="M4632" s="519">
        <f t="shared" si="698"/>
        <v>800000</v>
      </c>
      <c r="N4632" s="388">
        <f t="shared" si="698"/>
        <v>0</v>
      </c>
      <c r="O4632" s="473">
        <f t="shared" si="698"/>
        <v>2400</v>
      </c>
      <c r="P4632" s="388">
        <f t="shared" si="698"/>
        <v>0</v>
      </c>
      <c r="Q4632" s="388">
        <f t="shared" si="698"/>
        <v>17120</v>
      </c>
      <c r="R4632" s="446" t="s">
        <v>28</v>
      </c>
      <c r="T4632" s="406">
        <f t="shared" si="697"/>
        <v>0</v>
      </c>
      <c r="U4632" s="404"/>
    </row>
    <row r="4633" spans="1:22 16382:16382" s="403" customFormat="1" ht="42.75" customHeight="1">
      <c r="A4633" s="1111" t="s">
        <v>40</v>
      </c>
      <c r="B4633" s="1111"/>
      <c r="C4633" s="1111"/>
      <c r="D4633" s="1111"/>
      <c r="E4633" s="1111"/>
      <c r="F4633" s="1111"/>
      <c r="G4633" s="1111"/>
      <c r="H4633" s="1111"/>
      <c r="I4633" s="1111"/>
      <c r="J4633" s="1111"/>
      <c r="K4633" s="1111"/>
      <c r="L4633" s="1111"/>
      <c r="M4633" s="1111"/>
      <c r="N4633" s="1111"/>
      <c r="O4633" s="1111"/>
      <c r="P4633" s="1111"/>
      <c r="Q4633" s="1111"/>
      <c r="R4633" s="504"/>
      <c r="T4633" s="406">
        <f t="shared" si="697"/>
        <v>0</v>
      </c>
      <c r="U4633" s="404"/>
    </row>
    <row r="4634" spans="1:22 16382:16382" s="420" customFormat="1" ht="56.25" customHeight="1">
      <c r="A4634" s="504">
        <v>1</v>
      </c>
      <c r="B4634" s="403" t="s">
        <v>3420</v>
      </c>
      <c r="C4634" s="382" t="s">
        <v>222</v>
      </c>
      <c r="D4634" s="641">
        <v>2425.1999999999998</v>
      </c>
      <c r="E4634" s="388">
        <v>15299</v>
      </c>
      <c r="F4634" s="391" t="s">
        <v>223</v>
      </c>
      <c r="G4634" s="388">
        <v>1244.0999999999999</v>
      </c>
      <c r="H4634" s="446">
        <v>5</v>
      </c>
      <c r="I4634" s="446">
        <v>4</v>
      </c>
      <c r="J4634" s="446">
        <v>70</v>
      </c>
      <c r="K4634" s="458" t="s">
        <v>263</v>
      </c>
      <c r="L4634" s="519">
        <f>M4634+N4634+O4634+P4634+Q4634</f>
        <v>3207912</v>
      </c>
      <c r="M4634" s="519">
        <v>3110250</v>
      </c>
      <c r="N4634" s="388">
        <v>31103</v>
      </c>
      <c r="O4634" s="385"/>
      <c r="P4634" s="383"/>
      <c r="Q4634" s="388">
        <v>66559</v>
      </c>
      <c r="R4634" s="446">
        <f>M4634/G4634</f>
        <v>2500</v>
      </c>
      <c r="S4634" s="447"/>
      <c r="T4634" s="406">
        <f t="shared" si="697"/>
        <v>0</v>
      </c>
      <c r="U4634" s="405"/>
    </row>
    <row r="4635" spans="1:22 16382:16382" s="420" customFormat="1" ht="37.5" customHeight="1">
      <c r="A4635" s="504">
        <f>A4634+1</f>
        <v>2</v>
      </c>
      <c r="B4635" s="403" t="s">
        <v>3421</v>
      </c>
      <c r="C4635" s="455" t="s">
        <v>222</v>
      </c>
      <c r="D4635" s="606">
        <v>6465.2</v>
      </c>
      <c r="E4635" s="391">
        <v>38054</v>
      </c>
      <c r="F4635" s="391" t="s">
        <v>234</v>
      </c>
      <c r="G4635" s="391">
        <v>2642.2</v>
      </c>
      <c r="H4635" s="528">
        <v>5</v>
      </c>
      <c r="I4635" s="528">
        <v>12</v>
      </c>
      <c r="J4635" s="528">
        <v>125</v>
      </c>
      <c r="K4635" s="458" t="s">
        <v>33</v>
      </c>
      <c r="L4635" s="519">
        <f>M4635+N4635+O4635+P4635+Q4635</f>
        <v>5684006</v>
      </c>
      <c r="M4635" s="645">
        <v>5548620</v>
      </c>
      <c r="N4635" s="646"/>
      <c r="O4635" s="643">
        <v>16646</v>
      </c>
      <c r="P4635" s="646"/>
      <c r="Q4635" s="388">
        <v>118740</v>
      </c>
      <c r="R4635" s="648">
        <f>M4635/G4635</f>
        <v>2100</v>
      </c>
      <c r="T4635" s="406">
        <f t="shared" si="697"/>
        <v>0</v>
      </c>
      <c r="U4635" s="405"/>
    </row>
    <row r="4636" spans="1:22 16382:16382" s="420" customFormat="1" ht="37.5" customHeight="1">
      <c r="A4636" s="504">
        <f>A4635+1</f>
        <v>3</v>
      </c>
      <c r="B4636" s="403" t="s">
        <v>3422</v>
      </c>
      <c r="C4636" s="487" t="s">
        <v>218</v>
      </c>
      <c r="D4636" s="606">
        <v>4028</v>
      </c>
      <c r="E4636" s="391">
        <v>21169</v>
      </c>
      <c r="F4636" s="391" t="s">
        <v>234</v>
      </c>
      <c r="G4636" s="391">
        <v>798.8</v>
      </c>
      <c r="H4636" s="528">
        <v>9</v>
      </c>
      <c r="I4636" s="528">
        <v>2</v>
      </c>
      <c r="J4636" s="528">
        <v>144</v>
      </c>
      <c r="K4636" s="458" t="s">
        <v>239</v>
      </c>
      <c r="L4636" s="519">
        <f>M4636+N4636+O4636+P4636+Q4636</f>
        <v>4442688</v>
      </c>
      <c r="M4636" s="645">
        <v>4320000</v>
      </c>
      <c r="N4636" s="646">
        <v>30240</v>
      </c>
      <c r="O4636" s="647"/>
      <c r="P4636" s="646"/>
      <c r="Q4636" s="388">
        <v>92448</v>
      </c>
      <c r="R4636" s="648">
        <f>M4636/J4636</f>
        <v>30000</v>
      </c>
      <c r="T4636" s="406">
        <f t="shared" si="697"/>
        <v>0</v>
      </c>
      <c r="U4636" s="405"/>
    </row>
    <row r="4637" spans="1:22 16382:16382" s="420" customFormat="1" ht="37.5" customHeight="1">
      <c r="A4637" s="504">
        <f>A4636+1</f>
        <v>4</v>
      </c>
      <c r="B4637" s="403" t="s">
        <v>1070</v>
      </c>
      <c r="C4637" s="487" t="s">
        <v>222</v>
      </c>
      <c r="D4637" s="606">
        <v>4269</v>
      </c>
      <c r="E4637" s="391">
        <v>1230</v>
      </c>
      <c r="F4637" s="391" t="s">
        <v>224</v>
      </c>
      <c r="G4637" s="391">
        <v>345.8</v>
      </c>
      <c r="H4637" s="528">
        <v>5</v>
      </c>
      <c r="I4637" s="528">
        <v>1</v>
      </c>
      <c r="J4637" s="528">
        <v>18</v>
      </c>
      <c r="K4637" s="458" t="s">
        <v>253</v>
      </c>
      <c r="L4637" s="519">
        <f>M4637+N4637+O4637+P4637+Q4637</f>
        <v>1447380</v>
      </c>
      <c r="M4637" s="645">
        <v>1383200</v>
      </c>
      <c r="N4637" s="646">
        <v>34580</v>
      </c>
      <c r="O4637" s="647"/>
      <c r="P4637" s="646"/>
      <c r="Q4637" s="388">
        <v>29600</v>
      </c>
      <c r="R4637" s="648"/>
      <c r="T4637" s="406"/>
      <c r="U4637" s="405"/>
    </row>
    <row r="4638" spans="1:22 16382:16382" s="420" customFormat="1" ht="37.5" customHeight="1">
      <c r="A4638" s="504">
        <f>A4637+1</f>
        <v>5</v>
      </c>
      <c r="B4638" s="403" t="s">
        <v>2947</v>
      </c>
      <c r="C4638" s="487" t="s">
        <v>218</v>
      </c>
      <c r="D4638" s="606">
        <v>18497</v>
      </c>
      <c r="E4638" s="391">
        <v>3317.8</v>
      </c>
      <c r="F4638" s="391" t="s">
        <v>234</v>
      </c>
      <c r="G4638" s="391">
        <v>1284.5</v>
      </c>
      <c r="H4638" s="528">
        <v>5</v>
      </c>
      <c r="I4638" s="528">
        <v>5</v>
      </c>
      <c r="J4638" s="528">
        <v>98</v>
      </c>
      <c r="K4638" s="458" t="s">
        <v>227</v>
      </c>
      <c r="L4638" s="519">
        <f>M4638+N4638+O4638+P4638+Q4638</f>
        <v>11790996.75</v>
      </c>
      <c r="M4638" s="645">
        <v>11498924.050000001</v>
      </c>
      <c r="N4638" s="646">
        <v>45995.7</v>
      </c>
      <c r="O4638" s="647"/>
      <c r="P4638" s="646"/>
      <c r="Q4638" s="388">
        <v>246077</v>
      </c>
      <c r="R4638" s="648">
        <v>3465.8279582856107</v>
      </c>
      <c r="T4638" s="406"/>
      <c r="U4638" s="405"/>
      <c r="XFB4638" s="420">
        <v>2414019.52</v>
      </c>
    </row>
    <row r="4639" spans="1:22 16382:16382" s="403" customFormat="1" ht="42.75" customHeight="1">
      <c r="A4639" s="1115" t="s">
        <v>41</v>
      </c>
      <c r="B4639" s="1115"/>
      <c r="C4639" s="455" t="s">
        <v>28</v>
      </c>
      <c r="D4639" s="641">
        <f>SUM(D4634:D4638)</f>
        <v>35684.400000000001</v>
      </c>
      <c r="E4639" s="388">
        <f>SUM(E4634:E4638)</f>
        <v>79069.8</v>
      </c>
      <c r="F4639" s="388" t="s">
        <v>28</v>
      </c>
      <c r="G4639" s="388">
        <f>SUM(G4634:G4638)</f>
        <v>6315.4</v>
      </c>
      <c r="H4639" s="446" t="s">
        <v>28</v>
      </c>
      <c r="I4639" s="446" t="s">
        <v>28</v>
      </c>
      <c r="J4639" s="446">
        <f>SUM(J4634:J4638)</f>
        <v>455</v>
      </c>
      <c r="K4639" s="458" t="s">
        <v>28</v>
      </c>
      <c r="L4639" s="519">
        <f>SUM(L4634:L4638)</f>
        <v>26572982.75</v>
      </c>
      <c r="M4639" s="519">
        <f>SUM(M4634:M4638)</f>
        <v>25860994.050000001</v>
      </c>
      <c r="N4639" s="388">
        <f>SUM(N4634:N4638)</f>
        <v>141918.70000000001</v>
      </c>
      <c r="O4639" s="473">
        <f>SUM(O4634:O4638)</f>
        <v>16646</v>
      </c>
      <c r="P4639" s="388"/>
      <c r="Q4639" s="388">
        <f>SUM(Q4634:Q4638)</f>
        <v>553424</v>
      </c>
      <c r="R4639" s="446" t="s">
        <v>28</v>
      </c>
      <c r="T4639" s="406">
        <f t="shared" ref="T4639:T4645" si="699">L4639-M4639-N4639-O4639-Q4639</f>
        <v>0</v>
      </c>
      <c r="U4639" s="404"/>
    </row>
    <row r="4640" spans="1:22 16382:16382" s="403" customFormat="1" ht="42.75" customHeight="1">
      <c r="A4640" s="1113" t="s">
        <v>82</v>
      </c>
      <c r="B4640" s="1113"/>
      <c r="C4640" s="1113"/>
      <c r="D4640" s="1113"/>
      <c r="E4640" s="1113"/>
      <c r="F4640" s="1113"/>
      <c r="G4640" s="1113"/>
      <c r="H4640" s="1113"/>
      <c r="I4640" s="1113"/>
      <c r="J4640" s="1113"/>
      <c r="K4640" s="1113"/>
      <c r="L4640" s="1113"/>
      <c r="M4640" s="1113"/>
      <c r="N4640" s="1113"/>
      <c r="O4640" s="1113"/>
      <c r="P4640" s="1113"/>
      <c r="Q4640" s="1113"/>
      <c r="R4640" s="458"/>
      <c r="T4640" s="406">
        <f t="shared" si="699"/>
        <v>0</v>
      </c>
      <c r="U4640" s="404"/>
    </row>
    <row r="4641" spans="1:21" s="426" customFormat="1" ht="56.25" customHeight="1">
      <c r="A4641" s="642">
        <v>1</v>
      </c>
      <c r="B4641" s="733" t="s">
        <v>3423</v>
      </c>
      <c r="C4641" s="599" t="s">
        <v>218</v>
      </c>
      <c r="D4641" s="737">
        <v>1429.7</v>
      </c>
      <c r="E4641" s="539">
        <v>533</v>
      </c>
      <c r="F4641" s="646" t="s">
        <v>231</v>
      </c>
      <c r="G4641" s="539">
        <v>720</v>
      </c>
      <c r="H4641" s="599">
        <v>2</v>
      </c>
      <c r="I4641" s="599">
        <v>2</v>
      </c>
      <c r="J4641" s="648">
        <v>16</v>
      </c>
      <c r="K4641" s="728" t="s">
        <v>227</v>
      </c>
      <c r="L4641" s="519">
        <f t="shared" ref="L4641:L4661" si="700">M4641+N4641+O4641+P4641+Q4641</f>
        <v>1941592</v>
      </c>
      <c r="M4641" s="645">
        <v>1873400</v>
      </c>
      <c r="N4641" s="388">
        <v>28101</v>
      </c>
      <c r="O4641" s="473"/>
      <c r="P4641" s="388"/>
      <c r="Q4641" s="388">
        <v>40091</v>
      </c>
      <c r="R4641" s="528">
        <f>M4641/E4641</f>
        <v>3514.8217636022514</v>
      </c>
      <c r="T4641" s="406">
        <f t="shared" si="699"/>
        <v>0</v>
      </c>
    </row>
    <row r="4642" spans="1:21" s="426" customFormat="1" ht="56.25" customHeight="1">
      <c r="A4642" s="642">
        <f>A4641+1</f>
        <v>2</v>
      </c>
      <c r="B4642" s="733" t="s">
        <v>3424</v>
      </c>
      <c r="C4642" s="599" t="s">
        <v>218</v>
      </c>
      <c r="D4642" s="737">
        <v>1418.1</v>
      </c>
      <c r="E4642" s="539">
        <v>529</v>
      </c>
      <c r="F4642" s="646" t="s">
        <v>231</v>
      </c>
      <c r="G4642" s="539">
        <v>720</v>
      </c>
      <c r="H4642" s="599">
        <v>2</v>
      </c>
      <c r="I4642" s="599">
        <v>2</v>
      </c>
      <c r="J4642" s="648">
        <v>16</v>
      </c>
      <c r="K4642" s="728" t="s">
        <v>227</v>
      </c>
      <c r="L4642" s="519">
        <f t="shared" si="700"/>
        <v>1925838</v>
      </c>
      <c r="M4642" s="645">
        <v>1858200</v>
      </c>
      <c r="N4642" s="388">
        <v>27873</v>
      </c>
      <c r="O4642" s="473"/>
      <c r="P4642" s="388"/>
      <c r="Q4642" s="388">
        <v>39765</v>
      </c>
      <c r="R4642" s="528">
        <f>M4642/E4642</f>
        <v>3512.6654064272211</v>
      </c>
      <c r="S4642" s="428"/>
      <c r="T4642" s="406">
        <f t="shared" si="699"/>
        <v>0</v>
      </c>
    </row>
    <row r="4643" spans="1:21" s="426" customFormat="1" ht="56.25" customHeight="1">
      <c r="A4643" s="642">
        <f t="shared" ref="A4643:A4661" si="701">A4642+1</f>
        <v>3</v>
      </c>
      <c r="B4643" s="733" t="s">
        <v>3425</v>
      </c>
      <c r="C4643" s="699" t="s">
        <v>222</v>
      </c>
      <c r="D4643" s="734">
        <f>E4643*2.8</f>
        <v>2177.2799999999997</v>
      </c>
      <c r="E4643" s="539">
        <f>((20*I4643+12)*2)*H4643*2.7</f>
        <v>777.6</v>
      </c>
      <c r="F4643" s="646" t="s">
        <v>223</v>
      </c>
      <c r="G4643" s="539">
        <f>(20*I4643)*12*1.3</f>
        <v>936</v>
      </c>
      <c r="H4643" s="648">
        <v>2</v>
      </c>
      <c r="I4643" s="648">
        <v>3</v>
      </c>
      <c r="J4643" s="648">
        <v>12</v>
      </c>
      <c r="K4643" s="682" t="s">
        <v>33</v>
      </c>
      <c r="L4643" s="519">
        <f t="shared" si="700"/>
        <v>2703093</v>
      </c>
      <c r="M4643" s="908">
        <v>2620800</v>
      </c>
      <c r="N4643" s="646">
        <v>26208</v>
      </c>
      <c r="O4643" s="647"/>
      <c r="P4643" s="646"/>
      <c r="Q4643" s="388">
        <v>56085</v>
      </c>
      <c r="R4643" s="648">
        <f>M4643/G4643</f>
        <v>2800</v>
      </c>
      <c r="S4643" s="428"/>
      <c r="T4643" s="406">
        <f t="shared" si="699"/>
        <v>0</v>
      </c>
    </row>
    <row r="4644" spans="1:21" s="426" customFormat="1" ht="56.25" customHeight="1">
      <c r="A4644" s="642">
        <f t="shared" si="701"/>
        <v>4</v>
      </c>
      <c r="B4644" s="403" t="s">
        <v>3426</v>
      </c>
      <c r="C4644" s="648" t="s">
        <v>222</v>
      </c>
      <c r="D4644" s="641">
        <v>3985</v>
      </c>
      <c r="E4644" s="388">
        <v>809</v>
      </c>
      <c r="F4644" s="646" t="s">
        <v>223</v>
      </c>
      <c r="G4644" s="388">
        <v>730</v>
      </c>
      <c r="H4644" s="446">
        <v>3</v>
      </c>
      <c r="I4644" s="446">
        <v>3</v>
      </c>
      <c r="J4644" s="446">
        <v>22</v>
      </c>
      <c r="K4644" s="458" t="s">
        <v>238</v>
      </c>
      <c r="L4644" s="519">
        <f t="shared" si="700"/>
        <v>563420</v>
      </c>
      <c r="M4644" s="519">
        <v>550000</v>
      </c>
      <c r="N4644" s="388"/>
      <c r="O4644" s="643">
        <v>1650</v>
      </c>
      <c r="P4644" s="388"/>
      <c r="Q4644" s="388">
        <v>11770</v>
      </c>
      <c r="R4644" s="446">
        <f>M4644/J4644</f>
        <v>25000</v>
      </c>
      <c r="T4644" s="406">
        <f t="shared" si="699"/>
        <v>0</v>
      </c>
    </row>
    <row r="4645" spans="1:21" s="426" customFormat="1" ht="56.25" customHeight="1">
      <c r="A4645" s="642">
        <f t="shared" si="701"/>
        <v>5</v>
      </c>
      <c r="B4645" s="498" t="s">
        <v>3427</v>
      </c>
      <c r="C4645" s="648" t="s">
        <v>222</v>
      </c>
      <c r="D4645" s="606">
        <v>2106</v>
      </c>
      <c r="E4645" s="539">
        <v>466</v>
      </c>
      <c r="F4645" s="539" t="s">
        <v>223</v>
      </c>
      <c r="G4645" s="539">
        <v>465</v>
      </c>
      <c r="H4645" s="599">
        <v>2</v>
      </c>
      <c r="I4645" s="599">
        <v>2</v>
      </c>
      <c r="J4645" s="599">
        <v>12</v>
      </c>
      <c r="K4645" s="728" t="s">
        <v>33</v>
      </c>
      <c r="L4645" s="519">
        <f t="shared" si="700"/>
        <v>1362413</v>
      </c>
      <c r="M4645" s="908">
        <v>1302000</v>
      </c>
      <c r="N4645" s="388">
        <v>32550</v>
      </c>
      <c r="O4645" s="473"/>
      <c r="P4645" s="388"/>
      <c r="Q4645" s="388">
        <v>27863</v>
      </c>
      <c r="R4645" s="648">
        <f>M4645/G4645</f>
        <v>2800</v>
      </c>
      <c r="S4645" s="428"/>
      <c r="T4645" s="406">
        <f t="shared" si="699"/>
        <v>0</v>
      </c>
    </row>
    <row r="4646" spans="1:21" s="426" customFormat="1" ht="56.25" customHeight="1">
      <c r="A4646" s="642">
        <f t="shared" si="701"/>
        <v>6</v>
      </c>
      <c r="B4646" s="498" t="s">
        <v>1094</v>
      </c>
      <c r="C4646" s="648" t="s">
        <v>222</v>
      </c>
      <c r="D4646" s="606">
        <v>7383</v>
      </c>
      <c r="E4646" s="539">
        <v>3700</v>
      </c>
      <c r="F4646" s="539" t="s">
        <v>223</v>
      </c>
      <c r="G4646" s="539">
        <v>960</v>
      </c>
      <c r="H4646" s="599">
        <v>3</v>
      </c>
      <c r="I4646" s="599">
        <v>1</v>
      </c>
      <c r="J4646" s="599">
        <v>45</v>
      </c>
      <c r="K4646" s="728" t="s">
        <v>33</v>
      </c>
      <c r="L4646" s="519">
        <f t="shared" si="700"/>
        <v>2772403</v>
      </c>
      <c r="M4646" s="908">
        <v>2688000</v>
      </c>
      <c r="N4646" s="388">
        <v>26880</v>
      </c>
      <c r="O4646" s="473"/>
      <c r="P4646" s="388"/>
      <c r="Q4646" s="388">
        <v>57523</v>
      </c>
      <c r="R4646" s="528">
        <f>M4646/G4646</f>
        <v>2800</v>
      </c>
      <c r="S4646" s="428"/>
      <c r="T4646" s="406"/>
    </row>
    <row r="4647" spans="1:21" s="426" customFormat="1" ht="37.5" customHeight="1">
      <c r="A4647" s="642">
        <f t="shared" si="701"/>
        <v>7</v>
      </c>
      <c r="B4647" s="498" t="s">
        <v>2968</v>
      </c>
      <c r="C4647" s="648" t="s">
        <v>222</v>
      </c>
      <c r="D4647" s="737">
        <f>E4647*2.9</f>
        <v>1972</v>
      </c>
      <c r="E4647" s="539">
        <v>680</v>
      </c>
      <c r="F4647" s="539" t="s">
        <v>223</v>
      </c>
      <c r="G4647" s="539">
        <v>720</v>
      </c>
      <c r="H4647" s="599">
        <v>2</v>
      </c>
      <c r="I4647" s="599">
        <v>2</v>
      </c>
      <c r="J4647" s="599">
        <v>12</v>
      </c>
      <c r="K4647" s="960" t="s">
        <v>33</v>
      </c>
      <c r="L4647" s="519">
        <f t="shared" si="700"/>
        <v>2014762</v>
      </c>
      <c r="M4647" s="645">
        <v>1944000</v>
      </c>
      <c r="N4647" s="388">
        <v>29160</v>
      </c>
      <c r="O4647" s="473"/>
      <c r="P4647" s="388"/>
      <c r="Q4647" s="388">
        <v>41602</v>
      </c>
      <c r="R4647" s="648">
        <f>M4647/G4647</f>
        <v>2700</v>
      </c>
      <c r="U4647" s="464"/>
    </row>
    <row r="4648" spans="1:21" s="426" customFormat="1" ht="37.5" customHeight="1">
      <c r="A4648" s="642">
        <f t="shared" si="701"/>
        <v>8</v>
      </c>
      <c r="B4648" s="403" t="s">
        <v>2969</v>
      </c>
      <c r="C4648" s="455" t="s">
        <v>272</v>
      </c>
      <c r="D4648" s="641">
        <v>2911</v>
      </c>
      <c r="E4648" s="388">
        <v>3025.8</v>
      </c>
      <c r="F4648" s="646" t="s">
        <v>223</v>
      </c>
      <c r="G4648" s="388">
        <v>652.54999999999995</v>
      </c>
      <c r="H4648" s="446">
        <v>2</v>
      </c>
      <c r="I4648" s="446">
        <v>2</v>
      </c>
      <c r="J4648" s="446">
        <v>16</v>
      </c>
      <c r="K4648" s="458" t="s">
        <v>239</v>
      </c>
      <c r="L4648" s="519">
        <f t="shared" si="700"/>
        <v>514272</v>
      </c>
      <c r="M4648" s="645">
        <v>480000</v>
      </c>
      <c r="N4648" s="646">
        <v>24000</v>
      </c>
      <c r="O4648" s="647"/>
      <c r="P4648" s="646"/>
      <c r="Q4648" s="388">
        <v>10272</v>
      </c>
      <c r="R4648" s="648">
        <f>M4648/J4648</f>
        <v>30000</v>
      </c>
      <c r="U4648" s="464"/>
    </row>
    <row r="4649" spans="1:21" s="426" customFormat="1" ht="37.5" customHeight="1">
      <c r="A4649" s="642">
        <f t="shared" si="701"/>
        <v>9</v>
      </c>
      <c r="B4649" s="403" t="s">
        <v>2970</v>
      </c>
      <c r="C4649" s="455" t="s">
        <v>218</v>
      </c>
      <c r="D4649" s="737">
        <v>1015</v>
      </c>
      <c r="E4649" s="388">
        <v>350</v>
      </c>
      <c r="F4649" s="539" t="s">
        <v>224</v>
      </c>
      <c r="G4649" s="388">
        <v>520</v>
      </c>
      <c r="H4649" s="446">
        <v>2</v>
      </c>
      <c r="I4649" s="446">
        <v>2</v>
      </c>
      <c r="J4649" s="446">
        <v>16</v>
      </c>
      <c r="K4649" s="458" t="s">
        <v>33</v>
      </c>
      <c r="L4649" s="519">
        <f t="shared" si="700"/>
        <v>1118645</v>
      </c>
      <c r="M4649" s="908">
        <v>1092000</v>
      </c>
      <c r="N4649" s="391"/>
      <c r="O4649" s="643">
        <v>3276</v>
      </c>
      <c r="P4649" s="391"/>
      <c r="Q4649" s="388">
        <v>23369</v>
      </c>
      <c r="R4649" s="961">
        <f t="shared" ref="R4649:R4656" si="702">M4649/G4649</f>
        <v>2100</v>
      </c>
      <c r="S4649" s="428"/>
      <c r="T4649" s="428"/>
      <c r="U4649" s="464"/>
    </row>
    <row r="4650" spans="1:21" s="426" customFormat="1" ht="37.5" customHeight="1">
      <c r="A4650" s="642">
        <f t="shared" si="701"/>
        <v>10</v>
      </c>
      <c r="B4650" s="403" t="s">
        <v>2971</v>
      </c>
      <c r="C4650" s="455" t="s">
        <v>222</v>
      </c>
      <c r="D4650" s="737">
        <v>1508</v>
      </c>
      <c r="E4650" s="388">
        <v>520</v>
      </c>
      <c r="F4650" s="388" t="s">
        <v>224</v>
      </c>
      <c r="G4650" s="388">
        <v>540</v>
      </c>
      <c r="H4650" s="446">
        <v>2</v>
      </c>
      <c r="I4650" s="446">
        <v>2</v>
      </c>
      <c r="J4650" s="446">
        <v>16</v>
      </c>
      <c r="K4650" s="458" t="s">
        <v>33</v>
      </c>
      <c r="L4650" s="519">
        <f t="shared" si="700"/>
        <v>1161670</v>
      </c>
      <c r="M4650" s="908">
        <v>1134000</v>
      </c>
      <c r="N4650" s="391"/>
      <c r="O4650" s="643">
        <v>3402</v>
      </c>
      <c r="P4650" s="391"/>
      <c r="Q4650" s="388">
        <v>24268</v>
      </c>
      <c r="R4650" s="961">
        <f t="shared" si="702"/>
        <v>2100</v>
      </c>
      <c r="S4650" s="428"/>
      <c r="T4650" s="428"/>
      <c r="U4650" s="464"/>
    </row>
    <row r="4651" spans="1:21" s="426" customFormat="1" ht="37.5" customHeight="1">
      <c r="A4651" s="642">
        <f t="shared" si="701"/>
        <v>11</v>
      </c>
      <c r="B4651" s="498" t="s">
        <v>2972</v>
      </c>
      <c r="C4651" s="599" t="s">
        <v>218</v>
      </c>
      <c r="D4651" s="737">
        <f>E4651*2.9</f>
        <v>1676.2</v>
      </c>
      <c r="E4651" s="539">
        <v>578</v>
      </c>
      <c r="F4651" s="539" t="s">
        <v>223</v>
      </c>
      <c r="G4651" s="539">
        <v>634</v>
      </c>
      <c r="H4651" s="599">
        <v>2</v>
      </c>
      <c r="I4651" s="599">
        <v>2</v>
      </c>
      <c r="J4651" s="599">
        <v>16</v>
      </c>
      <c r="K4651" s="728" t="s">
        <v>33</v>
      </c>
      <c r="L4651" s="519">
        <f t="shared" si="700"/>
        <v>1642694</v>
      </c>
      <c r="M4651" s="645">
        <v>1585000</v>
      </c>
      <c r="N4651" s="388">
        <v>23775</v>
      </c>
      <c r="O4651" s="473"/>
      <c r="P4651" s="388"/>
      <c r="Q4651" s="388">
        <v>33919</v>
      </c>
      <c r="R4651" s="648">
        <f t="shared" si="702"/>
        <v>2500</v>
      </c>
      <c r="S4651" s="428"/>
      <c r="T4651" s="428"/>
      <c r="U4651" s="464"/>
    </row>
    <row r="4652" spans="1:21" s="426" customFormat="1" ht="56.25" customHeight="1">
      <c r="A4652" s="642">
        <f t="shared" si="701"/>
        <v>12</v>
      </c>
      <c r="B4652" s="403" t="s">
        <v>2973</v>
      </c>
      <c r="C4652" s="455" t="s">
        <v>272</v>
      </c>
      <c r="D4652" s="641">
        <v>397.1</v>
      </c>
      <c r="E4652" s="388">
        <v>420</v>
      </c>
      <c r="F4652" s="646" t="s">
        <v>223</v>
      </c>
      <c r="G4652" s="388">
        <v>415</v>
      </c>
      <c r="H4652" s="446">
        <v>2</v>
      </c>
      <c r="I4652" s="446">
        <v>1</v>
      </c>
      <c r="J4652" s="446">
        <v>10</v>
      </c>
      <c r="K4652" s="458" t="s">
        <v>33</v>
      </c>
      <c r="L4652" s="519">
        <f t="shared" si="700"/>
        <v>1178094</v>
      </c>
      <c r="M4652" s="645">
        <v>1120500</v>
      </c>
      <c r="N4652" s="646">
        <v>33615</v>
      </c>
      <c r="O4652" s="647"/>
      <c r="P4652" s="646"/>
      <c r="Q4652" s="388">
        <v>23979</v>
      </c>
      <c r="R4652" s="648">
        <f t="shared" si="702"/>
        <v>2700</v>
      </c>
      <c r="S4652" s="428"/>
      <c r="T4652" s="428"/>
      <c r="U4652" s="464"/>
    </row>
    <row r="4653" spans="1:21" s="453" customFormat="1" ht="56.25" customHeight="1">
      <c r="A4653" s="642">
        <f t="shared" si="701"/>
        <v>13</v>
      </c>
      <c r="B4653" s="743" t="s">
        <v>2974</v>
      </c>
      <c r="C4653" s="699" t="s">
        <v>218</v>
      </c>
      <c r="D4653" s="962">
        <v>3213</v>
      </c>
      <c r="E4653" s="688">
        <v>636</v>
      </c>
      <c r="F4653" s="539" t="s">
        <v>223</v>
      </c>
      <c r="G4653" s="651">
        <v>536.17999999999995</v>
      </c>
      <c r="H4653" s="701">
        <v>2</v>
      </c>
      <c r="I4653" s="701">
        <v>2</v>
      </c>
      <c r="J4653" s="599">
        <v>16</v>
      </c>
      <c r="K4653" s="960" t="s">
        <v>33</v>
      </c>
      <c r="L4653" s="519">
        <f t="shared" si="700"/>
        <v>1451781.9999999998</v>
      </c>
      <c r="M4653" s="645">
        <v>1394067.9999999998</v>
      </c>
      <c r="N4653" s="388">
        <v>27881</v>
      </c>
      <c r="O4653" s="473"/>
      <c r="P4653" s="388"/>
      <c r="Q4653" s="388">
        <v>29833</v>
      </c>
      <c r="R4653" s="648">
        <f t="shared" si="702"/>
        <v>2600</v>
      </c>
      <c r="S4653" s="428"/>
      <c r="T4653" s="428"/>
      <c r="U4653" s="464"/>
    </row>
    <row r="4654" spans="1:21" s="453" customFormat="1" ht="37.5" customHeight="1">
      <c r="A4654" s="642">
        <f t="shared" si="701"/>
        <v>14</v>
      </c>
      <c r="B4654" s="498" t="s">
        <v>2975</v>
      </c>
      <c r="C4654" s="648" t="s">
        <v>222</v>
      </c>
      <c r="D4654" s="737">
        <f>E4654*2.9</f>
        <v>2128.6</v>
      </c>
      <c r="E4654" s="738">
        <v>734</v>
      </c>
      <c r="F4654" s="539" t="s">
        <v>223</v>
      </c>
      <c r="G4654" s="738">
        <v>690</v>
      </c>
      <c r="H4654" s="739">
        <v>2</v>
      </c>
      <c r="I4654" s="739">
        <v>2</v>
      </c>
      <c r="J4654" s="739">
        <v>16</v>
      </c>
      <c r="K4654" s="728" t="s">
        <v>33</v>
      </c>
      <c r="L4654" s="519">
        <f t="shared" si="700"/>
        <v>1859302</v>
      </c>
      <c r="M4654" s="645">
        <v>1794000</v>
      </c>
      <c r="N4654" s="388">
        <v>26910</v>
      </c>
      <c r="O4654" s="473"/>
      <c r="P4654" s="388"/>
      <c r="Q4654" s="388">
        <v>38392</v>
      </c>
      <c r="R4654" s="648">
        <f t="shared" si="702"/>
        <v>2600</v>
      </c>
      <c r="S4654" s="428"/>
      <c r="T4654" s="428"/>
      <c r="U4654" s="464"/>
    </row>
    <row r="4655" spans="1:21" s="453" customFormat="1" ht="56.25" customHeight="1">
      <c r="A4655" s="642">
        <f t="shared" si="701"/>
        <v>15</v>
      </c>
      <c r="B4655" s="498" t="s">
        <v>2976</v>
      </c>
      <c r="C4655" s="648" t="s">
        <v>222</v>
      </c>
      <c r="D4655" s="681">
        <v>2202</v>
      </c>
      <c r="E4655" s="646">
        <v>734</v>
      </c>
      <c r="F4655" s="539" t="s">
        <v>223</v>
      </c>
      <c r="G4655" s="646">
        <v>670</v>
      </c>
      <c r="H4655" s="648">
        <v>2</v>
      </c>
      <c r="I4655" s="648">
        <v>2</v>
      </c>
      <c r="J4655" s="648">
        <v>16</v>
      </c>
      <c r="K4655" s="728" t="s">
        <v>33</v>
      </c>
      <c r="L4655" s="519">
        <f t="shared" si="700"/>
        <v>1826241</v>
      </c>
      <c r="M4655" s="645">
        <v>1762100</v>
      </c>
      <c r="N4655" s="388">
        <v>26432</v>
      </c>
      <c r="O4655" s="647"/>
      <c r="P4655" s="646"/>
      <c r="Q4655" s="388">
        <v>37709</v>
      </c>
      <c r="R4655" s="648">
        <f t="shared" si="702"/>
        <v>2630</v>
      </c>
      <c r="S4655" s="428"/>
      <c r="T4655" s="428"/>
      <c r="U4655" s="464"/>
    </row>
    <row r="4656" spans="1:21" s="403" customFormat="1" ht="37.5" customHeight="1">
      <c r="A4656" s="642">
        <f t="shared" si="701"/>
        <v>16</v>
      </c>
      <c r="B4656" s="498" t="s">
        <v>2977</v>
      </c>
      <c r="C4656" s="599" t="s">
        <v>218</v>
      </c>
      <c r="D4656" s="737">
        <f>E4656*2.9</f>
        <v>2128.6</v>
      </c>
      <c r="E4656" s="539">
        <v>734</v>
      </c>
      <c r="F4656" s="539" t="s">
        <v>223</v>
      </c>
      <c r="G4656" s="539">
        <v>690</v>
      </c>
      <c r="H4656" s="599">
        <v>2</v>
      </c>
      <c r="I4656" s="599">
        <v>2</v>
      </c>
      <c r="J4656" s="599">
        <v>16</v>
      </c>
      <c r="K4656" s="728" t="s">
        <v>33</v>
      </c>
      <c r="L4656" s="519">
        <f t="shared" si="700"/>
        <v>2002325</v>
      </c>
      <c r="M4656" s="645">
        <v>1932000</v>
      </c>
      <c r="N4656" s="388">
        <v>28980</v>
      </c>
      <c r="O4656" s="473"/>
      <c r="P4656" s="388"/>
      <c r="Q4656" s="388">
        <v>41345</v>
      </c>
      <c r="R4656" s="648">
        <f t="shared" si="702"/>
        <v>2800</v>
      </c>
      <c r="T4656" s="406"/>
      <c r="U4656" s="464"/>
    </row>
    <row r="4657" spans="1:21" s="426" customFormat="1" ht="37.5" customHeight="1">
      <c r="A4657" s="642">
        <f t="shared" si="701"/>
        <v>17</v>
      </c>
      <c r="B4657" s="498" t="s">
        <v>2978</v>
      </c>
      <c r="C4657" s="648" t="s">
        <v>222</v>
      </c>
      <c r="D4657" s="606">
        <v>700</v>
      </c>
      <c r="E4657" s="539">
        <v>714</v>
      </c>
      <c r="F4657" s="539" t="s">
        <v>223</v>
      </c>
      <c r="G4657" s="539">
        <v>725</v>
      </c>
      <c r="H4657" s="599">
        <v>2</v>
      </c>
      <c r="I4657" s="599">
        <v>2</v>
      </c>
      <c r="J4657" s="599">
        <v>12</v>
      </c>
      <c r="K4657" s="728" t="s">
        <v>227</v>
      </c>
      <c r="L4657" s="519">
        <f t="shared" si="700"/>
        <v>2602428</v>
      </c>
      <c r="M4657" s="645">
        <v>2523200</v>
      </c>
      <c r="N4657" s="646">
        <v>25232</v>
      </c>
      <c r="O4657" s="647"/>
      <c r="P4657" s="646"/>
      <c r="Q4657" s="388">
        <v>53996</v>
      </c>
      <c r="R4657" s="528">
        <f>M4657/E4657</f>
        <v>3533.893557422969</v>
      </c>
      <c r="T4657" s="406"/>
      <c r="U4657" s="464"/>
    </row>
    <row r="4658" spans="1:21" s="404" customFormat="1" ht="56.25" customHeight="1">
      <c r="A4658" s="642">
        <f t="shared" si="701"/>
        <v>18</v>
      </c>
      <c r="B4658" s="498" t="s">
        <v>2979</v>
      </c>
      <c r="C4658" s="648" t="s">
        <v>222</v>
      </c>
      <c r="D4658" s="734">
        <v>2961</v>
      </c>
      <c r="E4658" s="539">
        <v>612.5</v>
      </c>
      <c r="F4658" s="539" t="s">
        <v>223</v>
      </c>
      <c r="G4658" s="539">
        <v>645</v>
      </c>
      <c r="H4658" s="599">
        <v>2</v>
      </c>
      <c r="I4658" s="599">
        <v>2</v>
      </c>
      <c r="J4658" s="599">
        <v>16</v>
      </c>
      <c r="K4658" s="728" t="s">
        <v>30</v>
      </c>
      <c r="L4658" s="519">
        <f t="shared" si="700"/>
        <v>409760</v>
      </c>
      <c r="M4658" s="519">
        <v>400000</v>
      </c>
      <c r="N4658" s="388"/>
      <c r="O4658" s="643">
        <v>1200</v>
      </c>
      <c r="P4658" s="388"/>
      <c r="Q4658" s="388">
        <v>8560</v>
      </c>
      <c r="R4658" s="648">
        <f>M4658/J4658</f>
        <v>25000</v>
      </c>
      <c r="T4658" s="406"/>
      <c r="U4658" s="464"/>
    </row>
    <row r="4659" spans="1:21" s="403" customFormat="1" ht="37.5" customHeight="1">
      <c r="A4659" s="642">
        <f t="shared" si="701"/>
        <v>19</v>
      </c>
      <c r="B4659" s="498" t="s">
        <v>2980</v>
      </c>
      <c r="C4659" s="648" t="s">
        <v>222</v>
      </c>
      <c r="D4659" s="734">
        <v>3151</v>
      </c>
      <c r="E4659" s="539">
        <v>609.1</v>
      </c>
      <c r="F4659" s="539" t="s">
        <v>223</v>
      </c>
      <c r="G4659" s="539">
        <v>642</v>
      </c>
      <c r="H4659" s="599">
        <v>2</v>
      </c>
      <c r="I4659" s="599">
        <v>2</v>
      </c>
      <c r="J4659" s="599">
        <v>16</v>
      </c>
      <c r="K4659" s="728" t="s">
        <v>239</v>
      </c>
      <c r="L4659" s="519">
        <f t="shared" si="700"/>
        <v>514272</v>
      </c>
      <c r="M4659" s="519">
        <v>480000</v>
      </c>
      <c r="N4659" s="388">
        <v>24000</v>
      </c>
      <c r="O4659" s="473"/>
      <c r="P4659" s="388"/>
      <c r="Q4659" s="388">
        <v>10272</v>
      </c>
      <c r="R4659" s="648">
        <f>M4659/J4659</f>
        <v>30000</v>
      </c>
      <c r="T4659" s="406"/>
      <c r="U4659" s="464"/>
    </row>
    <row r="4660" spans="1:21" s="403" customFormat="1" ht="37.5" customHeight="1">
      <c r="A4660" s="642">
        <f t="shared" si="701"/>
        <v>20</v>
      </c>
      <c r="B4660" s="498" t="s">
        <v>2981</v>
      </c>
      <c r="C4660" s="648" t="s">
        <v>222</v>
      </c>
      <c r="D4660" s="641">
        <v>1314</v>
      </c>
      <c r="E4660" s="388">
        <v>438</v>
      </c>
      <c r="F4660" s="539" t="s">
        <v>223</v>
      </c>
      <c r="G4660" s="539">
        <v>637</v>
      </c>
      <c r="H4660" s="599">
        <v>2</v>
      </c>
      <c r="I4660" s="599">
        <v>1</v>
      </c>
      <c r="J4660" s="599">
        <v>8</v>
      </c>
      <c r="K4660" s="728" t="s">
        <v>33</v>
      </c>
      <c r="L4660" s="519">
        <f t="shared" si="700"/>
        <v>1848523</v>
      </c>
      <c r="M4660" s="645">
        <v>1783600</v>
      </c>
      <c r="N4660" s="388">
        <v>26754</v>
      </c>
      <c r="O4660" s="473"/>
      <c r="P4660" s="388"/>
      <c r="Q4660" s="388">
        <v>38169</v>
      </c>
      <c r="R4660" s="648">
        <f>M4660/G4660</f>
        <v>2800</v>
      </c>
      <c r="T4660" s="406"/>
      <c r="U4660" s="464"/>
    </row>
    <row r="4661" spans="1:21" s="403" customFormat="1" ht="37.5" customHeight="1">
      <c r="A4661" s="642">
        <f t="shared" si="701"/>
        <v>21</v>
      </c>
      <c r="B4661" s="498" t="s">
        <v>3976</v>
      </c>
      <c r="C4661" s="648" t="s">
        <v>218</v>
      </c>
      <c r="D4661" s="641">
        <v>5355</v>
      </c>
      <c r="E4661" s="388">
        <v>918</v>
      </c>
      <c r="F4661" s="539" t="s">
        <v>224</v>
      </c>
      <c r="G4661" s="539">
        <v>630</v>
      </c>
      <c r="H4661" s="599">
        <v>3</v>
      </c>
      <c r="I4661" s="599">
        <v>1</v>
      </c>
      <c r="J4661" s="599">
        <v>21</v>
      </c>
      <c r="K4661" s="728" t="s">
        <v>33</v>
      </c>
      <c r="L4661" s="519">
        <f t="shared" si="700"/>
        <v>1613430</v>
      </c>
      <c r="M4661" s="645">
        <v>1575000</v>
      </c>
      <c r="N4661" s="388"/>
      <c r="O4661" s="473">
        <v>4725</v>
      </c>
      <c r="P4661" s="388"/>
      <c r="Q4661" s="388">
        <v>33705</v>
      </c>
      <c r="R4661" s="648"/>
      <c r="T4661" s="406"/>
      <c r="U4661" s="464"/>
    </row>
    <row r="4662" spans="1:21" s="403" customFormat="1" ht="42.75" customHeight="1">
      <c r="A4662" s="1112" t="s">
        <v>134</v>
      </c>
      <c r="B4662" s="1112"/>
      <c r="C4662" s="455" t="s">
        <v>28</v>
      </c>
      <c r="D4662" s="641">
        <f>SUM(D4641:D4661)</f>
        <v>51131.58</v>
      </c>
      <c r="E4662" s="388">
        <f>SUM(E4641:E4661)</f>
        <v>18518</v>
      </c>
      <c r="F4662" s="388" t="s">
        <v>28</v>
      </c>
      <c r="G4662" s="388">
        <f>SUM(G4641:G4661)</f>
        <v>13877.73</v>
      </c>
      <c r="H4662" s="446" t="s">
        <v>28</v>
      </c>
      <c r="I4662" s="446" t="s">
        <v>28</v>
      </c>
      <c r="J4662" s="446">
        <f>SUM(J4641:J4661)</f>
        <v>346</v>
      </c>
      <c r="K4662" s="458" t="s">
        <v>28</v>
      </c>
      <c r="L4662" s="519">
        <f>SUM(L4641:L4661)</f>
        <v>33026959</v>
      </c>
      <c r="M4662" s="519">
        <f>SUM(M4641:M4661)</f>
        <v>31891868</v>
      </c>
      <c r="N4662" s="388">
        <f>SUM(N4641:N4661)</f>
        <v>438351</v>
      </c>
      <c r="O4662" s="473">
        <f>SUM(O4641:O4661)</f>
        <v>14253</v>
      </c>
      <c r="P4662" s="388"/>
      <c r="Q4662" s="388">
        <f>SUM(Q4641:Q4661)</f>
        <v>682487</v>
      </c>
      <c r="R4662" s="446" t="s">
        <v>28</v>
      </c>
      <c r="T4662" s="406">
        <f t="shared" ref="T4662:T4674" si="703">L4662-M4662-N4662-O4662-Q4662</f>
        <v>0</v>
      </c>
      <c r="U4662" s="404"/>
    </row>
    <row r="4663" spans="1:21" s="403" customFormat="1" ht="42.75" customHeight="1">
      <c r="A4663" s="1113" t="s">
        <v>84</v>
      </c>
      <c r="B4663" s="1113"/>
      <c r="C4663" s="1113"/>
      <c r="D4663" s="1113"/>
      <c r="E4663" s="1113"/>
      <c r="F4663" s="1113"/>
      <c r="G4663" s="1113"/>
      <c r="H4663" s="1113"/>
      <c r="I4663" s="1113"/>
      <c r="J4663" s="1113"/>
      <c r="K4663" s="1113"/>
      <c r="L4663" s="1113"/>
      <c r="M4663" s="1113"/>
      <c r="N4663" s="1113"/>
      <c r="O4663" s="1113"/>
      <c r="P4663" s="1113"/>
      <c r="Q4663" s="1113"/>
      <c r="R4663" s="458"/>
      <c r="T4663" s="406">
        <f t="shared" si="703"/>
        <v>0</v>
      </c>
      <c r="U4663" s="404"/>
    </row>
    <row r="4664" spans="1:21" s="403" customFormat="1" ht="37.5" customHeight="1">
      <c r="A4664" s="458">
        <v>1</v>
      </c>
      <c r="B4664" s="403" t="s">
        <v>3428</v>
      </c>
      <c r="C4664" s="741" t="s">
        <v>222</v>
      </c>
      <c r="D4664" s="641">
        <v>1290</v>
      </c>
      <c r="E4664" s="388">
        <v>1092</v>
      </c>
      <c r="F4664" s="388" t="s">
        <v>223</v>
      </c>
      <c r="G4664" s="388">
        <v>268</v>
      </c>
      <c r="H4664" s="528">
        <v>2</v>
      </c>
      <c r="I4664" s="528">
        <v>4</v>
      </c>
      <c r="J4664" s="446">
        <v>4</v>
      </c>
      <c r="K4664" s="458" t="s">
        <v>38</v>
      </c>
      <c r="L4664" s="519">
        <f>M4664+N4664+O4664+P4664+Q4664</f>
        <v>1829169</v>
      </c>
      <c r="M4664" s="645">
        <v>1785600</v>
      </c>
      <c r="N4664" s="646"/>
      <c r="O4664" s="643">
        <v>5357</v>
      </c>
      <c r="P4664" s="646"/>
      <c r="Q4664" s="388">
        <v>38212</v>
      </c>
      <c r="R4664" s="528">
        <f>M4664/E4664</f>
        <v>1635.1648351648353</v>
      </c>
      <c r="T4664" s="406">
        <f t="shared" si="703"/>
        <v>0</v>
      </c>
      <c r="U4664" s="404"/>
    </row>
    <row r="4665" spans="1:21" s="403" customFormat="1" ht="42.75" customHeight="1">
      <c r="A4665" s="1112" t="s">
        <v>135</v>
      </c>
      <c r="B4665" s="1112"/>
      <c r="C4665" s="455" t="s">
        <v>28</v>
      </c>
      <c r="D4665" s="641">
        <f>SUM(D4664:D4664)</f>
        <v>1290</v>
      </c>
      <c r="E4665" s="388">
        <f>SUM(E4664:E4664)</f>
        <v>1092</v>
      </c>
      <c r="F4665" s="388" t="s">
        <v>28</v>
      </c>
      <c r="G4665" s="388">
        <f>SUM(G4664:G4664)</f>
        <v>268</v>
      </c>
      <c r="H4665" s="446" t="s">
        <v>28</v>
      </c>
      <c r="I4665" s="446" t="s">
        <v>28</v>
      </c>
      <c r="J4665" s="446">
        <f>SUM(J4664:J4664)</f>
        <v>4</v>
      </c>
      <c r="K4665" s="458" t="s">
        <v>28</v>
      </c>
      <c r="L4665" s="519">
        <f>SUM(L4664:L4664)</f>
        <v>1829169</v>
      </c>
      <c r="M4665" s="519">
        <f>SUM(M4664:M4664)</f>
        <v>1785600</v>
      </c>
      <c r="N4665" s="388">
        <f>SUM(N4664:N4664)</f>
        <v>0</v>
      </c>
      <c r="O4665" s="473">
        <f>SUM(O4664:O4664)</f>
        <v>5357</v>
      </c>
      <c r="P4665" s="388"/>
      <c r="Q4665" s="388">
        <f>SUM(Q4664:Q4664)</f>
        <v>38212</v>
      </c>
      <c r="R4665" s="446" t="s">
        <v>28</v>
      </c>
      <c r="T4665" s="406">
        <f t="shared" si="703"/>
        <v>0</v>
      </c>
      <c r="U4665" s="404"/>
    </row>
    <row r="4666" spans="1:21" s="403" customFormat="1" ht="42.75" customHeight="1">
      <c r="A4666" s="1113" t="s">
        <v>85</v>
      </c>
      <c r="B4666" s="1113"/>
      <c r="C4666" s="1113"/>
      <c r="D4666" s="1113"/>
      <c r="E4666" s="1113"/>
      <c r="F4666" s="1113"/>
      <c r="G4666" s="1113"/>
      <c r="H4666" s="1113"/>
      <c r="I4666" s="1113"/>
      <c r="J4666" s="1113"/>
      <c r="K4666" s="1113"/>
      <c r="L4666" s="1113"/>
      <c r="M4666" s="1113"/>
      <c r="N4666" s="1113"/>
      <c r="O4666" s="1113"/>
      <c r="P4666" s="1113"/>
      <c r="Q4666" s="1113"/>
      <c r="R4666" s="458"/>
      <c r="T4666" s="406">
        <f t="shared" si="703"/>
        <v>0</v>
      </c>
      <c r="U4666" s="404"/>
    </row>
    <row r="4667" spans="1:21" s="424" customFormat="1" ht="37.5" customHeight="1">
      <c r="A4667" s="682">
        <v>1</v>
      </c>
      <c r="B4667" s="424" t="s">
        <v>3429</v>
      </c>
      <c r="C4667" s="648" t="s">
        <v>222</v>
      </c>
      <c r="D4667" s="681">
        <v>8274</v>
      </c>
      <c r="E4667" s="646">
        <v>2335</v>
      </c>
      <c r="F4667" s="646" t="s">
        <v>228</v>
      </c>
      <c r="G4667" s="646">
        <v>819</v>
      </c>
      <c r="H4667" s="648">
        <v>4</v>
      </c>
      <c r="I4667" s="648">
        <v>3</v>
      </c>
      <c r="J4667" s="648">
        <v>36</v>
      </c>
      <c r="K4667" s="682" t="s">
        <v>33</v>
      </c>
      <c r="L4667" s="519">
        <f>M4667+N4667+O4667+P4667+Q4667</f>
        <v>1845764</v>
      </c>
      <c r="M4667" s="645">
        <v>1801800</v>
      </c>
      <c r="N4667" s="646"/>
      <c r="O4667" s="643">
        <v>5405</v>
      </c>
      <c r="P4667" s="646"/>
      <c r="Q4667" s="388">
        <v>38559</v>
      </c>
      <c r="R4667" s="648">
        <f>M4667/G4667</f>
        <v>2200</v>
      </c>
      <c r="T4667" s="406">
        <f t="shared" si="703"/>
        <v>0</v>
      </c>
      <c r="U4667" s="426"/>
    </row>
    <row r="4668" spans="1:21" s="424" customFormat="1" ht="27.75" customHeight="1">
      <c r="A4668" s="682">
        <f>A4667+1</f>
        <v>2</v>
      </c>
      <c r="B4668" s="424" t="s">
        <v>3430</v>
      </c>
      <c r="C4668" s="648" t="s">
        <v>218</v>
      </c>
      <c r="D4668" s="681">
        <v>20592</v>
      </c>
      <c r="E4668" s="646">
        <v>6000</v>
      </c>
      <c r="F4668" s="646" t="s">
        <v>228</v>
      </c>
      <c r="G4668" s="646">
        <v>1368.6</v>
      </c>
      <c r="H4668" s="648">
        <v>5</v>
      </c>
      <c r="I4668" s="648">
        <v>5</v>
      </c>
      <c r="J4668" s="648">
        <v>100</v>
      </c>
      <c r="K4668" s="682" t="s">
        <v>33</v>
      </c>
      <c r="L4668" s="519">
        <f>M4668+N4668+O4668+P4668+Q4668</f>
        <v>3434885</v>
      </c>
      <c r="M4668" s="645">
        <v>3353070</v>
      </c>
      <c r="N4668" s="646"/>
      <c r="O4668" s="643">
        <v>10059</v>
      </c>
      <c r="P4668" s="646"/>
      <c r="Q4668" s="388">
        <v>71756</v>
      </c>
      <c r="R4668" s="648">
        <f>M4668/G4668</f>
        <v>2450</v>
      </c>
      <c r="T4668" s="406">
        <f t="shared" si="703"/>
        <v>0</v>
      </c>
      <c r="U4668" s="426"/>
    </row>
    <row r="4669" spans="1:21" s="424" customFormat="1" ht="37.5" customHeight="1">
      <c r="A4669" s="682">
        <f>A4668+1</f>
        <v>3</v>
      </c>
      <c r="B4669" s="424" t="s">
        <v>3432</v>
      </c>
      <c r="C4669" s="648" t="s">
        <v>222</v>
      </c>
      <c r="D4669" s="681">
        <v>2178</v>
      </c>
      <c r="E4669" s="646">
        <v>554</v>
      </c>
      <c r="F4669" s="646" t="s">
        <v>223</v>
      </c>
      <c r="G4669" s="646">
        <v>920</v>
      </c>
      <c r="H4669" s="648">
        <v>2</v>
      </c>
      <c r="I4669" s="648">
        <v>3</v>
      </c>
      <c r="J4669" s="648">
        <v>11</v>
      </c>
      <c r="K4669" s="682" t="s">
        <v>33</v>
      </c>
      <c r="L4669" s="519">
        <f>M4669+N4669+O4669+P4669+Q4669</f>
        <v>2383720</v>
      </c>
      <c r="M4669" s="645">
        <v>2300000</v>
      </c>
      <c r="N4669" s="646">
        <v>34500</v>
      </c>
      <c r="O4669" s="647"/>
      <c r="P4669" s="646"/>
      <c r="Q4669" s="388">
        <v>49220</v>
      </c>
      <c r="R4669" s="648">
        <f>M4669/G4669</f>
        <v>2500</v>
      </c>
      <c r="T4669" s="406">
        <f t="shared" si="703"/>
        <v>0</v>
      </c>
      <c r="U4669" s="390"/>
    </row>
    <row r="4670" spans="1:21" s="424" customFormat="1" ht="37.5" customHeight="1">
      <c r="A4670" s="682">
        <f>A4669+1</f>
        <v>4</v>
      </c>
      <c r="B4670" s="424" t="s">
        <v>3433</v>
      </c>
      <c r="C4670" s="648" t="s">
        <v>218</v>
      </c>
      <c r="D4670" s="681">
        <v>3026</v>
      </c>
      <c r="E4670" s="646">
        <v>832</v>
      </c>
      <c r="F4670" s="646" t="s">
        <v>228</v>
      </c>
      <c r="G4670" s="646">
        <v>995</v>
      </c>
      <c r="H4670" s="648">
        <v>2</v>
      </c>
      <c r="I4670" s="648">
        <v>3</v>
      </c>
      <c r="J4670" s="648">
        <v>18</v>
      </c>
      <c r="K4670" s="682" t="s">
        <v>253</v>
      </c>
      <c r="L4670" s="645">
        <f>M4670+N4670+O4670+P4670+Q4670</f>
        <v>4104972</v>
      </c>
      <c r="M4670" s="645">
        <v>3980000</v>
      </c>
      <c r="N4670" s="646">
        <v>39800</v>
      </c>
      <c r="O4670" s="647"/>
      <c r="P4670" s="646"/>
      <c r="Q4670" s="388">
        <v>85172</v>
      </c>
      <c r="R4670" s="446">
        <f>M4670/G4670</f>
        <v>4000</v>
      </c>
      <c r="T4670" s="406">
        <f t="shared" si="703"/>
        <v>0</v>
      </c>
      <c r="U4670" s="390"/>
    </row>
    <row r="4671" spans="1:21" s="403" customFormat="1" ht="42.75" customHeight="1">
      <c r="A4671" s="1112" t="s">
        <v>86</v>
      </c>
      <c r="B4671" s="1112"/>
      <c r="C4671" s="455" t="s">
        <v>28</v>
      </c>
      <c r="D4671" s="641">
        <f>SUM(D4667:D4670)</f>
        <v>34070</v>
      </c>
      <c r="E4671" s="388">
        <f>SUM(E4667:E4670)</f>
        <v>9721</v>
      </c>
      <c r="F4671" s="388" t="s">
        <v>28</v>
      </c>
      <c r="G4671" s="388">
        <f>SUM(G4667:G4670)</f>
        <v>4102.6000000000004</v>
      </c>
      <c r="H4671" s="446" t="s">
        <v>28</v>
      </c>
      <c r="I4671" s="446" t="s">
        <v>28</v>
      </c>
      <c r="J4671" s="446">
        <f>SUM(J4667:J4670)</f>
        <v>165</v>
      </c>
      <c r="K4671" s="458" t="s">
        <v>28</v>
      </c>
      <c r="L4671" s="519">
        <f>SUM(L4667:L4670)</f>
        <v>11769341</v>
      </c>
      <c r="M4671" s="519">
        <f>SUM(M4667:M4670)</f>
        <v>11434870</v>
      </c>
      <c r="N4671" s="388">
        <f>SUM(N4667:N4670)</f>
        <v>74300</v>
      </c>
      <c r="O4671" s="473">
        <f>SUM(O4667:O4670)</f>
        <v>15464</v>
      </c>
      <c r="P4671" s="388"/>
      <c r="Q4671" s="388">
        <f>SUM(Q4667:Q4670)</f>
        <v>244707</v>
      </c>
      <c r="R4671" s="446" t="s">
        <v>28</v>
      </c>
      <c r="T4671" s="406">
        <f t="shared" si="703"/>
        <v>0</v>
      </c>
      <c r="U4671" s="404"/>
    </row>
    <row r="4672" spans="1:21" s="403" customFormat="1" ht="42.75" customHeight="1">
      <c r="A4672" s="1113" t="s">
        <v>89</v>
      </c>
      <c r="B4672" s="1113"/>
      <c r="C4672" s="1113"/>
      <c r="D4672" s="1113"/>
      <c r="E4672" s="1113"/>
      <c r="F4672" s="1113"/>
      <c r="G4672" s="1113"/>
      <c r="H4672" s="1113"/>
      <c r="I4672" s="1113"/>
      <c r="J4672" s="1113"/>
      <c r="K4672" s="1113"/>
      <c r="L4672" s="1113"/>
      <c r="M4672" s="1113"/>
      <c r="N4672" s="1113"/>
      <c r="O4672" s="1113"/>
      <c r="P4672" s="1113"/>
      <c r="Q4672" s="1113"/>
      <c r="R4672" s="458"/>
      <c r="T4672" s="406">
        <f t="shared" si="703"/>
        <v>0</v>
      </c>
      <c r="U4672" s="404"/>
    </row>
    <row r="4673" spans="1:22" s="420" customFormat="1" ht="56.25">
      <c r="A4673" s="458">
        <v>1</v>
      </c>
      <c r="B4673" s="403" t="s">
        <v>3434</v>
      </c>
      <c r="C4673" s="455" t="s">
        <v>222</v>
      </c>
      <c r="D4673" s="606">
        <v>5347</v>
      </c>
      <c r="E4673" s="391">
        <v>1290</v>
      </c>
      <c r="F4673" s="963" t="s">
        <v>242</v>
      </c>
      <c r="G4673" s="391">
        <v>1125</v>
      </c>
      <c r="H4673" s="528">
        <v>2</v>
      </c>
      <c r="I4673" s="528">
        <v>3</v>
      </c>
      <c r="J4673" s="528">
        <v>24</v>
      </c>
      <c r="K4673" s="458" t="s">
        <v>263</v>
      </c>
      <c r="L4673" s="519">
        <f>M4673+N4673+O4673+P4673+Q4673</f>
        <v>2900813</v>
      </c>
      <c r="M4673" s="908">
        <v>2812500</v>
      </c>
      <c r="N4673" s="391">
        <v>28125</v>
      </c>
      <c r="O4673" s="530"/>
      <c r="P4673" s="391"/>
      <c r="Q4673" s="388">
        <v>60188</v>
      </c>
      <c r="R4673" s="961">
        <f>M4673/G4673</f>
        <v>2500</v>
      </c>
      <c r="T4673" s="406">
        <f t="shared" si="703"/>
        <v>0</v>
      </c>
      <c r="U4673" s="390"/>
    </row>
    <row r="4674" spans="1:22" s="403" customFormat="1" ht="42.75" customHeight="1">
      <c r="A4674" s="1112" t="s">
        <v>136</v>
      </c>
      <c r="B4674" s="1112"/>
      <c r="C4674" s="455" t="s">
        <v>28</v>
      </c>
      <c r="D4674" s="641">
        <f>SUM(D4673:D4673)</f>
        <v>5347</v>
      </c>
      <c r="E4674" s="388">
        <f>SUM(E4673:E4673)</f>
        <v>1290</v>
      </c>
      <c r="F4674" s="388" t="s">
        <v>28</v>
      </c>
      <c r="G4674" s="388">
        <f>SUM(G4673:G4673)</f>
        <v>1125</v>
      </c>
      <c r="H4674" s="446" t="s">
        <v>28</v>
      </c>
      <c r="I4674" s="446" t="s">
        <v>28</v>
      </c>
      <c r="J4674" s="446">
        <f>SUM(J4673:J4673)</f>
        <v>24</v>
      </c>
      <c r="K4674" s="397" t="s">
        <v>28</v>
      </c>
      <c r="L4674" s="964">
        <f>SUM(L4673:L4673)</f>
        <v>2900813</v>
      </c>
      <c r="M4674" s="964">
        <f>SUM(M4673:M4673)</f>
        <v>2812500</v>
      </c>
      <c r="N4674" s="965">
        <f>SUM(N4673:N4673)</f>
        <v>28125</v>
      </c>
      <c r="O4674" s="966">
        <f>SUM(O4673:O4673)</f>
        <v>0</v>
      </c>
      <c r="P4674" s="965"/>
      <c r="Q4674" s="965">
        <f>SUM(Q4673:Q4673)</f>
        <v>60188</v>
      </c>
      <c r="R4674" s="446" t="s">
        <v>28</v>
      </c>
      <c r="T4674" s="406">
        <f t="shared" si="703"/>
        <v>0</v>
      </c>
      <c r="U4674" s="404"/>
    </row>
    <row r="4675" spans="1:22" s="403" customFormat="1" ht="37.5" customHeight="1">
      <c r="A4675" s="1136" t="s">
        <v>161</v>
      </c>
      <c r="B4675" s="1136"/>
      <c r="C4675" s="1136"/>
      <c r="D4675" s="1136"/>
      <c r="E4675" s="1136"/>
      <c r="F4675" s="1136"/>
      <c r="G4675" s="1136"/>
      <c r="H4675" s="1136"/>
      <c r="I4675" s="1136"/>
      <c r="J4675" s="1136"/>
      <c r="K4675" s="1136"/>
      <c r="L4675" s="1136"/>
      <c r="M4675" s="1136"/>
      <c r="N4675" s="1136"/>
      <c r="O4675" s="1136"/>
      <c r="P4675" s="1136"/>
      <c r="Q4675" s="1136"/>
      <c r="R4675" s="377"/>
      <c r="S4675" s="383"/>
      <c r="T4675" s="387"/>
      <c r="U4675" s="404"/>
    </row>
    <row r="4676" spans="1:22" s="403" customFormat="1" ht="36" customHeight="1">
      <c r="A4676" s="1123" t="s">
        <v>162</v>
      </c>
      <c r="B4676" s="1123"/>
      <c r="C4676" s="446" t="s">
        <v>28</v>
      </c>
      <c r="D4676" s="388">
        <f>D4684+D4694+D4728+D4732+D4735+D4738+D4742+D4752+D4758+D4763+D4766+D4755+D4748</f>
        <v>1314270.5448275863</v>
      </c>
      <c r="E4676" s="388">
        <f>E4684+E4694+E4728+E4732+E4735+E4738+E4742+E4752+E4758+E4763+E4766+E4755+E4748</f>
        <v>245495.50999999998</v>
      </c>
      <c r="F4676" s="383" t="s">
        <v>28</v>
      </c>
      <c r="G4676" s="388">
        <f>G4684+G4694+G4728+G4732+G4735+G4738+G4742+G4752+G4758+G4763+G4766+G4755+G4748</f>
        <v>77719.679999999993</v>
      </c>
      <c r="H4676" s="382" t="s">
        <v>28</v>
      </c>
      <c r="I4676" s="382" t="s">
        <v>28</v>
      </c>
      <c r="J4676" s="446">
        <f>J4684+J4694+J4728+J4732+J4735+J4738+J4742+J4752+J4758+J4763+J4766+J4755+J4748</f>
        <v>5856</v>
      </c>
      <c r="K4676" s="458" t="s">
        <v>28</v>
      </c>
      <c r="L4676" s="388">
        <f t="shared" ref="L4676:Q4676" si="704">L4684+L4694+L4728+L4732+L4735+L4738+L4742+L4752+L4758+L4763+L4766+L4755+L4748</f>
        <v>289824681.37</v>
      </c>
      <c r="M4676" s="388">
        <f t="shared" si="704"/>
        <v>285717621</v>
      </c>
      <c r="N4676" s="388">
        <f t="shared" si="704"/>
        <v>1490503</v>
      </c>
      <c r="O4676" s="388">
        <f t="shared" si="704"/>
        <v>349069.55</v>
      </c>
      <c r="P4676" s="388">
        <f t="shared" si="704"/>
        <v>0</v>
      </c>
      <c r="Q4676" s="388">
        <f t="shared" si="704"/>
        <v>2267487.8199999998</v>
      </c>
      <c r="R4676" s="446" t="s">
        <v>28</v>
      </c>
      <c r="S4676" s="383">
        <f>L4676-M4676-N4676-O4676-P4676-Q4676</f>
        <v>5.1222741603851318E-9</v>
      </c>
      <c r="T4676" s="387" t="e">
        <f>'1.перечень МКД'!#REF!</f>
        <v>#REF!</v>
      </c>
      <c r="U4676" s="390" t="e">
        <f>L4676-T4676</f>
        <v>#REF!</v>
      </c>
    </row>
    <row r="4677" spans="1:22" s="403" customFormat="1" ht="42.75" customHeight="1">
      <c r="A4677" s="1113" t="s">
        <v>141</v>
      </c>
      <c r="B4677" s="1113"/>
      <c r="C4677" s="1113"/>
      <c r="D4677" s="1113"/>
      <c r="E4677" s="1113"/>
      <c r="F4677" s="1113"/>
      <c r="G4677" s="1113"/>
      <c r="H4677" s="1113"/>
      <c r="I4677" s="1113"/>
      <c r="J4677" s="1113"/>
      <c r="K4677" s="1113"/>
      <c r="L4677" s="1113"/>
      <c r="M4677" s="1113"/>
      <c r="N4677" s="1113"/>
      <c r="O4677" s="1113"/>
      <c r="P4677" s="1113"/>
      <c r="Q4677" s="1113"/>
      <c r="R4677" s="458"/>
      <c r="U4677" s="404"/>
    </row>
    <row r="4678" spans="1:22" s="403" customFormat="1" ht="37.5" customHeight="1">
      <c r="A4678" s="797">
        <v>1</v>
      </c>
      <c r="B4678" s="723" t="s">
        <v>3435</v>
      </c>
      <c r="C4678" s="780" t="s">
        <v>222</v>
      </c>
      <c r="D4678" s="780">
        <v>26957</v>
      </c>
      <c r="E4678" s="539">
        <v>3093</v>
      </c>
      <c r="F4678" s="539"/>
      <c r="G4678" s="790">
        <v>1299</v>
      </c>
      <c r="H4678" s="789">
        <v>5</v>
      </c>
      <c r="I4678" s="789">
        <v>4</v>
      </c>
      <c r="J4678" s="599">
        <v>121</v>
      </c>
      <c r="K4678" s="791" t="s">
        <v>33</v>
      </c>
      <c r="L4678" s="519">
        <f t="shared" ref="L4678:L4683" si="705">SUM(M4678:Q4678)</f>
        <v>2906373</v>
      </c>
      <c r="M4678" s="792">
        <v>2857800</v>
      </c>
      <c r="N4678" s="790"/>
      <c r="O4678" s="643">
        <v>8573</v>
      </c>
      <c r="P4678" s="790"/>
      <c r="Q4678" s="388">
        <v>40000</v>
      </c>
      <c r="R4678" s="446">
        <f>M4678/G4678</f>
        <v>2200</v>
      </c>
      <c r="U4678" s="404"/>
    </row>
    <row r="4679" spans="1:22" s="403" customFormat="1" ht="37.5" customHeight="1">
      <c r="A4679" s="797">
        <f>A4678+1</f>
        <v>2</v>
      </c>
      <c r="B4679" s="723" t="s">
        <v>3436</v>
      </c>
      <c r="C4679" s="780" t="s">
        <v>222</v>
      </c>
      <c r="D4679" s="780">
        <v>11417</v>
      </c>
      <c r="E4679" s="539">
        <v>4845</v>
      </c>
      <c r="F4679" s="539" t="s">
        <v>234</v>
      </c>
      <c r="G4679" s="790">
        <v>945</v>
      </c>
      <c r="H4679" s="789">
        <v>5</v>
      </c>
      <c r="I4679" s="789">
        <v>2</v>
      </c>
      <c r="J4679" s="599">
        <v>120</v>
      </c>
      <c r="K4679" s="791" t="s">
        <v>33</v>
      </c>
      <c r="L4679" s="519">
        <f t="shared" si="705"/>
        <v>2129728</v>
      </c>
      <c r="M4679" s="792">
        <v>2079000</v>
      </c>
      <c r="N4679" s="790"/>
      <c r="O4679" s="643">
        <v>6237</v>
      </c>
      <c r="P4679" s="790"/>
      <c r="Q4679" s="388">
        <v>44491</v>
      </c>
      <c r="R4679" s="446">
        <f>M4679/G4679</f>
        <v>2200</v>
      </c>
      <c r="U4679" s="404"/>
    </row>
    <row r="4680" spans="1:22" s="403" customFormat="1" ht="37.5" customHeight="1">
      <c r="A4680" s="797">
        <f>A4679+1</f>
        <v>3</v>
      </c>
      <c r="B4680" s="723" t="s">
        <v>3439</v>
      </c>
      <c r="C4680" s="780" t="s">
        <v>222</v>
      </c>
      <c r="D4680" s="780">
        <v>13056</v>
      </c>
      <c r="E4680" s="539">
        <v>2635</v>
      </c>
      <c r="F4680" s="539" t="s">
        <v>223</v>
      </c>
      <c r="G4680" s="790">
        <v>1149</v>
      </c>
      <c r="H4680" s="789">
        <v>5</v>
      </c>
      <c r="I4680" s="789">
        <v>4</v>
      </c>
      <c r="J4680" s="599">
        <v>70</v>
      </c>
      <c r="K4680" s="791" t="s">
        <v>225</v>
      </c>
      <c r="L4680" s="519">
        <f t="shared" si="705"/>
        <v>1607956</v>
      </c>
      <c r="M4680" s="792">
        <v>1540000</v>
      </c>
      <c r="N4680" s="790">
        <v>35000</v>
      </c>
      <c r="O4680" s="643"/>
      <c r="P4680" s="790"/>
      <c r="Q4680" s="388">
        <v>32956</v>
      </c>
      <c r="R4680" s="446">
        <f>M4680/J4680</f>
        <v>22000</v>
      </c>
      <c r="U4680" s="404"/>
    </row>
    <row r="4681" spans="1:22" s="403" customFormat="1" ht="42.75" customHeight="1">
      <c r="A4681" s="797">
        <f>A4680+1</f>
        <v>4</v>
      </c>
      <c r="B4681" s="723" t="s">
        <v>3440</v>
      </c>
      <c r="C4681" s="780" t="s">
        <v>222</v>
      </c>
      <c r="D4681" s="780">
        <v>13671</v>
      </c>
      <c r="E4681" s="539">
        <v>2352</v>
      </c>
      <c r="F4681" s="539" t="s">
        <v>223</v>
      </c>
      <c r="G4681" s="790">
        <v>996</v>
      </c>
      <c r="H4681" s="789">
        <v>5</v>
      </c>
      <c r="I4681" s="789">
        <v>4</v>
      </c>
      <c r="J4681" s="599">
        <v>80</v>
      </c>
      <c r="K4681" s="791" t="s">
        <v>38</v>
      </c>
      <c r="L4681" s="519">
        <f t="shared" si="705"/>
        <v>1980798</v>
      </c>
      <c r="M4681" s="792">
        <v>1933618</v>
      </c>
      <c r="N4681" s="790"/>
      <c r="O4681" s="643">
        <v>5801</v>
      </c>
      <c r="P4681" s="790"/>
      <c r="Q4681" s="388">
        <v>41379</v>
      </c>
      <c r="R4681" s="528">
        <f>M4681/E4681</f>
        <v>822.1164965986394</v>
      </c>
      <c r="U4681" s="404"/>
    </row>
    <row r="4682" spans="1:22" s="403" customFormat="1" ht="37.5" customHeight="1">
      <c r="A4682" s="797">
        <f>A4681+1</f>
        <v>5</v>
      </c>
      <c r="B4682" s="705" t="s">
        <v>2080</v>
      </c>
      <c r="C4682" s="455" t="s">
        <v>297</v>
      </c>
      <c r="D4682" s="747">
        <v>16048</v>
      </c>
      <c r="E4682" s="748">
        <v>3440</v>
      </c>
      <c r="F4682" s="748" t="s">
        <v>234</v>
      </c>
      <c r="G4682" s="748">
        <v>659</v>
      </c>
      <c r="H4682" s="676">
        <v>9</v>
      </c>
      <c r="I4682" s="446">
        <v>2</v>
      </c>
      <c r="J4682" s="749">
        <v>70</v>
      </c>
      <c r="K4682" s="750" t="s">
        <v>220</v>
      </c>
      <c r="L4682" s="519">
        <f t="shared" si="705"/>
        <v>4106250</v>
      </c>
      <c r="M4682" s="751">
        <v>4000000</v>
      </c>
      <c r="N4682" s="752">
        <v>106250</v>
      </c>
      <c r="O4682" s="753"/>
      <c r="P4682" s="752"/>
      <c r="Q4682" s="752"/>
      <c r="R4682" s="528">
        <f>M4682/I4682</f>
        <v>2000000</v>
      </c>
      <c r="S4682" s="383">
        <f>L4682-M4682-N4682-O4682-P4682-Q4682</f>
        <v>0</v>
      </c>
      <c r="T4682" s="391"/>
      <c r="U4682" s="406"/>
      <c r="V4682" s="390"/>
    </row>
    <row r="4683" spans="1:22" s="403" customFormat="1" ht="37.5" customHeight="1">
      <c r="A4683" s="797">
        <f>A4682+1</f>
        <v>6</v>
      </c>
      <c r="B4683" s="705" t="s">
        <v>1145</v>
      </c>
      <c r="C4683" s="455" t="s">
        <v>283</v>
      </c>
      <c r="D4683" s="747">
        <v>50590</v>
      </c>
      <c r="E4683" s="748">
        <v>8944</v>
      </c>
      <c r="F4683" s="748" t="s">
        <v>234</v>
      </c>
      <c r="G4683" s="748">
        <v>1505</v>
      </c>
      <c r="H4683" s="676">
        <v>9</v>
      </c>
      <c r="I4683" s="446">
        <v>2</v>
      </c>
      <c r="J4683" s="749">
        <v>108</v>
      </c>
      <c r="K4683" s="750" t="s">
        <v>220</v>
      </c>
      <c r="L4683" s="519">
        <f t="shared" si="705"/>
        <v>4106250</v>
      </c>
      <c r="M4683" s="751">
        <v>4000000</v>
      </c>
      <c r="N4683" s="752">
        <v>106250</v>
      </c>
      <c r="O4683" s="753"/>
      <c r="P4683" s="752"/>
      <c r="Q4683" s="752"/>
      <c r="R4683" s="528">
        <f>M4683/I4683</f>
        <v>2000000</v>
      </c>
      <c r="S4683" s="383">
        <f>L4683-M4683-N4683-O4683-P4683-Q4683</f>
        <v>0</v>
      </c>
      <c r="T4683" s="387"/>
      <c r="U4683" s="390"/>
      <c r="V4683" s="390"/>
    </row>
    <row r="4684" spans="1:22" s="455" customFormat="1" ht="42.75" customHeight="1">
      <c r="A4684" s="1112" t="s">
        <v>142</v>
      </c>
      <c r="B4684" s="1112"/>
      <c r="D4684" s="798">
        <f>SUM(D4678:D4683)</f>
        <v>131739</v>
      </c>
      <c r="E4684" s="388">
        <f>SUM(E4678:E4683)</f>
        <v>25309</v>
      </c>
      <c r="F4684" s="388" t="s">
        <v>28</v>
      </c>
      <c r="G4684" s="388">
        <f>SUM(G4678:G4683)</f>
        <v>6553</v>
      </c>
      <c r="H4684" s="446" t="s">
        <v>28</v>
      </c>
      <c r="I4684" s="446" t="s">
        <v>28</v>
      </c>
      <c r="J4684" s="446">
        <f>SUM(J4678:J4683)</f>
        <v>569</v>
      </c>
      <c r="K4684" s="458" t="s">
        <v>28</v>
      </c>
      <c r="L4684" s="519">
        <f t="shared" ref="L4684:Q4684" si="706">SUM(L4678:L4683)</f>
        <v>16837355</v>
      </c>
      <c r="M4684" s="519">
        <f t="shared" si="706"/>
        <v>16410418</v>
      </c>
      <c r="N4684" s="388">
        <f t="shared" si="706"/>
        <v>247500</v>
      </c>
      <c r="O4684" s="473">
        <f t="shared" si="706"/>
        <v>20611</v>
      </c>
      <c r="P4684" s="388">
        <f t="shared" si="706"/>
        <v>0</v>
      </c>
      <c r="Q4684" s="388">
        <f t="shared" si="706"/>
        <v>158826</v>
      </c>
      <c r="R4684" s="446" t="s">
        <v>28</v>
      </c>
      <c r="S4684" s="403">
        <f>SUBTOTAL(9,M4684:Q4684)</f>
        <v>16837355</v>
      </c>
      <c r="T4684" s="393">
        <f>S4684-L4684</f>
        <v>0</v>
      </c>
      <c r="U4684" s="404"/>
    </row>
    <row r="4685" spans="1:22" s="403" customFormat="1" ht="32.25" customHeight="1">
      <c r="A4685" s="1113" t="s">
        <v>165</v>
      </c>
      <c r="B4685" s="1113"/>
      <c r="C4685" s="1113"/>
      <c r="D4685" s="1113"/>
      <c r="E4685" s="1113"/>
      <c r="F4685" s="1113"/>
      <c r="G4685" s="1113"/>
      <c r="H4685" s="1113"/>
      <c r="I4685" s="1113"/>
      <c r="J4685" s="1113"/>
      <c r="K4685" s="1113"/>
      <c r="L4685" s="1113"/>
      <c r="M4685" s="1113"/>
      <c r="N4685" s="1113"/>
      <c r="O4685" s="1113"/>
      <c r="P4685" s="1113"/>
      <c r="Q4685" s="1113"/>
      <c r="R4685" s="458"/>
      <c r="U4685" s="404"/>
    </row>
    <row r="4686" spans="1:22" s="403" customFormat="1" ht="37.5" customHeight="1">
      <c r="A4686" s="797">
        <v>1</v>
      </c>
      <c r="B4686" s="723" t="s">
        <v>3441</v>
      </c>
      <c r="C4686" s="780" t="s">
        <v>218</v>
      </c>
      <c r="D4686" s="780">
        <v>29700</v>
      </c>
      <c r="E4686" s="539">
        <v>5300</v>
      </c>
      <c r="F4686" s="539" t="s">
        <v>228</v>
      </c>
      <c r="G4686" s="790">
        <v>2484</v>
      </c>
      <c r="H4686" s="789">
        <v>5</v>
      </c>
      <c r="I4686" s="789">
        <v>10</v>
      </c>
      <c r="J4686" s="599">
        <v>150</v>
      </c>
      <c r="K4686" s="791" t="s">
        <v>225</v>
      </c>
      <c r="L4686" s="519">
        <f>M4686+N4686+O4686+P4686+Q4686</f>
        <v>3525000</v>
      </c>
      <c r="M4686" s="792">
        <v>3450000</v>
      </c>
      <c r="N4686" s="790">
        <v>35000</v>
      </c>
      <c r="O4686" s="643"/>
      <c r="P4686" s="790"/>
      <c r="Q4686" s="388">
        <v>40000</v>
      </c>
      <c r="R4686" s="446">
        <f>M4686/J4686</f>
        <v>23000</v>
      </c>
      <c r="U4686" s="404"/>
    </row>
    <row r="4687" spans="1:22" s="403" customFormat="1" ht="56.25" customHeight="1">
      <c r="A4687" s="797">
        <f>A4686+1</f>
        <v>2</v>
      </c>
      <c r="B4687" s="723" t="s">
        <v>3443</v>
      </c>
      <c r="C4687" s="780" t="s">
        <v>240</v>
      </c>
      <c r="D4687" s="780">
        <v>18117</v>
      </c>
      <c r="E4687" s="539">
        <v>3028</v>
      </c>
      <c r="F4687" s="539" t="s">
        <v>252</v>
      </c>
      <c r="G4687" s="790">
        <v>1606</v>
      </c>
      <c r="H4687" s="789">
        <v>4</v>
      </c>
      <c r="I4687" s="789">
        <v>4</v>
      </c>
      <c r="J4687" s="599">
        <v>58</v>
      </c>
      <c r="K4687" s="791" t="s">
        <v>30</v>
      </c>
      <c r="L4687" s="519">
        <f>M4687+N4687+O4687+P4687+Q4687</f>
        <v>1485380</v>
      </c>
      <c r="M4687" s="792">
        <v>1450000</v>
      </c>
      <c r="N4687" s="790"/>
      <c r="O4687" s="643">
        <v>4350</v>
      </c>
      <c r="P4687" s="790"/>
      <c r="Q4687" s="388">
        <v>31030</v>
      </c>
      <c r="R4687" s="446">
        <f>M4687/J4687</f>
        <v>25000</v>
      </c>
      <c r="U4687" s="404"/>
    </row>
    <row r="4688" spans="1:22" s="403" customFormat="1" ht="56.25" customHeight="1">
      <c r="A4688" s="797">
        <f t="shared" ref="A4688:A4693" si="707">A4687+1</f>
        <v>3</v>
      </c>
      <c r="B4688" s="723" t="s">
        <v>3445</v>
      </c>
      <c r="C4688" s="780" t="s">
        <v>222</v>
      </c>
      <c r="D4688" s="780">
        <v>16232</v>
      </c>
      <c r="E4688" s="539">
        <v>1813</v>
      </c>
      <c r="F4688" s="539" t="s">
        <v>228</v>
      </c>
      <c r="G4688" s="790">
        <v>1041</v>
      </c>
      <c r="H4688" s="789">
        <v>5</v>
      </c>
      <c r="I4688" s="789">
        <v>4</v>
      </c>
      <c r="J4688" s="599">
        <v>64</v>
      </c>
      <c r="K4688" s="791" t="s">
        <v>30</v>
      </c>
      <c r="L4688" s="519">
        <f>M4688+N4688+O4688+P4688+Q4688</f>
        <v>1639040</v>
      </c>
      <c r="M4688" s="792">
        <v>1600000</v>
      </c>
      <c r="N4688" s="790"/>
      <c r="O4688" s="643">
        <v>4800</v>
      </c>
      <c r="P4688" s="790"/>
      <c r="Q4688" s="388">
        <v>34240</v>
      </c>
      <c r="R4688" s="446">
        <f>M4688/J4688</f>
        <v>25000</v>
      </c>
      <c r="U4688" s="404"/>
    </row>
    <row r="4689" spans="1:24" s="403" customFormat="1" ht="37.5" customHeight="1">
      <c r="A4689" s="797">
        <f t="shared" si="707"/>
        <v>4</v>
      </c>
      <c r="B4689" s="723" t="s">
        <v>3446</v>
      </c>
      <c r="C4689" s="780" t="s">
        <v>222</v>
      </c>
      <c r="D4689" s="780">
        <v>10454</v>
      </c>
      <c r="E4689" s="539">
        <v>1585</v>
      </c>
      <c r="F4689" s="539" t="s">
        <v>252</v>
      </c>
      <c r="G4689" s="790">
        <v>1142</v>
      </c>
      <c r="H4689" s="789">
        <v>5</v>
      </c>
      <c r="I4689" s="789">
        <v>3</v>
      </c>
      <c r="J4689" s="599">
        <v>36</v>
      </c>
      <c r="K4689" s="791" t="s">
        <v>33</v>
      </c>
      <c r="L4689" s="519">
        <f>M4689+N4689+O4689+P4689+Q4689</f>
        <v>3272600</v>
      </c>
      <c r="M4689" s="792">
        <v>3197600</v>
      </c>
      <c r="N4689" s="790">
        <v>35000</v>
      </c>
      <c r="O4689" s="643"/>
      <c r="P4689" s="790"/>
      <c r="Q4689" s="388">
        <v>40000</v>
      </c>
      <c r="R4689" s="446">
        <f>M4689/G4689</f>
        <v>2800</v>
      </c>
      <c r="U4689" s="404"/>
    </row>
    <row r="4690" spans="1:24" s="403" customFormat="1" ht="37.5" customHeight="1">
      <c r="A4690" s="797">
        <f t="shared" si="707"/>
        <v>5</v>
      </c>
      <c r="B4690" s="723" t="s">
        <v>3447</v>
      </c>
      <c r="C4690" s="780" t="s">
        <v>218</v>
      </c>
      <c r="D4690" s="780">
        <v>23281</v>
      </c>
      <c r="E4690" s="539">
        <v>5300</v>
      </c>
      <c r="F4690" s="539" t="s">
        <v>228</v>
      </c>
      <c r="G4690" s="790">
        <v>2052</v>
      </c>
      <c r="H4690" s="789">
        <v>5</v>
      </c>
      <c r="I4690" s="789">
        <v>8</v>
      </c>
      <c r="J4690" s="599">
        <v>120</v>
      </c>
      <c r="K4690" s="791" t="s">
        <v>227</v>
      </c>
      <c r="L4690" s="519">
        <f>SUM(M4690:Q4690)</f>
        <v>13325000</v>
      </c>
      <c r="M4690" s="792">
        <v>13250000</v>
      </c>
      <c r="N4690" s="790">
        <v>35000</v>
      </c>
      <c r="O4690" s="643"/>
      <c r="P4690" s="790"/>
      <c r="Q4690" s="388">
        <v>40000</v>
      </c>
      <c r="R4690" s="528">
        <f>M4690/E4690</f>
        <v>2500</v>
      </c>
      <c r="U4690" s="404"/>
    </row>
    <row r="4691" spans="1:24" s="403" customFormat="1" ht="37.5" customHeight="1">
      <c r="A4691" s="797">
        <f t="shared" si="707"/>
        <v>6</v>
      </c>
      <c r="B4691" s="723" t="s">
        <v>3448</v>
      </c>
      <c r="C4691" s="780" t="s">
        <v>218</v>
      </c>
      <c r="D4691" s="780">
        <v>21777</v>
      </c>
      <c r="E4691" s="539">
        <v>5300</v>
      </c>
      <c r="F4691" s="539" t="s">
        <v>228</v>
      </c>
      <c r="G4691" s="790">
        <v>2154</v>
      </c>
      <c r="H4691" s="789">
        <v>5</v>
      </c>
      <c r="I4691" s="789">
        <v>8</v>
      </c>
      <c r="J4691" s="599">
        <v>120</v>
      </c>
      <c r="K4691" s="791" t="s">
        <v>227</v>
      </c>
      <c r="L4691" s="519">
        <f>SUM(M4691:Q4691)</f>
        <v>13325000</v>
      </c>
      <c r="M4691" s="792">
        <v>13250000</v>
      </c>
      <c r="N4691" s="790">
        <v>35000</v>
      </c>
      <c r="O4691" s="643"/>
      <c r="P4691" s="790"/>
      <c r="Q4691" s="388">
        <v>40000</v>
      </c>
      <c r="R4691" s="528">
        <f>M4691/E4691</f>
        <v>2500</v>
      </c>
      <c r="U4691" s="404"/>
    </row>
    <row r="4692" spans="1:24" s="403" customFormat="1" ht="37.5" customHeight="1">
      <c r="A4692" s="797">
        <f t="shared" si="707"/>
        <v>7</v>
      </c>
      <c r="B4692" s="723" t="s">
        <v>3449</v>
      </c>
      <c r="C4692" s="780" t="s">
        <v>240</v>
      </c>
      <c r="D4692" s="780">
        <v>1840</v>
      </c>
      <c r="E4692" s="539">
        <v>428</v>
      </c>
      <c r="F4692" s="539" t="s">
        <v>252</v>
      </c>
      <c r="G4692" s="790">
        <v>373</v>
      </c>
      <c r="H4692" s="789">
        <v>2</v>
      </c>
      <c r="I4692" s="789">
        <v>1</v>
      </c>
      <c r="J4692" s="599">
        <v>8</v>
      </c>
      <c r="K4692" s="791" t="s">
        <v>33</v>
      </c>
      <c r="L4692" s="519">
        <f>M4692+N4692+O4692+P4692+Q4692</f>
        <v>1070250</v>
      </c>
      <c r="M4692" s="792">
        <v>1044400</v>
      </c>
      <c r="N4692" s="790">
        <v>3500</v>
      </c>
      <c r="O4692" s="643"/>
      <c r="P4692" s="790"/>
      <c r="Q4692" s="388">
        <v>22350</v>
      </c>
      <c r="R4692" s="446">
        <f>M4692/G4692</f>
        <v>2800</v>
      </c>
      <c r="U4692" s="404"/>
    </row>
    <row r="4693" spans="1:24" s="403" customFormat="1" ht="37.5">
      <c r="A4693" s="797">
        <f t="shared" si="707"/>
        <v>8</v>
      </c>
      <c r="B4693" s="705" t="s">
        <v>1179</v>
      </c>
      <c r="C4693" s="455" t="s">
        <v>218</v>
      </c>
      <c r="D4693" s="747">
        <v>19527</v>
      </c>
      <c r="E4693" s="748">
        <v>3557</v>
      </c>
      <c r="F4693" s="748" t="s">
        <v>287</v>
      </c>
      <c r="G4693" s="748">
        <v>1550</v>
      </c>
      <c r="H4693" s="676">
        <v>5</v>
      </c>
      <c r="I4693" s="446">
        <v>6</v>
      </c>
      <c r="J4693" s="749">
        <v>120</v>
      </c>
      <c r="K4693" s="750" t="s">
        <v>33</v>
      </c>
      <c r="L4693" s="650">
        <f>M4693+N4693+O4693+P4693+Q4693</f>
        <v>3483000</v>
      </c>
      <c r="M4693" s="751">
        <v>3410000</v>
      </c>
      <c r="N4693" s="752">
        <v>33000</v>
      </c>
      <c r="O4693" s="753"/>
      <c r="P4693" s="752"/>
      <c r="Q4693" s="388">
        <v>40000</v>
      </c>
      <c r="R4693" s="528">
        <f>M4693/E4693</f>
        <v>958.67303907787459</v>
      </c>
      <c r="S4693" s="383">
        <f>L4693-M4693-N4693-O4693-P4693-Q4693</f>
        <v>0</v>
      </c>
      <c r="T4693" s="393"/>
      <c r="U4693" s="406"/>
      <c r="V4693" s="390"/>
      <c r="X4693" s="393"/>
    </row>
    <row r="4694" spans="1:24" s="403" customFormat="1" ht="42.75" customHeight="1">
      <c r="A4694" s="1113" t="s">
        <v>359</v>
      </c>
      <c r="B4694" s="1113"/>
      <c r="C4694" s="404"/>
      <c r="D4694" s="641">
        <f>SUM(D4686:D4693)</f>
        <v>140928</v>
      </c>
      <c r="E4694" s="388">
        <f>SUM(E4686:E4693)</f>
        <v>26311</v>
      </c>
      <c r="F4694" s="388" t="s">
        <v>28</v>
      </c>
      <c r="G4694" s="388">
        <f>SUM(G4686:G4693)</f>
        <v>12402</v>
      </c>
      <c r="H4694" s="446" t="s">
        <v>28</v>
      </c>
      <c r="I4694" s="446" t="s">
        <v>28</v>
      </c>
      <c r="J4694" s="446">
        <f>SUM(J4686:J4693)</f>
        <v>676</v>
      </c>
      <c r="K4694" s="397" t="s">
        <v>28</v>
      </c>
      <c r="L4694" s="519">
        <f t="shared" ref="L4694:Q4694" si="708">SUM(L4686:L4693)</f>
        <v>41125270</v>
      </c>
      <c r="M4694" s="519">
        <f t="shared" si="708"/>
        <v>40652000</v>
      </c>
      <c r="N4694" s="388">
        <f t="shared" si="708"/>
        <v>176500</v>
      </c>
      <c r="O4694" s="473">
        <f t="shared" si="708"/>
        <v>9150</v>
      </c>
      <c r="P4694" s="388">
        <f t="shared" si="708"/>
        <v>0</v>
      </c>
      <c r="Q4694" s="388">
        <f t="shared" si="708"/>
        <v>287620</v>
      </c>
      <c r="R4694" s="446" t="s">
        <v>28</v>
      </c>
      <c r="S4694" s="403">
        <f>SUBTOTAL(9,M4694:Q4694)</f>
        <v>41125270</v>
      </c>
      <c r="T4694" s="393">
        <f>S4694-L4694</f>
        <v>0</v>
      </c>
      <c r="U4694" s="404"/>
    </row>
    <row r="4695" spans="1:24" s="455" customFormat="1" ht="42.75" customHeight="1">
      <c r="A4695" s="1113" t="s">
        <v>167</v>
      </c>
      <c r="B4695" s="1113"/>
      <c r="C4695" s="1113"/>
      <c r="D4695" s="1113"/>
      <c r="E4695" s="1113"/>
      <c r="F4695" s="1113"/>
      <c r="G4695" s="1113"/>
      <c r="H4695" s="1113"/>
      <c r="I4695" s="1113"/>
      <c r="J4695" s="1113"/>
      <c r="K4695" s="1113"/>
      <c r="L4695" s="1113"/>
      <c r="M4695" s="1113"/>
      <c r="N4695" s="1113"/>
      <c r="O4695" s="1113"/>
      <c r="P4695" s="1113"/>
      <c r="Q4695" s="1113"/>
      <c r="R4695" s="458"/>
      <c r="U4695" s="404"/>
    </row>
    <row r="4696" spans="1:24" s="455" customFormat="1" ht="37.5">
      <c r="A4696" s="404">
        <v>1</v>
      </c>
      <c r="B4696" s="403" t="s">
        <v>3450</v>
      </c>
      <c r="C4696" s="455" t="s">
        <v>299</v>
      </c>
      <c r="D4696" s="772">
        <f t="shared" ref="D4696:D4709" si="709">E4696/1.16/2*13</f>
        <v>18502.586206896551</v>
      </c>
      <c r="E4696" s="388">
        <v>3302</v>
      </c>
      <c r="F4696" s="388" t="s">
        <v>219</v>
      </c>
      <c r="G4696" s="388">
        <v>1395</v>
      </c>
      <c r="H4696" s="777">
        <v>5</v>
      </c>
      <c r="I4696" s="777">
        <v>6</v>
      </c>
      <c r="J4696" s="446">
        <v>100</v>
      </c>
      <c r="K4696" s="397" t="s">
        <v>33</v>
      </c>
      <c r="L4696" s="384">
        <f t="shared" ref="L4696:L4719" si="710">SUM(M4696:Q4696)</f>
        <v>3398044</v>
      </c>
      <c r="M4696" s="519">
        <v>3348000</v>
      </c>
      <c r="N4696" s="388"/>
      <c r="O4696" s="473">
        <v>10044</v>
      </c>
      <c r="P4696" s="388"/>
      <c r="Q4696" s="388">
        <v>40000</v>
      </c>
      <c r="R4696" s="446">
        <f>M4696/G4696</f>
        <v>2400</v>
      </c>
      <c r="U4696" s="404"/>
    </row>
    <row r="4697" spans="1:24" s="455" customFormat="1" ht="56.25" customHeight="1">
      <c r="A4697" s="404">
        <f>A4696+1</f>
        <v>2</v>
      </c>
      <c r="B4697" s="403" t="s">
        <v>2145</v>
      </c>
      <c r="C4697" s="455" t="s">
        <v>299</v>
      </c>
      <c r="D4697" s="772">
        <f>E4697/1.16/2*13</f>
        <v>26285.775862068967</v>
      </c>
      <c r="E4697" s="388">
        <v>4691</v>
      </c>
      <c r="F4697" s="388" t="s">
        <v>219</v>
      </c>
      <c r="G4697" s="388">
        <v>468</v>
      </c>
      <c r="H4697" s="777">
        <v>12</v>
      </c>
      <c r="I4697" s="777">
        <v>1</v>
      </c>
      <c r="J4697" s="446">
        <v>77</v>
      </c>
      <c r="K4697" s="397" t="s">
        <v>30</v>
      </c>
      <c r="L4697" s="384">
        <f t="shared" si="710"/>
        <v>2129728</v>
      </c>
      <c r="M4697" s="519">
        <v>2079000</v>
      </c>
      <c r="N4697" s="388"/>
      <c r="O4697" s="473">
        <v>6237</v>
      </c>
      <c r="P4697" s="388"/>
      <c r="Q4697" s="388">
        <v>44491</v>
      </c>
      <c r="R4697" s="446">
        <f>M4697/J4697</f>
        <v>27000</v>
      </c>
      <c r="U4697" s="404"/>
    </row>
    <row r="4698" spans="1:24" s="455" customFormat="1" ht="37.5">
      <c r="A4698" s="404">
        <f t="shared" ref="A4698:A4727" si="711">A4697+1</f>
        <v>3</v>
      </c>
      <c r="B4698" s="403" t="s">
        <v>3451</v>
      </c>
      <c r="C4698" s="455" t="s">
        <v>299</v>
      </c>
      <c r="D4698" s="772">
        <f t="shared" si="709"/>
        <v>42395.689655172413</v>
      </c>
      <c r="E4698" s="388">
        <v>7566</v>
      </c>
      <c r="F4698" s="388" t="s">
        <v>219</v>
      </c>
      <c r="G4698" s="388">
        <v>3567</v>
      </c>
      <c r="H4698" s="777">
        <v>9</v>
      </c>
      <c r="I4698" s="777">
        <v>6</v>
      </c>
      <c r="J4698" s="446">
        <v>288</v>
      </c>
      <c r="K4698" s="397" t="s">
        <v>33</v>
      </c>
      <c r="L4698" s="384">
        <f t="shared" si="710"/>
        <v>8626482</v>
      </c>
      <c r="M4698" s="519">
        <v>8560800</v>
      </c>
      <c r="N4698" s="388"/>
      <c r="O4698" s="473">
        <v>25682</v>
      </c>
      <c r="P4698" s="388"/>
      <c r="Q4698" s="388">
        <v>40000</v>
      </c>
      <c r="R4698" s="446">
        <f>M4698/G4698</f>
        <v>2400</v>
      </c>
      <c r="U4698" s="404"/>
    </row>
    <row r="4699" spans="1:24" s="455" customFormat="1" ht="37.5" customHeight="1">
      <c r="A4699" s="404">
        <f t="shared" si="711"/>
        <v>4</v>
      </c>
      <c r="B4699" s="403" t="s">
        <v>3452</v>
      </c>
      <c r="C4699" s="455" t="s">
        <v>218</v>
      </c>
      <c r="D4699" s="772">
        <f t="shared" si="709"/>
        <v>20844.827586206899</v>
      </c>
      <c r="E4699" s="388">
        <v>3720</v>
      </c>
      <c r="F4699" s="388" t="s">
        <v>219</v>
      </c>
      <c r="G4699" s="388">
        <v>638</v>
      </c>
      <c r="H4699" s="777">
        <v>9</v>
      </c>
      <c r="I4699" s="777">
        <v>2</v>
      </c>
      <c r="J4699" s="446">
        <v>72</v>
      </c>
      <c r="K4699" s="397" t="s">
        <v>227</v>
      </c>
      <c r="L4699" s="384">
        <f t="shared" si="710"/>
        <v>9747000</v>
      </c>
      <c r="M4699" s="519">
        <v>9672000</v>
      </c>
      <c r="N4699" s="388">
        <v>35000</v>
      </c>
      <c r="O4699" s="473"/>
      <c r="P4699" s="388"/>
      <c r="Q4699" s="388">
        <v>40000</v>
      </c>
      <c r="R4699" s="528">
        <f>M4699/E4699</f>
        <v>2600</v>
      </c>
      <c r="U4699" s="404"/>
    </row>
    <row r="4700" spans="1:24" s="455" customFormat="1" ht="37.5">
      <c r="A4700" s="404">
        <f t="shared" si="711"/>
        <v>5</v>
      </c>
      <c r="B4700" s="403" t="s">
        <v>3453</v>
      </c>
      <c r="C4700" s="455" t="s">
        <v>218</v>
      </c>
      <c r="D4700" s="772">
        <f t="shared" si="709"/>
        <v>11050.000000000002</v>
      </c>
      <c r="E4700" s="388">
        <v>1972</v>
      </c>
      <c r="F4700" s="388" t="s">
        <v>219</v>
      </c>
      <c r="G4700" s="388">
        <v>339</v>
      </c>
      <c r="H4700" s="777">
        <v>9</v>
      </c>
      <c r="I4700" s="777">
        <v>1</v>
      </c>
      <c r="J4700" s="446">
        <v>36</v>
      </c>
      <c r="K4700" s="397" t="s">
        <v>227</v>
      </c>
      <c r="L4700" s="384">
        <f t="shared" si="710"/>
        <v>5202200</v>
      </c>
      <c r="M4700" s="519">
        <v>5127200</v>
      </c>
      <c r="N4700" s="388">
        <v>35000</v>
      </c>
      <c r="O4700" s="473"/>
      <c r="P4700" s="388"/>
      <c r="Q4700" s="388">
        <v>40000</v>
      </c>
      <c r="R4700" s="528">
        <f>M4700/E4700</f>
        <v>2600</v>
      </c>
      <c r="U4700" s="404"/>
    </row>
    <row r="4701" spans="1:24" s="455" customFormat="1" ht="37.5">
      <c r="A4701" s="404">
        <f t="shared" si="711"/>
        <v>6</v>
      </c>
      <c r="B4701" s="403" t="s">
        <v>3454</v>
      </c>
      <c r="C4701" s="455" t="s">
        <v>299</v>
      </c>
      <c r="D4701" s="772">
        <f t="shared" si="709"/>
        <v>9637.9310344827591</v>
      </c>
      <c r="E4701" s="388">
        <v>1720</v>
      </c>
      <c r="F4701" s="388" t="s">
        <v>252</v>
      </c>
      <c r="G4701" s="388">
        <v>1327</v>
      </c>
      <c r="H4701" s="777">
        <v>5</v>
      </c>
      <c r="I4701" s="777">
        <v>4</v>
      </c>
      <c r="J4701" s="446">
        <v>80</v>
      </c>
      <c r="K4701" s="397" t="s">
        <v>33</v>
      </c>
      <c r="L4701" s="384">
        <f t="shared" si="710"/>
        <v>3790600</v>
      </c>
      <c r="M4701" s="519">
        <v>3715600</v>
      </c>
      <c r="N4701" s="388">
        <v>35000</v>
      </c>
      <c r="O4701" s="473"/>
      <c r="P4701" s="388"/>
      <c r="Q4701" s="388">
        <v>40000</v>
      </c>
      <c r="R4701" s="446">
        <f>M4701/G4701</f>
        <v>2800</v>
      </c>
      <c r="U4701" s="404"/>
    </row>
    <row r="4702" spans="1:24" s="455" customFormat="1" ht="37.5">
      <c r="A4702" s="404">
        <f t="shared" si="711"/>
        <v>7</v>
      </c>
      <c r="B4702" s="403" t="s">
        <v>3455</v>
      </c>
      <c r="C4702" s="455" t="s">
        <v>299</v>
      </c>
      <c r="D4702" s="772">
        <f t="shared" si="709"/>
        <v>6920.2586206896558</v>
      </c>
      <c r="E4702" s="388">
        <v>1235</v>
      </c>
      <c r="F4702" s="388" t="s">
        <v>219</v>
      </c>
      <c r="G4702" s="388">
        <v>442</v>
      </c>
      <c r="H4702" s="777">
        <v>5</v>
      </c>
      <c r="I4702" s="777">
        <v>2</v>
      </c>
      <c r="J4702" s="446">
        <v>20</v>
      </c>
      <c r="K4702" s="397" t="s">
        <v>227</v>
      </c>
      <c r="L4702" s="384">
        <f t="shared" si="710"/>
        <v>3276688</v>
      </c>
      <c r="M4702" s="519">
        <v>3211000</v>
      </c>
      <c r="N4702" s="388">
        <v>25688</v>
      </c>
      <c r="O4702" s="473"/>
      <c r="P4702" s="388"/>
      <c r="Q4702" s="388">
        <v>40000</v>
      </c>
      <c r="R4702" s="528">
        <f>M4702/E4702</f>
        <v>2600</v>
      </c>
      <c r="U4702" s="404"/>
    </row>
    <row r="4703" spans="1:24" s="455" customFormat="1" ht="37.5">
      <c r="A4703" s="404">
        <f t="shared" si="711"/>
        <v>8</v>
      </c>
      <c r="B4703" s="403" t="s">
        <v>3456</v>
      </c>
      <c r="C4703" s="455" t="s">
        <v>299</v>
      </c>
      <c r="D4703" s="772">
        <f t="shared" si="709"/>
        <v>7368.5344827586214</v>
      </c>
      <c r="E4703" s="388">
        <v>1315</v>
      </c>
      <c r="F4703" s="388" t="s">
        <v>219</v>
      </c>
      <c r="G4703" s="388">
        <v>3091</v>
      </c>
      <c r="H4703" s="777">
        <v>9</v>
      </c>
      <c r="I4703" s="777">
        <v>10</v>
      </c>
      <c r="J4703" s="446">
        <v>360</v>
      </c>
      <c r="K4703" s="397" t="s">
        <v>239</v>
      </c>
      <c r="L4703" s="384">
        <f t="shared" si="710"/>
        <v>11185000</v>
      </c>
      <c r="M4703" s="519">
        <v>11100000</v>
      </c>
      <c r="N4703" s="388">
        <v>45000</v>
      </c>
      <c r="O4703" s="473"/>
      <c r="P4703" s="388"/>
      <c r="Q4703" s="388">
        <v>40000</v>
      </c>
      <c r="R4703" s="446">
        <f>M4703/J4703</f>
        <v>30833.333333333332</v>
      </c>
      <c r="U4703" s="404"/>
    </row>
    <row r="4704" spans="1:24" s="455" customFormat="1" ht="37.5">
      <c r="A4704" s="404">
        <f t="shared" si="711"/>
        <v>9</v>
      </c>
      <c r="B4704" s="403" t="s">
        <v>3457</v>
      </c>
      <c r="C4704" s="455" t="s">
        <v>299</v>
      </c>
      <c r="D4704" s="772">
        <f t="shared" si="709"/>
        <v>19993.103448275866</v>
      </c>
      <c r="E4704" s="388">
        <v>3568</v>
      </c>
      <c r="F4704" s="388" t="s">
        <v>219</v>
      </c>
      <c r="G4704" s="388">
        <v>847</v>
      </c>
      <c r="H4704" s="777">
        <v>9</v>
      </c>
      <c r="I4704" s="777">
        <v>2</v>
      </c>
      <c r="J4704" s="446">
        <v>102</v>
      </c>
      <c r="K4704" s="397" t="s">
        <v>227</v>
      </c>
      <c r="L4704" s="384">
        <f t="shared" si="710"/>
        <v>9409568</v>
      </c>
      <c r="M4704" s="519">
        <v>9276800</v>
      </c>
      <c r="N4704" s="388">
        <v>92768</v>
      </c>
      <c r="O4704" s="473"/>
      <c r="P4704" s="388"/>
      <c r="Q4704" s="388">
        <v>40000</v>
      </c>
      <c r="R4704" s="528">
        <f>M4704/E4704</f>
        <v>2600</v>
      </c>
      <c r="U4704" s="404"/>
    </row>
    <row r="4705" spans="1:24" s="455" customFormat="1" ht="37.5">
      <c r="A4705" s="404">
        <f t="shared" si="711"/>
        <v>10</v>
      </c>
      <c r="B4705" s="403" t="s">
        <v>2184</v>
      </c>
      <c r="C4705" s="455" t="s">
        <v>299</v>
      </c>
      <c r="D4705" s="772">
        <f t="shared" si="709"/>
        <v>55586.206896551725</v>
      </c>
      <c r="E4705" s="388">
        <v>9920</v>
      </c>
      <c r="F4705" s="388" t="s">
        <v>219</v>
      </c>
      <c r="G4705" s="388">
        <v>1798</v>
      </c>
      <c r="H4705" s="777">
        <v>9</v>
      </c>
      <c r="I4705" s="777">
        <v>5</v>
      </c>
      <c r="J4705" s="446">
        <v>180</v>
      </c>
      <c r="K4705" s="397" t="s">
        <v>227</v>
      </c>
      <c r="L4705" s="384">
        <f t="shared" si="710"/>
        <v>25872000</v>
      </c>
      <c r="M4705" s="519">
        <v>25792000</v>
      </c>
      <c r="N4705" s="388">
        <v>40000</v>
      </c>
      <c r="O4705" s="473"/>
      <c r="P4705" s="388"/>
      <c r="Q4705" s="388">
        <v>40000</v>
      </c>
      <c r="R4705" s="528">
        <f>M4705/E4705</f>
        <v>2600</v>
      </c>
      <c r="U4705" s="404"/>
    </row>
    <row r="4706" spans="1:24" s="455" customFormat="1" ht="37.5">
      <c r="A4706" s="404">
        <f t="shared" si="711"/>
        <v>11</v>
      </c>
      <c r="B4706" s="403" t="s">
        <v>3458</v>
      </c>
      <c r="C4706" s="455" t="s">
        <v>299</v>
      </c>
      <c r="D4706" s="772">
        <f t="shared" si="709"/>
        <v>50005.172413793101</v>
      </c>
      <c r="E4706" s="388">
        <v>8924</v>
      </c>
      <c r="F4706" s="388" t="s">
        <v>219</v>
      </c>
      <c r="G4706" s="388">
        <v>4207</v>
      </c>
      <c r="H4706" s="777">
        <v>9</v>
      </c>
      <c r="I4706" s="777">
        <v>6</v>
      </c>
      <c r="J4706" s="446">
        <v>272</v>
      </c>
      <c r="K4706" s="397" t="s">
        <v>33</v>
      </c>
      <c r="L4706" s="384">
        <f t="shared" si="710"/>
        <v>10167090</v>
      </c>
      <c r="M4706" s="519">
        <v>10096800</v>
      </c>
      <c r="N4706" s="388"/>
      <c r="O4706" s="473">
        <v>30290</v>
      </c>
      <c r="P4706" s="388"/>
      <c r="Q4706" s="388">
        <v>40000</v>
      </c>
      <c r="R4706" s="446">
        <f>M4706/G4706</f>
        <v>2400</v>
      </c>
      <c r="U4706" s="404"/>
    </row>
    <row r="4707" spans="1:24" s="455" customFormat="1" ht="37.5">
      <c r="A4707" s="404">
        <f t="shared" si="711"/>
        <v>12</v>
      </c>
      <c r="B4707" s="403" t="s">
        <v>3459</v>
      </c>
      <c r="C4707" s="455" t="s">
        <v>299</v>
      </c>
      <c r="D4707" s="772">
        <f t="shared" si="709"/>
        <v>19477.586206896551</v>
      </c>
      <c r="E4707" s="388">
        <v>3476</v>
      </c>
      <c r="F4707" s="388" t="s">
        <v>219</v>
      </c>
      <c r="G4707" s="388">
        <v>536</v>
      </c>
      <c r="H4707" s="777">
        <v>9</v>
      </c>
      <c r="I4707" s="777">
        <v>1</v>
      </c>
      <c r="J4707" s="446">
        <v>71</v>
      </c>
      <c r="K4707" s="397" t="s">
        <v>227</v>
      </c>
      <c r="L4707" s="384">
        <f t="shared" si="710"/>
        <v>9167976</v>
      </c>
      <c r="M4707" s="519">
        <v>9037600</v>
      </c>
      <c r="N4707" s="388">
        <v>90376</v>
      </c>
      <c r="O4707" s="473"/>
      <c r="P4707" s="388"/>
      <c r="Q4707" s="388">
        <v>40000</v>
      </c>
      <c r="R4707" s="528">
        <f>M4707/E4707</f>
        <v>2600</v>
      </c>
      <c r="U4707" s="404"/>
    </row>
    <row r="4708" spans="1:24" s="455" customFormat="1" ht="37.5">
      <c r="A4708" s="404">
        <f t="shared" si="711"/>
        <v>13</v>
      </c>
      <c r="B4708" s="403" t="s">
        <v>3460</v>
      </c>
      <c r="C4708" s="455" t="s">
        <v>299</v>
      </c>
      <c r="D4708" s="772">
        <f t="shared" si="709"/>
        <v>41331.034482758623</v>
      </c>
      <c r="E4708" s="388">
        <v>7376</v>
      </c>
      <c r="F4708" s="388" t="s">
        <v>219</v>
      </c>
      <c r="G4708" s="388">
        <v>2264</v>
      </c>
      <c r="H4708" s="777">
        <v>5</v>
      </c>
      <c r="I4708" s="777">
        <v>14</v>
      </c>
      <c r="J4708" s="446">
        <v>219</v>
      </c>
      <c r="K4708" s="397" t="s">
        <v>33</v>
      </c>
      <c r="L4708" s="384">
        <f t="shared" si="710"/>
        <v>5489901</v>
      </c>
      <c r="M4708" s="519">
        <v>5433600</v>
      </c>
      <c r="N4708" s="388"/>
      <c r="O4708" s="473">
        <v>16301</v>
      </c>
      <c r="P4708" s="388"/>
      <c r="Q4708" s="388">
        <v>40000</v>
      </c>
      <c r="R4708" s="446">
        <f>M4708/G4708</f>
        <v>2400</v>
      </c>
      <c r="U4708" s="404"/>
    </row>
    <row r="4709" spans="1:24" s="455" customFormat="1" ht="37.5">
      <c r="A4709" s="404">
        <f t="shared" si="711"/>
        <v>14</v>
      </c>
      <c r="B4709" s="403" t="s">
        <v>3461</v>
      </c>
      <c r="C4709" s="455" t="s">
        <v>218</v>
      </c>
      <c r="D4709" s="772">
        <f t="shared" si="709"/>
        <v>20060.344827586207</v>
      </c>
      <c r="E4709" s="388">
        <v>3580</v>
      </c>
      <c r="F4709" s="388" t="s">
        <v>219</v>
      </c>
      <c r="G4709" s="388">
        <v>934</v>
      </c>
      <c r="H4709" s="777">
        <v>9</v>
      </c>
      <c r="I4709" s="777">
        <v>3</v>
      </c>
      <c r="J4709" s="446">
        <v>108</v>
      </c>
      <c r="K4709" s="397" t="s">
        <v>227</v>
      </c>
      <c r="L4709" s="384">
        <f t="shared" si="710"/>
        <v>9441080</v>
      </c>
      <c r="M4709" s="519">
        <v>9308000</v>
      </c>
      <c r="N4709" s="388">
        <v>93080</v>
      </c>
      <c r="O4709" s="473"/>
      <c r="P4709" s="388"/>
      <c r="Q4709" s="388">
        <v>40000</v>
      </c>
      <c r="R4709" s="528">
        <f>M4709/E4709</f>
        <v>2600</v>
      </c>
      <c r="U4709" s="404"/>
    </row>
    <row r="4710" spans="1:24" s="455" customFormat="1" ht="37.5">
      <c r="A4710" s="404">
        <f t="shared" si="711"/>
        <v>15</v>
      </c>
      <c r="B4710" s="403" t="s">
        <v>3462</v>
      </c>
      <c r="C4710" s="455" t="s">
        <v>299</v>
      </c>
      <c r="D4710" s="772"/>
      <c r="E4710" s="388">
        <v>2306</v>
      </c>
      <c r="F4710" s="388" t="s">
        <v>252</v>
      </c>
      <c r="G4710" s="388">
        <v>1148.4000000000001</v>
      </c>
      <c r="H4710" s="777">
        <v>5</v>
      </c>
      <c r="I4710" s="777">
        <v>4</v>
      </c>
      <c r="J4710" s="446">
        <v>80</v>
      </c>
      <c r="K4710" s="397" t="s">
        <v>33</v>
      </c>
      <c r="L4710" s="384">
        <f t="shared" si="710"/>
        <v>3290520.0000000005</v>
      </c>
      <c r="M4710" s="519">
        <v>3215520.0000000005</v>
      </c>
      <c r="N4710" s="388">
        <v>35000</v>
      </c>
      <c r="O4710" s="473"/>
      <c r="P4710" s="388"/>
      <c r="Q4710" s="388">
        <v>40000</v>
      </c>
      <c r="R4710" s="446">
        <f>M4710/G4710</f>
        <v>2800</v>
      </c>
      <c r="U4710" s="404"/>
    </row>
    <row r="4711" spans="1:24" s="455" customFormat="1" ht="56.25" customHeight="1">
      <c r="A4711" s="404">
        <f t="shared" si="711"/>
        <v>16</v>
      </c>
      <c r="B4711" s="403" t="s">
        <v>3463</v>
      </c>
      <c r="C4711" s="455" t="s">
        <v>299</v>
      </c>
      <c r="D4711" s="772">
        <f>28069+6131</f>
        <v>34200</v>
      </c>
      <c r="E4711" s="388">
        <f>4040.1+1094</f>
        <v>5134.1000000000004</v>
      </c>
      <c r="F4711" s="388" t="s">
        <v>219</v>
      </c>
      <c r="G4711" s="388">
        <f>578+540</f>
        <v>1118</v>
      </c>
      <c r="H4711" s="777">
        <v>9</v>
      </c>
      <c r="I4711" s="777">
        <v>1</v>
      </c>
      <c r="J4711" s="446">
        <f>160+71</f>
        <v>231</v>
      </c>
      <c r="K4711" s="397" t="s">
        <v>30</v>
      </c>
      <c r="L4711" s="384">
        <f t="shared" si="710"/>
        <v>6990790</v>
      </c>
      <c r="M4711" s="519">
        <v>6930000</v>
      </c>
      <c r="N4711" s="388"/>
      <c r="O4711" s="473">
        <v>20790</v>
      </c>
      <c r="P4711" s="388"/>
      <c r="Q4711" s="388">
        <v>40000</v>
      </c>
      <c r="R4711" s="446">
        <f>M4711/J4711</f>
        <v>30000</v>
      </c>
      <c r="U4711" s="404"/>
    </row>
    <row r="4712" spans="1:24" s="455" customFormat="1" ht="37.5">
      <c r="A4712" s="404">
        <f t="shared" si="711"/>
        <v>17</v>
      </c>
      <c r="B4712" s="403" t="s">
        <v>3464</v>
      </c>
      <c r="C4712" s="455" t="s">
        <v>299</v>
      </c>
      <c r="D4712" s="772">
        <f>E4712/1.16/2*13</f>
        <v>26504.310344827587</v>
      </c>
      <c r="E4712" s="388">
        <v>4730</v>
      </c>
      <c r="F4712" s="388" t="s">
        <v>219</v>
      </c>
      <c r="G4712" s="388">
        <v>1650</v>
      </c>
      <c r="H4712" s="777">
        <v>5</v>
      </c>
      <c r="I4712" s="777">
        <v>8</v>
      </c>
      <c r="J4712" s="446">
        <v>118</v>
      </c>
      <c r="K4712" s="397" t="s">
        <v>38</v>
      </c>
      <c r="L4712" s="384">
        <f t="shared" si="710"/>
        <v>7857382</v>
      </c>
      <c r="M4712" s="519">
        <v>7794000</v>
      </c>
      <c r="N4712" s="388"/>
      <c r="O4712" s="473">
        <v>23382</v>
      </c>
      <c r="P4712" s="388"/>
      <c r="Q4712" s="388">
        <v>40000</v>
      </c>
      <c r="R4712" s="528">
        <f>M4712/E4712</f>
        <v>1647.7801268498943</v>
      </c>
      <c r="U4712" s="404"/>
    </row>
    <row r="4713" spans="1:24" s="455" customFormat="1" ht="37.5">
      <c r="A4713" s="404">
        <f t="shared" si="711"/>
        <v>18</v>
      </c>
      <c r="B4713" s="403" t="s">
        <v>3465</v>
      </c>
      <c r="C4713" s="455" t="s">
        <v>299</v>
      </c>
      <c r="D4713" s="772">
        <f>E4713/1.16/2*13</f>
        <v>20592.672413793105</v>
      </c>
      <c r="E4713" s="388">
        <v>3675</v>
      </c>
      <c r="F4713" s="388" t="s">
        <v>219</v>
      </c>
      <c r="G4713" s="388">
        <v>1580</v>
      </c>
      <c r="H4713" s="777">
        <v>5</v>
      </c>
      <c r="I4713" s="777">
        <v>7</v>
      </c>
      <c r="J4713" s="446">
        <v>105</v>
      </c>
      <c r="K4713" s="397" t="s">
        <v>227</v>
      </c>
      <c r="L4713" s="384">
        <f t="shared" si="710"/>
        <v>9635000</v>
      </c>
      <c r="M4713" s="519">
        <v>9555000</v>
      </c>
      <c r="N4713" s="388">
        <v>40000</v>
      </c>
      <c r="O4713" s="473"/>
      <c r="P4713" s="388"/>
      <c r="Q4713" s="388">
        <v>40000</v>
      </c>
      <c r="R4713" s="528">
        <f>M4713/E4713</f>
        <v>2600</v>
      </c>
      <c r="U4713" s="404"/>
    </row>
    <row r="4714" spans="1:24" s="455" customFormat="1" ht="37.5">
      <c r="A4714" s="404">
        <f t="shared" si="711"/>
        <v>19</v>
      </c>
      <c r="B4714" s="403" t="s">
        <v>3466</v>
      </c>
      <c r="C4714" s="455" t="s">
        <v>299</v>
      </c>
      <c r="D4714" s="772">
        <f>E4714/1.16/2*13</f>
        <v>14456.896551724138</v>
      </c>
      <c r="E4714" s="388">
        <v>2580</v>
      </c>
      <c r="F4714" s="388" t="s">
        <v>219</v>
      </c>
      <c r="G4714" s="388">
        <v>940.4</v>
      </c>
      <c r="H4714" s="777">
        <v>5</v>
      </c>
      <c r="I4714" s="777">
        <v>4</v>
      </c>
      <c r="J4714" s="446">
        <v>70</v>
      </c>
      <c r="K4714" s="397" t="s">
        <v>260</v>
      </c>
      <c r="L4714" s="384">
        <f t="shared" si="710"/>
        <v>6783000</v>
      </c>
      <c r="M4714" s="519">
        <v>6708000</v>
      </c>
      <c r="N4714" s="388">
        <v>35000</v>
      </c>
      <c r="O4714" s="473"/>
      <c r="P4714" s="388"/>
      <c r="Q4714" s="388">
        <v>40000</v>
      </c>
      <c r="R4714" s="528">
        <f>M4714/E4714</f>
        <v>2600</v>
      </c>
      <c r="U4714" s="404"/>
    </row>
    <row r="4715" spans="1:24" s="455" customFormat="1" ht="56.25" customHeight="1">
      <c r="A4715" s="404">
        <f t="shared" si="711"/>
        <v>20</v>
      </c>
      <c r="B4715" s="403" t="s">
        <v>3467</v>
      </c>
      <c r="C4715" s="455" t="s">
        <v>299</v>
      </c>
      <c r="D4715" s="772">
        <f>E4715/1.16/2*13</f>
        <v>41331.034482758623</v>
      </c>
      <c r="E4715" s="388">
        <v>7376</v>
      </c>
      <c r="F4715" s="388" t="s">
        <v>219</v>
      </c>
      <c r="G4715" s="388">
        <v>1410</v>
      </c>
      <c r="H4715" s="777">
        <v>5</v>
      </c>
      <c r="I4715" s="777">
        <v>14</v>
      </c>
      <c r="J4715" s="446">
        <v>170</v>
      </c>
      <c r="K4715" s="397" t="s">
        <v>30</v>
      </c>
      <c r="L4715" s="384">
        <f t="shared" si="710"/>
        <v>5155300</v>
      </c>
      <c r="M4715" s="519">
        <v>5100000</v>
      </c>
      <c r="N4715" s="388"/>
      <c r="O4715" s="473">
        <v>15300</v>
      </c>
      <c r="P4715" s="388"/>
      <c r="Q4715" s="388">
        <v>40000</v>
      </c>
      <c r="R4715" s="446">
        <f t="shared" ref="R4715:R4722" si="712">M4715/J4715</f>
        <v>30000</v>
      </c>
      <c r="U4715" s="404"/>
    </row>
    <row r="4716" spans="1:24" s="455" customFormat="1" ht="56.25" customHeight="1">
      <c r="A4716" s="404">
        <f t="shared" si="711"/>
        <v>21</v>
      </c>
      <c r="B4716" s="403" t="s">
        <v>2157</v>
      </c>
      <c r="C4716" s="455" t="s">
        <v>299</v>
      </c>
      <c r="D4716" s="772">
        <f t="shared" ref="D4716:D4722" si="713">E4716/1.16/2*13</f>
        <v>15275</v>
      </c>
      <c r="E4716" s="388">
        <v>2726</v>
      </c>
      <c r="F4716" s="388" t="s">
        <v>219</v>
      </c>
      <c r="G4716" s="388">
        <v>500</v>
      </c>
      <c r="H4716" s="777">
        <v>9</v>
      </c>
      <c r="I4716" s="777">
        <v>1</v>
      </c>
      <c r="J4716" s="446">
        <v>72</v>
      </c>
      <c r="K4716" s="397" t="s">
        <v>30</v>
      </c>
      <c r="L4716" s="384">
        <f t="shared" si="710"/>
        <v>2214199.94</v>
      </c>
      <c r="M4716" s="519">
        <v>2160000</v>
      </c>
      <c r="N4716" s="388"/>
      <c r="O4716" s="473">
        <v>19881</v>
      </c>
      <c r="P4716" s="388"/>
      <c r="Q4716" s="388">
        <v>34318.94</v>
      </c>
      <c r="R4716" s="446">
        <f t="shared" si="712"/>
        <v>30000</v>
      </c>
      <c r="S4716" s="383">
        <f>L4716-M4716-N4716-O4716-P4716-Q4716</f>
        <v>-5.8207660913467407E-11</v>
      </c>
      <c r="U4716" s="404"/>
      <c r="V4716" s="390"/>
      <c r="X4716" s="403">
        <v>1</v>
      </c>
    </row>
    <row r="4717" spans="1:24" s="455" customFormat="1" ht="56.25" customHeight="1">
      <c r="A4717" s="404">
        <f t="shared" si="711"/>
        <v>22</v>
      </c>
      <c r="B4717" s="403" t="s">
        <v>2158</v>
      </c>
      <c r="C4717" s="455" t="s">
        <v>299</v>
      </c>
      <c r="D4717" s="772">
        <f t="shared" si="713"/>
        <v>13851.724137931036</v>
      </c>
      <c r="E4717" s="388">
        <v>2472</v>
      </c>
      <c r="F4717" s="388" t="s">
        <v>219</v>
      </c>
      <c r="G4717" s="388">
        <v>1007</v>
      </c>
      <c r="H4717" s="446">
        <v>5</v>
      </c>
      <c r="I4717" s="446">
        <v>2</v>
      </c>
      <c r="J4717" s="446">
        <v>120</v>
      </c>
      <c r="K4717" s="397" t="s">
        <v>30</v>
      </c>
      <c r="L4717" s="384">
        <f t="shared" si="710"/>
        <v>3649340.94</v>
      </c>
      <c r="M4717" s="519">
        <v>3600000</v>
      </c>
      <c r="N4717" s="388"/>
      <c r="O4717" s="473">
        <v>15022</v>
      </c>
      <c r="P4717" s="388"/>
      <c r="Q4717" s="388">
        <v>34318.94</v>
      </c>
      <c r="R4717" s="446">
        <f t="shared" si="712"/>
        <v>30000</v>
      </c>
      <c r="S4717" s="383">
        <f>L4717-M4717-N4717-O4717-P4717-Q4717</f>
        <v>-5.8207660913467407E-11</v>
      </c>
      <c r="U4717" s="404"/>
      <c r="V4717" s="390"/>
      <c r="X4717" s="403">
        <v>1</v>
      </c>
    </row>
    <row r="4718" spans="1:24" s="455" customFormat="1" ht="56.25" customHeight="1">
      <c r="A4718" s="404">
        <f t="shared" si="711"/>
        <v>23</v>
      </c>
      <c r="B4718" s="403" t="s">
        <v>2204</v>
      </c>
      <c r="C4718" s="455" t="s">
        <v>299</v>
      </c>
      <c r="D4718" s="772">
        <f t="shared" si="713"/>
        <v>16037.068965517243</v>
      </c>
      <c r="E4718" s="388">
        <v>2862</v>
      </c>
      <c r="F4718" s="388" t="s">
        <v>219</v>
      </c>
      <c r="G4718" s="388">
        <v>388</v>
      </c>
      <c r="H4718" s="446">
        <v>9</v>
      </c>
      <c r="I4718" s="446">
        <v>1</v>
      </c>
      <c r="J4718" s="446">
        <v>54</v>
      </c>
      <c r="K4718" s="397" t="s">
        <v>30</v>
      </c>
      <c r="L4718" s="384">
        <f t="shared" si="710"/>
        <v>1674367.94</v>
      </c>
      <c r="M4718" s="519">
        <v>1620000</v>
      </c>
      <c r="N4718" s="388"/>
      <c r="O4718" s="473">
        <v>20049</v>
      </c>
      <c r="P4718" s="388"/>
      <c r="Q4718" s="388">
        <v>34318.94</v>
      </c>
      <c r="R4718" s="446">
        <f t="shared" si="712"/>
        <v>30000</v>
      </c>
      <c r="S4718" s="383">
        <f>L4718-M4718-N4718-O4718-P4718-Q4718</f>
        <v>-5.8207660913467407E-11</v>
      </c>
      <c r="U4718" s="404"/>
      <c r="V4718" s="390"/>
      <c r="X4718" s="403">
        <v>1</v>
      </c>
    </row>
    <row r="4719" spans="1:24" s="455" customFormat="1" ht="56.25" customHeight="1">
      <c r="A4719" s="404">
        <f t="shared" si="711"/>
        <v>24</v>
      </c>
      <c r="B4719" s="403" t="s">
        <v>2206</v>
      </c>
      <c r="C4719" s="455" t="s">
        <v>218</v>
      </c>
      <c r="D4719" s="772">
        <f t="shared" si="713"/>
        <v>31166.37931034483</v>
      </c>
      <c r="E4719" s="388">
        <v>5562</v>
      </c>
      <c r="F4719" s="388" t="s">
        <v>219</v>
      </c>
      <c r="G4719" s="388">
        <v>967</v>
      </c>
      <c r="H4719" s="446">
        <v>9</v>
      </c>
      <c r="I4719" s="446">
        <v>3</v>
      </c>
      <c r="J4719" s="446">
        <v>108</v>
      </c>
      <c r="K4719" s="397" t="s">
        <v>30</v>
      </c>
      <c r="L4719" s="384">
        <f t="shared" si="710"/>
        <v>3300954</v>
      </c>
      <c r="M4719" s="519">
        <v>3240000</v>
      </c>
      <c r="N4719" s="388"/>
      <c r="O4719" s="473">
        <v>21154</v>
      </c>
      <c r="P4719" s="388"/>
      <c r="Q4719" s="388">
        <v>39800</v>
      </c>
      <c r="R4719" s="446">
        <f t="shared" si="712"/>
        <v>30000</v>
      </c>
      <c r="S4719" s="383">
        <f>L4719-M4719-N4719-O4719-P4719-Q4719</f>
        <v>0</v>
      </c>
      <c r="U4719" s="404"/>
      <c r="V4719" s="390"/>
      <c r="X4719" s="403">
        <v>1</v>
      </c>
    </row>
    <row r="4720" spans="1:24" s="455" customFormat="1" ht="56.25" customHeight="1">
      <c r="A4720" s="404">
        <f t="shared" si="711"/>
        <v>25</v>
      </c>
      <c r="B4720" s="543" t="s">
        <v>2223</v>
      </c>
      <c r="C4720" s="455" t="s">
        <v>299</v>
      </c>
      <c r="D4720" s="772">
        <v>17645.258620689659</v>
      </c>
      <c r="E4720" s="388">
        <v>3149</v>
      </c>
      <c r="F4720" s="388" t="s">
        <v>219</v>
      </c>
      <c r="G4720" s="388">
        <v>1268</v>
      </c>
      <c r="H4720" s="446">
        <v>5</v>
      </c>
      <c r="I4720" s="446">
        <v>6</v>
      </c>
      <c r="J4720" s="446">
        <v>100</v>
      </c>
      <c r="K4720" s="397" t="s">
        <v>30</v>
      </c>
      <c r="L4720" s="384">
        <v>3055245</v>
      </c>
      <c r="M4720" s="519">
        <v>3000000</v>
      </c>
      <c r="N4720" s="388"/>
      <c r="O4720" s="473">
        <v>15445</v>
      </c>
      <c r="P4720" s="388"/>
      <c r="Q4720" s="388">
        <v>39800</v>
      </c>
      <c r="R4720" s="446">
        <f t="shared" si="712"/>
        <v>30000</v>
      </c>
      <c r="S4720" s="383">
        <v>0</v>
      </c>
      <c r="U4720" s="404"/>
      <c r="V4720" s="390"/>
      <c r="X4720" s="403">
        <v>1</v>
      </c>
    </row>
    <row r="4721" spans="1:24" s="455" customFormat="1" ht="56.25" customHeight="1">
      <c r="A4721" s="404">
        <f t="shared" si="711"/>
        <v>26</v>
      </c>
      <c r="B4721" s="403" t="s">
        <v>2238</v>
      </c>
      <c r="C4721" s="455" t="s">
        <v>299</v>
      </c>
      <c r="D4721" s="531">
        <f t="shared" si="713"/>
        <v>27798.706896551725</v>
      </c>
      <c r="E4721" s="388">
        <v>4961</v>
      </c>
      <c r="F4721" s="388" t="s">
        <v>219</v>
      </c>
      <c r="G4721" s="388">
        <v>1615</v>
      </c>
      <c r="H4721" s="446">
        <v>5</v>
      </c>
      <c r="I4721" s="446">
        <v>8</v>
      </c>
      <c r="J4721" s="446">
        <v>120</v>
      </c>
      <c r="K4721" s="397" t="s">
        <v>30</v>
      </c>
      <c r="L4721" s="384">
        <f>SUM(M4721:Q4721)</f>
        <v>3656480</v>
      </c>
      <c r="M4721" s="519">
        <v>3600000</v>
      </c>
      <c r="N4721" s="388"/>
      <c r="O4721" s="473">
        <v>16680</v>
      </c>
      <c r="P4721" s="388"/>
      <c r="Q4721" s="388">
        <v>39800</v>
      </c>
      <c r="R4721" s="446">
        <f t="shared" si="712"/>
        <v>30000</v>
      </c>
      <c r="S4721" s="383">
        <f t="shared" ref="S4721:S4727" si="714">L4721-M4721-N4721-O4721-P4721-Q4721</f>
        <v>0</v>
      </c>
      <c r="U4721" s="404"/>
      <c r="V4721" s="390"/>
      <c r="X4721" s="403">
        <v>1</v>
      </c>
    </row>
    <row r="4722" spans="1:24" s="455" customFormat="1" ht="56.25" customHeight="1">
      <c r="A4722" s="404">
        <f t="shared" si="711"/>
        <v>27</v>
      </c>
      <c r="B4722" s="403" t="s">
        <v>2243</v>
      </c>
      <c r="C4722" s="455" t="s">
        <v>299</v>
      </c>
      <c r="D4722" s="772">
        <f t="shared" si="713"/>
        <v>27462.5</v>
      </c>
      <c r="E4722" s="388">
        <v>4901</v>
      </c>
      <c r="F4722" s="388" t="s">
        <v>219</v>
      </c>
      <c r="G4722" s="388">
        <v>1410</v>
      </c>
      <c r="H4722" s="446">
        <v>5</v>
      </c>
      <c r="I4722" s="446">
        <v>9</v>
      </c>
      <c r="J4722" s="446">
        <v>92</v>
      </c>
      <c r="K4722" s="397" t="s">
        <v>30</v>
      </c>
      <c r="L4722" s="384">
        <f>SUM(M4722:Q4722)</f>
        <v>2808280</v>
      </c>
      <c r="M4722" s="519">
        <v>2760000</v>
      </c>
      <c r="N4722" s="388"/>
      <c r="O4722" s="473">
        <v>8280</v>
      </c>
      <c r="P4722" s="388"/>
      <c r="Q4722" s="388">
        <v>40000</v>
      </c>
      <c r="R4722" s="446">
        <f t="shared" si="712"/>
        <v>30000</v>
      </c>
      <c r="S4722" s="383">
        <f t="shared" si="714"/>
        <v>0</v>
      </c>
      <c r="U4722" s="404"/>
      <c r="V4722" s="390"/>
    </row>
    <row r="4723" spans="1:24" s="403" customFormat="1" ht="37.5" customHeight="1">
      <c r="A4723" s="404">
        <f t="shared" si="711"/>
        <v>28</v>
      </c>
      <c r="B4723" s="403" t="s">
        <v>3788</v>
      </c>
      <c r="C4723" s="617" t="s">
        <v>299</v>
      </c>
      <c r="D4723" s="766">
        <f>E4723/1.16/2*13</f>
        <v>241951.29310344832</v>
      </c>
      <c r="E4723" s="388">
        <v>43179</v>
      </c>
      <c r="F4723" s="388" t="s">
        <v>219</v>
      </c>
      <c r="G4723" s="388">
        <v>2100</v>
      </c>
      <c r="H4723" s="446">
        <v>9</v>
      </c>
      <c r="I4723" s="446">
        <v>5</v>
      </c>
      <c r="J4723" s="446">
        <v>82</v>
      </c>
      <c r="K4723" s="767" t="s">
        <v>33</v>
      </c>
      <c r="L4723" s="650">
        <f>M4723+N4723+O4723+P4723+Q4723</f>
        <v>4879587.55</v>
      </c>
      <c r="M4723" s="519">
        <v>4825170</v>
      </c>
      <c r="N4723" s="388"/>
      <c r="O4723" s="473">
        <v>14417.55</v>
      </c>
      <c r="P4723" s="388"/>
      <c r="Q4723" s="388">
        <v>40000</v>
      </c>
      <c r="R4723" s="446">
        <f>M4723/G4723</f>
        <v>2297.6999999999998</v>
      </c>
      <c r="S4723" s="383">
        <f t="shared" si="714"/>
        <v>-1.8917489796876907E-10</v>
      </c>
      <c r="T4723" s="388"/>
      <c r="U4723" s="390"/>
      <c r="V4723" s="390"/>
    </row>
    <row r="4724" spans="1:24" s="455" customFormat="1" ht="43.5" customHeight="1">
      <c r="A4724" s="404">
        <f t="shared" si="711"/>
        <v>29</v>
      </c>
      <c r="B4724" s="403" t="s">
        <v>2166</v>
      </c>
      <c r="C4724" s="455" t="s">
        <v>299</v>
      </c>
      <c r="D4724" s="772">
        <f>E4724/1.16/2*13</f>
        <v>13197.801724137933</v>
      </c>
      <c r="E4724" s="388">
        <v>2355.3000000000002</v>
      </c>
      <c r="F4724" s="388" t="s">
        <v>219</v>
      </c>
      <c r="G4724" s="388">
        <v>1050</v>
      </c>
      <c r="H4724" s="446">
        <v>5</v>
      </c>
      <c r="I4724" s="446">
        <v>4</v>
      </c>
      <c r="J4724" s="446">
        <v>59</v>
      </c>
      <c r="K4724" s="504" t="s">
        <v>239</v>
      </c>
      <c r="L4724" s="384">
        <f>SUM(M4724:Q4724)</f>
        <v>2140886</v>
      </c>
      <c r="M4724" s="519">
        <v>2070015</v>
      </c>
      <c r="N4724" s="383">
        <v>30871</v>
      </c>
      <c r="O4724" s="385"/>
      <c r="P4724" s="383"/>
      <c r="Q4724" s="388">
        <v>40000</v>
      </c>
      <c r="R4724" s="382">
        <f>M4724/J4724</f>
        <v>35085</v>
      </c>
      <c r="S4724" s="383">
        <f t="shared" si="714"/>
        <v>0</v>
      </c>
      <c r="U4724" s="404"/>
      <c r="V4724" s="390"/>
      <c r="W4724" s="403"/>
    </row>
    <row r="4725" spans="1:24" s="455" customFormat="1" ht="43.5" customHeight="1">
      <c r="A4725" s="404">
        <f t="shared" si="711"/>
        <v>30</v>
      </c>
      <c r="B4725" s="543" t="s">
        <v>2224</v>
      </c>
      <c r="C4725" s="455" t="s">
        <v>299</v>
      </c>
      <c r="D4725" s="772">
        <f>E4725/1.16/2*13</f>
        <v>8100.9051724137944</v>
      </c>
      <c r="E4725" s="388">
        <v>1445.7</v>
      </c>
      <c r="F4725" s="388" t="s">
        <v>219</v>
      </c>
      <c r="G4725" s="388">
        <v>820</v>
      </c>
      <c r="H4725" s="446">
        <v>5</v>
      </c>
      <c r="I4725" s="446">
        <v>2</v>
      </c>
      <c r="J4725" s="446">
        <v>59</v>
      </c>
      <c r="K4725" s="504" t="s">
        <v>239</v>
      </c>
      <c r="L4725" s="384">
        <f>SUM(M4725:Q4725)</f>
        <v>2139865</v>
      </c>
      <c r="M4725" s="519">
        <v>2070000</v>
      </c>
      <c r="N4725" s="383">
        <v>29865</v>
      </c>
      <c r="O4725" s="385"/>
      <c r="P4725" s="383"/>
      <c r="Q4725" s="388">
        <v>40000</v>
      </c>
      <c r="R4725" s="382">
        <f>M4725/J4725</f>
        <v>35084.745762711864</v>
      </c>
      <c r="S4725" s="383">
        <f t="shared" si="714"/>
        <v>0</v>
      </c>
      <c r="U4725" s="404"/>
      <c r="V4725" s="390"/>
      <c r="W4725" s="403"/>
    </row>
    <row r="4726" spans="1:24" s="455" customFormat="1" ht="43.5" customHeight="1">
      <c r="A4726" s="404">
        <f t="shared" si="711"/>
        <v>31</v>
      </c>
      <c r="B4726" s="403" t="s">
        <v>2229</v>
      </c>
      <c r="C4726" s="455" t="s">
        <v>299</v>
      </c>
      <c r="D4726" s="772">
        <f>E4726/1.16/2*13</f>
        <v>16014.655172413793</v>
      </c>
      <c r="E4726" s="388">
        <v>2858</v>
      </c>
      <c r="F4726" s="388" t="s">
        <v>219</v>
      </c>
      <c r="G4726" s="388">
        <v>1100</v>
      </c>
      <c r="H4726" s="446">
        <v>5</v>
      </c>
      <c r="I4726" s="446">
        <v>5</v>
      </c>
      <c r="J4726" s="446">
        <v>65</v>
      </c>
      <c r="K4726" s="397" t="s">
        <v>239</v>
      </c>
      <c r="L4726" s="384">
        <f>SUM(M4726:Q4726)</f>
        <v>2322344</v>
      </c>
      <c r="M4726" s="519">
        <v>2250000</v>
      </c>
      <c r="N4726" s="383">
        <v>32344</v>
      </c>
      <c r="O4726" s="385"/>
      <c r="P4726" s="383"/>
      <c r="Q4726" s="388">
        <v>40000</v>
      </c>
      <c r="R4726" s="382">
        <f>M4726/J4726</f>
        <v>34615.384615384617</v>
      </c>
      <c r="S4726" s="383">
        <f t="shared" si="714"/>
        <v>0</v>
      </c>
      <c r="U4726" s="404"/>
      <c r="V4726" s="390"/>
      <c r="W4726" s="403"/>
    </row>
    <row r="4727" spans="1:24" s="455" customFormat="1" ht="43.5" customHeight="1">
      <c r="A4727" s="404">
        <f t="shared" si="711"/>
        <v>32</v>
      </c>
      <c r="B4727" s="403" t="s">
        <v>2234</v>
      </c>
      <c r="C4727" s="455" t="s">
        <v>299</v>
      </c>
      <c r="D4727" s="772">
        <f>E4727/1.16/2*13</f>
        <v>20290.086206896551</v>
      </c>
      <c r="E4727" s="388">
        <v>3621</v>
      </c>
      <c r="F4727" s="388" t="s">
        <v>219</v>
      </c>
      <c r="G4727" s="388">
        <v>1260</v>
      </c>
      <c r="H4727" s="446">
        <v>5</v>
      </c>
      <c r="I4727" s="446">
        <v>6</v>
      </c>
      <c r="J4727" s="446">
        <v>100</v>
      </c>
      <c r="K4727" s="397" t="s">
        <v>239</v>
      </c>
      <c r="L4727" s="384">
        <f>SUM(M4727:Q4727)</f>
        <v>3372546</v>
      </c>
      <c r="M4727" s="519">
        <v>3300000</v>
      </c>
      <c r="N4727" s="383">
        <v>32546</v>
      </c>
      <c r="O4727" s="385"/>
      <c r="P4727" s="383"/>
      <c r="Q4727" s="388">
        <v>40000</v>
      </c>
      <c r="R4727" s="382">
        <f>M4727/J4727</f>
        <v>33000</v>
      </c>
      <c r="S4727" s="383">
        <f t="shared" si="714"/>
        <v>0</v>
      </c>
      <c r="U4727" s="404"/>
      <c r="V4727" s="390"/>
      <c r="W4727" s="403"/>
    </row>
    <row r="4728" spans="1:24" s="403" customFormat="1" ht="42.75" customHeight="1">
      <c r="A4728" s="1112" t="s">
        <v>146</v>
      </c>
      <c r="B4728" s="1112"/>
      <c r="C4728" s="455"/>
      <c r="D4728" s="388">
        <f>SUM(D4696:D4727)</f>
        <v>935335.3448275862</v>
      </c>
      <c r="E4728" s="388">
        <f>SUM(E4696:E4727)</f>
        <v>168258.1</v>
      </c>
      <c r="F4728" s="388"/>
      <c r="G4728" s="388">
        <f>SUM(G4696:G4727)</f>
        <v>43184.800000000003</v>
      </c>
      <c r="H4728" s="446" t="s">
        <v>28</v>
      </c>
      <c r="I4728" s="446" t="s">
        <v>28</v>
      </c>
      <c r="J4728" s="446">
        <f>SUM(J4696:J4727)</f>
        <v>3790</v>
      </c>
      <c r="K4728" s="680" t="s">
        <v>28</v>
      </c>
      <c r="L4728" s="519">
        <f t="shared" ref="L4728:Q4728" si="715">SUM(L4696:L4727)</f>
        <v>191829445.37</v>
      </c>
      <c r="M4728" s="519">
        <f t="shared" si="715"/>
        <v>189556105</v>
      </c>
      <c r="N4728" s="388">
        <f t="shared" si="715"/>
        <v>727538</v>
      </c>
      <c r="O4728" s="473">
        <f t="shared" si="715"/>
        <v>278954.55</v>
      </c>
      <c r="P4728" s="388">
        <f t="shared" si="715"/>
        <v>0</v>
      </c>
      <c r="Q4728" s="388">
        <f t="shared" si="715"/>
        <v>1266847.8199999998</v>
      </c>
      <c r="R4728" s="446" t="s">
        <v>28</v>
      </c>
      <c r="S4728" s="403">
        <f>SUBTOTAL(9,M4728:Q4728)</f>
        <v>191829445.37</v>
      </c>
      <c r="T4728" s="393">
        <f>S4728-L4728</f>
        <v>0</v>
      </c>
      <c r="U4728" s="404"/>
    </row>
    <row r="4729" spans="1:24" s="403" customFormat="1" ht="42.75" customHeight="1">
      <c r="A4729" s="1113" t="s">
        <v>147</v>
      </c>
      <c r="B4729" s="1113"/>
      <c r="C4729" s="1113"/>
      <c r="D4729" s="1113"/>
      <c r="E4729" s="1113"/>
      <c r="F4729" s="1113"/>
      <c r="G4729" s="1113"/>
      <c r="H4729" s="1113"/>
      <c r="I4729" s="1113"/>
      <c r="J4729" s="1113"/>
      <c r="K4729" s="1113"/>
      <c r="L4729" s="1113"/>
      <c r="M4729" s="1113"/>
      <c r="N4729" s="1113"/>
      <c r="O4729" s="1113"/>
      <c r="P4729" s="1113"/>
      <c r="Q4729" s="1113"/>
      <c r="R4729" s="458"/>
      <c r="U4729" s="404"/>
    </row>
    <row r="4730" spans="1:24" s="403" customFormat="1" ht="37.5" customHeight="1">
      <c r="A4730" s="493">
        <v>1</v>
      </c>
      <c r="B4730" s="403" t="s">
        <v>3469</v>
      </c>
      <c r="C4730" s="766" t="s">
        <v>218</v>
      </c>
      <c r="D4730" s="455"/>
      <c r="E4730" s="388"/>
      <c r="F4730" s="388" t="s">
        <v>234</v>
      </c>
      <c r="G4730" s="388">
        <v>965.7</v>
      </c>
      <c r="H4730" s="446">
        <v>5</v>
      </c>
      <c r="I4730" s="446">
        <v>5</v>
      </c>
      <c r="J4730" s="446">
        <v>74</v>
      </c>
      <c r="K4730" s="767" t="s">
        <v>33</v>
      </c>
      <c r="L4730" s="519">
        <f>SUM(M4730:Q4730)</f>
        <v>1879599</v>
      </c>
      <c r="M4730" s="519">
        <v>1834830</v>
      </c>
      <c r="N4730" s="388"/>
      <c r="O4730" s="473">
        <v>5504</v>
      </c>
      <c r="P4730" s="388"/>
      <c r="Q4730" s="388">
        <v>39265</v>
      </c>
      <c r="R4730" s="446">
        <f>M4730/G4730</f>
        <v>1900</v>
      </c>
      <c r="U4730" s="404"/>
    </row>
    <row r="4731" spans="1:24" s="455" customFormat="1" ht="46.5" customHeight="1">
      <c r="A4731" s="404">
        <v>2</v>
      </c>
      <c r="B4731" s="403" t="s">
        <v>3470</v>
      </c>
      <c r="C4731" s="772" t="s">
        <v>218</v>
      </c>
      <c r="D4731" s="455">
        <f>SUM(A4731:C4731)</f>
        <v>2</v>
      </c>
      <c r="E4731" s="388">
        <v>3083</v>
      </c>
      <c r="F4731" s="388" t="s">
        <v>234</v>
      </c>
      <c r="G4731" s="388">
        <v>1220.5</v>
      </c>
      <c r="H4731" s="446">
        <v>5</v>
      </c>
      <c r="I4731" s="446">
        <v>4</v>
      </c>
      <c r="J4731" s="446">
        <v>88</v>
      </c>
      <c r="K4731" s="397" t="s">
        <v>33</v>
      </c>
      <c r="L4731" s="384">
        <f>SUM(M4731:Q4731)</f>
        <v>2733155</v>
      </c>
      <c r="M4731" s="519">
        <v>2685100</v>
      </c>
      <c r="N4731" s="388"/>
      <c r="O4731" s="473">
        <v>8055</v>
      </c>
      <c r="P4731" s="388"/>
      <c r="Q4731" s="388">
        <v>40000</v>
      </c>
      <c r="R4731" s="446">
        <f>M4731/G4731</f>
        <v>2200</v>
      </c>
      <c r="U4731" s="404"/>
    </row>
    <row r="4732" spans="1:24" s="403" customFormat="1" ht="42.75" customHeight="1">
      <c r="A4732" s="1112" t="s">
        <v>148</v>
      </c>
      <c r="B4732" s="1112"/>
      <c r="C4732" s="455"/>
      <c r="D4732" s="446">
        <f>SUM(D4730:D4731)</f>
        <v>2</v>
      </c>
      <c r="E4732" s="388">
        <f>SUM(E4730:E4731)</f>
        <v>3083</v>
      </c>
      <c r="F4732" s="388"/>
      <c r="G4732" s="388">
        <f>SUM(G4730:G4731)</f>
        <v>2186.1999999999998</v>
      </c>
      <c r="H4732" s="446" t="s">
        <v>28</v>
      </c>
      <c r="I4732" s="446" t="s">
        <v>28</v>
      </c>
      <c r="J4732" s="446">
        <f>SUM(J4730:J4731)</f>
        <v>162</v>
      </c>
      <c r="K4732" s="397" t="s">
        <v>28</v>
      </c>
      <c r="L4732" s="519">
        <f t="shared" ref="L4732:Q4732" si="716">SUM(L4730:L4731)</f>
        <v>4612754</v>
      </c>
      <c r="M4732" s="519">
        <f t="shared" si="716"/>
        <v>4519930</v>
      </c>
      <c r="N4732" s="388">
        <f t="shared" si="716"/>
        <v>0</v>
      </c>
      <c r="O4732" s="473">
        <f t="shared" si="716"/>
        <v>13559</v>
      </c>
      <c r="P4732" s="388">
        <f t="shared" si="716"/>
        <v>0</v>
      </c>
      <c r="Q4732" s="388">
        <f t="shared" si="716"/>
        <v>79265</v>
      </c>
      <c r="R4732" s="446" t="s">
        <v>28</v>
      </c>
      <c r="S4732" s="403">
        <f>SUBTOTAL(9,M4732:Q4732)</f>
        <v>4612754</v>
      </c>
      <c r="T4732" s="393">
        <f>S4732-L4732</f>
        <v>0</v>
      </c>
      <c r="U4732" s="404"/>
    </row>
    <row r="4733" spans="1:24" s="403" customFormat="1" ht="42.75" customHeight="1">
      <c r="A4733" s="1113" t="s">
        <v>175</v>
      </c>
      <c r="B4733" s="1113"/>
      <c r="C4733" s="1113"/>
      <c r="D4733" s="1113"/>
      <c r="E4733" s="1113"/>
      <c r="F4733" s="1113"/>
      <c r="G4733" s="1113"/>
      <c r="H4733" s="1113"/>
      <c r="I4733" s="1113"/>
      <c r="J4733" s="1113"/>
      <c r="K4733" s="1113"/>
      <c r="L4733" s="1113"/>
      <c r="M4733" s="1113"/>
      <c r="N4733" s="1113"/>
      <c r="O4733" s="1113"/>
      <c r="P4733" s="1113"/>
      <c r="Q4733" s="1113"/>
      <c r="R4733" s="458"/>
      <c r="U4733" s="404"/>
    </row>
    <row r="4734" spans="1:24" s="403" customFormat="1" ht="37.5" customHeight="1">
      <c r="A4734" s="404">
        <v>1</v>
      </c>
      <c r="B4734" s="967" t="s">
        <v>3471</v>
      </c>
      <c r="C4734" s="968" t="s">
        <v>315</v>
      </c>
      <c r="D4734" s="968">
        <v>7607</v>
      </c>
      <c r="E4734" s="969">
        <v>7362.65</v>
      </c>
      <c r="F4734" s="969" t="s">
        <v>252</v>
      </c>
      <c r="G4734" s="969">
        <v>1132.7</v>
      </c>
      <c r="H4734" s="970">
        <v>3</v>
      </c>
      <c r="I4734" s="970">
        <v>3</v>
      </c>
      <c r="J4734" s="970">
        <v>36</v>
      </c>
      <c r="K4734" s="971" t="s">
        <v>225</v>
      </c>
      <c r="L4734" s="519">
        <f>M4734+N4734+P4734+Q4734</f>
        <v>843949</v>
      </c>
      <c r="M4734" s="972">
        <v>792000</v>
      </c>
      <c r="N4734" s="881">
        <v>35000</v>
      </c>
      <c r="O4734" s="882"/>
      <c r="P4734" s="881"/>
      <c r="Q4734" s="388">
        <v>16949</v>
      </c>
      <c r="R4734" s="883">
        <f>M4734/J4734</f>
        <v>22000</v>
      </c>
      <c r="U4734" s="404"/>
    </row>
    <row r="4735" spans="1:24" s="403" customFormat="1" ht="42.75" customHeight="1">
      <c r="A4735" s="1113" t="s">
        <v>176</v>
      </c>
      <c r="B4735" s="1113"/>
      <c r="C4735" s="404"/>
      <c r="D4735" s="973">
        <f>SUM(D4734:D4734)</f>
        <v>7607</v>
      </c>
      <c r="E4735" s="388">
        <f>SUM(E4734:E4734)</f>
        <v>7362.65</v>
      </c>
      <c r="F4735" s="388" t="s">
        <v>28</v>
      </c>
      <c r="G4735" s="388">
        <f>SUM(G4734:G4734)</f>
        <v>1132.7</v>
      </c>
      <c r="H4735" s="446" t="s">
        <v>28</v>
      </c>
      <c r="I4735" s="446" t="s">
        <v>28</v>
      </c>
      <c r="J4735" s="446">
        <f>SUM(J4734:J4734)</f>
        <v>36</v>
      </c>
      <c r="K4735" s="458" t="s">
        <v>28</v>
      </c>
      <c r="L4735" s="519">
        <f t="shared" ref="L4735:Q4735" si="717">SUM(L4734:L4734)</f>
        <v>843949</v>
      </c>
      <c r="M4735" s="519">
        <f t="shared" si="717"/>
        <v>792000</v>
      </c>
      <c r="N4735" s="388">
        <f t="shared" si="717"/>
        <v>35000</v>
      </c>
      <c r="O4735" s="473">
        <f t="shared" si="717"/>
        <v>0</v>
      </c>
      <c r="P4735" s="388">
        <f t="shared" si="717"/>
        <v>0</v>
      </c>
      <c r="Q4735" s="388">
        <f t="shared" si="717"/>
        <v>16949</v>
      </c>
      <c r="R4735" s="446" t="s">
        <v>28</v>
      </c>
      <c r="S4735" s="403">
        <f>SUBTOTAL(9,M4735:Q4735)</f>
        <v>843949</v>
      </c>
      <c r="T4735" s="393">
        <f>S4735-L4735</f>
        <v>0</v>
      </c>
      <c r="U4735" s="404"/>
    </row>
    <row r="4736" spans="1:24" s="403" customFormat="1" ht="42.75" customHeight="1">
      <c r="A4736" s="1113" t="s">
        <v>149</v>
      </c>
      <c r="B4736" s="1113"/>
      <c r="C4736" s="1113"/>
      <c r="D4736" s="1113"/>
      <c r="E4736" s="1113"/>
      <c r="F4736" s="1113"/>
      <c r="G4736" s="1113"/>
      <c r="H4736" s="1113"/>
      <c r="I4736" s="1113"/>
      <c r="J4736" s="1113"/>
      <c r="K4736" s="1113"/>
      <c r="L4736" s="1113"/>
      <c r="M4736" s="1113"/>
      <c r="N4736" s="1113"/>
      <c r="O4736" s="1113"/>
      <c r="P4736" s="1113"/>
      <c r="Q4736" s="1113"/>
      <c r="R4736" s="458"/>
      <c r="U4736" s="404"/>
    </row>
    <row r="4737" spans="1:21" s="455" customFormat="1" ht="37.5" customHeight="1">
      <c r="A4737" s="493">
        <v>1</v>
      </c>
      <c r="B4737" s="723" t="s">
        <v>3472</v>
      </c>
      <c r="C4737" s="679" t="s">
        <v>240</v>
      </c>
      <c r="D4737" s="455">
        <v>7341</v>
      </c>
      <c r="E4737" s="388">
        <v>1230</v>
      </c>
      <c r="F4737" s="388" t="s">
        <v>231</v>
      </c>
      <c r="G4737" s="388">
        <v>1435</v>
      </c>
      <c r="H4737" s="446">
        <v>2</v>
      </c>
      <c r="I4737" s="446">
        <v>1</v>
      </c>
      <c r="J4737" s="446">
        <v>43</v>
      </c>
      <c r="K4737" s="458" t="s">
        <v>33</v>
      </c>
      <c r="L4737" s="519">
        <f>SUM(M4737:Q4737)</f>
        <v>3802000</v>
      </c>
      <c r="M4737" s="519">
        <v>3731000</v>
      </c>
      <c r="N4737" s="388">
        <v>31000</v>
      </c>
      <c r="O4737" s="473"/>
      <c r="P4737" s="388"/>
      <c r="Q4737" s="388">
        <v>40000</v>
      </c>
      <c r="R4737" s="446">
        <f>M4737/G4737</f>
        <v>2600</v>
      </c>
      <c r="U4737" s="404"/>
    </row>
    <row r="4738" spans="1:21" s="458" customFormat="1" ht="42.75" customHeight="1">
      <c r="A4738" s="1112" t="s">
        <v>150</v>
      </c>
      <c r="B4738" s="1112"/>
      <c r="C4738" s="455"/>
      <c r="D4738" s="446">
        <f>SUM(D4737:D4737)</f>
        <v>7341</v>
      </c>
      <c r="E4738" s="388">
        <f>SUM(E4737:E4737)</f>
        <v>1230</v>
      </c>
      <c r="F4738" s="388" t="s">
        <v>28</v>
      </c>
      <c r="G4738" s="388">
        <f>SUM(G4737:G4737)</f>
        <v>1435</v>
      </c>
      <c r="H4738" s="446" t="s">
        <v>28</v>
      </c>
      <c r="I4738" s="446" t="s">
        <v>28</v>
      </c>
      <c r="J4738" s="446">
        <f>SUM(J4737:J4737)</f>
        <v>43</v>
      </c>
      <c r="K4738" s="397" t="s">
        <v>28</v>
      </c>
      <c r="L4738" s="519">
        <f t="shared" ref="L4738:Q4738" si="718">SUM(L4737:L4737)</f>
        <v>3802000</v>
      </c>
      <c r="M4738" s="519">
        <f t="shared" si="718"/>
        <v>3731000</v>
      </c>
      <c r="N4738" s="388">
        <f t="shared" si="718"/>
        <v>31000</v>
      </c>
      <c r="O4738" s="473">
        <f t="shared" si="718"/>
        <v>0</v>
      </c>
      <c r="P4738" s="388">
        <f t="shared" si="718"/>
        <v>0</v>
      </c>
      <c r="Q4738" s="388">
        <f t="shared" si="718"/>
        <v>40000</v>
      </c>
      <c r="R4738" s="446" t="s">
        <v>28</v>
      </c>
      <c r="S4738" s="403">
        <f>SUBTOTAL(9,M4738:Q4738)</f>
        <v>3802000</v>
      </c>
      <c r="T4738" s="393">
        <f>S4738-L4738</f>
        <v>0</v>
      </c>
      <c r="U4738" s="404"/>
    </row>
    <row r="4739" spans="1:21" s="403" customFormat="1" ht="42.75" customHeight="1">
      <c r="A4739" s="1113" t="s">
        <v>357</v>
      </c>
      <c r="B4739" s="1113"/>
      <c r="C4739" s="1113"/>
      <c r="D4739" s="1113"/>
      <c r="E4739" s="1113"/>
      <c r="F4739" s="1113"/>
      <c r="G4739" s="1113"/>
      <c r="H4739" s="1113"/>
      <c r="I4739" s="1113"/>
      <c r="J4739" s="1113"/>
      <c r="K4739" s="1113"/>
      <c r="L4739" s="1113"/>
      <c r="M4739" s="1113"/>
      <c r="N4739" s="1113"/>
      <c r="O4739" s="1113"/>
      <c r="P4739" s="1113"/>
      <c r="Q4739" s="1113"/>
      <c r="R4739" s="458"/>
      <c r="U4739" s="404"/>
    </row>
    <row r="4740" spans="1:21" s="403" customFormat="1" ht="56.25" customHeight="1">
      <c r="A4740" s="404">
        <v>1</v>
      </c>
      <c r="B4740" s="403" t="s">
        <v>3473</v>
      </c>
      <c r="C4740" s="455" t="s">
        <v>306</v>
      </c>
      <c r="D4740" s="446">
        <v>1769</v>
      </c>
      <c r="E4740" s="388">
        <v>456.96</v>
      </c>
      <c r="F4740" s="388" t="s">
        <v>252</v>
      </c>
      <c r="G4740" s="388">
        <v>359.28</v>
      </c>
      <c r="H4740" s="446">
        <v>2</v>
      </c>
      <c r="I4740" s="446">
        <v>2</v>
      </c>
      <c r="J4740" s="446">
        <v>8</v>
      </c>
      <c r="K4740" s="389" t="s">
        <v>3763</v>
      </c>
      <c r="L4740" s="519">
        <f>SUM(M4740:Q4740,M4741:Q4741)</f>
        <v>1222544</v>
      </c>
      <c r="M4740" s="519">
        <v>971977.99999999988</v>
      </c>
      <c r="N4740" s="388">
        <v>25000</v>
      </c>
      <c r="O4740" s="473"/>
      <c r="P4740" s="388"/>
      <c r="Q4740" s="388">
        <v>20800</v>
      </c>
      <c r="R4740" s="446">
        <f>M4740/G4740</f>
        <v>2705.3495880650189</v>
      </c>
      <c r="U4740" s="404"/>
    </row>
    <row r="4741" spans="1:21" s="403" customFormat="1" ht="37.5" customHeight="1">
      <c r="A4741" s="404"/>
      <c r="C4741" s="455"/>
      <c r="D4741" s="446"/>
      <c r="E4741" s="388"/>
      <c r="F4741" s="388"/>
      <c r="G4741" s="388"/>
      <c r="H4741" s="446"/>
      <c r="I4741" s="446"/>
      <c r="J4741" s="446"/>
      <c r="K4741" s="389" t="s">
        <v>225</v>
      </c>
      <c r="L4741" s="519"/>
      <c r="M4741" s="519">
        <v>176000</v>
      </c>
      <c r="N4741" s="388">
        <v>25000</v>
      </c>
      <c r="O4741" s="473"/>
      <c r="P4741" s="388"/>
      <c r="Q4741" s="388">
        <v>3766</v>
      </c>
      <c r="R4741" s="446">
        <f>M4741/J4740</f>
        <v>22000</v>
      </c>
      <c r="U4741" s="404"/>
    </row>
    <row r="4742" spans="1:21" s="403" customFormat="1" ht="42.75" customHeight="1">
      <c r="A4742" s="1112" t="s">
        <v>358</v>
      </c>
      <c r="B4742" s="1112"/>
      <c r="C4742" s="455"/>
      <c r="D4742" s="388">
        <f>SUM(D4740:D4740)</f>
        <v>1769</v>
      </c>
      <c r="E4742" s="388">
        <f>SUM(E4740:E4740)</f>
        <v>456.96</v>
      </c>
      <c r="F4742" s="388" t="s">
        <v>28</v>
      </c>
      <c r="G4742" s="388">
        <f>SUM(G4740:G4740)</f>
        <v>359.28</v>
      </c>
      <c r="H4742" s="446" t="s">
        <v>28</v>
      </c>
      <c r="I4742" s="446" t="s">
        <v>28</v>
      </c>
      <c r="J4742" s="446">
        <f>SUM(J4740:J4740)</f>
        <v>8</v>
      </c>
      <c r="K4742" s="397" t="s">
        <v>28</v>
      </c>
      <c r="L4742" s="519">
        <f t="shared" ref="L4742:Q4742" si="719">SUM(L4740:L4741)</f>
        <v>1222544</v>
      </c>
      <c r="M4742" s="519">
        <f t="shared" si="719"/>
        <v>1147978</v>
      </c>
      <c r="N4742" s="388">
        <f t="shared" si="719"/>
        <v>50000</v>
      </c>
      <c r="O4742" s="473">
        <f t="shared" si="719"/>
        <v>0</v>
      </c>
      <c r="P4742" s="388">
        <f t="shared" si="719"/>
        <v>0</v>
      </c>
      <c r="Q4742" s="388">
        <f t="shared" si="719"/>
        <v>24566</v>
      </c>
      <c r="R4742" s="446" t="s">
        <v>28</v>
      </c>
      <c r="S4742" s="403">
        <f>SUBTOTAL(9,M4742:Q4742)</f>
        <v>1222544</v>
      </c>
      <c r="T4742" s="393">
        <f>S4742-L4742</f>
        <v>0</v>
      </c>
      <c r="U4742" s="404"/>
    </row>
    <row r="4743" spans="1:21" s="403" customFormat="1" ht="42.75" customHeight="1">
      <c r="A4743" s="1113" t="s">
        <v>151</v>
      </c>
      <c r="B4743" s="1113"/>
      <c r="C4743" s="1113"/>
      <c r="D4743" s="1113"/>
      <c r="E4743" s="1113"/>
      <c r="F4743" s="1113"/>
      <c r="G4743" s="1113"/>
      <c r="H4743" s="1113"/>
      <c r="I4743" s="1113"/>
      <c r="J4743" s="1113"/>
      <c r="K4743" s="1113"/>
      <c r="L4743" s="1113"/>
      <c r="M4743" s="1113"/>
      <c r="N4743" s="1113"/>
      <c r="O4743" s="1113"/>
      <c r="P4743" s="1113"/>
      <c r="Q4743" s="1113"/>
      <c r="R4743" s="446"/>
      <c r="T4743" s="393"/>
      <c r="U4743" s="404"/>
    </row>
    <row r="4744" spans="1:21" s="403" customFormat="1" ht="42.75" customHeight="1">
      <c r="A4744" s="404">
        <v>1</v>
      </c>
      <c r="B4744" s="404" t="s">
        <v>3641</v>
      </c>
      <c r="C4744" s="455" t="s">
        <v>222</v>
      </c>
      <c r="D4744" s="388">
        <v>15803.2</v>
      </c>
      <c r="E4744" s="388">
        <v>2705.6</v>
      </c>
      <c r="F4744" s="388" t="s">
        <v>234</v>
      </c>
      <c r="G4744" s="388">
        <v>987.7</v>
      </c>
      <c r="H4744" s="446">
        <v>5</v>
      </c>
      <c r="I4744" s="446">
        <v>1</v>
      </c>
      <c r="J4744" s="446">
        <v>40</v>
      </c>
      <c r="K4744" s="397" t="s">
        <v>225</v>
      </c>
      <c r="L4744" s="388">
        <f>M4744+N4744+O4744+Q4744</f>
        <v>909392</v>
      </c>
      <c r="M4744" s="388">
        <v>880000</v>
      </c>
      <c r="N4744" s="388">
        <v>10560</v>
      </c>
      <c r="O4744" s="388"/>
      <c r="P4744" s="388"/>
      <c r="Q4744" s="388">
        <v>18832</v>
      </c>
      <c r="R4744" s="446"/>
      <c r="T4744" s="393"/>
      <c r="U4744" s="404"/>
    </row>
    <row r="4745" spans="1:21" s="403" customFormat="1" ht="42.75" customHeight="1">
      <c r="A4745" s="404">
        <f>A4744+1</f>
        <v>2</v>
      </c>
      <c r="B4745" s="404" t="s">
        <v>4361</v>
      </c>
      <c r="C4745" s="455" t="s">
        <v>222</v>
      </c>
      <c r="D4745" s="388">
        <v>30244</v>
      </c>
      <c r="E4745" s="388">
        <v>3230.3</v>
      </c>
      <c r="F4745" s="388" t="s">
        <v>234</v>
      </c>
      <c r="G4745" s="388">
        <v>1952</v>
      </c>
      <c r="H4745" s="446">
        <v>5</v>
      </c>
      <c r="I4745" s="446">
        <v>9</v>
      </c>
      <c r="J4745" s="446">
        <v>113</v>
      </c>
      <c r="K4745" s="397" t="s">
        <v>308</v>
      </c>
      <c r="L4745" s="388">
        <f>M4745+N4745+O4745+Q4745</f>
        <v>4543069</v>
      </c>
      <c r="M4745" s="388">
        <v>4489600</v>
      </c>
      <c r="N4745" s="388"/>
      <c r="O4745" s="388">
        <v>13469</v>
      </c>
      <c r="P4745" s="388"/>
      <c r="Q4745" s="388">
        <v>40000</v>
      </c>
      <c r="R4745" s="446"/>
      <c r="T4745" s="393"/>
      <c r="U4745" s="404"/>
    </row>
    <row r="4746" spans="1:21" s="403" customFormat="1" ht="42.75" customHeight="1">
      <c r="A4746" s="404">
        <f>A4745+1</f>
        <v>3</v>
      </c>
      <c r="B4746" s="404" t="s">
        <v>3192</v>
      </c>
      <c r="C4746" s="455" t="s">
        <v>222</v>
      </c>
      <c r="D4746" s="388">
        <v>25140</v>
      </c>
      <c r="E4746" s="388">
        <v>4061</v>
      </c>
      <c r="F4746" s="388" t="s">
        <v>234</v>
      </c>
      <c r="G4746" s="388">
        <v>1677</v>
      </c>
      <c r="H4746" s="446">
        <v>5</v>
      </c>
      <c r="I4746" s="446">
        <v>8</v>
      </c>
      <c r="J4746" s="446">
        <v>131</v>
      </c>
      <c r="K4746" s="397" t="s">
        <v>225</v>
      </c>
      <c r="L4746" s="388">
        <f>M4746+N4746+O4746+Q4746</f>
        <v>2956584</v>
      </c>
      <c r="M4746" s="794">
        <v>2882000</v>
      </c>
      <c r="N4746" s="794">
        <v>34584</v>
      </c>
      <c r="O4746" s="794"/>
      <c r="P4746" s="794"/>
      <c r="Q4746" s="388">
        <v>40000</v>
      </c>
      <c r="R4746" s="446"/>
      <c r="T4746" s="393"/>
      <c r="U4746" s="404"/>
    </row>
    <row r="4747" spans="1:21" s="403" customFormat="1" ht="42.75" customHeight="1">
      <c r="A4747" s="404">
        <f>A4746+1</f>
        <v>4</v>
      </c>
      <c r="B4747" s="404" t="s">
        <v>3185</v>
      </c>
      <c r="C4747" s="455" t="s">
        <v>222</v>
      </c>
      <c r="D4747" s="388">
        <v>3694</v>
      </c>
      <c r="E4747" s="388">
        <v>729</v>
      </c>
      <c r="F4747" s="388" t="s">
        <v>223</v>
      </c>
      <c r="G4747" s="388">
        <v>828</v>
      </c>
      <c r="H4747" s="446">
        <v>2</v>
      </c>
      <c r="I4747" s="446">
        <v>3</v>
      </c>
      <c r="J4747" s="446">
        <v>22</v>
      </c>
      <c r="K4747" s="397" t="s">
        <v>308</v>
      </c>
      <c r="L4747" s="388">
        <f>M4747+N4747+O4747+Q4747</f>
        <v>2386221</v>
      </c>
      <c r="M4747" s="794">
        <v>2318400</v>
      </c>
      <c r="N4747" s="794">
        <v>27821</v>
      </c>
      <c r="O4747" s="794"/>
      <c r="P4747" s="794"/>
      <c r="Q4747" s="388">
        <v>40000</v>
      </c>
      <c r="R4747" s="446"/>
      <c r="T4747" s="393"/>
      <c r="U4747" s="404"/>
    </row>
    <row r="4748" spans="1:21" s="403" customFormat="1" ht="42.75" customHeight="1">
      <c r="A4748" s="1112" t="s">
        <v>152</v>
      </c>
      <c r="B4748" s="1112"/>
      <c r="C4748" s="455" t="s">
        <v>28</v>
      </c>
      <c r="D4748" s="388">
        <f>SUM(D4744:D4747)</f>
        <v>74881.2</v>
      </c>
      <c r="E4748" s="388">
        <f>SUM(E4744:E4747)</f>
        <v>10725.9</v>
      </c>
      <c r="F4748" s="388" t="s">
        <v>28</v>
      </c>
      <c r="G4748" s="388">
        <f>SUM(G4744:G4747)</f>
        <v>5444.7</v>
      </c>
      <c r="H4748" s="446" t="s">
        <v>28</v>
      </c>
      <c r="I4748" s="446" t="s">
        <v>28</v>
      </c>
      <c r="J4748" s="446">
        <f>SUM(J4744:J4747)</f>
        <v>306</v>
      </c>
      <c r="K4748" s="397" t="s">
        <v>28</v>
      </c>
      <c r="L4748" s="388">
        <f t="shared" ref="L4748:Q4748" si="720">SUM(L4744:L4747)</f>
        <v>10795266</v>
      </c>
      <c r="M4748" s="388">
        <f t="shared" si="720"/>
        <v>10570000</v>
      </c>
      <c r="N4748" s="388">
        <f t="shared" si="720"/>
        <v>72965</v>
      </c>
      <c r="O4748" s="388">
        <f t="shared" si="720"/>
        <v>13469</v>
      </c>
      <c r="P4748" s="388">
        <f t="shared" si="720"/>
        <v>0</v>
      </c>
      <c r="Q4748" s="388">
        <f t="shared" si="720"/>
        <v>138832</v>
      </c>
      <c r="R4748" s="446"/>
      <c r="T4748" s="393"/>
      <c r="U4748" s="404"/>
    </row>
    <row r="4749" spans="1:21" s="458" customFormat="1" ht="42.75" customHeight="1">
      <c r="A4749" s="1113" t="s">
        <v>153</v>
      </c>
      <c r="B4749" s="1113"/>
      <c r="C4749" s="1113"/>
      <c r="D4749" s="1113"/>
      <c r="E4749" s="1113"/>
      <c r="F4749" s="1113"/>
      <c r="G4749" s="1113"/>
      <c r="H4749" s="1113"/>
      <c r="I4749" s="1113"/>
      <c r="J4749" s="1113"/>
      <c r="K4749" s="1113"/>
      <c r="L4749" s="1113"/>
      <c r="M4749" s="1113"/>
      <c r="N4749" s="1113"/>
      <c r="O4749" s="1113"/>
      <c r="P4749" s="1113"/>
      <c r="Q4749" s="1113"/>
      <c r="U4749" s="404"/>
    </row>
    <row r="4750" spans="1:21" s="403" customFormat="1" ht="74.25" customHeight="1">
      <c r="A4750" s="404">
        <v>1</v>
      </c>
      <c r="B4750" s="403" t="s">
        <v>3474</v>
      </c>
      <c r="C4750" s="455" t="s">
        <v>297</v>
      </c>
      <c r="D4750" s="455">
        <v>4946</v>
      </c>
      <c r="E4750" s="388">
        <v>307.8</v>
      </c>
      <c r="F4750" s="388" t="s">
        <v>252</v>
      </c>
      <c r="G4750" s="388">
        <v>1385.1</v>
      </c>
      <c r="H4750" s="446">
        <v>2</v>
      </c>
      <c r="I4750" s="446">
        <v>2</v>
      </c>
      <c r="J4750" s="446">
        <v>16</v>
      </c>
      <c r="K4750" s="458" t="s">
        <v>33</v>
      </c>
      <c r="L4750" s="519">
        <f>SUM(M4750:Q4750)</f>
        <v>3804769.9999999995</v>
      </c>
      <c r="M4750" s="519">
        <v>3739769.9999999995</v>
      </c>
      <c r="N4750" s="388">
        <v>25000</v>
      </c>
      <c r="O4750" s="473"/>
      <c r="P4750" s="388"/>
      <c r="Q4750" s="388">
        <v>40000</v>
      </c>
      <c r="R4750" s="446">
        <f>M4750/G4750</f>
        <v>2700</v>
      </c>
      <c r="U4750" s="404"/>
    </row>
    <row r="4751" spans="1:21" s="403" customFormat="1" ht="37.5" customHeight="1">
      <c r="A4751" s="404">
        <v>2</v>
      </c>
      <c r="B4751" s="403" t="s">
        <v>3475</v>
      </c>
      <c r="C4751" s="455" t="s">
        <v>360</v>
      </c>
      <c r="D4751" s="455">
        <v>3675</v>
      </c>
      <c r="E4751" s="388">
        <v>700</v>
      </c>
      <c r="F4751" s="388" t="s">
        <v>252</v>
      </c>
      <c r="G4751" s="388">
        <v>881</v>
      </c>
      <c r="H4751" s="446">
        <v>2</v>
      </c>
      <c r="I4751" s="446">
        <v>3</v>
      </c>
      <c r="J4751" s="446">
        <v>22</v>
      </c>
      <c r="K4751" s="458" t="s">
        <v>33</v>
      </c>
      <c r="L4751" s="519">
        <f>SUM(M4751:Q4751)</f>
        <v>2448700</v>
      </c>
      <c r="M4751" s="519">
        <v>2378700</v>
      </c>
      <c r="N4751" s="388">
        <v>30000</v>
      </c>
      <c r="O4751" s="473"/>
      <c r="P4751" s="388"/>
      <c r="Q4751" s="388">
        <v>40000</v>
      </c>
      <c r="R4751" s="446">
        <f>M4751/G4751</f>
        <v>2700</v>
      </c>
      <c r="U4751" s="404"/>
    </row>
    <row r="4752" spans="1:21" s="458" customFormat="1" ht="42.75" customHeight="1">
      <c r="A4752" s="1112" t="s">
        <v>154</v>
      </c>
      <c r="B4752" s="1112"/>
      <c r="C4752" s="455"/>
      <c r="D4752" s="531">
        <f>SUM(D4750:D4751)</f>
        <v>8621</v>
      </c>
      <c r="E4752" s="388">
        <f>SUM(E4750:E4751)</f>
        <v>1007.8</v>
      </c>
      <c r="F4752" s="388" t="s">
        <v>414</v>
      </c>
      <c r="G4752" s="388">
        <f>SUM(G4750:G4751)</f>
        <v>2266.1</v>
      </c>
      <c r="H4752" s="446" t="s">
        <v>28</v>
      </c>
      <c r="I4752" s="446" t="s">
        <v>28</v>
      </c>
      <c r="J4752" s="446">
        <f>SUM(J4750:J4751)</f>
        <v>38</v>
      </c>
      <c r="K4752" s="397" t="s">
        <v>28</v>
      </c>
      <c r="L4752" s="519">
        <f t="shared" ref="L4752:Q4752" si="721">SUM(L4750:L4751)</f>
        <v>6253470</v>
      </c>
      <c r="M4752" s="519">
        <f t="shared" si="721"/>
        <v>6118470</v>
      </c>
      <c r="N4752" s="388">
        <f t="shared" si="721"/>
        <v>55000</v>
      </c>
      <c r="O4752" s="473">
        <f t="shared" si="721"/>
        <v>0</v>
      </c>
      <c r="P4752" s="388">
        <f t="shared" si="721"/>
        <v>0</v>
      </c>
      <c r="Q4752" s="388">
        <f t="shared" si="721"/>
        <v>80000</v>
      </c>
      <c r="R4752" s="446" t="s">
        <v>28</v>
      </c>
      <c r="S4752" s="403">
        <f>SUBTOTAL(9,M4752:Q4752)</f>
        <v>6253470</v>
      </c>
      <c r="T4752" s="393">
        <f>S4752-L4752</f>
        <v>0</v>
      </c>
      <c r="U4752" s="404"/>
    </row>
    <row r="4753" spans="1:21" s="458" customFormat="1" ht="42.75" customHeight="1">
      <c r="A4753" s="1113" t="s">
        <v>155</v>
      </c>
      <c r="B4753" s="1113"/>
      <c r="C4753" s="1113"/>
      <c r="D4753" s="1113"/>
      <c r="E4753" s="1113"/>
      <c r="F4753" s="1113"/>
      <c r="G4753" s="1113"/>
      <c r="H4753" s="1113"/>
      <c r="I4753" s="1113"/>
      <c r="J4753" s="1113"/>
      <c r="K4753" s="1113"/>
      <c r="L4753" s="1113"/>
      <c r="M4753" s="1113"/>
      <c r="N4753" s="1113"/>
      <c r="O4753" s="1113"/>
      <c r="P4753" s="1113"/>
      <c r="Q4753" s="1113"/>
      <c r="U4753" s="404"/>
    </row>
    <row r="4754" spans="1:21" s="403" customFormat="1" ht="56.25" customHeight="1">
      <c r="A4754" s="404">
        <v>1</v>
      </c>
      <c r="B4754" s="403" t="s">
        <v>3776</v>
      </c>
      <c r="C4754" s="455" t="s">
        <v>306</v>
      </c>
      <c r="D4754" s="455"/>
      <c r="E4754" s="388">
        <v>320</v>
      </c>
      <c r="F4754" s="388" t="s">
        <v>317</v>
      </c>
      <c r="G4754" s="388">
        <v>638</v>
      </c>
      <c r="H4754" s="446">
        <v>2</v>
      </c>
      <c r="I4754" s="446">
        <v>2</v>
      </c>
      <c r="J4754" s="446">
        <v>16</v>
      </c>
      <c r="K4754" s="458" t="s">
        <v>30</v>
      </c>
      <c r="L4754" s="519">
        <f>SUM(M4754:Q4754)</f>
        <v>278637</v>
      </c>
      <c r="M4754" s="519">
        <v>272000</v>
      </c>
      <c r="N4754" s="388"/>
      <c r="O4754" s="473">
        <v>816</v>
      </c>
      <c r="P4754" s="388"/>
      <c r="Q4754" s="388">
        <v>5821</v>
      </c>
      <c r="R4754" s="446">
        <f>M4754/G4754</f>
        <v>426.33228840125389</v>
      </c>
      <c r="U4754" s="404"/>
    </row>
    <row r="4755" spans="1:21" s="458" customFormat="1" ht="42.75" customHeight="1">
      <c r="A4755" s="1112" t="s">
        <v>156</v>
      </c>
      <c r="B4755" s="1112"/>
      <c r="C4755" s="455"/>
      <c r="D4755" s="388">
        <f>D4754</f>
        <v>0</v>
      </c>
      <c r="E4755" s="388">
        <f>E4754</f>
        <v>320</v>
      </c>
      <c r="F4755" s="388" t="s">
        <v>414</v>
      </c>
      <c r="G4755" s="388">
        <f>G4754</f>
        <v>638</v>
      </c>
      <c r="H4755" s="446" t="s">
        <v>28</v>
      </c>
      <c r="I4755" s="446" t="s">
        <v>28</v>
      </c>
      <c r="J4755" s="446">
        <f>J4754</f>
        <v>16</v>
      </c>
      <c r="K4755" s="397" t="s">
        <v>28</v>
      </c>
      <c r="L4755" s="519">
        <f t="shared" ref="L4755:Q4755" si="722">L4754</f>
        <v>278637</v>
      </c>
      <c r="M4755" s="519">
        <f t="shared" si="722"/>
        <v>272000</v>
      </c>
      <c r="N4755" s="388">
        <f t="shared" si="722"/>
        <v>0</v>
      </c>
      <c r="O4755" s="473">
        <f t="shared" si="722"/>
        <v>816</v>
      </c>
      <c r="P4755" s="388">
        <f t="shared" si="722"/>
        <v>0</v>
      </c>
      <c r="Q4755" s="388">
        <f t="shared" si="722"/>
        <v>5821</v>
      </c>
      <c r="R4755" s="446" t="s">
        <v>28</v>
      </c>
      <c r="S4755" s="403">
        <f>SUBTOTAL(9,M4755:Q4755)</f>
        <v>278637</v>
      </c>
      <c r="T4755" s="393">
        <f>S4755-L4755</f>
        <v>0</v>
      </c>
      <c r="U4755" s="404"/>
    </row>
    <row r="4756" spans="1:21" s="403" customFormat="1" ht="42.75" customHeight="1">
      <c r="A4756" s="1113" t="s">
        <v>362</v>
      </c>
      <c r="B4756" s="1113"/>
      <c r="C4756" s="1113"/>
      <c r="D4756" s="1113"/>
      <c r="E4756" s="1113"/>
      <c r="F4756" s="1113"/>
      <c r="G4756" s="1113"/>
      <c r="H4756" s="1113"/>
      <c r="I4756" s="1113"/>
      <c r="J4756" s="1113"/>
      <c r="K4756" s="1113"/>
      <c r="L4756" s="1113"/>
      <c r="M4756" s="1113"/>
      <c r="N4756" s="1113"/>
      <c r="O4756" s="1113"/>
      <c r="P4756" s="1113"/>
      <c r="Q4756" s="1113"/>
      <c r="R4756" s="458"/>
      <c r="U4756" s="404"/>
    </row>
    <row r="4757" spans="1:21" s="403" customFormat="1" ht="56.25" customHeight="1">
      <c r="A4757" s="404">
        <v>1</v>
      </c>
      <c r="B4757" s="403" t="s">
        <v>3476</v>
      </c>
      <c r="C4757" s="455" t="s">
        <v>363</v>
      </c>
      <c r="D4757" s="455">
        <v>2544</v>
      </c>
      <c r="E4757" s="388">
        <v>607.1</v>
      </c>
      <c r="F4757" s="388" t="s">
        <v>252</v>
      </c>
      <c r="G4757" s="388">
        <v>569.9</v>
      </c>
      <c r="H4757" s="446">
        <v>2</v>
      </c>
      <c r="I4757" s="446">
        <v>2</v>
      </c>
      <c r="J4757" s="446">
        <v>16</v>
      </c>
      <c r="K4757" s="458" t="s">
        <v>33</v>
      </c>
      <c r="L4757" s="519">
        <f>SUBTOTAL(9,M4757:Q4757)</f>
        <v>1661911</v>
      </c>
      <c r="M4757" s="519">
        <v>1597720</v>
      </c>
      <c r="N4757" s="388">
        <v>30000</v>
      </c>
      <c r="O4757" s="473"/>
      <c r="P4757" s="388"/>
      <c r="Q4757" s="388">
        <v>34191</v>
      </c>
      <c r="R4757" s="446">
        <f>M4757/G4757</f>
        <v>2803.5093876118617</v>
      </c>
      <c r="U4757" s="404"/>
    </row>
    <row r="4758" spans="1:21" s="403" customFormat="1" ht="42.75" customHeight="1">
      <c r="A4758" s="1111" t="s">
        <v>157</v>
      </c>
      <c r="B4758" s="1111"/>
      <c r="C4758" s="506"/>
      <c r="D4758" s="641">
        <f>SUM(D4757:D4757)</f>
        <v>2544</v>
      </c>
      <c r="E4758" s="388">
        <f>SUM(E4757:E4757)</f>
        <v>607.1</v>
      </c>
      <c r="F4758" s="539" t="s">
        <v>28</v>
      </c>
      <c r="G4758" s="388">
        <f>SUM(G4757:G4757)</f>
        <v>569.9</v>
      </c>
      <c r="H4758" s="599" t="s">
        <v>28</v>
      </c>
      <c r="I4758" s="599" t="s">
        <v>28</v>
      </c>
      <c r="J4758" s="446">
        <f>SUM(J4757:J4757)</f>
        <v>16</v>
      </c>
      <c r="K4758" s="728" t="s">
        <v>28</v>
      </c>
      <c r="L4758" s="519">
        <f t="shared" ref="L4758:Q4758" si="723">SUM(L4757:L4757)</f>
        <v>1661911</v>
      </c>
      <c r="M4758" s="519">
        <f t="shared" si="723"/>
        <v>1597720</v>
      </c>
      <c r="N4758" s="388">
        <f t="shared" si="723"/>
        <v>30000</v>
      </c>
      <c r="O4758" s="473">
        <f t="shared" si="723"/>
        <v>0</v>
      </c>
      <c r="P4758" s="388">
        <f t="shared" si="723"/>
        <v>0</v>
      </c>
      <c r="Q4758" s="388">
        <f t="shared" si="723"/>
        <v>34191</v>
      </c>
      <c r="R4758" s="446" t="s">
        <v>28</v>
      </c>
      <c r="S4758" s="403">
        <f>SUBTOTAL(9,M4758:Q4758)</f>
        <v>1661911</v>
      </c>
      <c r="T4758" s="393">
        <f>S4758-L4758</f>
        <v>0</v>
      </c>
      <c r="U4758" s="404"/>
    </row>
    <row r="4759" spans="1:21" s="403" customFormat="1" ht="42.75" customHeight="1">
      <c r="A4759" s="1113" t="s">
        <v>159</v>
      </c>
      <c r="B4759" s="1113"/>
      <c r="C4759" s="1113"/>
      <c r="D4759" s="1113"/>
      <c r="E4759" s="1113"/>
      <c r="F4759" s="1113"/>
      <c r="G4759" s="1113"/>
      <c r="H4759" s="1113"/>
      <c r="I4759" s="1113"/>
      <c r="J4759" s="1113"/>
      <c r="K4759" s="1113"/>
      <c r="L4759" s="1113"/>
      <c r="M4759" s="1113"/>
      <c r="N4759" s="1113"/>
      <c r="O4759" s="1113"/>
      <c r="P4759" s="1113"/>
      <c r="Q4759" s="1113"/>
      <c r="R4759" s="458"/>
      <c r="U4759" s="404"/>
    </row>
    <row r="4760" spans="1:21" s="403" customFormat="1" ht="56.25" customHeight="1">
      <c r="A4760" s="506">
        <v>1</v>
      </c>
      <c r="B4760" s="403" t="s">
        <v>3481</v>
      </c>
      <c r="C4760" s="455" t="s">
        <v>315</v>
      </c>
      <c r="D4760" s="641"/>
      <c r="E4760" s="388"/>
      <c r="F4760" s="388" t="s">
        <v>318</v>
      </c>
      <c r="G4760" s="388"/>
      <c r="H4760" s="446">
        <v>5</v>
      </c>
      <c r="I4760" s="446">
        <v>1</v>
      </c>
      <c r="J4760" s="446">
        <v>156</v>
      </c>
      <c r="K4760" s="458" t="s">
        <v>30</v>
      </c>
      <c r="L4760" s="519">
        <f>SUM(M4760:Q4761)</f>
        <v>7924360</v>
      </c>
      <c r="M4760" s="519">
        <v>3120000</v>
      </c>
      <c r="N4760" s="388"/>
      <c r="O4760" s="473">
        <v>9360</v>
      </c>
      <c r="P4760" s="388"/>
      <c r="Q4760" s="388">
        <v>40000</v>
      </c>
      <c r="R4760" s="446">
        <f>M4760/J4760</f>
        <v>20000</v>
      </c>
      <c r="U4760" s="404"/>
    </row>
    <row r="4761" spans="1:21" s="403" customFormat="1" ht="37.5">
      <c r="A4761" s="506"/>
      <c r="C4761" s="455"/>
      <c r="D4761" s="641"/>
      <c r="E4761" s="388"/>
      <c r="F4761" s="388"/>
      <c r="G4761" s="388"/>
      <c r="H4761" s="446"/>
      <c r="I4761" s="446"/>
      <c r="J4761" s="446"/>
      <c r="K4761" s="458" t="s">
        <v>232</v>
      </c>
      <c r="L4761" s="519"/>
      <c r="M4761" s="519">
        <v>4680000</v>
      </c>
      <c r="N4761" s="388">
        <v>35000</v>
      </c>
      <c r="O4761" s="473"/>
      <c r="P4761" s="388"/>
      <c r="Q4761" s="388">
        <v>40000</v>
      </c>
      <c r="R4761" s="446">
        <f>M4761/J4760</f>
        <v>30000</v>
      </c>
      <c r="U4761" s="404"/>
    </row>
    <row r="4762" spans="1:21" s="403" customFormat="1" ht="37.5">
      <c r="A4762" s="506">
        <v>2</v>
      </c>
      <c r="B4762" s="403" t="s">
        <v>3482</v>
      </c>
      <c r="C4762" s="455" t="s">
        <v>222</v>
      </c>
      <c r="D4762" s="641">
        <v>3503</v>
      </c>
      <c r="E4762" s="388">
        <v>104</v>
      </c>
      <c r="F4762" s="388" t="s">
        <v>316</v>
      </c>
      <c r="G4762" s="388">
        <v>743</v>
      </c>
      <c r="H4762" s="446">
        <v>2</v>
      </c>
      <c r="I4762" s="446">
        <v>3</v>
      </c>
      <c r="J4762" s="446">
        <v>24</v>
      </c>
      <c r="K4762" s="458" t="s">
        <v>100</v>
      </c>
      <c r="L4762" s="519">
        <f>SUM(M4762:Q4762)</f>
        <v>1562100</v>
      </c>
      <c r="M4762" s="519">
        <v>1500000</v>
      </c>
      <c r="N4762" s="388">
        <v>30000</v>
      </c>
      <c r="O4762" s="473"/>
      <c r="P4762" s="388"/>
      <c r="Q4762" s="388">
        <v>32100</v>
      </c>
      <c r="R4762" s="446"/>
      <c r="U4762" s="404"/>
    </row>
    <row r="4763" spans="1:21" s="458" customFormat="1" ht="42.75" customHeight="1">
      <c r="A4763" s="1112" t="s">
        <v>160</v>
      </c>
      <c r="B4763" s="1112"/>
      <c r="C4763" s="455"/>
      <c r="D4763" s="446">
        <f>SUM(D4760:D4762)</f>
        <v>3503</v>
      </c>
      <c r="E4763" s="388">
        <f>SUM(E4760:E4762)</f>
        <v>104</v>
      </c>
      <c r="F4763" s="388" t="s">
        <v>28</v>
      </c>
      <c r="G4763" s="388">
        <f>SUM(G4760:G4762)</f>
        <v>743</v>
      </c>
      <c r="H4763" s="446" t="s">
        <v>28</v>
      </c>
      <c r="I4763" s="446" t="s">
        <v>28</v>
      </c>
      <c r="J4763" s="446">
        <f>SUM(J4760:J4762)</f>
        <v>180</v>
      </c>
      <c r="K4763" s="397"/>
      <c r="L4763" s="519">
        <f t="shared" ref="L4763:Q4763" si="724">SUM(L4760:L4762)</f>
        <v>9486460</v>
      </c>
      <c r="M4763" s="519">
        <f t="shared" si="724"/>
        <v>9300000</v>
      </c>
      <c r="N4763" s="388">
        <f t="shared" si="724"/>
        <v>65000</v>
      </c>
      <c r="O4763" s="473">
        <f t="shared" si="724"/>
        <v>9360</v>
      </c>
      <c r="P4763" s="388">
        <f t="shared" si="724"/>
        <v>0</v>
      </c>
      <c r="Q4763" s="388">
        <f t="shared" si="724"/>
        <v>112100</v>
      </c>
      <c r="R4763" s="446" t="s">
        <v>28</v>
      </c>
      <c r="S4763" s="403">
        <f>SUBTOTAL(9,M4763:Q4763)</f>
        <v>9486460</v>
      </c>
      <c r="T4763" s="393">
        <f>S4763-L4763</f>
        <v>0</v>
      </c>
      <c r="U4763" s="404"/>
    </row>
    <row r="4764" spans="1:21" s="403" customFormat="1" ht="42.75" customHeight="1">
      <c r="A4764" s="1113" t="s">
        <v>205</v>
      </c>
      <c r="B4764" s="1113"/>
      <c r="C4764" s="1113"/>
      <c r="D4764" s="1113"/>
      <c r="E4764" s="1113"/>
      <c r="F4764" s="1113"/>
      <c r="G4764" s="1113"/>
      <c r="H4764" s="1113"/>
      <c r="I4764" s="1113"/>
      <c r="J4764" s="1113"/>
      <c r="K4764" s="1113"/>
      <c r="L4764" s="1113"/>
      <c r="M4764" s="1113"/>
      <c r="N4764" s="1113"/>
      <c r="O4764" s="1113"/>
      <c r="P4764" s="1113"/>
      <c r="Q4764" s="1113"/>
      <c r="R4764" s="458"/>
      <c r="U4764" s="404"/>
    </row>
    <row r="4765" spans="1:21" s="403" customFormat="1" ht="37.5" customHeight="1">
      <c r="A4765" s="797">
        <v>1</v>
      </c>
      <c r="B4765" s="723" t="s">
        <v>3483</v>
      </c>
      <c r="C4765" s="780" t="s">
        <v>222</v>
      </c>
      <c r="D4765" s="780"/>
      <c r="E4765" s="539">
        <v>720</v>
      </c>
      <c r="F4765" s="539" t="s">
        <v>292</v>
      </c>
      <c r="G4765" s="790">
        <v>805</v>
      </c>
      <c r="H4765" s="789">
        <v>2</v>
      </c>
      <c r="I4765" s="789">
        <v>2</v>
      </c>
      <c r="J4765" s="599">
        <v>16</v>
      </c>
      <c r="K4765" s="791" t="s">
        <v>38</v>
      </c>
      <c r="L4765" s="519">
        <f>SUM(M4765:Q4765)</f>
        <v>1075620</v>
      </c>
      <c r="M4765" s="792">
        <v>1050000</v>
      </c>
      <c r="N4765" s="790"/>
      <c r="O4765" s="643">
        <v>3150</v>
      </c>
      <c r="P4765" s="790"/>
      <c r="Q4765" s="388">
        <v>22470</v>
      </c>
      <c r="R4765" s="528">
        <f>M4765/E4765</f>
        <v>1458.3333333333333</v>
      </c>
      <c r="U4765" s="404"/>
    </row>
    <row r="4766" spans="1:21" s="403" customFormat="1" ht="42.75" customHeight="1">
      <c r="A4766" s="1112" t="s">
        <v>206</v>
      </c>
      <c r="B4766" s="1112"/>
      <c r="C4766" s="455" t="s">
        <v>28</v>
      </c>
      <c r="D4766" s="388">
        <f>SUM(D4765:D4765)</f>
        <v>0</v>
      </c>
      <c r="E4766" s="388">
        <f>SUM(E4765:E4765)</f>
        <v>720</v>
      </c>
      <c r="F4766" s="388" t="s">
        <v>28</v>
      </c>
      <c r="G4766" s="388">
        <f>SUM(G4765:G4765)</f>
        <v>805</v>
      </c>
      <c r="H4766" s="446" t="s">
        <v>28</v>
      </c>
      <c r="I4766" s="446" t="s">
        <v>28</v>
      </c>
      <c r="J4766" s="446">
        <f>SUM(J4765:J4765)</f>
        <v>16</v>
      </c>
      <c r="K4766" s="458" t="s">
        <v>28</v>
      </c>
      <c r="L4766" s="519">
        <f t="shared" ref="L4766:Q4766" si="725">SUM(L4765:L4765)</f>
        <v>1075620</v>
      </c>
      <c r="M4766" s="519">
        <f t="shared" si="725"/>
        <v>1050000</v>
      </c>
      <c r="N4766" s="388">
        <f t="shared" si="725"/>
        <v>0</v>
      </c>
      <c r="O4766" s="473">
        <f t="shared" si="725"/>
        <v>3150</v>
      </c>
      <c r="P4766" s="388">
        <f t="shared" si="725"/>
        <v>0</v>
      </c>
      <c r="Q4766" s="388">
        <f t="shared" si="725"/>
        <v>22470</v>
      </c>
      <c r="R4766" s="446" t="s">
        <v>28</v>
      </c>
      <c r="S4766" s="403">
        <f>SUBTOTAL(9,M4766:Q4766)</f>
        <v>1075620</v>
      </c>
      <c r="T4766" s="393">
        <f>S4766-L4766</f>
        <v>0</v>
      </c>
      <c r="U4766" s="404"/>
    </row>
    <row r="4767" spans="1:21" s="403" customFormat="1">
      <c r="A4767" s="493"/>
      <c r="C4767" s="518"/>
      <c r="D4767" s="446"/>
      <c r="E4767" s="388"/>
      <c r="F4767" s="388"/>
      <c r="G4767" s="388"/>
      <c r="H4767" s="446"/>
      <c r="I4767" s="446"/>
      <c r="J4767" s="446"/>
      <c r="K4767" s="458"/>
      <c r="L4767" s="519"/>
      <c r="M4767" s="519"/>
      <c r="N4767" s="388"/>
      <c r="O4767" s="473"/>
      <c r="P4767" s="388"/>
      <c r="Q4767" s="388"/>
      <c r="R4767" s="446"/>
      <c r="S4767" s="446"/>
      <c r="T4767" s="458"/>
      <c r="U4767" s="404"/>
    </row>
    <row r="4769" spans="1:20" s="404" customFormat="1" ht="37.5" customHeight="1">
      <c r="A4769" s="1119" t="s">
        <v>208</v>
      </c>
      <c r="B4769" s="1119"/>
      <c r="C4769" s="397"/>
      <c r="D4769" s="446"/>
      <c r="E4769" s="388"/>
      <c r="F4769" s="388"/>
      <c r="G4769" s="388"/>
      <c r="H4769" s="446"/>
      <c r="I4769" s="446"/>
      <c r="J4769" s="446"/>
      <c r="K4769" s="397"/>
      <c r="L4769" s="519"/>
      <c r="M4769" s="519"/>
      <c r="N4769" s="388"/>
      <c r="O4769" s="473"/>
      <c r="P4769" s="446"/>
      <c r="Q4769" s="446"/>
      <c r="R4769" s="397"/>
      <c r="S4769" s="455"/>
      <c r="T4769" s="458"/>
    </row>
    <row r="4772" spans="1:20">
      <c r="K4772" s="520">
        <f>L79+L87+L99+L128+L149+L161+L190+L229+L311+L350+L401+L423+L436+L443+L446+L452+L471+L487+L493+L500+L514+L515+L516+L517+L518+L519+L528+L553+L564+L585+L598+L600+L645+L646+L671+L676+L681+L698+L906+L952+L966+L987+L988+L990+L992+L1010+L1041+L1059+L1070+L1085+L1121+L1140+L1152+L1172+L1182+L1187+L1208+L1210+L1215+L1221+L1254+L1256+L1285+L1325+L1330+L1367+L1380+L1385+L1386+L1395+L1396+L1409+L1421</f>
        <v>264770114.39999998</v>
      </c>
    </row>
    <row r="4781" spans="1:20">
      <c r="M4781" s="974"/>
    </row>
  </sheetData>
  <sheetProtection selectLockedCells="1" selectUnlockedCells="1"/>
  <sortState ref="B2008:Q2068">
    <sortCondition ref="B2008:B2068"/>
  </sortState>
  <mergeCells count="935">
    <mergeCell ref="L2045:L2047"/>
    <mergeCell ref="A4735:B4735"/>
    <mergeCell ref="A4512:Q4512"/>
    <mergeCell ref="A2164:A2166"/>
    <mergeCell ref="L2164:L2166"/>
    <mergeCell ref="L2213:L2214"/>
    <mergeCell ref="B2164:B2166"/>
    <mergeCell ref="L423:L424"/>
    <mergeCell ref="A4129:A4130"/>
    <mergeCell ref="L4129:L4130"/>
    <mergeCell ref="L3979:L3980"/>
    <mergeCell ref="L2088:L2089"/>
    <mergeCell ref="B2213:B2214"/>
    <mergeCell ref="A2213:A2214"/>
    <mergeCell ref="A2112:Q2112"/>
    <mergeCell ref="L1648:L1649"/>
    <mergeCell ref="L2042:L2043"/>
    <mergeCell ref="L2037:L2038"/>
    <mergeCell ref="L2083:L2084"/>
    <mergeCell ref="L2048:L2049"/>
    <mergeCell ref="L2050:L2051"/>
    <mergeCell ref="L4262:L4263"/>
    <mergeCell ref="A4308:A4309"/>
    <mergeCell ref="A4310:A4311"/>
    <mergeCell ref="A4507:B4507"/>
    <mergeCell ref="A4501:B4501"/>
    <mergeCell ref="A4409:B4409"/>
    <mergeCell ref="L4334:L4335"/>
    <mergeCell ref="A4481:Q4481"/>
    <mergeCell ref="A4410:Q4410"/>
    <mergeCell ref="A4415:Q4415"/>
    <mergeCell ref="A4469:Q4469"/>
    <mergeCell ref="A4270:B4270"/>
    <mergeCell ref="A4266:B4266"/>
    <mergeCell ref="A4276:Q4276"/>
    <mergeCell ref="A4271:Q4271"/>
    <mergeCell ref="A4267:Q4267"/>
    <mergeCell ref="L4117:L4118"/>
    <mergeCell ref="B4129:B4130"/>
    <mergeCell ref="C4129:C4130"/>
    <mergeCell ref="D4129:D4130"/>
    <mergeCell ref="E4129:E4130"/>
    <mergeCell ref="F4129:F4130"/>
    <mergeCell ref="G4129:G4130"/>
    <mergeCell ref="H4129:H4130"/>
    <mergeCell ref="I4129:I4130"/>
    <mergeCell ref="J4129:J4130"/>
    <mergeCell ref="A4237:B4237"/>
    <mergeCell ref="A4224:B4224"/>
    <mergeCell ref="L4139:L4140"/>
    <mergeCell ref="A4217:B4217"/>
    <mergeCell ref="A4225:Q4225"/>
    <mergeCell ref="A4218:Q4218"/>
    <mergeCell ref="A4193:Q4193"/>
    <mergeCell ref="A4188:Q4188"/>
    <mergeCell ref="A4185:Q4185"/>
    <mergeCell ref="A4180:Q4180"/>
    <mergeCell ref="L2085:L2086"/>
    <mergeCell ref="B2031:B2032"/>
    <mergeCell ref="L2033:L2034"/>
    <mergeCell ref="L2035:L2036"/>
    <mergeCell ref="L1809:L1810"/>
    <mergeCell ref="A2359:B2359"/>
    <mergeCell ref="A2357:Q2357"/>
    <mergeCell ref="A2182:B2182"/>
    <mergeCell ref="L2066:L2067"/>
    <mergeCell ref="L2068:L2069"/>
    <mergeCell ref="L2070:L2071"/>
    <mergeCell ref="L2072:L2073"/>
    <mergeCell ref="L2074:L2075"/>
    <mergeCell ref="L2076:L2077"/>
    <mergeCell ref="L2060:L2061"/>
    <mergeCell ref="L2062:L2063"/>
    <mergeCell ref="L2064:L2065"/>
    <mergeCell ref="A1994:A1995"/>
    <mergeCell ref="L2052:L2053"/>
    <mergeCell ref="L2054:L2055"/>
    <mergeCell ref="L2056:L2057"/>
    <mergeCell ref="L2058:L2059"/>
    <mergeCell ref="L2039:L2040"/>
    <mergeCell ref="L2016:L2017"/>
    <mergeCell ref="L1997:L1999"/>
    <mergeCell ref="L2031:L2032"/>
    <mergeCell ref="L2013:L2014"/>
    <mergeCell ref="A1997:A1999"/>
    <mergeCell ref="A1990:A1991"/>
    <mergeCell ref="L1633:L1634"/>
    <mergeCell ref="L1713:L1714"/>
    <mergeCell ref="L1907:L1908"/>
    <mergeCell ref="L1597:L1598"/>
    <mergeCell ref="L1669:L1670"/>
    <mergeCell ref="A1984:A1985"/>
    <mergeCell ref="A1986:A1987"/>
    <mergeCell ref="L1805:L1806"/>
    <mergeCell ref="L1860:L1861"/>
    <mergeCell ref="L1811:L1812"/>
    <mergeCell ref="L1951:L1952"/>
    <mergeCell ref="A1988:A1989"/>
    <mergeCell ref="L1954:L1955"/>
    <mergeCell ref="L1741:L1742"/>
    <mergeCell ref="L1855:L1856"/>
    <mergeCell ref="L1661:L1662"/>
    <mergeCell ref="L1743:L1744"/>
    <mergeCell ref="L1909:L1911"/>
    <mergeCell ref="L1625:L1626"/>
    <mergeCell ref="L1608:L1609"/>
    <mergeCell ref="L1630:L1631"/>
    <mergeCell ref="B1960:B1961"/>
    <mergeCell ref="A1406:B1406"/>
    <mergeCell ref="A1456:B1456"/>
    <mergeCell ref="L1587:L1589"/>
    <mergeCell ref="L1613:L1614"/>
    <mergeCell ref="A1453:B1453"/>
    <mergeCell ref="A1463:B1463"/>
    <mergeCell ref="A1423:R1423"/>
    <mergeCell ref="L1933:L1934"/>
    <mergeCell ref="A1465:B1465"/>
    <mergeCell ref="L1956:L1957"/>
    <mergeCell ref="L1949:L1950"/>
    <mergeCell ref="A1319:B1319"/>
    <mergeCell ref="A531:B531"/>
    <mergeCell ref="A532:R532"/>
    <mergeCell ref="A1457:R1457"/>
    <mergeCell ref="A1407:R1407"/>
    <mergeCell ref="A1401:B1401"/>
    <mergeCell ref="A1402:R1402"/>
    <mergeCell ref="A1422:B1422"/>
    <mergeCell ref="A1462:B1462"/>
    <mergeCell ref="A1317:R1317"/>
    <mergeCell ref="A1369:R1369"/>
    <mergeCell ref="L615:L616"/>
    <mergeCell ref="A689:B689"/>
    <mergeCell ref="A690:R690"/>
    <mergeCell ref="B647:B648"/>
    <mergeCell ref="L647:L648"/>
    <mergeCell ref="L538:L539"/>
    <mergeCell ref="L545:L546"/>
    <mergeCell ref="A603:B603"/>
    <mergeCell ref="A604:R604"/>
    <mergeCell ref="A799:R799"/>
    <mergeCell ref="A771:B771"/>
    <mergeCell ref="A700:R700"/>
    <mergeCell ref="A695:R695"/>
    <mergeCell ref="A1283:A1284"/>
    <mergeCell ref="L1213:L1214"/>
    <mergeCell ref="B1393:B1394"/>
    <mergeCell ref="L1700:L1701"/>
    <mergeCell ref="L1800:L1801"/>
    <mergeCell ref="L1365:L1366"/>
    <mergeCell ref="L1310:L1311"/>
    <mergeCell ref="A1362:R1362"/>
    <mergeCell ref="L1393:L1394"/>
    <mergeCell ref="A1313:R1313"/>
    <mergeCell ref="A1372:B1372"/>
    <mergeCell ref="A1252:B1252"/>
    <mergeCell ref="A1253:R1253"/>
    <mergeCell ref="A1274:B1274"/>
    <mergeCell ref="A1265:B1265"/>
    <mergeCell ref="A1307:B1307"/>
    <mergeCell ref="L1723:L1724"/>
    <mergeCell ref="L1732:L1733"/>
    <mergeCell ref="L1593:L1594"/>
    <mergeCell ref="L1595:L1596"/>
    <mergeCell ref="A1373:R1373"/>
    <mergeCell ref="A1378:B1378"/>
    <mergeCell ref="A1464:R1464"/>
    <mergeCell ref="A1466:R1466"/>
    <mergeCell ref="A1285:A1286"/>
    <mergeCell ref="A1454:R1454"/>
    <mergeCell ref="G50:G51"/>
    <mergeCell ref="C50:C51"/>
    <mergeCell ref="D50:D51"/>
    <mergeCell ref="E50:E51"/>
    <mergeCell ref="F50:F51"/>
    <mergeCell ref="A403:A404"/>
    <mergeCell ref="E429:E430"/>
    <mergeCell ref="G429:G430"/>
    <mergeCell ref="G328:G329"/>
    <mergeCell ref="B363:B366"/>
    <mergeCell ref="A352:A353"/>
    <mergeCell ref="A328:A329"/>
    <mergeCell ref="A341:A342"/>
    <mergeCell ref="A335:A336"/>
    <mergeCell ref="F429:F430"/>
    <mergeCell ref="C429:C430"/>
    <mergeCell ref="F328:F329"/>
    <mergeCell ref="B367:B370"/>
    <mergeCell ref="A367:A370"/>
    <mergeCell ref="A1149:B1149"/>
    <mergeCell ref="L320:L321"/>
    <mergeCell ref="L381:L382"/>
    <mergeCell ref="H429:H430"/>
    <mergeCell ref="A772:R772"/>
    <mergeCell ref="L456:L457"/>
    <mergeCell ref="L437:L439"/>
    <mergeCell ref="L463:L464"/>
    <mergeCell ref="L468:L469"/>
    <mergeCell ref="L534:L535"/>
    <mergeCell ref="L485:L486"/>
    <mergeCell ref="A523:R523"/>
    <mergeCell ref="A437:A439"/>
    <mergeCell ref="L465:L466"/>
    <mergeCell ref="A699:B699"/>
    <mergeCell ref="A744:B744"/>
    <mergeCell ref="A745:R745"/>
    <mergeCell ref="A741:B741"/>
    <mergeCell ref="A748:B748"/>
    <mergeCell ref="A749:R749"/>
    <mergeCell ref="L509:L510"/>
    <mergeCell ref="A911:R911"/>
    <mergeCell ref="A1056:B1056"/>
    <mergeCell ref="A844:B844"/>
    <mergeCell ref="A845:R845"/>
    <mergeCell ref="A522:B522"/>
    <mergeCell ref="L828:L829"/>
    <mergeCell ref="B1147:B1148"/>
    <mergeCell ref="A810:R810"/>
    <mergeCell ref="A813:B813"/>
    <mergeCell ref="A794:R794"/>
    <mergeCell ref="A801:B801"/>
    <mergeCell ref="A694:B694"/>
    <mergeCell ref="A742:R742"/>
    <mergeCell ref="A798:B798"/>
    <mergeCell ref="A776:R776"/>
    <mergeCell ref="A793:B793"/>
    <mergeCell ref="A775:B775"/>
    <mergeCell ref="L942:L943"/>
    <mergeCell ref="A904:R904"/>
    <mergeCell ref="A903:B903"/>
    <mergeCell ref="A900:R900"/>
    <mergeCell ref="A896:B896"/>
    <mergeCell ref="A879:R879"/>
    <mergeCell ref="A814:R814"/>
    <mergeCell ref="A2953:B2953"/>
    <mergeCell ref="A2919:B2919"/>
    <mergeCell ref="A2837:Q2837"/>
    <mergeCell ref="A2787:Q2787"/>
    <mergeCell ref="A2876:Q2876"/>
    <mergeCell ref="A2888:Q2888"/>
    <mergeCell ref="A2875:B2875"/>
    <mergeCell ref="A2830:B2830"/>
    <mergeCell ref="A2920:Q2920"/>
    <mergeCell ref="A2912:Q2912"/>
    <mergeCell ref="A2834:Q2834"/>
    <mergeCell ref="A2884:B2884"/>
    <mergeCell ref="A2881:Q2881"/>
    <mergeCell ref="A2930:B2930"/>
    <mergeCell ref="A2885:Q2885"/>
    <mergeCell ref="A2887:B2887"/>
    <mergeCell ref="A2917:A2918"/>
    <mergeCell ref="B2917:B2918"/>
    <mergeCell ref="L2917:L2918"/>
    <mergeCell ref="A3692:B3692"/>
    <mergeCell ref="A3736:B3736"/>
    <mergeCell ref="A3862:Q3862"/>
    <mergeCell ref="A3737:Q3737"/>
    <mergeCell ref="A3695:B3695"/>
    <mergeCell ref="A3703:B3703"/>
    <mergeCell ref="A3731:B3731"/>
    <mergeCell ref="A3747:B3747"/>
    <mergeCell ref="A3774:Q3774"/>
    <mergeCell ref="A3780:B3780"/>
    <mergeCell ref="A3729:Q3729"/>
    <mergeCell ref="A3708:Q3708"/>
    <mergeCell ref="A3704:Q3704"/>
    <mergeCell ref="A3696:Q3696"/>
    <mergeCell ref="A3728:B3728"/>
    <mergeCell ref="A3762:B3762"/>
    <mergeCell ref="A3856:B3856"/>
    <mergeCell ref="A3770:B3770"/>
    <mergeCell ref="A3846:Q3846"/>
    <mergeCell ref="A3777:B3777"/>
    <mergeCell ref="A3784:Q3784"/>
    <mergeCell ref="A3781:Q3781"/>
    <mergeCell ref="A3823:Q3823"/>
    <mergeCell ref="S3472:T3472"/>
    <mergeCell ref="A3472:B3472"/>
    <mergeCell ref="A3611:B3611"/>
    <mergeCell ref="A3670:B3670"/>
    <mergeCell ref="A3595:B3595"/>
    <mergeCell ref="A3601:B3601"/>
    <mergeCell ref="L3527:L3528"/>
    <mergeCell ref="A3758:B3758"/>
    <mergeCell ref="A3939:Q3939"/>
    <mergeCell ref="A3751:Q3751"/>
    <mergeCell ref="A3767:B3767"/>
    <mergeCell ref="A3742:B3742"/>
    <mergeCell ref="A3870:B3870"/>
    <mergeCell ref="A3845:B3845"/>
    <mergeCell ref="A3759:Q3759"/>
    <mergeCell ref="A3755:Q3755"/>
    <mergeCell ref="A3773:B3773"/>
    <mergeCell ref="A3873:Q3873"/>
    <mergeCell ref="A3838:B3838"/>
    <mergeCell ref="A3871:Q3871"/>
    <mergeCell ref="A3900:B3900"/>
    <mergeCell ref="A3778:Q3778"/>
    <mergeCell ref="A3861:B3861"/>
    <mergeCell ref="A3732:Q3732"/>
    <mergeCell ref="A2343:Q2343"/>
    <mergeCell ref="A2487:Q2487"/>
    <mergeCell ref="A2491:B2491"/>
    <mergeCell ref="A2378:B2378"/>
    <mergeCell ref="A2383:B2383"/>
    <mergeCell ref="A2402:B2402"/>
    <mergeCell ref="A2412:B2412"/>
    <mergeCell ref="A2393:B2393"/>
    <mergeCell ref="A2405:B2405"/>
    <mergeCell ref="A2408:B2408"/>
    <mergeCell ref="A2351:Q2351"/>
    <mergeCell ref="A2413:Q2413"/>
    <mergeCell ref="A2409:Q2409"/>
    <mergeCell ref="A2375:Q2375"/>
    <mergeCell ref="A2417:B2417"/>
    <mergeCell ref="A2432:B2432"/>
    <mergeCell ref="A2439:B2439"/>
    <mergeCell ref="A2428:B2428"/>
    <mergeCell ref="A2418:Q2418"/>
    <mergeCell ref="A2433:Q2433"/>
    <mergeCell ref="A2429:Q2429"/>
    <mergeCell ref="A2425:Q2425"/>
    <mergeCell ref="A2421:Q2421"/>
    <mergeCell ref="A2420:B2420"/>
    <mergeCell ref="A9:B9"/>
    <mergeCell ref="A1368:B1368"/>
    <mergeCell ref="A1361:B1361"/>
    <mergeCell ref="A1379:R1379"/>
    <mergeCell ref="A2347:B2347"/>
    <mergeCell ref="A2350:B2350"/>
    <mergeCell ref="A2356:B2356"/>
    <mergeCell ref="A2301:B2301"/>
    <mergeCell ref="A2348:Q2348"/>
    <mergeCell ref="L1145:L1146"/>
    <mergeCell ref="A1275:R1275"/>
    <mergeCell ref="A1150:R1150"/>
    <mergeCell ref="A1237:R1237"/>
    <mergeCell ref="B1213:B1214"/>
    <mergeCell ref="A1266:R1266"/>
    <mergeCell ref="A1022:R1022"/>
    <mergeCell ref="A959:B959"/>
    <mergeCell ref="B437:B439"/>
    <mergeCell ref="A686:B686"/>
    <mergeCell ref="A678:B678"/>
    <mergeCell ref="L639:L640"/>
    <mergeCell ref="L650:L651"/>
    <mergeCell ref="L653:L654"/>
    <mergeCell ref="A687:R687"/>
    <mergeCell ref="A1:R1"/>
    <mergeCell ref="A2:R2"/>
    <mergeCell ref="A4:A7"/>
    <mergeCell ref="B4:B7"/>
    <mergeCell ref="C4:C7"/>
    <mergeCell ref="D4:D7"/>
    <mergeCell ref="E4:E7"/>
    <mergeCell ref="F4:F7"/>
    <mergeCell ref="G4:G7"/>
    <mergeCell ref="H4:H7"/>
    <mergeCell ref="L4:Q4"/>
    <mergeCell ref="R4:R6"/>
    <mergeCell ref="L5:L6"/>
    <mergeCell ref="M5:Q5"/>
    <mergeCell ref="K4:K7"/>
    <mergeCell ref="J4:J7"/>
    <mergeCell ref="I4:I7"/>
    <mergeCell ref="A3525:B3525"/>
    <mergeCell ref="L4287:L4288"/>
    <mergeCell ref="L4308:L4309"/>
    <mergeCell ref="L4285:L4286"/>
    <mergeCell ref="L4289:L4290"/>
    <mergeCell ref="L4301:L4302"/>
    <mergeCell ref="A4291:A4292"/>
    <mergeCell ref="B4291:B4292"/>
    <mergeCell ref="B4301:B4302"/>
    <mergeCell ref="A4287:A4288"/>
    <mergeCell ref="L4291:L4292"/>
    <mergeCell ref="A3642:Q3642"/>
    <mergeCell ref="A3783:B3783"/>
    <mergeCell ref="A3750:B3750"/>
    <mergeCell ref="A3754:B3754"/>
    <mergeCell ref="A4149:B4149"/>
    <mergeCell ref="A4238:Q4238"/>
    <mergeCell ref="A4285:A4286"/>
    <mergeCell ref="B4285:B4286"/>
    <mergeCell ref="A4289:A4290"/>
    <mergeCell ref="B4289:B4290"/>
    <mergeCell ref="A4081:Q4081"/>
    <mergeCell ref="A3938:B3938"/>
    <mergeCell ref="L4121:L4122"/>
    <mergeCell ref="A15:A16"/>
    <mergeCell ref="C52:C53"/>
    <mergeCell ref="A10:B10"/>
    <mergeCell ref="A13:R13"/>
    <mergeCell ref="A11:R11"/>
    <mergeCell ref="B15:B16"/>
    <mergeCell ref="A2759:B2759"/>
    <mergeCell ref="L2820:L2821"/>
    <mergeCell ref="L1715:L1717"/>
    <mergeCell ref="A2342:B2342"/>
    <mergeCell ref="A2119:B2119"/>
    <mergeCell ref="L1925:L1926"/>
    <mergeCell ref="A2111:B2111"/>
    <mergeCell ref="A2244:B2244"/>
    <mergeCell ref="A2260:B2260"/>
    <mergeCell ref="A2326:B2326"/>
    <mergeCell ref="A2297:B2297"/>
    <mergeCell ref="A2183:Q2183"/>
    <mergeCell ref="A2786:B2786"/>
    <mergeCell ref="A2794:B2794"/>
    <mergeCell ref="A2644:B2644"/>
    <mergeCell ref="A2120:Q2120"/>
    <mergeCell ref="A2114:Q2114"/>
    <mergeCell ref="A2520:B2520"/>
    <mergeCell ref="A802:R802"/>
    <mergeCell ref="A876:R876"/>
    <mergeCell ref="A521:R521"/>
    <mergeCell ref="A520:B520"/>
    <mergeCell ref="A429:A430"/>
    <mergeCell ref="I328:I329"/>
    <mergeCell ref="I50:I51"/>
    <mergeCell ref="J50:J51"/>
    <mergeCell ref="A679:R679"/>
    <mergeCell ref="A193:A194"/>
    <mergeCell ref="A183:A184"/>
    <mergeCell ref="A235:A236"/>
    <mergeCell ref="L403:L404"/>
    <mergeCell ref="L367:L370"/>
    <mergeCell ref="L363:L366"/>
    <mergeCell ref="L618:L619"/>
    <mergeCell ref="L637:L638"/>
    <mergeCell ref="J429:J430"/>
    <mergeCell ref="L452:L453"/>
    <mergeCell ref="D429:D430"/>
    <mergeCell ref="L429:L430"/>
    <mergeCell ref="I429:I430"/>
    <mergeCell ref="L50:L51"/>
    <mergeCell ref="A222:A223"/>
    <mergeCell ref="B2613:B2614"/>
    <mergeCell ref="B2615:B2616"/>
    <mergeCell ref="B2617:B2618"/>
    <mergeCell ref="B2619:B2620"/>
    <mergeCell ref="B2623:B2624"/>
    <mergeCell ref="A2492:Q2492"/>
    <mergeCell ref="A2444:Q2444"/>
    <mergeCell ref="A2440:Q2440"/>
    <mergeCell ref="A2551:Q2551"/>
    <mergeCell ref="A2510:B2510"/>
    <mergeCell ref="A2486:B2486"/>
    <mergeCell ref="A2497:B2497"/>
    <mergeCell ref="L2557:L2558"/>
    <mergeCell ref="A2523:Q2523"/>
    <mergeCell ref="A2511:Q2511"/>
    <mergeCell ref="A2506:Q2506"/>
    <mergeCell ref="A2521:Q2521"/>
    <mergeCell ref="L2613:L2614"/>
    <mergeCell ref="L2615:L2616"/>
    <mergeCell ref="L2617:L2618"/>
    <mergeCell ref="L2619:L2620"/>
    <mergeCell ref="L2621:L2622"/>
    <mergeCell ref="L2623:L2624"/>
    <mergeCell ref="A2424:B2424"/>
    <mergeCell ref="A2498:Q2498"/>
    <mergeCell ref="A2443:B2443"/>
    <mergeCell ref="A2522:B2522"/>
    <mergeCell ref="A2550:B2550"/>
    <mergeCell ref="A2505:B2505"/>
    <mergeCell ref="B2557:B2558"/>
    <mergeCell ref="A363:A366"/>
    <mergeCell ref="A2253:B2253"/>
    <mergeCell ref="A2294:B2294"/>
    <mergeCell ref="B2255:B2256"/>
    <mergeCell ref="L2255:L2256"/>
    <mergeCell ref="A2327:Q2327"/>
    <mergeCell ref="A2323:Q2323"/>
    <mergeCell ref="A2302:Q2302"/>
    <mergeCell ref="A2298:Q2298"/>
    <mergeCell ref="A2245:Q2245"/>
    <mergeCell ref="A2251:Q2251"/>
    <mergeCell ref="A2254:Q2254"/>
    <mergeCell ref="A2258:Q2258"/>
    <mergeCell ref="A2261:Q2261"/>
    <mergeCell ref="A2295:Q2295"/>
    <mergeCell ref="A2257:B2257"/>
    <mergeCell ref="A2250:B2250"/>
    <mergeCell ref="A2322:B2322"/>
    <mergeCell ref="A2113:B2113"/>
    <mergeCell ref="L553:L554"/>
    <mergeCell ref="A809:B809"/>
    <mergeCell ref="B465:B466"/>
    <mergeCell ref="L1283:L1284"/>
    <mergeCell ref="L1131:L1132"/>
    <mergeCell ref="A133:A134"/>
    <mergeCell ref="A52:A53"/>
    <mergeCell ref="A111:A112"/>
    <mergeCell ref="C341:C342"/>
    <mergeCell ref="D328:D329"/>
    <mergeCell ref="D341:D342"/>
    <mergeCell ref="L328:L329"/>
    <mergeCell ref="L335:L336"/>
    <mergeCell ref="A135:A136"/>
    <mergeCell ref="A181:A182"/>
    <mergeCell ref="A196:A197"/>
    <mergeCell ref="A244:A245"/>
    <mergeCell ref="A140:A142"/>
    <mergeCell ref="A158:A159"/>
    <mergeCell ref="A276:A277"/>
    <mergeCell ref="A217:A218"/>
    <mergeCell ref="L193:L194"/>
    <mergeCell ref="B28:B29"/>
    <mergeCell ref="A28:A29"/>
    <mergeCell ref="A71:A72"/>
    <mergeCell ref="A43:A44"/>
    <mergeCell ref="A77:A78"/>
    <mergeCell ref="A108:A109"/>
    <mergeCell ref="A19:A20"/>
    <mergeCell ref="A50:A51"/>
    <mergeCell ref="A92:A93"/>
    <mergeCell ref="A75:A76"/>
    <mergeCell ref="L15:L16"/>
    <mergeCell ref="J341:J342"/>
    <mergeCell ref="G341:G342"/>
    <mergeCell ref="E328:E329"/>
    <mergeCell ref="L312:L314"/>
    <mergeCell ref="L286:L287"/>
    <mergeCell ref="L341:L342"/>
    <mergeCell ref="C328:C329"/>
    <mergeCell ref="H52:H53"/>
    <mergeCell ref="I52:I53"/>
    <mergeCell ref="J328:J329"/>
    <mergeCell ref="H328:H329"/>
    <mergeCell ref="I341:I342"/>
    <mergeCell ref="J52:J53"/>
    <mergeCell ref="H341:H342"/>
    <mergeCell ref="L19:L20"/>
    <mergeCell ref="L43:L44"/>
    <mergeCell ref="L52:L53"/>
    <mergeCell ref="L75:L76"/>
    <mergeCell ref="L222:L223"/>
    <mergeCell ref="L268:L269"/>
    <mergeCell ref="L298:L299"/>
    <mergeCell ref="L278:L279"/>
    <mergeCell ref="L276:L277"/>
    <mergeCell ref="C196:C197"/>
    <mergeCell ref="T28:T29"/>
    <mergeCell ref="L39:L40"/>
    <mergeCell ref="L81:L82"/>
    <mergeCell ref="T181:T182"/>
    <mergeCell ref="L198:L199"/>
    <mergeCell ref="L28:L29"/>
    <mergeCell ref="L79:L80"/>
    <mergeCell ref="L102:L103"/>
    <mergeCell ref="L87:L88"/>
    <mergeCell ref="L128:L129"/>
    <mergeCell ref="L147:L148"/>
    <mergeCell ref="L99:L101"/>
    <mergeCell ref="L92:L93"/>
    <mergeCell ref="L181:L182"/>
    <mergeCell ref="L183:L184"/>
    <mergeCell ref="L133:L134"/>
    <mergeCell ref="H50:H51"/>
    <mergeCell ref="D52:D53"/>
    <mergeCell ref="E52:E53"/>
    <mergeCell ref="F52:F53"/>
    <mergeCell ref="G52:G53"/>
    <mergeCell ref="T341:T342"/>
    <mergeCell ref="L97:L98"/>
    <mergeCell ref="L493:L494"/>
    <mergeCell ref="L71:L73"/>
    <mergeCell ref="L449:L450"/>
    <mergeCell ref="L491:L492"/>
    <mergeCell ref="L229:L230"/>
    <mergeCell ref="L239:L240"/>
    <mergeCell ref="L265:L266"/>
    <mergeCell ref="L196:L197"/>
    <mergeCell ref="L217:L218"/>
    <mergeCell ref="L235:L236"/>
    <mergeCell ref="L244:L245"/>
    <mergeCell ref="L372:L373"/>
    <mergeCell ref="L384:L385"/>
    <mergeCell ref="L108:L109"/>
    <mergeCell ref="L158:L159"/>
    <mergeCell ref="L140:L142"/>
    <mergeCell ref="L115:L116"/>
    <mergeCell ref="L135:L136"/>
    <mergeCell ref="L358:L359"/>
    <mergeCell ref="L352:L353"/>
    <mergeCell ref="E341:E342"/>
    <mergeCell ref="F341:F342"/>
    <mergeCell ref="L330:L331"/>
    <mergeCell ref="L343:L344"/>
    <mergeCell ref="L119:L121"/>
    <mergeCell ref="L111:L112"/>
    <mergeCell ref="L77:L78"/>
    <mergeCell ref="L1256:L1257"/>
    <mergeCell ref="A1024:R1024"/>
    <mergeCell ref="A960:R960"/>
    <mergeCell ref="A975:B975"/>
    <mergeCell ref="A1021:B1021"/>
    <mergeCell ref="B942:B943"/>
    <mergeCell ref="A1057:R1057"/>
    <mergeCell ref="A998:B998"/>
    <mergeCell ref="A1007:R1007"/>
    <mergeCell ref="A986:R986"/>
    <mergeCell ref="A976:R976"/>
    <mergeCell ref="A1006:B1006"/>
    <mergeCell ref="A999:R999"/>
    <mergeCell ref="A985:B985"/>
    <mergeCell ref="A885:B885"/>
    <mergeCell ref="A888:B888"/>
    <mergeCell ref="A899:B899"/>
    <mergeCell ref="A1304:B1304"/>
    <mergeCell ref="A872:B872"/>
    <mergeCell ref="A873:R873"/>
    <mergeCell ref="A1126:B1126"/>
    <mergeCell ref="A1127:R1127"/>
    <mergeCell ref="L1254:L1255"/>
    <mergeCell ref="A1305:R1305"/>
    <mergeCell ref="A1316:B1316"/>
    <mergeCell ref="A1320:R1320"/>
    <mergeCell ref="A1259:B1259"/>
    <mergeCell ref="A1260:R1260"/>
    <mergeCell ref="B1131:B1132"/>
    <mergeCell ref="L1278:L1279"/>
    <mergeCell ref="L1290:L1291"/>
    <mergeCell ref="B1134:B1135"/>
    <mergeCell ref="L1147:L1148"/>
    <mergeCell ref="L1285:L1286"/>
    <mergeCell ref="A1249:R1249"/>
    <mergeCell ref="A1236:B1236"/>
    <mergeCell ref="A1278:A1279"/>
    <mergeCell ref="A1248:B1248"/>
    <mergeCell ref="A1296:A1297"/>
    <mergeCell ref="A1308:R1308"/>
    <mergeCell ref="A1312:B1312"/>
    <mergeCell ref="L1296:L1297"/>
    <mergeCell ref="A4694:B4694"/>
    <mergeCell ref="A4277:B4277"/>
    <mergeCell ref="A3872:B3872"/>
    <mergeCell ref="A4612:B4612"/>
    <mergeCell ref="A4671:B4671"/>
    <mergeCell ref="A4602:B4602"/>
    <mergeCell ref="A4607:B4607"/>
    <mergeCell ref="A4665:B4665"/>
    <mergeCell ref="A4639:B4639"/>
    <mergeCell ref="A4620:B4620"/>
    <mergeCell ref="A4628:B4628"/>
    <mergeCell ref="A4632:B4632"/>
    <mergeCell ref="A4640:Q4640"/>
    <mergeCell ref="A4603:Q4603"/>
    <mergeCell ref="A4663:Q4663"/>
    <mergeCell ref="A4301:A4302"/>
    <mergeCell ref="A4298:A4299"/>
    <mergeCell ref="B4298:B4299"/>
    <mergeCell ref="A4187:B4187"/>
    <mergeCell ref="A4135:B4135"/>
    <mergeCell ref="A4408:Q4408"/>
    <mergeCell ref="L4444:L4445"/>
    <mergeCell ref="A4414:B4414"/>
    <mergeCell ref="B3527:B3528"/>
    <mergeCell ref="A4528:B4528"/>
    <mergeCell ref="A4580:Q4580"/>
    <mergeCell ref="A4575:Q4575"/>
    <mergeCell ref="A4570:Q4570"/>
    <mergeCell ref="A4532:B4532"/>
    <mergeCell ref="A4550:B4550"/>
    <mergeCell ref="A4557:B4557"/>
    <mergeCell ref="A4551:Q4551"/>
    <mergeCell ref="A4563:B4563"/>
    <mergeCell ref="A4280:Q4280"/>
    <mergeCell ref="B4308:B4309"/>
    <mergeCell ref="A4283:A4284"/>
    <mergeCell ref="A4192:B4192"/>
    <mergeCell ref="L4298:L4299"/>
    <mergeCell ref="L4310:L4311"/>
    <mergeCell ref="B4310:B4311"/>
    <mergeCell ref="L4077:L4078"/>
    <mergeCell ref="A3822:B3822"/>
    <mergeCell ref="A4109:Q4109"/>
    <mergeCell ref="A4275:B4275"/>
    <mergeCell ref="A4407:B4407"/>
    <mergeCell ref="L4332:L4333"/>
    <mergeCell ref="L4355:L4356"/>
    <mergeCell ref="A4508:Q4508"/>
    <mergeCell ref="A4502:Q4502"/>
    <mergeCell ref="A4492:Q4492"/>
    <mergeCell ref="A4488:Q4488"/>
    <mergeCell ref="A4485:Q4485"/>
    <mergeCell ref="A4480:B4480"/>
    <mergeCell ref="A4621:Q4621"/>
    <mergeCell ref="A4278:Q4278"/>
    <mergeCell ref="A4529:Q4529"/>
    <mergeCell ref="A4599:B4599"/>
    <mergeCell ref="A4569:B4569"/>
    <mergeCell ref="A4484:B4484"/>
    <mergeCell ref="A4487:B4487"/>
    <mergeCell ref="A4564:Q4564"/>
    <mergeCell ref="A4558:Q4558"/>
    <mergeCell ref="A4574:B4574"/>
    <mergeCell ref="A4579:B4579"/>
    <mergeCell ref="A4584:Q4584"/>
    <mergeCell ref="B4283:B4284"/>
    <mergeCell ref="L4283:L4284"/>
    <mergeCell ref="A4533:Q4533"/>
    <mergeCell ref="B4287:B4288"/>
    <mergeCell ref="A4468:B4468"/>
    <mergeCell ref="A4491:B4491"/>
    <mergeCell ref="A4733:Q4733"/>
    <mergeCell ref="A4662:B4662"/>
    <mergeCell ref="A4600:Q4600"/>
    <mergeCell ref="A4596:Q4596"/>
    <mergeCell ref="A4583:B4583"/>
    <mergeCell ref="A4595:B4595"/>
    <mergeCell ref="A4684:B4684"/>
    <mergeCell ref="A4672:Q4672"/>
    <mergeCell ref="A4666:Q4666"/>
    <mergeCell ref="A4616:B4616"/>
    <mergeCell ref="A4613:Q4613"/>
    <mergeCell ref="A4728:B4728"/>
    <mergeCell ref="A4685:Q4685"/>
    <mergeCell ref="A4732:B4732"/>
    <mergeCell ref="A4675:Q4675"/>
    <mergeCell ref="A4633:Q4633"/>
    <mergeCell ref="A4729:Q4729"/>
    <mergeCell ref="A4695:Q4695"/>
    <mergeCell ref="A4677:Q4677"/>
    <mergeCell ref="A4676:B4676"/>
    <mergeCell ref="A4608:Q4608"/>
    <mergeCell ref="A4589:B4589"/>
    <mergeCell ref="A4674:B4674"/>
    <mergeCell ref="A4590:Q4590"/>
    <mergeCell ref="A4769:B4769"/>
    <mergeCell ref="A4764:Q4764"/>
    <mergeCell ref="A4759:Q4759"/>
    <mergeCell ref="A4756:Q4756"/>
    <mergeCell ref="A4753:Q4753"/>
    <mergeCell ref="A4749:Q4749"/>
    <mergeCell ref="A4739:Q4739"/>
    <mergeCell ref="A4736:Q4736"/>
    <mergeCell ref="A4763:B4763"/>
    <mergeCell ref="A4752:B4752"/>
    <mergeCell ref="A4742:B4742"/>
    <mergeCell ref="A4766:B4766"/>
    <mergeCell ref="A4758:B4758"/>
    <mergeCell ref="A4755:B4755"/>
    <mergeCell ref="A4738:B4738"/>
    <mergeCell ref="A4748:B4748"/>
    <mergeCell ref="A4743:Q4743"/>
    <mergeCell ref="A4629:Q4629"/>
    <mergeCell ref="A4617:Q4617"/>
    <mergeCell ref="A2964:B2964"/>
    <mergeCell ref="A4511:B4511"/>
    <mergeCell ref="A2880:B2880"/>
    <mergeCell ref="A2931:Q2931"/>
    <mergeCell ref="A2781:Q2781"/>
    <mergeCell ref="A2777:Q2777"/>
    <mergeCell ref="A2776:B2776"/>
    <mergeCell ref="A2780:B2780"/>
    <mergeCell ref="A2795:Q2795"/>
    <mergeCell ref="A2825:B2825"/>
    <mergeCell ref="A2911:B2911"/>
    <mergeCell ref="B2799:B2800"/>
    <mergeCell ref="A2831:Q2831"/>
    <mergeCell ref="A2826:Q2826"/>
    <mergeCell ref="A2836:B2836"/>
    <mergeCell ref="L2852:L2853"/>
    <mergeCell ref="A2963:B2963"/>
    <mergeCell ref="A2966:B2966"/>
    <mergeCell ref="A2958:Q2958"/>
    <mergeCell ref="A2954:Q2954"/>
    <mergeCell ref="A3638:B3638"/>
    <mergeCell ref="A3666:B3666"/>
    <mergeCell ref="L3357:L3358"/>
    <mergeCell ref="A3641:B3641"/>
    <mergeCell ref="A3615:B3615"/>
    <mergeCell ref="A3602:Q3602"/>
    <mergeCell ref="L2993:L2994"/>
    <mergeCell ref="A3596:Q3596"/>
    <mergeCell ref="A2965:Q2965"/>
    <mergeCell ref="A3464:Q3464"/>
    <mergeCell ref="A3466:Q3466"/>
    <mergeCell ref="A3606:B3606"/>
    <mergeCell ref="A3047:A3048"/>
    <mergeCell ref="A3465:B3465"/>
    <mergeCell ref="A3607:Q3607"/>
    <mergeCell ref="A3639:Q3639"/>
    <mergeCell ref="A3616:Q3616"/>
    <mergeCell ref="A3612:Q3612"/>
    <mergeCell ref="A3527:A3528"/>
    <mergeCell ref="L3289:L3290"/>
    <mergeCell ref="L3111:L3112"/>
    <mergeCell ref="L3227:L3228"/>
    <mergeCell ref="L3441:L3442"/>
    <mergeCell ref="L3444:L3445"/>
    <mergeCell ref="A3473:Q3473"/>
    <mergeCell ref="A3463:B3463"/>
    <mergeCell ref="A4091:B4091"/>
    <mergeCell ref="A4150:Q4150"/>
    <mergeCell ref="A3771:Q3771"/>
    <mergeCell ref="L3810:L3812"/>
    <mergeCell ref="A3667:Q3667"/>
    <mergeCell ref="A4141:B4141"/>
    <mergeCell ref="A4095:B4095"/>
    <mergeCell ref="L3949:L3950"/>
    <mergeCell ref="A3964:B3964"/>
    <mergeCell ref="A4080:B4080"/>
    <mergeCell ref="A4099:Q4099"/>
    <mergeCell ref="A4096:Q4096"/>
    <mergeCell ref="A3839:Q3839"/>
    <mergeCell ref="A3687:Q3687"/>
    <mergeCell ref="A4133:Q4133"/>
    <mergeCell ref="A4098:B4098"/>
    <mergeCell ref="A4147:Q4147"/>
    <mergeCell ref="A4108:B4108"/>
    <mergeCell ref="A4132:B4132"/>
    <mergeCell ref="A3901:Q3901"/>
    <mergeCell ref="B3961:B3962"/>
    <mergeCell ref="C3961:C3962"/>
    <mergeCell ref="L3961:L3962"/>
    <mergeCell ref="A3707:B3707"/>
    <mergeCell ref="L4231:L4232"/>
    <mergeCell ref="A3857:Q3857"/>
    <mergeCell ref="A3693:Q3693"/>
    <mergeCell ref="A3768:Q3768"/>
    <mergeCell ref="A3763:Q3763"/>
    <mergeCell ref="A3748:Q3748"/>
    <mergeCell ref="A3743:Q3743"/>
    <mergeCell ref="A4184:B4184"/>
    <mergeCell ref="A4179:B4179"/>
    <mergeCell ref="A4146:B4146"/>
    <mergeCell ref="A4092:Q4092"/>
    <mergeCell ref="A4103:Q4103"/>
    <mergeCell ref="A4102:B4102"/>
    <mergeCell ref="A3965:Q3965"/>
    <mergeCell ref="L3982:L3983"/>
    <mergeCell ref="A4142:Q4142"/>
    <mergeCell ref="A4136:Q4136"/>
    <mergeCell ref="L3951:L3952"/>
    <mergeCell ref="B3954:B3955"/>
    <mergeCell ref="L3954:L3955"/>
    <mergeCell ref="B3956:B3957"/>
    <mergeCell ref="L3956:L3957"/>
    <mergeCell ref="B3958:B3959"/>
    <mergeCell ref="L3958:L3959"/>
    <mergeCell ref="L3446:L3447"/>
    <mergeCell ref="L3455:L3456"/>
    <mergeCell ref="L3726:L3727"/>
    <mergeCell ref="L2651:L2652"/>
    <mergeCell ref="A2760:Q2760"/>
    <mergeCell ref="A907:B907"/>
    <mergeCell ref="A908:R908"/>
    <mergeCell ref="A910:B910"/>
    <mergeCell ref="A1023:B1023"/>
    <mergeCell ref="B1145:B1146"/>
    <mergeCell ref="A3671:Q3671"/>
    <mergeCell ref="A3686:B3686"/>
    <mergeCell ref="A3279:A3280"/>
    <mergeCell ref="A2967:Q2967"/>
    <mergeCell ref="A2993:A2994"/>
    <mergeCell ref="A3644:B3644"/>
    <mergeCell ref="A3645:Q3645"/>
    <mergeCell ref="A2957:B2957"/>
    <mergeCell ref="L3279:L3280"/>
    <mergeCell ref="A3526:Q3526"/>
    <mergeCell ref="A3289:A3290"/>
    <mergeCell ref="L3047:L3048"/>
    <mergeCell ref="A3357:A3358"/>
    <mergeCell ref="B2152:B2153"/>
    <mergeCell ref="A856:R856"/>
    <mergeCell ref="A841:B841"/>
    <mergeCell ref="A849:B849"/>
    <mergeCell ref="A850:R850"/>
    <mergeCell ref="A855:B855"/>
    <mergeCell ref="A842:R842"/>
    <mergeCell ref="A897:R897"/>
    <mergeCell ref="A889:R889"/>
    <mergeCell ref="A893:B893"/>
    <mergeCell ref="A894:R894"/>
    <mergeCell ref="A875:B875"/>
    <mergeCell ref="A878:B878"/>
    <mergeCell ref="A886:R886"/>
    <mergeCell ref="L2152:L2153"/>
    <mergeCell ref="B2154:B2155"/>
    <mergeCell ref="L2154:L2155"/>
    <mergeCell ref="B2156:B2157"/>
    <mergeCell ref="L2156:L2157"/>
    <mergeCell ref="B2158:B2159"/>
    <mergeCell ref="L2158:L2159"/>
    <mergeCell ref="B2160:B2161"/>
    <mergeCell ref="L2160:L2161"/>
    <mergeCell ref="B2176:B2177"/>
    <mergeCell ref="L2176:L2177"/>
    <mergeCell ref="B2178:B2179"/>
    <mergeCell ref="L2178:L2179"/>
    <mergeCell ref="B2747:B2748"/>
    <mergeCell ref="B2749:B2750"/>
    <mergeCell ref="B2751:B2752"/>
    <mergeCell ref="B2162:B2163"/>
    <mergeCell ref="L2162:L2163"/>
    <mergeCell ref="B2167:B2168"/>
    <mergeCell ref="L2167:L2168"/>
    <mergeCell ref="B2170:B2171"/>
    <mergeCell ref="L2170:L2171"/>
    <mergeCell ref="B2172:B2173"/>
    <mergeCell ref="L2172:L2173"/>
    <mergeCell ref="B2174:B2175"/>
    <mergeCell ref="L2174:L2175"/>
    <mergeCell ref="A2406:Q2406"/>
    <mergeCell ref="A2403:Q2403"/>
    <mergeCell ref="A2360:Q2360"/>
    <mergeCell ref="A2394:Q2394"/>
    <mergeCell ref="A2384:Q2384"/>
    <mergeCell ref="A2379:Q2379"/>
    <mergeCell ref="A2374:B2374"/>
    <mergeCell ref="L2625:L2626"/>
    <mergeCell ref="B2621:B2622"/>
    <mergeCell ref="B2873:B2874"/>
    <mergeCell ref="L2873:L2874"/>
    <mergeCell ref="A2627:B2627"/>
    <mergeCell ref="B2625:B2626"/>
    <mergeCell ref="A2628:Q2628"/>
    <mergeCell ref="L2656:L2657"/>
    <mergeCell ref="A2645:Q2645"/>
    <mergeCell ref="B2651:B2652"/>
    <mergeCell ref="B2656:B2657"/>
    <mergeCell ref="A2833:B2833"/>
    <mergeCell ref="A2773:Q2773"/>
    <mergeCell ref="A2772:B2772"/>
    <mergeCell ref="B2753:B2754"/>
    <mergeCell ref="B2755:B2756"/>
    <mergeCell ref="B2757:B2758"/>
    <mergeCell ref="L2747:L2748"/>
    <mergeCell ref="L2749:L2750"/>
    <mergeCell ref="L2751:L2752"/>
    <mergeCell ref="L2753:L2754"/>
    <mergeCell ref="L2755:L2756"/>
    <mergeCell ref="L2757:L2758"/>
  </mergeCells>
  <conditionalFormatting sqref="F2414 D2419:D2421 E2440 D2449 F2407 G2408 F2346 F2335 F2341:F2343 F2329 G2325 G2321 I145 I77:J78 I204 I84 I156 I341:I342 I283 G3625 G3675 F3686 F3702:F3703 F3706 F3792:F3793 D3767 D3796 F2417 D2485:D2486 I304 D2423:D2425 F2419:F2421 F2339 D2491 L2491:Q2491 I2979:I2982">
    <cfRule type="cellIs" dxfId="118" priority="340" stopIfTrue="1" operator="equal">
      <formula>"н/д"</formula>
    </cfRule>
  </conditionalFormatting>
  <conditionalFormatting sqref="H1277:I1277">
    <cfRule type="cellIs" dxfId="117" priority="316" stopIfTrue="1" operator="equal">
      <formula>"н/д"</formula>
    </cfRule>
  </conditionalFormatting>
  <conditionalFormatting sqref="E1277 J1277 G1277">
    <cfRule type="cellIs" dxfId="116" priority="290" stopIfTrue="1" operator="equal">
      <formula>"н/д"</formula>
    </cfRule>
  </conditionalFormatting>
  <conditionalFormatting sqref="G261:J261 E261 E166:E167 E140 E163 E155 E86 E45:G48 E23 C31 C33 E213:E215 G210:G211 E210:E211 E195:F195 E201 E71:E73 C186 E171:G171 E274:E275 E1928 E151 E312:E314 E286:E288 E27 E157 E193:E194 E133:E136 E298:E299 E183:E185 E278:E280 E55:E57 E4278:E4279 E113 C2971 C1507 C1509 E142 C2973 C2976 C2978:C2983 C2990 C2995:C2996 C2999 C3001 C3011 C3017:C3020 C3022:C3023 C3032 C3025:C3026 E3071 E3073:E3074 E3076:E3078 E3081:E3084 G3086 G3083:G3084 E3089:E3090 E3086">
    <cfRule type="cellIs" dxfId="115" priority="259" stopIfTrue="1" operator="equal">
      <formula>"н/д"</formula>
    </cfRule>
  </conditionalFormatting>
  <conditionalFormatting sqref="F2409 F3685">
    <cfRule type="cellIs" dxfId="114" priority="239" stopIfTrue="1" operator="equal">
      <formula>"н/д"</formula>
    </cfRule>
  </conditionalFormatting>
  <conditionalFormatting sqref="E208:G208">
    <cfRule type="cellIs" dxfId="113" priority="183" stopIfTrue="1" operator="equal">
      <formula>"н/д"</formula>
    </cfRule>
  </conditionalFormatting>
  <conditionalFormatting sqref="F787 E904:E906 E908 D911 D914:E914 E911:E913">
    <cfRule type="cellIs" dxfId="112" priority="182" stopIfTrue="1" operator="equal">
      <formula>"н/д"</formula>
    </cfRule>
  </conditionalFormatting>
  <conditionalFormatting sqref="G788">
    <cfRule type="cellIs" dxfId="111" priority="181" stopIfTrue="1" operator="equal">
      <formula>"н/д"</formula>
    </cfRule>
  </conditionalFormatting>
  <conditionalFormatting sqref="G780">
    <cfRule type="cellIs" dxfId="110" priority="180" stopIfTrue="1" operator="equal">
      <formula>"н/д"</formula>
    </cfRule>
  </conditionalFormatting>
  <conditionalFormatting sqref="F789">
    <cfRule type="cellIs" dxfId="109" priority="179" stopIfTrue="1" operator="equal">
      <formula>"н/д"</formula>
    </cfRule>
  </conditionalFormatting>
  <conditionalFormatting sqref="F800">
    <cfRule type="cellIs" dxfId="108" priority="172" stopIfTrue="1" operator="equal">
      <formula>"н/д"</formula>
    </cfRule>
  </conditionalFormatting>
  <conditionalFormatting sqref="F807">
    <cfRule type="cellIs" dxfId="107" priority="174" stopIfTrue="1" operator="equal">
      <formula>"н/д"</formula>
    </cfRule>
  </conditionalFormatting>
  <conditionalFormatting sqref="F794">
    <cfRule type="cellIs" dxfId="106" priority="178" stopIfTrue="1" operator="equal">
      <formula>"н/д"</formula>
    </cfRule>
  </conditionalFormatting>
  <conditionalFormatting sqref="F798">
    <cfRule type="cellIs" dxfId="105" priority="177" stopIfTrue="1" operator="equal">
      <formula>"н/д"</formula>
    </cfRule>
  </conditionalFormatting>
  <conditionalFormatting sqref="F801">
    <cfRule type="cellIs" dxfId="104" priority="176" stopIfTrue="1" operator="equal">
      <formula>"н/д"</formula>
    </cfRule>
  </conditionalFormatting>
  <conditionalFormatting sqref="F804">
    <cfRule type="cellIs" dxfId="103" priority="175" stopIfTrue="1" operator="equal">
      <formula>"н/д"</formula>
    </cfRule>
  </conditionalFormatting>
  <conditionalFormatting sqref="F795">
    <cfRule type="cellIs" dxfId="102" priority="173" stopIfTrue="1" operator="equal">
      <formula>"н/д"</formula>
    </cfRule>
  </conditionalFormatting>
  <conditionalFormatting sqref="D901 E916:E923 E910">
    <cfRule type="cellIs" dxfId="101" priority="171" stopIfTrue="1" operator="equal">
      <formula>"н/д"</formula>
    </cfRule>
  </conditionalFormatting>
  <conditionalFormatting sqref="D915:D916">
    <cfRule type="cellIs" dxfId="100" priority="170" stopIfTrue="1" operator="equal">
      <formula>"н/д"</formula>
    </cfRule>
  </conditionalFormatting>
  <conditionalFormatting sqref="F4551:F4552 D4612:D4613">
    <cfRule type="cellIs" dxfId="99" priority="169" stopIfTrue="1" operator="equal">
      <formula>"н/д"</formula>
    </cfRule>
  </conditionalFormatting>
  <conditionalFormatting sqref="H1173:I1173">
    <cfRule type="cellIs" dxfId="98" priority="128" stopIfTrue="1" operator="equal">
      <formula>"н/д"</formula>
    </cfRule>
  </conditionalFormatting>
  <conditionalFormatting sqref="E1173 J1173 G1173">
    <cfRule type="cellIs" dxfId="97" priority="127" stopIfTrue="1" operator="equal">
      <formula>"н/д"</formula>
    </cfRule>
  </conditionalFormatting>
  <conditionalFormatting sqref="H1174:I1174">
    <cfRule type="cellIs" dxfId="96" priority="126" stopIfTrue="1" operator="equal">
      <formula>"н/д"</formula>
    </cfRule>
  </conditionalFormatting>
  <conditionalFormatting sqref="E1174 J1174 G1174">
    <cfRule type="cellIs" dxfId="95" priority="125" stopIfTrue="1" operator="equal">
      <formula>"н/д"</formula>
    </cfRule>
  </conditionalFormatting>
  <conditionalFormatting sqref="H1175:I1175">
    <cfRule type="cellIs" dxfId="94" priority="124" stopIfTrue="1" operator="equal">
      <formula>"н/д"</formula>
    </cfRule>
  </conditionalFormatting>
  <conditionalFormatting sqref="H1184:I1184">
    <cfRule type="cellIs" dxfId="93" priority="122" stopIfTrue="1" operator="equal">
      <formula>"н/д"</formula>
    </cfRule>
  </conditionalFormatting>
  <conditionalFormatting sqref="H1185:I1185">
    <cfRule type="cellIs" dxfId="92" priority="120" stopIfTrue="1" operator="equal">
      <formula>"н/д"</formula>
    </cfRule>
  </conditionalFormatting>
  <conditionalFormatting sqref="E1185 J1185 G1185">
    <cfRule type="cellIs" dxfId="91" priority="119" stopIfTrue="1" operator="equal">
      <formula>"н/д"</formula>
    </cfRule>
  </conditionalFormatting>
  <conditionalFormatting sqref="H1186:I1186">
    <cfRule type="cellIs" dxfId="90" priority="118" stopIfTrue="1" operator="equal">
      <formula>"н/д"</formula>
    </cfRule>
  </conditionalFormatting>
  <conditionalFormatting sqref="H1188:I1188">
    <cfRule type="cellIs" dxfId="89" priority="115" stopIfTrue="1" operator="equal">
      <formula>"н/д"</formula>
    </cfRule>
  </conditionalFormatting>
  <conditionalFormatting sqref="H1187:I1187">
    <cfRule type="cellIs" dxfId="88" priority="116" stopIfTrue="1" operator="equal">
      <formula>"н/д"</formula>
    </cfRule>
  </conditionalFormatting>
  <conditionalFormatting sqref="H1172:I1172">
    <cfRule type="cellIs" dxfId="87" priority="132" stopIfTrue="1" operator="equal">
      <formula>"н/д"</formula>
    </cfRule>
  </conditionalFormatting>
  <conditionalFormatting sqref="E1172 J1172 G1172">
    <cfRule type="cellIs" dxfId="86" priority="131" stopIfTrue="1" operator="equal">
      <formula>"н/д"</formula>
    </cfRule>
  </conditionalFormatting>
  <conditionalFormatting sqref="H1176:I1176">
    <cfRule type="cellIs" dxfId="85" priority="123" stopIfTrue="1" operator="equal">
      <formula>"н/д"</formula>
    </cfRule>
  </conditionalFormatting>
  <conditionalFormatting sqref="E1184 J1184 G1184">
    <cfRule type="cellIs" dxfId="84" priority="121" stopIfTrue="1" operator="equal">
      <formula>"н/д"</formula>
    </cfRule>
  </conditionalFormatting>
  <conditionalFormatting sqref="H1193:I1195">
    <cfRule type="cellIs" dxfId="83" priority="117" stopIfTrue="1" operator="equal">
      <formula>"н/д"</formula>
    </cfRule>
  </conditionalFormatting>
  <conditionalFormatting sqref="F4554">
    <cfRule type="cellIs" dxfId="82" priority="114" stopIfTrue="1" operator="equal">
      <formula>"н/д"</formula>
    </cfRule>
  </conditionalFormatting>
  <conditionalFormatting sqref="F4557">
    <cfRule type="cellIs" dxfId="81" priority="113" stopIfTrue="1" operator="equal">
      <formula>"н/д"</formula>
    </cfRule>
  </conditionalFormatting>
  <conditionalFormatting sqref="H2630:I2630">
    <cfRule type="cellIs" dxfId="80" priority="112" stopIfTrue="1" operator="equal">
      <formula>"н/д"</formula>
    </cfRule>
  </conditionalFormatting>
  <conditionalFormatting sqref="H1205:I1213">
    <cfRule type="cellIs" dxfId="79" priority="111" stopIfTrue="1" operator="equal">
      <formula>"н/д"</formula>
    </cfRule>
  </conditionalFormatting>
  <conditionalFormatting sqref="H1197:I1198 F1197:F1198">
    <cfRule type="cellIs" dxfId="78" priority="110" stopIfTrue="1" operator="equal">
      <formula>"н/д"</formula>
    </cfRule>
  </conditionalFormatting>
  <conditionalFormatting sqref="H1199:I1200 F1199:F1200">
    <cfRule type="cellIs" dxfId="77" priority="109" stopIfTrue="1" operator="equal">
      <formula>"н/д"</formula>
    </cfRule>
  </conditionalFormatting>
  <conditionalFormatting sqref="C1197:C1198">
    <cfRule type="cellIs" dxfId="76" priority="108" stopIfTrue="1" operator="equal">
      <formula>"н/д"</formula>
    </cfRule>
  </conditionalFormatting>
  <conditionalFormatting sqref="C1199:C1200">
    <cfRule type="cellIs" dxfId="75" priority="107" stopIfTrue="1" operator="equal">
      <formula>"н/д"</formula>
    </cfRule>
  </conditionalFormatting>
  <conditionalFormatting sqref="H1201:I1201">
    <cfRule type="cellIs" dxfId="74" priority="106" stopIfTrue="1" operator="equal">
      <formula>"н/д"</formula>
    </cfRule>
  </conditionalFormatting>
  <conditionalFormatting sqref="H1202:I1202">
    <cfRule type="cellIs" dxfId="73" priority="105" stopIfTrue="1" operator="equal">
      <formula>"н/д"</formula>
    </cfRule>
  </conditionalFormatting>
  <conditionalFormatting sqref="H1203:I1203">
    <cfRule type="cellIs" dxfId="72" priority="104" stopIfTrue="1" operator="equal">
      <formula>"н/д"</formula>
    </cfRule>
  </conditionalFormatting>
  <conditionalFormatting sqref="G1204:J1204">
    <cfRule type="cellIs" dxfId="71" priority="103" stopIfTrue="1" operator="equal">
      <formula>"н/д"</formula>
    </cfRule>
  </conditionalFormatting>
  <conditionalFormatting sqref="F790">
    <cfRule type="cellIs" dxfId="70" priority="102" stopIfTrue="1" operator="equal">
      <formula>"н/д"</formula>
    </cfRule>
  </conditionalFormatting>
  <conditionalFormatting sqref="E3401 E3396">
    <cfRule type="cellIs" dxfId="69" priority="99" stopIfTrue="1" operator="equal">
      <formula>"н/д"</formula>
    </cfRule>
  </conditionalFormatting>
  <conditionalFormatting sqref="E4314">
    <cfRule type="cellIs" dxfId="68" priority="98" stopIfTrue="1" operator="equal">
      <formula>"н/д"</formula>
    </cfRule>
  </conditionalFormatting>
  <conditionalFormatting sqref="E4321">
    <cfRule type="cellIs" dxfId="67" priority="96" stopIfTrue="1" operator="equal">
      <formula>"н/д"</formula>
    </cfRule>
  </conditionalFormatting>
  <conditionalFormatting sqref="I4338">
    <cfRule type="cellIs" dxfId="66" priority="95" stopIfTrue="1" operator="equal">
      <formula>"н/д"</formula>
    </cfRule>
  </conditionalFormatting>
  <conditionalFormatting sqref="I443">
    <cfRule type="cellIs" dxfId="65" priority="93" stopIfTrue="1" operator="equal">
      <formula>"н/д"</formula>
    </cfRule>
  </conditionalFormatting>
  <conditionalFormatting sqref="E2433">
    <cfRule type="cellIs" dxfId="64" priority="92" stopIfTrue="1" operator="equal">
      <formula>"н/д"</formula>
    </cfRule>
  </conditionalFormatting>
  <conditionalFormatting sqref="F2338">
    <cfRule type="cellIs" dxfId="63" priority="91" stopIfTrue="1" operator="equal">
      <formula>"н/д"</formula>
    </cfRule>
  </conditionalFormatting>
  <conditionalFormatting sqref="D3827:D3829 D3831:D3833">
    <cfRule type="cellIs" dxfId="62" priority="88" stopIfTrue="1" operator="equal">
      <formula>"н/д"</formula>
    </cfRule>
  </conditionalFormatting>
  <conditionalFormatting sqref="D3837:D3839">
    <cfRule type="cellIs" dxfId="61" priority="89" stopIfTrue="1" operator="equal">
      <formula>"н/д"</formula>
    </cfRule>
  </conditionalFormatting>
  <conditionalFormatting sqref="D3830">
    <cfRule type="cellIs" dxfId="60" priority="87" stopIfTrue="1" operator="equal">
      <formula>"н/д"</formula>
    </cfRule>
  </conditionalFormatting>
  <conditionalFormatting sqref="I4074:J4074">
    <cfRule type="cellIs" dxfId="59" priority="83" stopIfTrue="1" operator="equal">
      <formula>"н/д"</formula>
    </cfRule>
  </conditionalFormatting>
  <conditionalFormatting sqref="I3984:J3990">
    <cfRule type="cellIs" dxfId="58" priority="82" stopIfTrue="1" operator="equal">
      <formula>"н/д"</formula>
    </cfRule>
  </conditionalFormatting>
  <conditionalFormatting sqref="F3682">
    <cfRule type="cellIs" dxfId="57" priority="81" stopIfTrue="1" operator="equal">
      <formula>"н/д"</formula>
    </cfRule>
  </conditionalFormatting>
  <conditionalFormatting sqref="E3410">
    <cfRule type="cellIs" dxfId="56" priority="77" stopIfTrue="1" operator="equal">
      <formula>"н/д"</formula>
    </cfRule>
  </conditionalFormatting>
  <conditionalFormatting sqref="G4358 E4358">
    <cfRule type="cellIs" dxfId="55" priority="75" stopIfTrue="1" operator="equal">
      <formula>"н/д"</formula>
    </cfRule>
  </conditionalFormatting>
  <conditionalFormatting sqref="E4356 G4356">
    <cfRule type="cellIs" dxfId="54" priority="76" stopIfTrue="1" operator="equal">
      <formula>"н/д"</formula>
    </cfRule>
  </conditionalFormatting>
  <conditionalFormatting sqref="E1474">
    <cfRule type="cellIs" dxfId="53" priority="74" stopIfTrue="1" operator="equal">
      <formula>"н/д"</formula>
    </cfRule>
  </conditionalFormatting>
  <conditionalFormatting sqref="E1475">
    <cfRule type="cellIs" dxfId="52" priority="73" stopIfTrue="1" operator="equal">
      <formula>"н/д"</formula>
    </cfRule>
  </conditionalFormatting>
  <conditionalFormatting sqref="F2327">
    <cfRule type="cellIs" dxfId="51" priority="72" stopIfTrue="1" operator="equal">
      <formula>"н/д"</formula>
    </cfRule>
  </conditionalFormatting>
  <conditionalFormatting sqref="F2326">
    <cfRule type="cellIs" dxfId="50" priority="71" stopIfTrue="1" operator="equal">
      <formula>"н/д"</formula>
    </cfRule>
  </conditionalFormatting>
  <conditionalFormatting sqref="J2661:J2663">
    <cfRule type="cellIs" dxfId="49" priority="70" stopIfTrue="1" operator="equal">
      <formula>"н/д"</formula>
    </cfRule>
  </conditionalFormatting>
  <conditionalFormatting sqref="E1504 E1515:E1516 E1518 C1534:C1535 E1538 E1532 C1550 C1541:C1546">
    <cfRule type="cellIs" dxfId="48" priority="69" stopIfTrue="1" operator="equal">
      <formula>"н/д"</formula>
    </cfRule>
  </conditionalFormatting>
  <conditionalFormatting sqref="C1512">
    <cfRule type="cellIs" dxfId="47" priority="68" stopIfTrue="1" operator="equal">
      <formula>"н/д"</formula>
    </cfRule>
  </conditionalFormatting>
  <conditionalFormatting sqref="C1511">
    <cfRule type="cellIs" dxfId="46" priority="65" stopIfTrue="1" operator="equal">
      <formula>"н/д"</formula>
    </cfRule>
  </conditionalFormatting>
  <conditionalFormatting sqref="C1510">
    <cfRule type="cellIs" dxfId="45" priority="62" stopIfTrue="1" operator="equal">
      <formula>"н/д"</formula>
    </cfRule>
  </conditionalFormatting>
  <conditionalFormatting sqref="C1530">
    <cfRule type="cellIs" dxfId="44" priority="58" stopIfTrue="1" operator="equal">
      <formula>"н/д"</formula>
    </cfRule>
  </conditionalFormatting>
  <conditionalFormatting sqref="C1508">
    <cfRule type="cellIs" dxfId="43" priority="59" stopIfTrue="1" operator="equal">
      <formula>"н/д"</formula>
    </cfRule>
  </conditionalFormatting>
  <conditionalFormatting sqref="E1548">
    <cfRule type="cellIs" dxfId="42" priority="51" stopIfTrue="1" operator="equal">
      <formula>"н/д"</formula>
    </cfRule>
  </conditionalFormatting>
  <conditionalFormatting sqref="C1519:C1520">
    <cfRule type="cellIs" dxfId="41" priority="56" stopIfTrue="1" operator="equal">
      <formula>"н/д"</formula>
    </cfRule>
  </conditionalFormatting>
  <conditionalFormatting sqref="C2970">
    <cfRule type="cellIs" dxfId="40" priority="55" stopIfTrue="1" operator="equal">
      <formula>"н/д"</formula>
    </cfRule>
  </conditionalFormatting>
  <conditionalFormatting sqref="C1526">
    <cfRule type="cellIs" dxfId="39" priority="54" stopIfTrue="1" operator="equal">
      <formula>"н/д"</formula>
    </cfRule>
  </conditionalFormatting>
  <conditionalFormatting sqref="E1527">
    <cfRule type="cellIs" dxfId="38" priority="53" stopIfTrue="1" operator="equal">
      <formula>"н/д"</formula>
    </cfRule>
  </conditionalFormatting>
  <conditionalFormatting sqref="E1517">
    <cfRule type="cellIs" dxfId="37" priority="52" stopIfTrue="1" operator="equal">
      <formula>"н/д"</formula>
    </cfRule>
  </conditionalFormatting>
  <conditionalFormatting sqref="C1521">
    <cfRule type="cellIs" dxfId="36" priority="50" stopIfTrue="1" operator="equal">
      <formula>"н/д"</formula>
    </cfRule>
  </conditionalFormatting>
  <conditionalFormatting sqref="I2006">
    <cfRule type="cellIs" dxfId="35" priority="49" stopIfTrue="1" operator="equal">
      <formula>"н/д"</formula>
    </cfRule>
  </conditionalFormatting>
  <conditionalFormatting sqref="C3028">
    <cfRule type="cellIs" dxfId="34" priority="42" stopIfTrue="1" operator="equal">
      <formula>"н/д"</formula>
    </cfRule>
  </conditionalFormatting>
  <conditionalFormatting sqref="I3018 I2990 I2971 I2995">
    <cfRule type="cellIs" dxfId="33" priority="46" stopIfTrue="1" operator="equal">
      <formula>"н/д"</formula>
    </cfRule>
  </conditionalFormatting>
  <conditionalFormatting sqref="C3070">
    <cfRule type="cellIs" dxfId="32" priority="45" stopIfTrue="1" operator="equal">
      <formula>"н/д"</formula>
    </cfRule>
  </conditionalFormatting>
  <conditionalFormatting sqref="H3083:I3083">
    <cfRule type="cellIs" dxfId="31" priority="43" stopIfTrue="1" operator="equal">
      <formula>"н/д"</formula>
    </cfRule>
  </conditionalFormatting>
  <conditionalFormatting sqref="E1549">
    <cfRule type="cellIs" dxfId="30" priority="41" stopIfTrue="1" operator="equal">
      <formula>"н/д"</formula>
    </cfRule>
  </conditionalFormatting>
  <conditionalFormatting sqref="C1476:C1482">
    <cfRule type="cellIs" dxfId="29" priority="36" stopIfTrue="1" operator="equal">
      <formula>"н/д"</formula>
    </cfRule>
  </conditionalFormatting>
  <conditionalFormatting sqref="C1483:C1485">
    <cfRule type="cellIs" dxfId="28" priority="35" stopIfTrue="1" operator="equal">
      <formula>"н/д"</formula>
    </cfRule>
  </conditionalFormatting>
  <conditionalFormatting sqref="I1483">
    <cfRule type="cellIs" dxfId="27" priority="34" stopIfTrue="1" operator="equal">
      <formula>"н/д"</formula>
    </cfRule>
  </conditionalFormatting>
  <conditionalFormatting sqref="C1486">
    <cfRule type="cellIs" dxfId="26" priority="33" stopIfTrue="1" operator="equal">
      <formula>"н/д"</formula>
    </cfRule>
  </conditionalFormatting>
  <conditionalFormatting sqref="C1489">
    <cfRule type="cellIs" dxfId="25" priority="32" stopIfTrue="1" operator="equal">
      <formula>"н/д"</formula>
    </cfRule>
  </conditionalFormatting>
  <conditionalFormatting sqref="C1487">
    <cfRule type="cellIs" dxfId="24" priority="31" stopIfTrue="1" operator="equal">
      <formula>"н/д"</formula>
    </cfRule>
  </conditionalFormatting>
  <conditionalFormatting sqref="C1488">
    <cfRule type="cellIs" dxfId="23" priority="30" stopIfTrue="1" operator="equal">
      <formula>"н/д"</formula>
    </cfRule>
  </conditionalFormatting>
  <conditionalFormatting sqref="C1492">
    <cfRule type="cellIs" dxfId="22" priority="26" stopIfTrue="1" operator="equal">
      <formula>"н/д"</formula>
    </cfRule>
  </conditionalFormatting>
  <conditionalFormatting sqref="C1494:C1495 C1490:C1491">
    <cfRule type="cellIs" dxfId="21" priority="29" stopIfTrue="1" operator="equal">
      <formula>"н/д"</formula>
    </cfRule>
  </conditionalFormatting>
  <conditionalFormatting sqref="C1496">
    <cfRule type="cellIs" dxfId="20" priority="28" stopIfTrue="1" operator="equal">
      <formula>"н/д"</formula>
    </cfRule>
  </conditionalFormatting>
  <conditionalFormatting sqref="C1493">
    <cfRule type="cellIs" dxfId="19" priority="27" stopIfTrue="1" operator="equal">
      <formula>"н/д"</formula>
    </cfRule>
  </conditionalFormatting>
  <conditionalFormatting sqref="H4722:I4722">
    <cfRule type="cellIs" dxfId="18" priority="25" stopIfTrue="1" operator="equal">
      <formula>"н/д"</formula>
    </cfRule>
  </conditionalFormatting>
  <conditionalFormatting sqref="E4722 J4722 G4722">
    <cfRule type="cellIs" dxfId="17" priority="24" stopIfTrue="1" operator="equal">
      <formula>"н/д"</formula>
    </cfRule>
  </conditionalFormatting>
  <conditionalFormatting sqref="F4573">
    <cfRule type="cellIs" dxfId="16" priority="23" stopIfTrue="1" operator="equal">
      <formula>"н/д"</formula>
    </cfRule>
  </conditionalFormatting>
  <conditionalFormatting sqref="E2041 G2033 E2033 E2044 E2037 G2037 E2035 G2035">
    <cfRule type="cellIs" dxfId="15" priority="16" stopIfTrue="1" operator="equal">
      <formula>"н/д"</formula>
    </cfRule>
  </conditionalFormatting>
  <conditionalFormatting sqref="I2048">
    <cfRule type="cellIs" dxfId="14" priority="15" stopIfTrue="1" operator="equal">
      <formula>"н/д"</formula>
    </cfRule>
  </conditionalFormatting>
  <conditionalFormatting sqref="I2049">
    <cfRule type="cellIs" dxfId="13" priority="14" stopIfTrue="1" operator="equal">
      <formula>"н/д"</formula>
    </cfRule>
  </conditionalFormatting>
  <conditionalFormatting sqref="G2038">
    <cfRule type="cellIs" dxfId="12" priority="13" stopIfTrue="1" operator="equal">
      <formula>"н/д"</formula>
    </cfRule>
  </conditionalFormatting>
  <conditionalFormatting sqref="G2034">
    <cfRule type="cellIs" dxfId="11" priority="11" stopIfTrue="1" operator="equal">
      <formula>"н/д"</formula>
    </cfRule>
  </conditionalFormatting>
  <conditionalFormatting sqref="G2036">
    <cfRule type="cellIs" dxfId="10" priority="12" stopIfTrue="1" operator="equal">
      <formula>"н/д"</formula>
    </cfRule>
  </conditionalFormatting>
  <conditionalFormatting sqref="E2034 C2034">
    <cfRule type="cellIs" dxfId="9" priority="10" stopIfTrue="1" operator="equal">
      <formula>"н/д"</formula>
    </cfRule>
  </conditionalFormatting>
  <conditionalFormatting sqref="C2036 E2036">
    <cfRule type="cellIs" dxfId="8" priority="9" stopIfTrue="1" operator="equal">
      <formula>"н/д"</formula>
    </cfRule>
  </conditionalFormatting>
  <conditionalFormatting sqref="C2038 E2038">
    <cfRule type="cellIs" dxfId="7" priority="8" stopIfTrue="1" operator="equal">
      <formula>"н/д"</formula>
    </cfRule>
  </conditionalFormatting>
  <conditionalFormatting sqref="E2491">
    <cfRule type="cellIs" dxfId="6" priority="7" stopIfTrue="1" operator="equal">
      <formula>"н/д"</formula>
    </cfRule>
  </conditionalFormatting>
  <conditionalFormatting sqref="G2491">
    <cfRule type="cellIs" dxfId="5" priority="6" stopIfTrue="1" operator="equal">
      <formula>"н/д"</formula>
    </cfRule>
  </conditionalFormatting>
  <conditionalFormatting sqref="J2491">
    <cfRule type="cellIs" dxfId="4" priority="5" stopIfTrue="1" operator="equal">
      <formula>"н/д"</formula>
    </cfRule>
  </conditionalFormatting>
  <conditionalFormatting sqref="E141">
    <cfRule type="cellIs" dxfId="3" priority="4" stopIfTrue="1" operator="equal">
      <formula>"н/д"</formula>
    </cfRule>
  </conditionalFormatting>
  <conditionalFormatting sqref="C2968">
    <cfRule type="cellIs" dxfId="2" priority="3" stopIfTrue="1" operator="equal">
      <formula>"н/д"</formula>
    </cfRule>
  </conditionalFormatting>
  <conditionalFormatting sqref="C2969">
    <cfRule type="cellIs" dxfId="1" priority="2" stopIfTrue="1" operator="equal">
      <formula>"н/д"</formula>
    </cfRule>
  </conditionalFormatting>
  <conditionalFormatting sqref="C4127:D4127">
    <cfRule type="cellIs" dxfId="0" priority="1" stopIfTrue="1" operator="equal">
      <formula>"н/д"</formula>
    </cfRule>
  </conditionalFormatting>
  <dataValidations count="12">
    <dataValidation type="decimal" operator="greaterThan" allowBlank="1" showInputMessage="1" showErrorMessage="1" error="Введите положительное число." sqref="EQQ45:EQQ48 FAM45:FAM48 FKI45:FKI48 FUE45:FUE48 GEA45:GEA48 GNW45:GNW48 GXS45:GXS48 HHO45:HHO48 HRK45:HRK48 IBG45:IBG48 ILC45:ILC48 IUY45:IUY48 JEU45:JEU48 JOQ45:JOQ48 JYM45:JYM48 KII45:KII48 KSE45:KSE48 LCA45:LCA48 LLW45:LLW48 LVS45:LVS48 MFO45:MFO48 MPK45:MPK48 MZG45:MZG48 NJC45:NJC48 NSY45:NSY48 OCU45:OCU48 OMQ45:OMQ48 OWM45:OWM48 PGI45:PGI48 PQE45:PQE48 QAA45:QAA48 QJW45:QJW48 QTS45:QTS48 RDO45:RDO48 RNK45:RNK48 RXG45:RXG48 SHC45:SHC48 SQY45:SQY48 TAU45:TAU48 TKQ45:TKQ48 TUM45:TUM48 UEI45:UEI48 UOE45:UOE48 UYA45:UYA48 VHW45:VHW48 VRS45:VRS48 WBO45:WBO48 WLK45:WLK48 WVG45:WVG48 IW45:IW48 SS45:SS48 ACO45:ACO48 AMK45:AMK48 AWG45:AWG48 BGC45:BGC48 BPY45:BPY48 BZU45:BZU48 CJQ45:CJQ48 CTM45:CTM48 DDI45:DDI48 DNE45:DNE48 DXA45:DXA48 EGW45:EGW48 WLR574:WLS574 WVN574:WVO574 JB574:JC574 SX574:SY574 ACT574:ACU574 AMP574:AMQ574 AWL574:AWM574 BGH574:BGI574 BQD574:BQE574 BZZ574:CAA574 CJV574:CJW574 CTR574:CTS574 DDN574:DDO574 DNJ574:DNK574 DXF574:DXG574 EHB574:EHC574 EQX574:EQY574 FAT574:FAU574 FKP574:FKQ574 FUL574:FUM574 GEH574:GEI574 GOD574:GOE574 GXZ574:GYA574 HHV574:HHW574 HRR574:HRS574 IBN574:IBO574 ILJ574:ILK574 IVF574:IVG574 JFB574:JFC574 JOX574:JOY574 JYT574:JYU574 KIP574:KIQ574 KSL574:KSM574 LCH574:LCI574 LMD574:LME574 LVZ574:LWA574 MFV574:MFW574 MPR574:MPS574 MZN574:MZO574 NJJ574:NJK574 NTF574:NTG574 ODB574:ODC574 OMX574:OMY574 OWT574:OWU574 PGP574:PGQ574 PQL574:PQM574 QAH574:QAI574 QKD574:QKE574 QTZ574:QUA574 RDV574:RDW574 RNR574:RNS574 RXN574:RXO574 SHJ574:SHK574 SRF574:SRG574 TBB574:TBC574 TKX574:TKY574 TUT574:TUU574 UEP574:UEQ574 UOL574:UOM574 UYH574:UYI574 VID574:VIE574 VRZ574:VSA574 WBV574:WBW574 WVI171 WLM171 VQN3685 VGR3685 WAJ3685 WKF3685 WUB3685 HP3685 RL3685 ABH3685 ALD3685 AUZ3685 BEV3685 BOR3685 BYN3685 CIJ3685 CSF3685 DCB3685 DLX3685 DVT3685 EFP3685 EPL3685 EZH3685 FJD3685 FSZ3685 GCV3685 GMR3685 GWN3685 HGJ3685 HQF3685 IAB3685 IJX3685 ITT3685 JDP3685 JNL3685 JXH3685 KHD3685 KQZ3685 LAV3685 LKR3685 LUN3685 MEJ3685 MOF3685 MYB3685 NHX3685 NRT3685 OBP3685 OLL3685 OVH3685 PFD3685 POZ3685 PYV3685 QIR3685 QSN3685 RCJ3685 RMF3685 RWB3685 SFX3685 SPT3685 SZP3685 TJL3685 TTH3685 UDD3685 UMZ3685 UWV3685 WBQ171 VRU171 VHY171 UYC171 UOG171 UEK171 TUO171 TKS171 TAW171 SRA171 SHE171 RXI171 RNM171 RDQ171 QTU171 QJY171 QAC171 PQG171 PGK171 OWO171 OMS171 OCW171 NTA171 NJE171 MZI171 MPM171 MFQ171 LVU171 LLY171 LCC171 KSG171 KIK171 JYO171 JOS171 JEW171 IVA171 ILE171 IBI171 HRM171 HHQ171 GXU171 GNY171 GEC171 FUG171 FKK171 FAO171 EQS171 EGW171 DXA171 DNE171 DDI171 CTM171 CJQ171 BZU171 BPY171 BGC171 AWG171 AMK171 ACO171 SS171 IW171 WLQ1222 WVM1222 IY1222 SU1222 ACQ1222 AMM1222 AWI1222 BGE1222 BQA1222 BZW1222 CJS1222 CTO1222 DDK1222 DNG1222 DXC1222 EGY1222 EQU1222 FAQ1222 FKM1222 FUI1222 GEE1222 GOA1222 GXW1222 HHS1222 HRO1222 IBK1222 ILG1222 IVC1222 JEY1222 JOU1222 JYQ1222 KIM1222 KSI1222 LCE1222 LMA1222 LVW1222 MFS1222 MPO1222 MZK1222 NJG1222 NTC1222 OCY1222 OMU1222 OWQ1222 PGM1222 PQI1222 QAE1222 QKA1222 QTW1222 RDS1222 RNO1222 RXK1222 SHG1222 SRC1222 TAY1222 TKU1222 TUQ1222 UEM1222 UOI1222 UYE1222 VIA1222 VRW1222 WBS1222 WLO1222 WVK1222 JA1222 SW1222 ACS1222 AMO1222 AWK1222 BGG1222 BQC1222 BZY1222 CJU1222 CTQ1222 DDM1222 DNI1222 DXE1222 EHA1222 EQW1222 FAS1222 FKO1222 FUK1222 GEG1222 GOC1222 GXY1222 HHU1222 HRQ1222 IBM1222 ILI1222 IVE1222 JFA1222 JOW1222 JYS1222 KIO1222 KSK1222 LCG1222 LMC1222 LVY1222 MFU1222 MPQ1222 MZM1222 NJI1222 NTE1222 ODA1222 OMW1222 OWS1222 PGO1222 PQK1222 QAG1222 QKC1222 QTY1222 RDU1222 RNQ1222 RXM1222 SHI1222 SRE1222 TBA1222 TKW1222 TUS1222 UEO1222 UOK1222 UYG1222 VIC1222 VRY1222 WBU1222 E1928 WVG171 WLK171 EQS45:EQS48 FAO45:FAO48 FKK45:FKK48 FUG45:FUG48 GEC45:GEC48 GNY45:GNY48 GXU45:GXU48 HHQ45:HHQ48 HRM45:HRM48 IBI45:IBI48 ILE45:ILE48 IVA45:IVA48 JEW45:JEW48 JOS45:JOS48 JYO45:JYO48 KIK45:KIK48 KSG45:KSG48 LCC45:LCC48 LLY45:LLY48 LVU45:LVU48 MFQ45:MFQ48 MPM45:MPM48 MZI45:MZI48 NJE45:NJE48 NTA45:NTA48 OCW45:OCW48 OMS45:OMS48 OWO45:OWO48 PGK45:PGK48 PQG45:PQG48 QAC45:QAC48 QJY45:QJY48 QTU45:QTU48 RDQ45:RDQ48 RNM45:RNM48 RXI45:RXI48 SHE45:SHE48 SRA45:SRA48 TAW45:TAW48 TKS45:TKS48 TUO45:TUO48 UEK45:UEK48 UOG45:UOG48 UYC45:UYC48 VHY45:VHY48 VRU45:VRU48 WBQ45:WBQ48 WLM45:WLM48 WVI45:WVI48 GJ28:GJ29 E55:E57 E208 G208 E86 E286:E288 E193:E194 G28:G29 E133:E136 E157 E183:E185 E273:E275 E278:E280 ACM171 WBO171 VRS171 VHW171 UYA171 UOE171 UEI171 TUM171 TKQ171 TAU171 SQY171 SHC171 RXG171 RNK171 RDO171 QTS171 QJW171 QAA171 PQE171 PGI171 OWM171 OMQ171 OCU171 NSY171 NJC171 MZG171 MPK171 MFO171 LVS171 LLW171 LCA171 KSE171 KII171 JYM171 JOQ171 JEU171 IUY171 ILC171 IBG171 HRK171 HHO171 GXS171 GNW171 GEA171 FUE171 FKI171 FAM171 EQQ171 EGU171 DWY171 DNC171 DDG171 CTK171 CJO171 BZS171 BPW171 BGA171 AWE171 AMI171 E298:E299 SQ171 IU171 G261 E261 E71:E73 G273 E312:E314 E23 E45:E48 G45:G48 GL28:GL29 E4697:E4698 E155 E163 E151 E166:E167 E213:E215 E1474:E1475 E210:E211 G210:G211 E201 E171 G171 IU45:IU48 SQ45:SQ48 ACM45:ACM48 AMI45:AMI48 AWE45:AWE48 BGA45:BGA48 BPW45:BPW48 BZS45:BZS48 CJO45:CJO48 CTK45:CTK48 DDG45:DDG48 DNC45:DNC48 DWY45:DWY48 EGU45:EGU48 WAJ4554 WKF4554 WUB4554 HP4554 RL4554 ABH4554 ALD4554 AUZ4554 BEV4554 BOR4554 BYN4554 CIJ4554 CSF4554 DCB4554 DLX4554 DVT4554 EFP4554 EPL4554 EZH4554 FJD4554 FSZ4554 GCV4554 GMR4554 GWN4554 HGJ4554 HQF4554 IAB4554 IJX4554 ITT4554 JDP4554 JNL4554 JXH4554 KHD4554 KQZ4554 LAV4554 LKR4554 LUN4554 MEJ4554 MOF4554 MYB4554 NHX4554 NRT4554 OBP4554 OLL4554 OVH4554 PFD4554 POZ4554 PYV4554 QIR4554 QSN4554 RCJ4554 RMF4554 RWB4554 SFX4554 SPT4554 SZP4554 TJL4554 TTH4554 UDD4554 UMZ4554 UWV4554 VGR4554 VQN4554 G4697:G4698 E27:E29 E1216:E1227 E3915 E4278:E4279 E3081:E3082 E140:E142 G3915 G2744 G3893:G3894 G1216:G1227 E3893:E3894 E2744 E113 G4356 E4356 E4358 G4358 E1548:E1549 G2655:G2658 E2655:E2658 E2734:E2737 G2734:G2737 E1532 E1515:E1518 E1527 E1538 E1504 G3875 E3875 E3089:E3090 E3071 E3073:E3074 E3076:E3078">
      <formula1>0</formula1>
    </dataValidation>
    <dataValidation type="whole" operator="greaterThanOrEqual" allowBlank="1" showInputMessage="1" showErrorMessage="1" error="Введите целое положительное число." sqref="FGM4424:FGN4424 FQI4424:FQJ4424 GAE4424:GAF4424 GKA4424:GKB4424 GTW4424:GTX4424 HDS4424:HDT4424 HNO4424:HNP4424 HXK4424:HXL4424 IHG4424:IHH4424 IRC4424:IRD4424 JAY4424:JAZ4424 JKU4424:JKV4424 JUQ4424:JUR4424 KEM4424:KEN4424 KOI4424:KOJ4424 KYE4424:KYF4424 LIA4424:LIB4424 LRW4424:LRX4424 MBS4424:MBT4424 MLO4424:MLP4424 MVK4424:MVL4424 NFG4424:NFH4424 NPC4424:NPD4424 NYY4424:NYZ4424 OIU4424:OIV4424 OSQ4424:OSR4424 PCM4424:PCN4424 PMI4424:PMJ4424 PWE4424:PWF4424 QGA4424:QGB4424 QPW4424:QPX4424 QZS4424:QZT4424 RJO4424:RJP4424 RTK4424:RTL4424 SDG4424:SDH4424 SNC4424:SND4424 SWY4424:SWZ4424 TGU4424:TGV4424 TQQ4424:TQR4424 UAM4424:UAN4424 UKI4424:UKJ4424 UUE4424:UUF4424 VEA4424:VEB4424 VNW4424:VNX4424 VXS4424:VXT4424 WHO4424:WHP4424 WRK4424:WRL4424 EY4424:EZ4424 OU4228:OV4228 OU4424:OV4424 YQ4424:YR4424 H1275:J1275 H1331:J1331 H1277:J1277 WRI1092:WRJ1092 EW1092:EX1092 H1230:J1230 H678:I678 YQ4228:YR4228 AIM4228:AIN4228 ASI4228:ASJ4228 BCE4228:BCF4228 BMA4228:BMB4228 BVW4228:BVX4228 CFS4228:CFT4228 CPO4228:CPP4228 CZK4228:CZL4228 DJG4228:DJH4228 DTC4228:DTD4228 ECY4228:ECZ4228 EMU4228:EMV4228 EWQ4228:EWR4228 FGM4228:FGN4228 FQI4228:FQJ4228 GAE4228:GAF4228 GKA4228:GKB4228 GTW4228:GTX4228 HDS4228:HDT4228 HNO4228:HNP4228 HXK4228:HXL4228 IHG4228:IHH4228 IRC4228:IRD4228 JAY4228:JAZ4228 JKU4228:JKV4228 JUQ4228:JUR4228 KEM4228:KEN4228 KOI4228:KOJ4228 KYE4228:KYF4228 LIA4228:LIB4228 LRW4228:LRX4228 MBS4228:MBT4228 MLO4228:MLP4228 MVK4228:MVL4228 NFG4228:NFH4228 NPC4228:NPD4228 NYY4228:NYZ4228 OIU4228:OIV4228 OSQ4228:OSR4228 PCM4228:PCN4228 PMI4228:PMJ4228 PWE4228:PWF4228 QGA4228:QGB4228 QPW4228:QPX4228 QZS4228:QZT4228 RJO4228:RJP4228 RTK4228:RTL4228 SDG4228:SDH4228 SNC4228:SND4228 SWY4228:SWZ4228 TGU4228:TGV4228 TQQ4228:TQR4228 UAM4228:UAN4228 UKI4228:UKJ4228 UUE4228:UUF4228 VEA4228:VEB4228 VNW4228:VNX4228 VXS4228:VXT4228 WHO4228:WHP4228 WRK4228:WRL4228 EY4228:EZ4228 H2727:I2727 AIM4424:AIN4424 WQT3856:WQU3857 WGX3856:WGY3857 VXB3856:VXC3857 VNF3856:VNG3857 VDJ3856:VDK3857 UTN3856:UTO3857 UJR3856:UJS3857 TZV3856:TZW3857 TPZ3856:TQA3857 TGD3856:TGE3857 SWH3856:SWI3857 SML3856:SMM3857 SCP3856:SCQ3857 RST3856:RSU3857 RIX3856:RIY3857 QZB3856:QZC3857 QPF3856:QPG3857 QFJ3856:QFK3857 PVN3856:PVO3857 PLR3856:PLS3857 PBV3856:PBW3857 ORZ3856:OSA3857 OID3856:OIE3857 NYH3856:NYI3857 NOL3856:NOM3857 NEP3856:NEQ3857 MUT3856:MUU3857 MKX3856:MKY3857 MBB3856:MBC3857 LRF3856:LRG3857 LHJ3856:LHK3857 KXN3856:KXO3857 KNR3856:KNS3857 KDV3856:KDW3857 JTZ3856:JUA3857 JKD3856:JKE3857 JAH3856:JAI3857 IQL3856:IQM3857 IGP3856:IGQ3857 HWT3856:HWU3857 HMX3856:HMY3857 HDB3856:HDC3857 GTF3856:GTG3857 GJJ3856:GJK3857 FZN3856:FZO3857 FPR3856:FPS3857 FFV3856:FFW3857 EVZ3856:EWA3857 EMD3856:EME3857 ECH3856:ECI3857 DSL3856:DSM3857 DIP3856:DIQ3857 CYT3856:CYU3857 COX3856:COY3857 CFB3856:CFC3857 BVF3856:BVG3857 BLJ3856:BLK3857 BBN3856:BBO3857 ARR3856:ARS3857 AHV3856:AHW3857 XZ3856:YA3857 OD3856:OE3857 EH3856:EI3857 WQT3862:WQU3862 WGX3862:WGY3862 VXB3862:VXC3862 VNF3862:VNG3862 VDJ3862:VDK3862 UTN3862:UTO3862 UJR3862:UJS3862 TZV3862:TZW3862 TPZ3862:TQA3862 TGD3862:TGE3862 SWH3862:SWI3862 SML3862:SMM3862 SCP3862:SCQ3862 RST3862:RSU3862 RIX3862:RIY3862 QZB3862:QZC3862 QPF3862:QPG3862 QFJ3862:QFK3862 PVN3862:PVO3862 PLR3862:PLS3862 PBV3862:PBW3862 ORZ3862:OSA3862 OID3862:OIE3862 NYH3862:NYI3862 NOL3862:NOM3862 NEP3862:NEQ3862 MUT3862:MUU3862 MKX3862:MKY3862 MBB3862:MBC3862 LRF3862:LRG3862 LHJ3862:LHK3862 KXN3862:KXO3862 KNR3862:KNS3862 KDV3862:KDW3862 JTZ3862:JUA3862 JKD3862:JKE3862 JAH3862:JAI3862 IQL3862:IQM3862 IGP3862:IGQ3862 HWT3862:HWU3862 HMX3862:HMY3862 HDB3862:HDC3862 GTF3862:GTG3862 GJJ3862:GJK3862 FZN3862:FZO3862 FPR3862:FPS3862 FFV3862:FFW3862 EVZ3862:EWA3862 EMD3862:EME3862 ECH3862:ECI3862 DSL3862:DSM3862 DIP3862:DIQ3862 CYT3862:CYU3862 COX3862:COY3862 CFB3862:CFC3862 BVF3862:BVG3862 BLJ3862:BLK3862 BBN3862:BBO3862 ARR3862:ARS3862 AHV3862:AHW3862 XZ3862:YA3862 OD3862:OE3862 EH3862:EI3862 WQT3865:WQU3865 WGX3865:WGY3865 VXB3865:VXC3865 VNF3865:VNG3865 VDJ3865:VDK3865 UTN3865:UTO3865 UJR3865:UJS3865 TZV3865:TZW3865 TPZ3865:TQA3865 TGD3865:TGE3865 SWH3865:SWI3865 SML3865:SMM3865 SCP3865:SCQ3865 RST3865:RSU3865 RIX3865:RIY3865 QZB3865:QZC3865 QPF3865:QPG3865 QFJ3865:QFK3865 PVN3865:PVO3865 PLR3865:PLS3865 PBV3865:PBW3865 ORZ3865:OSA3865 OID3865:OIE3865 NYH3865:NYI3865 NOL3865:NOM3865 NEP3865:NEQ3865 MUT3865:MUU3865 MKX3865:MKY3865 MBB3865:MBC3865 LRF3865:LRG3865 LHJ3865:LHK3865 KXN3865:KXO3865 KNR3865:KNS3865 KDV3865:KDW3865 JTZ3865:JUA3865 JKD3865:JKE3865 JAH3865:JAI3865 IQL3865:IQM3865 IGP3865:IGQ3865 HWT3865:HWU3865 HMX3865:HMY3865 HDB3865:HDC3865 GTF3865:GTG3865 GJJ3865:GJK3865 FZN3865:FZO3865 FPR3865:FPS3865 FFV3865:FFW3865 EVZ3865:EWA3865 EMD3865:EME3865 ECH3865:ECI3865 DSL3865:DSM3865 DIP3865:DIQ3865 CYT3865:CYU3865 COX3865:COY3865 CFB3865:CFC3865 BVF3865:BVG3865 BLJ3865:BLK3865 BBN3865:BBO3865 ARR3865:ARS3865 AHV3865:AHW3865 XZ3865:YA3865 OD3865:OE3865 EH3865:EI3865 OS1092:OT1092 YO1092:YP1092 AIK1092:AIL1092 ASG1092:ASH1092 BCC1092:BCD1092 BLY1092:BLZ1092 BVU1092:BVV1092 CFQ1092:CFR1092 CPM1092:CPN1092 CZI1092:CZJ1092 DJE1092:DJF1092 DTA1092:DTB1092 ECW1092:ECX1092 EMS1092:EMT1092 EWO1092:EWP1092 FGK1092:FGL1092 FQG1092:FQH1092 GAC1092:GAD1092 GJY1092:GJZ1092 GTU1092:GTV1092 HDQ1092:HDR1092 HNM1092:HNN1092 HXI1092:HXJ1092 IHE1092:IHF1092 IRA1092:IRB1092 JAW1092:JAX1092 JKS1092:JKT1092 JUO1092:JUP1092 KEK1092:KEL1092 KOG1092:KOH1092 KYC1092:KYD1092 LHY1092:LHZ1092 LRU1092:LRV1092 MBQ1092:MBR1092 MLM1092:MLN1092 MVI1092:MVJ1092 NFE1092:NFF1092 NPA1092:NPB1092 NYW1092:NYX1092 OIS1092:OIT1092 OSO1092:OSP1092 PCK1092:PCL1092 PMG1092:PMH1092 PWC1092:PWD1092 QFY1092:QFZ1092 QPU1092:QPV1092 QZQ1092:QZR1092 RJM1092:RJN1092 RTI1092:RTJ1092 SDE1092:SDF1092 SNA1092:SNB1092 SWW1092:SWX1092 TGS1092:TGT1092 TQO1092:TQP1092 UAK1092:UAL1092 UKG1092:UKH1092 UUC1092:UUD1092 VDY1092:VDZ1092 VNU1092:VNV1092 VXQ1092:VXR1092 WHM1092:WHN1092 ASI4424:ASJ4424 BCE4424:BCF4424 BMA4424:BMB4424 BVW4424:BVX4424 CFS4424:CFT4424 CPO4424:CPP4424 CZK4424:CZL4424 DJG4424:DJH4424 H2843:J2844 WRI2590:WRJ2590 WHM2590:WHN2590 VXQ2590:VXR2590 VNU2590:VNV2590 VDY2590:VDZ2590 UUC2590:UUD2590 UKG2590:UKH2590 UAK2590:UAL2590 TQO2590:TQP2590 TGS2590:TGT2590 SWW2590:SWX2590 SNA2590:SNB2590 SDE2590:SDF2590 RTI2590:RTJ2590 RJM2590:RJN2590 QZQ2590:QZR2590 QPU2590:QPV2590 QFY2590:QFZ2590 PWC2590:PWD2590 PMG2590:PMH2590 PCK2590:PCL2590 OSO2590:OSP2590 OIS2590:OIT2590 NYW2590:NYX2590 NPA2590:NPB2590 NFE2590:NFF2590 MVI2590:MVJ2590 MLM2590:MLN2590 MBQ2590:MBR2590 LRU2590:LRV2590 LHY2590:LHZ2590 KYC2590:KYD2590 KOG2590:KOH2590 KEK2590:KEL2590 JUO2590:JUP2590 JKS2590:JKT2590 JAW2590:JAX2590 IRA2590:IRB2590 IHE2590:IHF2590 HXI2590:HXJ2590 HNM2590:HNN2590 HDQ2590:HDR2590 GTU2590:GTV2590 GJY2590:GJZ2590 GAC2590:GAD2590 FQG2590:FQH2590 FGK2590:FGL2590 EWO2590:EWP2590 EMS2590:EMT2590 ECW2590:ECX2590 DTA2590:DTB2590 DJE2590:DJF2590 CZI2590:CZJ2590 CPM2590:CPN2590 CFQ2590:CFR2590 BVU2590:BVV2590 BLY2590:BLZ2590 BCC2590:BCD2590 ASG2590:ASH2590 AIK2590:AIL2590 YO2590:YP2590 OS2590:OT2590 EW2590:EX2590 BBN1156:BBO1157 BLJ1156:BLK1157 BVF1156:BVG1157 CFB1156:CFC1157 WGX4722:WGY4722 COX1156:COY1157 H2738:J2738 CYT1156:CYU1157 DIP1156:DIQ1157 DSL1156:DSM1157 ECH1156:ECI1157 EMD1156:EME1157 EVZ1156:EWA1157 FFV1156:FFW1157 FPR1156:FPS1157 FZN1156:FZO1157 GJJ1156:GJK1157 GTF1156:GTG1157 HDB1156:HDC1157 HMX1156:HMY1157 HWT1156:HWU1157 IGP1156:IGQ1157 IQL1156:IQM1157 JAH1156:JAI1157 JKD1156:JKE1157 JTZ1156:JUA1157 KDV1156:KDW1157 KNR1156:KNS1157 KXN1156:KXO1157 LHJ1156:LHK1157 LRF1156:LRG1157 MBB1156:MBC1157 MKX1156:MKY1157 MUT1156:MUU1157 NEP1156:NEQ1157 NOL1156:NOM1157 NYH1156:NYI1157 OID1156:OIE1157 ORZ1156:OSA1157 PBV1156:PBW1157 PLR1156:PLS1157 PVN1156:PVO1157 QFJ1156:QFK1157 QPF1156:QPG1157 QZB1156:QZC1157 RIX1156:RIY1157 RST1156:RSU1157 SCP1156:SCQ1157 SML1156:SMM1157 SWH1156:SWI1157 TGD1156:TGE1157 TPZ1156:TQA1157 TZV1156:TZW1157 UJR1156:UJS1157 UTN1156:UTO1157 VDJ1156:VDK1157 VNF1156:VNG1157 VXB1156:VXC1157 WGX1156:WGY1157 WQT1156:WQU1157 EH1154:EI1154 OD1154:OE1154 XZ1154:YA1154 AHV1154:AHW1154 ARR1154:ARS1154 BBN1154:BBO1154 BLJ1154:BLK1154 BVF1154:BVG1154 CFB1154:CFC1154 COX1154:COY1154 CYT1154:CYU1154 DIP1154:DIQ1154 DSL1154:DSM1154 ECH1154:ECI1154 EMD1154:EME1154 EVZ1154:EWA1154 FFV1154:FFW1154 FPR1154:FPS1154 FZN1154:FZO1154 GJJ1154:GJK1154 GTF1154:GTG1154 HDB1154:HDC1154 HMX1154:HMY1154 HWT1154:HWU1154 IGP1154:IGQ1154 IQL1154:IQM1154 JAH1154:JAI1154 JKD1154:JKE1154 JTZ1154:JUA1154 KDV1154:KDW1154 KNR1154:KNS1154 KXN1154:KXO1154 LHJ1154:LHK1154 LRF1154:LRG1154 MBB1154:MBC1154 MKX1154:MKY1154 MUT1154:MUU1154 NEP1154:NEQ1154 NOL1154:NOM1154 NYH1154:NYI1154 OID1154:OIE1154 ORZ1154:OSA1154 PBV1154:PBW1154 PLR1154:PLS1154 PVN1154:PVO1154 QFJ1154:QFK1154 QPF1154:QPG1154 QZB1154:QZC1154 RIX1154:RIY1154 RST1154:RSU1154 SCP1154:SCQ1154 SML1154:SMM1154 SWH1154:SWI1154 TGD1154:TGE1154 TPZ1154:TQA1154 TZV1154:TZW1154 UJR1154:UJS1154 UTN1154:UTO1154 VDJ1154:VDK1154 VNF1154:VNG1154 VXB1154:VXC1154 WGX1154:WGY1154 WQT1154:WQU1154 TZV1163:TZW1163 UJR1163:UJS1163 UTN1163:UTO1163 VDJ1163:VDK1163 VNF1163:VNG1163 WQT1152:WQU1152 WGX1152:WGY1152 VXB1152:VXC1152 VNF1152:VNG1152 VDJ1152:VDK1152 UTN1152:UTO1152 UJR1152:UJS1152 TZV1152:TZW1152 TPZ1152:TQA1152 TGD1152:TGE1152 SWH1152:SWI1152 SML1152:SMM1152 SCP1152:SCQ1152 RST1152:RSU1152 RIX1152:RIY1152 QZB1152:QZC1152 QPF1152:QPG1152 QFJ1152:QFK1152 PVN1152:PVO1152 PLR1152:PLS1152 PBV1152:PBW1152 ORZ1152:OSA1152 OID1152:OIE1152 NYH1152:NYI1152 NOL1152:NOM1152 NEP1152:NEQ1152 MUT1152:MUU1152 MKX1152:MKY1152 MBB1152:MBC1152 LRF1152:LRG1152 LHJ1152:LHK1152 KXN1152:KXO1152 KNR1152:KNS1152 KDV1152:KDW1152 JTZ1152:JUA1152 JKD1152:JKE1152 JAH1152:JAI1152 IQL1152:IQM1152 IGP1152:IGQ1152 HWT1152:HWU1152 HMX1152:HMY1152 HDB1152:HDC1152 GTF1152:GTG1152 GJJ1152:GJK1152 FZN1152:FZO1152 FPR1152:FPS1152 FFV1152:FFW1152 EVZ1152:EWA1152 EMD1152:EME1152 ECH1152:ECI1152 DSL1152:DSM1152 DIP1152:DIQ1152 CYT1152:CYU1152 COX1152:COY1152 CFB1152:CFC1152 BVF1152:BVG1152 BLJ1152:BLK1152 BBN1152:BBO1152 ARR1152:ARS1152 AHV1152:AHW1152 XZ1152:YA1152 OD1152:OE1152 DTC4424:DTD4424 ECY4424:ECZ4424 EMU4424:EMV4424 EWQ4424:EWR4424 EH1152:EI1152 VXB1163:VXC1163 WGX1163:WGY1163 WQT1163:WQU1163 EH1163:EI1163 OD1163:OE1163 XZ1163:YA1163 AHV1163:AHW1163 ARR1163:ARS1163 BBN1163:BBO1163 BLJ1163:BLK1163 BVF1163:BVG1163 CFB1163:CFC1163 COX1163:COY1163 CYT1163:CYU1163 DIP1163:DIQ1163 DSL1163:DSM1163 ECH1163:ECI1163 EMD1163:EME1163 EVZ1163:EWA1163 FFV1163:FFW1163 FPR1163:FPS1163 FZN1163:FZO1163 GJJ1163:GJK1163 GTF1163:GTG1163 HDB1163:HDC1163 HMX1163:HMY1163 HWT1163:HWU1163 IGP1163:IGQ1163 IQL1163:IQM1163 JAH1163:JAI1163 JKD1163:JKE1163 JTZ1163:JUA1163 KDV1163:KDW1163 KNR1163:KNS1163 KXN1163:KXO1163 LHJ1163:LHK1163 LRF1163:LRG1163 MBB1163:MBC1163 MKX1163:MKY1163 MUT1163:MUU1163 NEP1163:NEQ1163 NOL1163:NOM1163 NYH1163:NYI1163 OID1163:OIE1163 ORZ1163:OSA1163 PBV1163:PBW1163 PLR1163:PLS1163 PVN1163:PVO1163 QFJ1163:QFK1163 QPF1163:QPG1163 QZB1163:QZC1163 RIX1163:RIY1163 RST1163:RSU1163 SCP1163:SCQ1163 SML1163:SMM1163 SWH1163:SWI1163 TGD1163:TGE1163 H1157:J1157 H1136:I1136 TPZ1163:TQA1163 EH1156:EI1157 OD1156:OE1157 XZ1156:YA1157 AHV1156:AHW1157 ARR1156:ARS1157 H2681:I2681 H2635:I2635 TGD2686:TGE2686 SWH2686:SWI2686 SML2686:SMM2686 SCP2686:SCQ2686 RST2686:RSU2686 RIX2686:RIY2686 QZB2686:QZC2686 QPF2686:QPG2686 QFJ2686:QFK2686 PVN2686:PVO2686 PLR2686:PLS2686 PBV2686:PBW2686 ORZ2686:OSA2686 OID2686:OIE2686 NYH2686:NYI2686 NOL2686:NOM2686 NEP2686:NEQ2686 MUT2686:MUU2686 MKX2686:MKY2686 MBB2686:MBC2686 LRF2686:LRG2686 LHJ2686:LHK2686 KXN2686:KXO2686 KNR2686:KNS2686 KDV2686:KDW2686 JTZ2686:JUA2686 JKD2686:JKE2686 JAH2686:JAI2686 IQL2686:IQM2686 IGP2686:IGQ2686 HWT2686:HWU2686 HMX2686:HMY2686 HDB2686:HDC2686 GTF2686:GTG2686 GJJ2686:GJK2686 FZN2686:FZO2686 FPR2686:FPS2686 FFV2686:FFW2686 EVZ2686:EWA2686 EMD2686:EME2686 ECH2686:ECI2686 DSL2686:DSM2686 DIP2686:DIQ2686 CYT2686:CYU2686 COX2686:COY2686 CFB2686:CFC2686 BVF2686:BVG2686 BLJ2686:BLK2686 BBN2686:BBO2686 ARR2686:ARS2686 AHV2686:AHW2686 XZ2686:YA2686 OD2686:OE2686 EH2686:EI2686 WQT2686:WQU2686 WGX2686:WGY2686 VXB2686:VXC2686 EH2675:EI2675 OD2675:OE2675 XZ2675:YA2675 AHV2675:AHW2675 ARR2675:ARS2675 BBN2675:BBO2675 BLJ2675:BLK2675 BVF2675:BVG2675 CFB2675:CFC2675 COX2675:COY2675 CYT2675:CYU2675 DIP2675:DIQ2675 DSL2675:DSM2675 ECH2675:ECI2675 EMD2675:EME2675 EVZ2675:EWA2675 FFV2675:FFW2675 FPR2675:FPS2675 FZN2675:FZO2675 GJJ2675:GJK2675 GTF2675:GTG2675 HDB2675:HDC2675 HMX2675:HMY2675 HWT2675:HWU2675 IGP2675:IGQ2675 IQL2675:IQM2675 JAH2675:JAI2675 JKD2675:JKE2675 JTZ2675:JUA2675 KDV2675:KDW2675 KNR2675:KNS2675 KXN2675:KXO2675 LHJ2675:LHK2675 LRF2675:LRG2675 MBB2675:MBC2675 MKX2675:MKY2675 MUT2675:MUU2675 NEP2675:NEQ2675 NOL2675:NOM2675 NYH2675:NYI2675 OID2675:OIE2675 ORZ2675:OSA2675 PBV2675:PBW2675 PLR2675:PLS2675 PVN2675:PVO2675 QFJ2675:QFK2675 QPF2675:QPG2675 QZB2675:QZC2675 RIX2675:RIY2675 RST2675:RSU2675 SCP2675:SCQ2675 SML2675:SMM2675 SWH2675:SWI2675 TGD2675:TGE2675 TPZ2675:TQA2675 TZV2675:TZW2675 UJR2675:UJS2675 UTN2675:UTO2675 VDJ2675:VDK2675 VNF2675:VNG2675 VXB2675:VXC2675 WGX2675:WGY2675 WQT2675:WQU2675 VNF2686:VNG2686 VDJ2686:VDK2686 XZ2691:YA2692 AHV2691:AHW2692 ARR2691:ARS2692 BBN2691:BBO2692 BLJ2691:BLK2692 BVF2691:BVG2692 CFB2691:CFC2692 COX2691:COY2692 CYT2691:CYU2692 DIP2691:DIQ2692 DSL2691:DSM2692 ECH2691:ECI2692 EMD2691:EME2692 EVZ2691:EWA2692 FFV2691:FFW2692 FPR2691:FPS2692 FZN2691:FZO2692 GJJ2691:GJK2692 GTF2691:GTG2692 HDB2691:HDC2692 HMX2691:HMY2692 HWT2691:HWU2692 IGP2691:IGQ2692 IQL2691:IQM2692 JAH2691:JAI2692 JKD2691:JKE2692 JTZ2691:JUA2692 KDV2691:KDW2692 KNR2691:KNS2692 KXN2691:KXO2692 LHJ2691:LHK2692 LRF2691:LRG2692 MBB2691:MBC2692 MKX2691:MKY2692 MUT2691:MUU2692 NEP2691:NEQ2692 NOL2691:NOM2692 NYH2691:NYI2692 OID2691:OIE2692 ORZ2691:OSA2692 PBV2691:PBW2692 PLR2691:PLS2692 PVN2691:PVO2692 QFJ2691:QFK2692 QPF2691:QPG2692 QZB2691:QZC2692 RIX2691:RIY2692 RST2691:RSU2692 SCP2691:SCQ2692 SML2691:SMM2692 SWH2691:SWI2692 TGD2691:TGE2692 TPZ2691:TQA2692 TZV2691:TZW2692 UJR2691:UJS2692 UTN2691:UTO2692 VDJ2691:VDK2692 VNF2691:VNG2692 VXB2691:VXC2692 WGX2691:WGY2692 WQT2691:WQU2692 EH2691:EI2692 WGX2702:WGY2702 VXB2702:VXC2702 VNF2702:VNG2702 VDJ2702:VDK2702 UTN2702:UTO2702 UJR2702:UJS2702 TZV2702:TZW2702 TPZ2702:TQA2702 TGD2702:TGE2702 SWH2702:SWI2702 SML2702:SMM2702 SCP2702:SCQ2702 RST2702:RSU2702 RIX2702:RIY2702 QZB2702:QZC2702 QPF2702:QPG2702 QFJ2702:QFK2702 PVN2702:PVO2702 PLR2702:PLS2702 PBV2702:PBW2702 ORZ2702:OSA2702 OID2702:OIE2702 NYH2702:NYI2702 NOL2702:NOM2702 NEP2702:NEQ2702 MUT2702:MUU2702 MKX2702:MKY2702 MBB2702:MBC2702 LRF2702:LRG2702 LHJ2702:LHK2702 KXN2702:KXO2702 KNR2702:KNS2702 KDV2702:KDW2702 JTZ2702:JUA2702 JKD2702:JKE2702 JAH2702:JAI2702 IQL2702:IQM2702 IGP2702:IGQ2702 HWT2702:HWU2702 HMX2702:HMY2702 HDB2702:HDC2702 GTF2702:GTG2702 GJJ2702:GJK2702 FZN2702:FZO2702 FPR2702:FPS2702 FFV2702:FFW2702 EVZ2702:EWA2702 EMD2702:EME2702 ECH2702:ECI2702 DSL2702:DSM2702 DIP2702:DIQ2702 CYT2702:CYU2702 COX2702:COY2702 CFB2702:CFC2702 BVF2702:BVG2702 BLJ2702:BLK2702 BBN2702:BBO2702 ARR2702:ARS2702 AHV2702:AHW2702 XZ2702:YA2702 OD2702:OE2702 EH2702:EI2702 OD2691:OE2692 UTN2686:UTO2686 WQT2707:WQU2707 WGX2707:WGY2707 VXB2707:VXC2707 VNF2707:VNG2707 VDJ2707:VDK2707 UTN2707:UTO2707 UJR2707:UJS2707 TZV2707:TZW2707 TPZ2707:TQA2707 TGD2707:TGE2707 SWH2707:SWI2707 SML2707:SMM2707 SCP2707:SCQ2707 RST2707:RSU2707 RIX2707:RIY2707 QZB2707:QZC2707 QPF2707:QPG2707 QFJ2707:QFK2707 PVN2707:PVO2707 PLR2707:PLS2707 PBV2707:PBW2707 ORZ2707:OSA2707 OID2707:OIE2707 NYH2707:NYI2707 NOL2707:NOM2707 NEP2707:NEQ2707 MUT2707:MUU2707 MKX2707:MKY2707 MBB2707:MBC2707 LRF2707:LRG2707 LHJ2707:LHK2707 KXN2707:KXO2707 KNR2707:KNS2707 KDV2707:KDW2707 JTZ2707:JUA2707 JKD2707:JKE2707 JAH2707:JAI2707 IQL2707:IQM2707 IGP2707:IGQ2707 HWT2707:HWU2707 HMX2707:HMY2707 HDB2707:HDC2707 GTF2707:GTG2707 GJJ2707:GJK2707 FZN2707:FZO2707 FPR2707:FPS2707 FFV2707:FFW2707 EVZ2707:EWA2707 EMD2707:EME2707 ECH2707:ECI2707 DSL2707:DSM2707 DIP2707:DIQ2707 CYT2707:CYU2707 COX2707:COY2707 CFB2707:CFC2707 BVF2707:BVG2707 BLJ2707:BLK2707 BBN2707:BBO2707 ARR2707:ARS2707 AHV2707:AHW2707 XZ2707:YA2707 OD2707:OE2707 EH2707:EI2707 UJR2686:UJS2686 WQT2702:WQU2702 TZV2686:TZW2686 WQT2677:WQU2677 WGX2677:WGY2677 VXB2677:VXC2677 VNF2677:VNG2677 VDJ2677:VDK2677 UTN2677:UTO2677 UJR2677:UJS2677 TZV2677:TZW2677 TPZ2677:TQA2677 TGD2677:TGE2677 SWH2677:SWI2677 SML2677:SMM2677 SCP2677:SCQ2677 RST2677:RSU2677 RIX2677:RIY2677 QZB2677:QZC2677 QPF2677:QPG2677 QFJ2677:QFK2677 PVN2677:PVO2677 PLR2677:PLS2677 PBV2677:PBW2677 ORZ2677:OSA2677 OID2677:OIE2677 NYH2677:NYI2677 NOL2677:NOM2677 NEP2677:NEQ2677 MUT2677:MUU2677 MKX2677:MKY2677 MBB2677:MBC2677 LRF2677:LRG2677 LHJ2677:LHK2677 KXN2677:KXO2677 KNR2677:KNS2677 KDV2677:KDW2677 JTZ2677:JUA2677 JKD2677:JKE2677 JAH2677:JAI2677 IQL2677:IQM2677 IGP2677:IGQ2677 HWT2677:HWU2677 HMX2677:HMY2677 HDB2677:HDC2677 GTF2677:GTG2677 GJJ2677:GJK2677 FZN2677:FZO2677 FPR2677:FPS2677 FFV2677:FFW2677 EVZ2677:EWA2677 EMD2677:EME2677 ECH2677:ECI2677 DSL2677:DSM2677 DIP2677:DIQ2677 CYT2677:CYU2677 COX2677:COY2677 CFB2677:CFC2677 BVF2677:BVG2677 BLJ2677:BLK2677 BBN2677:BBO2677 ARR2677:ARS2677 AHV2677:AHW2677 XZ2677:YA2677 OD2677:OE2677 EH2677:EI2677 H2671:I2671 TPZ2686:TQA2686 H4005:J4005 IPO1201:IPP1204 H1200:I1200 IFS1201:IFT1204 HVW1201:HVX1204 HMA1201:HMB1204 HCE1201:HCF1204 GSI1201:GSJ1204 GIM1201:GIN1204 FYQ1201:FYR1204 FOU1201:FOV1204 FEY1201:FEZ1204 EVC1201:EVD1204 ELG1201:ELH1204 EBK1201:EBL1204 DRO1201:DRP1204 DHS1201:DHT1204 CXW1201:CXX1204 COA1201:COB1204 CEE1201:CEF1204 BUI1201:BUJ1204 BKM1201:BKN1204 BAQ1201:BAR1204 AQU1201:AQV1204 AGY1201:AGZ1204 XC1201:XD1204 NG1201:NH1204 DK1201:DL1204 WPW1201:WPX1204 WGA1201:WGB1204 VWE1201:VWF1204 VMI1201:VMJ1204 VCM1201:VCN1204 USQ1201:USR1204 UIU1201:UIV1204 TYY1201:TYZ1204 TPC1201:TPD1204 TFG1201:TFH1204 SVK1201:SVL1204 SLO1201:SLP1204 SBS1201:SBT1204 RRW1201:RRX1204 RIA1201:RIB1204 QYE1201:QYF1204 QOI1201:QOJ1204 QEM1201:QEN1204 PUQ1201:PUR1204 PKU1201:PKV1204 PAY1201:PAZ1204 ORC1201:ORD1204 OHG1201:OHH1204 NXK1201:NXL1204 NNO1201:NNP1204 NDS1201:NDT1204 MTW1201:MTX1204 MKA1201:MKB1204 MAE1201:MAF1204 LQI1201:LQJ1204 LGM1201:LGN1204 KWQ1201:KWR1204 KMU1201:KMV1204 KCY1201:KCZ1204 JTC1201:JTD1204 JJG1201:JJH1204 IZK1201:IZL1204 EH1214:EI1214 WQT1214:WQU1214 WGX1214:WGY1214 VXB1214:VXC1214 VNF1214:VNG1214 VDJ1214:VDK1214 UTN1214:UTO1214 UJR1214:UJS1214 TZV1214:TZW1214 TPZ1214:TQA1214 TGD1214:TGE1214 SWH1214:SWI1214 SML1214:SMM1214 SCP1214:SCQ1214 RST1214:RSU1214 RIX1214:RIY1214 QZB1214:QZC1214 QPF1214:QPG1214 QFJ1214:QFK1214 PVN1214:PVO1214 PLR1214:PLS1214 PBV1214:PBW1214 ORZ1214:OSA1214 OID1214:OIE1214 NYH1214:NYI1214 NOL1214:NOM1214 NEP1214:NEQ1214 MUT1214:MUU1214 MKX1214:MKY1214 MBB1214:MBC1214 LRF1214:LRG1214 LHJ1214:LHK1214 KXN1214:KXO1214 KNR1214:KNS1214 KDV1214:KDW1214 JTZ1214:JUA1214 JKD1214:JKE1214 JAH1214:JAI1214 IQL1214:IQM1214 IGP1214:IGQ1214 HWT1214:HWU1214 HMX1214:HMY1214 HDB1214:HDC1214 GTF1214:GTG1214 GJJ1214:GJK1214 FZN1214:FZO1214 FPR1214:FPS1214 FFV1214:FFW1214 EVZ1214:EWA1214 EMD1214:EME1214 ECH1214:ECI1214 DSL1214:DSM1214 DIP1214:DIQ1214 CYT1214:CYU1214 COX1214:COY1214 CFB1214:CFC1214 BVF1214:BVG1214 BLJ1214:BLK1214 BBN1214:BBO1214 ARR1214:ARS1214 AHV1214:AHW1214 XZ1214:YA1214 OD1214:OE1214 WQT1170:WQU1196 EH1170:EI1196 OD1170:OE1196 XZ1170:YA1196 AHV1170:AHW1196 ARR1170:ARS1196 BBN1170:BBO1196 BLJ1170:BLK1196 BVF1170:BVG1196 CFB1170:CFC1196 COX1170:COY1196 CYT1170:CYU1196 DIP1170:DIQ1196 DSL1170:DSM1196 ECH1170:ECI1196 EMD1170:EME1196 EVZ1170:EWA1196 FFV1170:FFW1196 FPR1170:FPS1196 FZN1170:FZO1196 GJJ1170:GJK1196 GTF1170:GTG1196 HDB1170:HDC1196 HMX1170:HMY1196 HWT1170:HWU1196 IGP1170:IGQ1196 IQL1170:IQM1196 JAH1170:JAI1196 JKD1170:JKE1196 JTZ1170:JUA1196 KDV1170:KDW1196 KNR1170:KNS1196 KXN1170:KXO1196 LHJ1170:LHK1196 LRF1170:LRG1196 MBB1170:MBC1196 MKX1170:MKY1196 MUT1170:MUU1196 NEP1170:NEQ1196 NOL1170:NOM1196 NYH1170:NYI1196 OID1170:OIE1196 ORZ1170:OSA1196 PBV1170:PBW1196 PLR1170:PLS1196 PVN1170:PVO1196 QFJ1170:QFK1196 QPF1170:QPG1196 QZB1170:QZC1196 RIX1170:RIY1196 RST1170:RSU1196 SCP1170:SCQ1196 SML1170:SMM1196 SWH1170:SWI1196 TGD1170:TGE1196 TPZ1170:TQA1196 TZV1170:TZW1196 UJR1170:UJS1196 UTN1170:UTO1196 VDJ1170:VDK1196 VNF1170:VNG1196 VXB1170:VXC1196 WGX1170:WGY1196 I4074:J4074 I3988:J3989 H2644:I2644 J2662 H2673:I2678 H2805:J2805 H4720:J4720 VXB4722:VXC4722 VNF4722:VNG4722 VDJ4722:VDK4722 UTN4722:UTO4722 UJR4722:UJS4722 TZV4722:TZW4722 TPZ4722:TQA4722 TGD4722:TGE4722 SWH4722:SWI4722 SML4722:SMM4722 SCP4722:SCQ4722 RST4722:RSU4722 RIX4722:RIY4722 QZB4722:QZC4722 QPF4722:QPG4722 QFJ4722:QFK4722 PVN4722:PVO4722 PLR4722:PLS4722 PBV4722:PBW4722 ORZ4722:OSA4722 OID4722:OIE4722 NYH4722:NYI4722 NOL4722:NOM4722 NEP4722:NEQ4722 MUT4722:MUU4722 MKX4722:MKY4722 MBB4722:MBC4722 LRF4722:LRG4722 LHJ4722:LHK4722 KXN4722:KXO4722 KNR4722:KNS4722 KDV4722:KDW4722 JTZ4722:JUA4722 JKD4722:JKE4722 JAH4722:JAI4722 IQL4722:IQM4722 IGP4722:IGQ4722 HWT4722:HWU4722 HMX4722:HMY4722 HDB4722:HDC4722 GTF4722:GTG4722 GJJ4722:GJK4722 FZN4722:FZO4722 FPR4722:FPS4722 FFV4722:FFW4722 EVZ4722:EWA4722 EMD4722:EME4722 ECH4722:ECI4722 DSL4722:DSM4722 DIP4722:DIQ4722 CYT4722:CYU4722 COX4722:COY4722 CFB4722:CFC4722 BVF4722:BVG4722 BLJ4722:BLK4722 BBN4722:BBO4722 ARR4722:ARS4722 AHV4722:AHW4722 XZ4722:YA4722 OD4722:OE4722 EH4722:EI4722 J3903 H2729:I2732 H2733:J2733 H2667:J2667 H2638:J2638 WQT4722:WQU4722 WQT4724:WQU4724 WGX4724:WGY4724 VXB4724:VXC4724 VNF4724:VNG4724 VDJ4724:VDK4724 UTN4724:UTO4724 UJR4724:UJS4724 TZV4724:TZW4724 TPZ4724:TQA4724 TGD4724:TGE4724 SWH4724:SWI4724 SML4724:SMM4724 SCP4724:SCQ4724 RST4724:RSU4724 RIX4724:RIY4724 QZB4724:QZC4724 QPF4724:QPG4724 QFJ4724:QFK4724 PVN4724:PVO4724 PLR4724:PLS4724 PBV4724:PBW4724 ORZ4724:OSA4724 OID4724:OIE4724 NYH4724:NYI4724 NOL4724:NOM4724 NEP4724:NEQ4724 MUT4724:MUU4724 MKX4724:MKY4724 MBB4724:MBC4724 LRF4724:LRG4724 LHJ4724:LHK4724 KXN4724:KXO4724 KNR4724:KNS4724 KDV4724:KDW4724 JTZ4724:JUA4724 JKD4724:JKE4724 JAH4724:JAI4724 IQL4724:IQM4724 IGP4724:IGQ4724 HWT4724:HWU4724 HMX4724:HMY4724 HDB4724:HDC4724 GTF4724:GTG4724 GJJ4724:GJK4724 FZN4724:FZO4724 FPR4724:FPS4724 FFV4724:FFW4724 EVZ4724:EWA4724 EMD4724:EME4724 ECH4724:ECI4724 DSL4724:DSM4724 DIP4724:DIQ4724 CYT4724:CYU4724 COX4724:COY4724 CFB4724:CFC4724 BVF4724:BVG4724 BLJ4724:BLK4724 BBN4724:BBO4724 ARR4724:ARS4724 AHV4724:AHW4724 XZ4724:YA4724 OD4724:OE4724 EH4724:EI4724 H2755:J2756">
      <formula1>1</formula1>
      <formula2>0</formula2>
    </dataValidation>
    <dataValidation type="decimal" operator="greaterThan" allowBlank="1" showInputMessage="1" showErrorMessage="1" sqref="WVJ2449 WVI2422:WVI2423 IW2419:IW2420 SS2419:SS2420 ACO2419:ACO2420 AMK2419:AMK2420 AWG2419:AWG2420 BGC2419:BGC2420 BPY2419:BPY2420 BZU2419:BZU2420 CJQ2419:CJQ2420 CTM2419:CTM2420 DDI2419:DDI2420 DNE2419:DNE2420 DXA2419:DXA2420 EGW2419:EGW2420 EQS2419:EQS2420 FAO2419:FAO2420 FKK2419:FKK2420 FUG2419:FUG2420 GEC2419:GEC2420 GNY2419:GNY2420 GXU2419:GXU2420 HHQ2419:HHQ2420 HRM2419:HRM2420 IBI2419:IBI2420 ILE2419:ILE2420 IVA2419:IVA2420 JEW2419:JEW2420 JOS2419:JOS2420 JYO2419:JYO2420 KIK2419:KIK2420 KSG2419:KSG2420 LCC2419:LCC2420 LLY2419:LLY2420 LVU2419:LVU2420 MFQ2419:MFQ2420 MPM2419:MPM2420 MZI2419:MZI2420 NJE2419:NJE2420 NTA2419:NTA2420 OCW2419:OCW2420 OMS2419:OMS2420 OWO2419:OWO2420 PGK2419:PGK2420 PQG2419:PQG2420 QAC2419:QAC2420 QJY2419:QJY2420 QTU2419:QTU2420 RDQ2419:RDQ2420 RNM2419:RNM2420 RXI2419:RXI2420 SHE2419:SHE2420 SRA2419:SRA2420 TAW2419:TAW2420 TKS2419:TKS2420 TUO2419:TUO2420 UEK2419:UEK2420 UOG2419:UOG2420 UYC2419:UYC2420 VHY2419:VHY2420 VRU2419:VRU2420 WBQ2419:WBQ2420 WLM2419:WLM2420 WVI2419:WVI2420 D2419:D2420 SS2433 IW2422:IW2423 SS2422:SS2423 ACO2422:ACO2423 AMK2422:AMK2423 AWG2422:AWG2423 BGC2422:BGC2423 BPY2422:BPY2423 BZU2422:BZU2423 CJQ2422:CJQ2423 CTM2422:CTM2423 DDI2422:DDI2423 DNE2422:DNE2423 DXA2422:DXA2423 EGW2422:EGW2423 EQS2422:EQS2423 FAO2422:FAO2423 FKK2422:FKK2423 FUG2422:FUG2423 GEC2422:GEC2423 GNY2422:GNY2423 GXU2422:GXU2423 HHQ2422:HHQ2423 HRM2422:HRM2423 IBI2422:IBI2423 ILE2422:ILE2423 IVA2422:IVA2423 JEW2422:JEW2423 JOS2422:JOS2423 JYO2422:JYO2423 KIK2422:KIK2423 KSG2422:KSG2423 LCC2422:LCC2423 LLY2422:LLY2423 LVU2422:LVU2423 MFQ2422:MFQ2423 MPM2422:MPM2423 MZI2422:MZI2423 NJE2422:NJE2423 NTA2422:NTA2423 OCW2422:OCW2423 OMS2422:OMS2423 OWO2422:OWO2423 PGK2422:PGK2423 PQG2422:PQG2423 QAC2422:QAC2423 QJY2422:QJY2423 QTU2422:QTU2423 RDQ2422:RDQ2423 RNM2422:RNM2423 RXI2422:RXI2423 SHE2422:SHE2423 SRA2422:SRA2423 TAW2422:TAW2423 TKS2422:TKS2423 TUO2422:TUO2423 UEK2422:UEK2423 UOG2422:UOG2423 UYC2422:UYC2423 VHY2422:VHY2423 VRU2422:VRU2423 WBQ2422:WBQ2423 WLM2422:WLM2423 WLN2449 WBR2449 VRV2449 VHZ2449 UYD2449 UOH2449 UEL2449 TUP2449 TKT2449 TAX2449 SRB2449 SHF2449 RXJ2449 RNN2449 RDR2449 QTV2449 QJZ2449 QAD2449 PQH2449 PGL2449 OWP2449 OMT2449 OCX2449 NTB2449 NJF2449 MZJ2449 MPN2449 MFR2449 LVV2449 LLZ2449 LCD2449 KSH2449 KIL2449 JYP2449 JOT2449 JEX2449 IVB2449 ILF2449 IBJ2449 HRN2449 HHR2449 GXV2449 GNZ2449 GED2449 FUH2449 FKL2449 FAP2449 EQT2449 EGX2449 DXB2449 DNF2449 DDJ2449 CTN2449 CJR2449 BZV2449 BPZ2449 BGD2449 AWH2449 AML2449 ACP2449 ST2449 IX2449 D2449 SS3796 WVI3774 WLM3774 WBQ3774 VRU3774 VHY3774 UYC3774 UOG3774 UEK3774 TUO3774 TKS3774 TAW3774 SRA3774 SHE3774 RXI3774 RNM3774 RDQ3774 QTU3774 QJY3774 QAC3774 PQG3774 PGK3774 OWO3774 OMS3774 OCW3774 NTA3774 NJE3774 MZI3774 MPM3774 MFQ3774 LVU3774 LLY3774 LCC3774 KSG3774 KIK3774 JYO3774 JOS3774 JEW3774 IVA3774 ILE3774 IBI3774 HRM3774 HHQ3774 GXU3774 GNY3774 GEC3774 FUG3774 FKK3774 FAO3774 EQS3774 EGW3774 DXA3774 DNE3774 DDI3774 CTM3774 CJQ3774 BZU3774 BPY3774 BGC3774 AWG3774 AMK3774 ACO3774 SS3774 IW3774 E2433 WVI3776:WVI3779 WLM3776:WLM3779 WBQ3776:WBQ3779 VRU3776:VRU3779 VHY3776:VHY3779 UYC3776:UYC3779 UOG3776:UOG3779 UEK3776:UEK3779 TUO3776:TUO3779 TKS3776:TKS3779 TAW3776:TAW3779 SRA3776:SRA3779 SHE3776:SHE3779 RXI3776:RXI3779 RNM3776:RNM3779 RDQ3776:RDQ3779 QTU3776:QTU3779 QJY3776:QJY3779 QAC3776:QAC3779 PQG3776:PQG3779 PGK3776:PGK3779 OWO3776:OWO3779 OMS3776:OMS3779 OCW3776:OCW3779 NTA3776:NTA3779 NJE3776:NJE3779 MZI3776:MZI3779 MPM3776:MPM3779 MFQ3776:MFQ3779 LVU3776:LVU3779 LLY3776:LLY3779 LCC3776:LCC3779 KSG3776:KSG3779 KIK3776:KIK3779 JYO3776:JYO3779 JOS3776:JOS3779 JEW3776:JEW3779 IVA3776:IVA3779 ILE3776:ILE3779 IBI3776:IBI3779 HRM3776:HRM3779 HHQ3776:HHQ3779 GXU3776:GXU3779 GNY3776:GNY3779 GEC3776:GEC3779 FUG3776:FUG3779 FKK3776:FKK3779 FAO3776:FAO3779 EQS3776:EQS3779 EGW3776:EGW3779 DXA3776:DXA3779 DNE3776:DNE3779 DDI3776:DDI3779 CTM3776:CTM3779 CJQ3776:CJQ3779 BZU3776:BZU3779 BPY3776:BPY3779 BGC3776:BGC3779 AWG3776:AWG3779 AMK3776:AMK3779 ACO3776:ACO3779 SS3776:SS3779 IW3776:IW3779 ACO3796 AMK3796 AWG3796 BGC3796 BPY3796 BZU3796 CJQ3796 CTM3796 DDI3796 DNE3796 DXA3796 EGW3796 EQS3796 FAO3796 FKK3796 FUG3796 GEC3796 GNY3796 GXU3796 HHQ3796 HRM3796 IBI3796 ILE3796 IVA3796 JEW3796 JOS3796 JYO3796 KIK3796 KSG3796 LCC3796 LLY3796 LVU3796 MFQ3796 MPM3796 MZI3796 NJE3796 NTA3796 OCW3796 OMS3796 OWO3796 PGK3796 PQG3796 QAC3796 QJY3796 QTU3796 RDQ3796 RNM3796 RXI3796 SHE3796 SRA3796 TAW3796 TKS3796 TUO3796 UEK3796 UOG3796 UYC3796 VHY3796 VRU3796 WBQ3796 WLM3796 WVI3796 D3796 IW3796 WVJ3771 IW2433 IX3771 ST3771 ACP3771 AML3771 AWH3771 BGD3771 BPZ3771 BZV3771 CJR3771 CTN3771 DDJ3771 DNF3771 DXB3771 EGX3771 EQT3771 FAP3771 FKL3771 FUH3771 GED3771 GNZ3771 GXV3771 HHR3771 HRN3771 IBJ3771 ILF3771 IVB3771 JEX3771 JOT3771 JYP3771 KIL3771 KSH3771 LCD3771 LLZ3771 LVV3771 MFR3771 MPN3771 MZJ3771 NJF3771 NTB3771 OCX3771 OMT3771 OWP3771 PGL3771 PQH3771 QAD3771 QJZ3771 QTV3771 RDR3771 RNN3771 RXJ3771 SHF3771 SRB3771 TAX3771 TKT3771 TUP3771 UEL3771 UOH3771 UYD3771 VHZ3771 VRV3771 WBR3771 WLN3771 SS908 ACO908 AMK908 AWG908 BGC908 BPY908 BZU908 CJQ908 CTM908 DDI908 DNE908 DXA908 EGW908 EQS908 FAO908 FKK908 FUG908 GEC908 GNY908 GXU908 HHQ908 HRM908 IBI908 ILE908 IVA908 JEW908 JOS908 JYO908 KIK908 KSG908 LCC908 LLY908 LVU908 MFQ908 MPM908 MZI908 NJE908 NTA908 OCW908 OMS908 OWO908 PGK908 PQG908 QAC908 QJY908 QTU908 RDQ908 RNM908 RXI908 SHE908 SRA908 TAW908 TKS908 TUO908 UEK908 UOG908 UYC908 VHY908 VRU908 WBQ908 WLM908 WVI908 E908 E904:E905 WVI904:WVI905 WLM904:WLM905 WBQ904:WBQ905 VRU904:VRU905 VHY904:VHY905 UYC904:UYC905 UOG904:UOG905 UEK904:UEK905 TUO904:TUO905 TKS904:TKS905 TAW904:TAW905 SRA904:SRA905 SHE904:SHE905 RXI904:RXI905 RNM904:RNM905 RDQ904:RDQ905 QTU904:QTU905 QJY904:QJY905 QAC904:QAC905 PQG904:PQG905 PGK904:PGK905 OWO904:OWO905 OMS904:OMS905 OCW904:OCW905 NTA904:NTA905 NJE904:NJE905 MZI904:MZI905 MPM904:MPM905 MFQ904:MFQ905 LVU904:LVU905 LLY904:LLY905 LCC904:LCC905 KSG904:KSG905 KIK904:KIK905 JYO904:JYO905 JOS904:JOS905 JEW904:JEW905 IVA904:IVA905 ILE904:ILE905 IBI904:IBI905 HRM904:HRM905 HHQ904:HHQ905 GXU904:GXU905 GNY904:GNY905 GEC904:GEC905 FUG904:FUG905 FKK904:FKK905 FAO904:FAO905 EQS904:EQS905 EGW904:EGW905 DXA904:DXA905 DNE904:DNE905 DDI904:DDI905 CTM904:CTM905 CJQ904:CJQ905 BZU904:BZU905 BPY904:BPY905 BGC904:BGC905 AWG904:AWG905 AMK904:AMK905 ACO904:ACO905 SS904:SS905 IW904:IW905 IW908 WLN911 WLN914 WBR911 WBR914 VRV911 VRV914 VHZ911 VHZ914 UYD911 UYD914 UOH911 UOH914 UEL911 UEL914 TUP911 TUP914 TKT911 TKT914 TAX911 TAX914 SRB911 SRB914 SHF911 SHF914 RXJ911 RXJ914 RNN911 RNN914 RDR911 RDR914 QTV911 QTV914 QJZ911 QJZ914 QAD911 QAD914 PQH911 PQH914 PGL911 PGL914 OWP911 OWP914 OMT911 OMT914 OCX911 OCX914 NTB911 NTB914 NJF911 NJF914 MZJ911 MZJ914 MPN911 MPN914 MFR911 MFR914 LVV911 LVV914 LLZ911 LLZ914 LCD911 LCD914 KSH911 KSH914 KIL911 KIL914 JYP911 JYP914 JOT911 JOT914 JEX911 JEX914 IVB911 IVB914 ILF911 ILF914 IBJ911 IBJ914 HRN911 HRN914 HHR911 HHR914 GXV911 GXV914 GNZ911 GNZ914 GED911 GED914 FUH911 FUH914 FKL911 FKL914 FAP911 FAP914 EQT911 EQT914 EGX911 EGX914 DXB911 DXB914 DNF911 DNF914 DDJ911 DDJ914 CTN911 CTN914 CJR911 CJR914 BZV911 BZV914 BPZ911 BPZ914 BGD911 BGD914 AWH911 AWH914 AML911 AML914 ACP911 ACP914 ST911 ST914 IX911 IX914 D911 D914:D916 WVJ911 WVJ914 WLN4612 WBR4612 VRV4612 VHZ4612 UYD4612 UOH4612 UEL4612 TUP4612 TKT4612 TAX4612 SRB4612 SHF4612 RXJ4612 RNN4612 RDR4612 QTV4612 QJZ4612 QAD4612 PQH4612 PGL4612 OWP4612 OMT4612 OCX4612 NTB4612 NJF4612 MZJ4612 MPN4612 MFR4612 LVV4612 LLZ4612 LCD4612 KSH4612 KIL4612 JYP4612 JOT4612 JEX4612 IVB4612 ILF4612 IBJ4612 HRN4612 HHR4612 GXV4612 GNZ4612 GED4612 FUH4612 FKL4612 FAP4612 EQT4612 EGX4612 DXB4612 DNF4612 DDJ4612 CTN4612 CJR4612 BZV4612 BPZ4612 BGD4612 AWH4612 AML4612 ACP4612 ST4612 IX4612 D4612 WVJ4612 WVI2433 WLM2433 WBQ2433 VRU2433 VHY2433 UYC2433 UOG2433 UEK2433 TUO2433 TKS2433 TAW2433 SRA2433 SHE2433 RXI2433 RNM2433 RDQ2433 QTU2433 QJY2433 QAC2433 PQG2433 PGK2433 OWO2433 OMS2433 OCW2433 NTA2433 NJE2433 MZI2433 MPM2433 MFQ2433 LVU2433 LLY2433 LCC2433 KSG2433 KIK2433 JYO2433 JOS2433 JEW2433 IVA2433 ILE2433 IBI2433 HRM2433 HHQ2433 GXU2433 GNY2433 GEC2433 FUG2433 FKK2433 FAO2433 EQS2433 EGW2433 DXA2433 DNE2433 DDI2433 CTM2433 CJQ2433 BZU2433 BPY2433 BGC2433 AWG2433 AMK2433 ACO2433 D2423">
      <formula1>0</formula1>
    </dataValidation>
    <dataValidation type="whole" operator="greaterThanOrEqual" allowBlank="1" showInputMessage="1" showErrorMessage="1" error="Введите целое положительное число." sqref="JB847:JC848 H847:I848 WVN847:WVO848 HV688 H697:I698 WUH700:WUI700 WKL700:WKM700 WAP700:WAQ700 VQT700:VQU700 VGX700:VGY700 UXB700:UXC700 UNF700:UNG700 UDJ700:UDK700 TTN700:TTO700 TJR700:TJS700 SZV700:SZW700 SPZ700:SQA700 SGD700:SGE700 RWH700:RWI700 RML700:RMM700 RCP700:RCQ700 QST700:QSU700 QIX700:QIY700 PZB700:PZC700 PPF700:PPG700 PFJ700:PFK700 OVN700:OVO700 OLR700:OLS700 OBV700:OBW700 NRZ700:NSA700 NID700:NIE700 MYH700:MYI700 MOL700:MOM700 MEP700:MEQ700 LUT700:LUU700 LKX700:LKY700 LBB700:LBC700 KRF700:KRG700 KHJ700:KHK700 JXN700:JXO700 JNR700:JNS700 JDV700:JDW700 ITZ700:IUA700 IKD700:IKE700 IAH700:IAI700 HQL700:HQM700 HGP700:HGQ700 GWT700:GWU700 GMX700:GMY700 GDB700:GDC700 FTF700:FTG700 FJJ700:FJK700 EZN700:EZO700 EPR700:EPS700 EFV700:EFW700 DVZ700:DWA700 DMD700:DME700 DCH700:DCI700 CSL700:CSM700 CIP700:CIQ700 BYT700:BYU700 BOX700:BOY700 BFB700:BFC700 AVF700:AVG700 ALJ700:ALK700 ABN700:ABO700 RR700:RS700 HV700:HW700 WUH688 WKL688 WAP688 VQT688 VGX688 UXB688 UNF688 UDJ688 TTN688 TJR688 SZV688 SPZ688 SGD688 RWH688 RML688 RCP688 QST688 QIX688 PZB688 PPF688 PFJ688 OVN688 OLR688 OBV688 NRZ688 NID688 MYH688 MOL688 MEP688 LUT688 LKX688 LBB688 KRF688 KHJ688 JXN688 JNR688 JDV688 ITZ688 IKD688 IAH688 HQL688 HGP688 GWT688 GMX688 GDB688 FTF688 FJJ688 EZN688 EPR688 EFV688 DVZ688 DMD688 DCH688 CSL688 CIP688 BYT688 BOX688 BFB688 AVF688 ALJ688 ABN688 RR688 H4232:I4234 ABN3603 ALJ3603 AVF3603 BFB3603 BOX3603 BYT3603 CIP3603 CSL3603 DCH3603 DMD3603 DVZ3603 EFV3603 EPR3603 EZN3603 FJJ3603 FTF3603 GDB3603 GMX3603 GWT3603 HGP3603 HQL3603 IAH3603 IKD3603 ITZ3603 JDV3603 JNR3603 JXN3603 KHJ3603 KRF3603 LBB3603 LKX3603 LUT3603 MEP3603 MOL3603 MYH3603 NID3603 NRZ3603 OBV3603 OLR3603 OVN3603 PFJ3603 PPF3603 PZB3603 QIX3603 QST3603 RCP3603 RML3603 RWH3603 SGD3603 SPZ3603 SZV3603 TJR3603 TTN3603 UDJ3603 UNF3603 UXB3603 VGX3603 VQT3603 WAP3603 WKL3603 WUH3603 H3606:I3606 H3595:I3595 HV3603 GO28:GO29 ALJ3590:ALJ3591 H2240:I2240 H2781:I2781 H2245:I2246 H2235:I2235 H273:J273 H261:J261 H4238:I4242 RR3603 JB834:JC834 SX834:SY834 ACT834:ACU834 AMP834:AMQ834 AWL834:AWM834 BGH834:BGI834 BQD834:BQE834 BZZ834:CAA834 CJV834:CJW834 CTR834:CTS834 DDN834:DDO834 DNJ834:DNK834 DXF834:DXG834 EHB834:EHC834 EQX834:EQY834 FAT834:FAU834 FKP834:FKQ834 FUL834:FUM834 GEH834:GEI834 GOD834:GOE834 GXZ834:GYA834 HHV834:HHW834 HRR834:HRS834 IBN834:IBO834 ILJ834:ILK834 IVF834:IVG834 JFB834:JFC834 JOX834:JOY834 JYT834:JYU834 KIP834:KIQ834 KSL834:KSM834 LCH834:LCI834 LMD834:LME834 LVZ834:LWA834 MFV834:MFW834 MPR834:MPS834 MZN834:MZO834 NJJ834:NJK834 NTF834:NTG834 ODB834:ODC834 OMX834:OMY834 OWT834:OWU834 PGP834:PGQ834 PQL834:PQM834 QAH834:QAI834 QKD834:QKE834 QTZ834:QUA834 RDV834:RDW834 RNR834:RNS834 RXN834:RXO834 SHJ834:SHK834 SRF834:SRG834 TBB834:TBC834 TKX834:TKY834 TUT834:TUU834 UEP834:UEQ834 UOL834:UOM834 UYH834:UYI834 VID834:VIE834 VRZ834:VSA834 WBV834:WBW834 WLR834:WLS834 WVN834:WVO834 H834:I834 WLR847:WLS848 H4472:I4473 H680:I680 WBV847:WBW848 VRZ847:VSA848 VID847:VIE848 UYH847:UYI848 UOL847:UOM848 UEP847:UEQ848 TUT847:TUU848 TKX847:TKY848 TBB847:TBC848 SRF847:SRG848 SHJ847:SHK848 RXN847:RXO848 RNR847:RNS848 RDV847:RDW848 QTZ847:QUA848 QKD847:QKE848 QAH847:QAI848 PQL847:PQM848 PGP847:PGQ848 OWT847:OWU848 OMX847:OMY848 ODB847:ODC848 NTF847:NTG848 NJJ847:NJK848 MZN847:MZO848 MPR847:MPS848 MFV847:MFW848 LVZ847:LWA848 LMD847:LME848 LCH847:LCI848 KSL847:KSM848 KIP847:KIQ848 JYT847:JYU848 JOX847:JOY848 JFB847:JFC848 IVF847:IVG848 ILJ847:ILK848 IBN847:IBO848 HRR847:HRS848 HHV847:HHW848 GXZ847:GYA848 GOD847:GOE848 GEH847:GEI848 FUL847:FUM848 FKP847:FKQ848 FAT847:FAU848 EQX847:EQY848 EHB847:EHC848 DXF847:DXG848 DNJ847:DNK848 DDN847:DDO848 CTR847:CTS848 CJV847:CJW848 BZZ847:CAA848 BQD847:BQE848 BGH847:BGI848 AWL847:AWM848 AMP847:AMQ848 ACT847:ACU848 SX847:SY848 H670:I677 WLR4578:WLS4578 WBV4578:WBW4578 VRZ4578:VSA4578 VID4578:VIE4578 UYH4578:UYI4578 UOL4578:UOM4578 UEP4578:UEQ4578 TUT4578:TUU4578 TKX4578:TKY4578 TBB4578:TBC4578 SRF4578:SRG4578 SHJ4578:SHK4578 RXN4578:RXO4578 RNR4578:RNS4578 RDV4578:RDW4578 QTZ4578:QUA4578 QKD4578:QKE4578 QAH4578:QAI4578 PQL4578:PQM4578 PGP4578:PGQ4578 OWT4578:OWU4578 OMX4578:OMY4578 ODB4578:ODC4578 NTF4578:NTG4578 NJJ4578:NJK4578 MZN4578:MZO4578 MPR4578:MPS4578 MFV4578:MFW4578 LVZ4578:LWA4578 LMD4578:LME4578 LCH4578:LCI4578 KSL4578:KSM4578 KIP4578:KIQ4578 JYT4578:JYU4578 JOX4578:JOY4578 JFB4578:JFC4578 IVF4578:IVG4578 ILJ4578:ILK4578 IBN4578:IBO4578 HRR4578:HRS4578 HHV4578:HHW4578 GXZ4578:GYA4578 GOD4578:GOE4578 GEH4578:GEI4578 FUL4578:FUM4578 FKP4578:FKQ4578 FAT4578:FAU4578 EQX4578:EQY4578 EHB4578:EHC4578 DXF4578:DXG4578 DNJ4578:DNK4578 DDN4578:DDO4578 CTR4578:CTS4578 CJV4578:CJW4578 BZZ4578:CAA4578 BQD4578:BQE4578 BGH4578:BGI4578 AWL4578:AWM4578 AMP4578:AMQ4578 ACT4578:ACU4578 SX4578:SY4578 JB4578:JC4578 H4578:I4578 WVN4578:WVO4578 H4468:I4470 J28:J29 H3581:I3583 ABN2188:ABN2200 ALJ2188:ALJ2200 AVF2188:AVF2200 BFB2188:BFB2200 BOX2188:BOX2200 BYT2188:BYT2200 CIP2188:CIP2200 CSL2188:CSL2200 DCH2188:DCH2200 DMD2188:DMD2200 DVZ2188:DVZ2200 EFV2188:EFV2200 EPR2188:EPR2200 EZN2188:EZN2200 FJJ2188:FJJ2200 FTF2188:FTF2200 GDB2188:GDB2200 GMX2188:GMX2200 GWT2188:GWT2200 HGP2188:HGP2200 HQL2188:HQL2200 IAH2188:IAH2200 IKD2188:IKD2200 ITZ2188:ITZ2200 JDV2188:JDV2200 JNR2188:JNR2200 JXN2188:JXN2200 KHJ2188:KHJ2200 KRF2188:KRF2200 LBB2188:LBB2200 LKX2188:LKX2200 LUT2188:LUT2200 MEP2188:MEP2200 MOL2188:MOL2200 MYH2188:MYH2200 NID2188:NID2200 NRZ2188:NRZ2200 OBV2188:OBV2200 OLR2188:OLR2200 OVN2188:OVN2200 PFJ2188:PFJ2200 PPF2188:PPF2200 PZB2188:PZB2200 QIX2188:QIX2200 QST2188:QST2200 RCP2188:RCP2200 RML2188:RML2200 RWH2188:RWH2200 SGD2188:SGD2200 SPZ2188:SPZ2200 SZV2188:SZV2200 TJR2188:TJR2200 TTN2188:TTN2200 UDJ2188:UDJ2200 UNF2188:UNF2200 UXB2188:UXB2200 VGX2188:VGX2200 VQT2188:VQT2200 WAP2188:WAP2200 WKL2188:WKL2200 WUH2188:WUH2200 HV2188:HV2200 RR2188:RR2200 H4426:I4426 H4395:I4395 H3340:I3342 ABN3590:ABN3591 RR3590:RR3591 HV3590:HV3591 WUH3590:WUH3591 WKL3590:WKL3591 WAP3590:WAP3591 VQT3590:VQT3591 VGX3590:VGX3591 UXB3590:UXB3591 UNF3590:UNF3591 UDJ3590:UDJ3591 TTN3590:TTN3591 TJR3590:TJR3591 SZV3590:SZV3591 SPZ3590:SPZ3591 SGD3590:SGD3591 RWH3590:RWH3591 RML3590:RML3591 RCP3590:RCP3591 QST3590:QST3591 QIX3590:QIX3591 PZB3590:PZB3591 PPF3590:PPF3591 PFJ3590:PFJ3591 OVN3590:OVN3591 OLR3590:OLR3591 OBV3590:OBV3591 NRZ3590:NRZ3591 NID3590:NID3591 MYH3590:MYH3591 MOL3590:MOL3591 MEP3590:MEP3591 LUT3590:LUT3591 LKX3590:LKX3591 LBB3590:LBB3591 KRF3590:KRF3591 KHJ3590:KHJ3591 JXN3590:JXN3591 JNR3590:JNR3591 JDV3590:JDV3591 ITZ3590:ITZ3591 IKD3590:IKD3591 IAH3590:IAH3591 HQL3590:HQL3591 HGP3590:HGP3591 GWT3590:GWT3591 GMX3590:GMX3591 GDB3590:GDB3591 FTF3590:FTF3591 FJJ3590:FJJ3591 EZN3590:EZN3591 EPR3590:EPR3591 EFV3590:EFV3591 DVZ3590:DVZ3591 DMD3590:DMD3591 DCH3590:DCH3591 CSL3590:CSL3591 CIP3590:CIP3591 BYT3590:BYT3591 BOX3590:BOX3591 BFB3590:BFB3591 AVF3590:AVF3591 H2237:I2238 H3095:I3095">
      <formula1>1</formula1>
    </dataValidation>
    <dataValidation type="date" allowBlank="1" showErrorMessage="1" error="Введите год в интервале от 1900 по 2013." sqref="WVI549:WVI550 WLM549:WLM550 WBQ549:WBQ550 VRU549:VRU550 VHY549:VHY550 UYC549:UYC550 UOG549:UOG550 UEK549:UEK550 TUO549:TUO550 TKS549:TKS550 TAW549:TAW550 SRA549:SRA550 SHE549:SHE550 RXI549:RXI550 RNM549:RNM550 RDQ549:RDQ550 QTU549:QTU550 QJY549:QJY550 QAC549:QAC550 PQG549:PQG550 PGK549:PGK550 OWO549:OWO550 OMS549:OMS550 OCW549:OCW550 NTA549:NTA550 NJE549:NJE550 MZI549:MZI550 MPM549:MPM550 MFQ549:MFQ550 LVU549:LVU550 LLY549:LLY550 LCC549:LCC550 KSG549:KSG550 KIK549:KIK550 JYO549:JYO550 JOS549:JOS550 JEW549:JEW550 IVA549:IVA550 ILE549:ILE550 IBI549:IBI550 HRM549:HRM550 HHQ549:HHQ550 GXU549:GXU550 GNY549:GNY550 GEC549:GEC550 FUG549:FUG550 FKK549:FKK550 FAO549:FAO550 EQS549:EQS550 EGW549:EGW550 DXA549:DXA550 DNE549:DNE550 DDI549:DDI550 CTM549:CTM550 CJQ549:CJQ550 BZU549:BZU550 BPY549:BPY550 BGC549:BGC550 AWG549:AWG550 AMK549:AMK550 ACO549:ACO550 SS549:SS550 IW549:IW550 VRU1912 VHY1912 UYC1912 UOG1912 UEK1912 TUO1912 TKS1912 TAW1912 SRA1912 SHE1912 RXI1912 RNM1912 RDQ1912 QTU1912 QJY1912 QAC1912 PQG1912 PGK1912 OWO1912 OMS1912 OCW1912 NTA1912 NJE1912 MZI1912 MPM1912 MFQ1912 LVU1912 LLY1912 LCC1912 KSG1912 KIK1912 JYO1912 JOS1912 JEW1912 IVA1912 ILE1912 IBI1912 HRM1912 HHQ1912 GXU1912 GNY1912 GEC1912 FUG1912 FKK1912 FAO1912 EQS1912 EGW1912 DXA1912 DNE1912 DDI1912 CTM1912 CJQ1912 BZU1912 BPY1912 BGC1912 AWG1912 AMK1912 ACO1912 SS1912 IW1912 WVI1912 WBQ1912 WLM1912 WLM3467 WBQ3467 VRU3467 VHY3467 UYC3467 UOG3467 UEK3467 TUO3467 TKS3467 TAW3467 SRA3467 SHE3467 RXI3467 RNM3467 RDQ3467 QTU3467 QJY3467 QAC3467 PQG3467 PGK3467 OWO3467 OMS3467 OCW3467 NTA3467 NJE3467 MZI3467 MPM3467 MFQ3467 LVU3467 LLY3467 LCC3467 KSG3467 KIK3467 JYO3467 JOS3467 JEW3467 IVA3467 ILE3467 IBI3467 HRM3467 HHQ3467 GXU3467 GNY3467 GEC3467 FUG3467 FKK3467 FAO3467 EQS3467 EGW3467 DXA3467 DNE3467 DDI3467 CTM3467 CJQ3467 BZU3467 BPY3467 BGC3467 AWG3467 AMK3467 ACO3467 SS3467 IW3467 SS4323 IW4428 ACO4323 AMK4323 AWG4323 BGC4323 BPY4323 BZU4323 CJQ4323 CTM4323 DDI4323 DNE4323 DXA4323 EGW4323 EQS4323 FAO4323 FKK4323 FUG4323 GEC4323 GNY4323 GXU4323 HHQ4323 HRM4323 IBI4323 ILE4323 IVA4323 JEW4323 JOS4323 JYO4323 KIK4323 KSG4323 LCC4323 LLY4323 LVU4323 MFQ4323 MPM4323 MZI4323 NJE4323 NTA4323 OCW4323 OMS4323 OWO4323 PGK4323 PQG4323 QAC4323 QJY4323 QTU4323 RDQ4323 RNM4323 RXI4323 SHE4323 SRA4323 TAW4323 TKS4323 TUO4323 UEK4323 UOG4323 UYC4323 VHY4323 VRU4323 WBQ4323 WLM4323 WVI4323 IW4323 SS4428 ACO4428 AMK4428 AWG4428 BGC4428 BPY4428 BZU4428 CJQ4428 CTM4428 DDI4428 DNE4428 DXA4428 EGW4428 EQS4428 FAO4428 FKK4428 FUG4428 GEC4428 GNY4428 GXU4428 HHQ4428 HRM4428 IBI4428 ILE4428 IVA4428 JEW4428 JOS4428 JYO4428 KIK4428 KSG4428 LCC4428 LLY4428 LVU4428 MFQ4428 MPM4428 MZI4428 NJE4428 NTA4428 OCW4428 OMS4428 OWO4428 PGK4428 PQG4428 QAC4428 QJY4428 QTU4428 RDQ4428 RNM4428 RXI4428 SHE4428 SRA4428 TAW4428 TKS4428 TUO4428 UEK4428 UOG4428 UYC4428 VHY4428 VRU4428 WBQ4428 WLM4428 WVI4428 WVI3467">
      <formula1>1900</formula1>
      <formula2>2013</formula2>
    </dataValidation>
    <dataValidation type="decimal" operator="greaterThan" allowBlank="1" showErrorMessage="1" error="Введите положительное число." sqref="WVS549:WVS551 J549:J550 WLR549:WLU550 WBV549:WBY550 VRZ549:VSC550 VID549:VIG550 UYH549:UYK550 UOL549:UOO550 UEP549:UES550 TUT549:TUW550 TKX549:TLA550 TBB549:TBE550 SRF549:SRI550 SHJ549:SHM550 RXN549:RXQ550 RNR549:RNU550 RDV549:RDY550 QTZ549:QUC550 QKD549:QKG550 QAH549:QAK550 PQL549:PQO550 PGP549:PGS550 OWT549:OWW550 OMX549:ONA550 ODB549:ODE550 NTF549:NTI550 NJJ549:NJM550 MZN549:MZQ550 MPR549:MPU550 MFV549:MFY550 LVZ549:LWC550 LMD549:LMG550 LCH549:LCK550 KSL549:KSO550 KIP549:KIS550 JYT549:JYW550 JOX549:JPA550 JFB549:JFE550 IVF549:IVI550 ILJ549:ILM550 IBN549:IBQ550 HRR549:HRU550 HHV549:HHY550 GXZ549:GYC550 GOD549:GOG550 GEH549:GEK550 FUL549:FUO550 FKP549:FKS550 FAT549:FAW550 EQX549:ERA550 EHB549:EHE550 DXF549:DXI550 DNJ549:DNM550 DDN549:DDQ550 CTR549:CTU550 CJV549:CJY550 BZZ549:CAC550 BQD549:BQG550 BGH549:BGK550 AWL549:AWO550 AMP549:AMS550 ACT549:ACW550 SX549:TA550 JB549:JE550 WVN549:WVQ550 WLW549:WLW551 WCA549:WCA551 VSE549:VSE551 VII549:VII551 UYM549:UYM551 UOQ549:UOQ551 UEU549:UEU551 TUY549:TUY551 TLC549:TLC551 TBG549:TBG551 SRK549:SRK551 SHO549:SHO551 RXS549:RXS551 RNW549:RNW551 REA549:REA551 QUE549:QUE551 QKI549:QKI551 QAM549:QAM551 PQQ549:PQQ551 PGU549:PGU551 OWY549:OWY551 ONC549:ONC551 ODG549:ODG551 NTK549:NTK551 NJO549:NJO551 MZS549:MZS551 MPW549:MPW551 MGA549:MGA551 LWE549:LWE551 LMI549:LMI551 LCM549:LCM551 KSQ549:KSQ551 KIU549:KIU551 JYY549:JYY551 JPC549:JPC551 JFG549:JFG551 IVK549:IVK551 ILO549:ILO551 IBS549:IBS551 HRW549:HRW551 HIA549:HIA551 GYE549:GYE551 GOI549:GOI551 GEM549:GEM551 FUQ549:FUQ551 FKU549:FKU551 FAY549:FAY551 ERC549:ERC551 EHG549:EHG551 DXK549:DXK551 DNO549:DNO551 DDS549:DDS551 CTW549:CTW551 CKA549:CKA551 CAE549:CAE551 BQI549:BQI551 BGM549:BGM551 AWQ549:AWQ551 AMU549:AMU551 ACY549:ACY551 TC549:TC551 JG549:JG551 VSE1912 VII1912 UYM1912 UOQ1912 UEU1912 TUY1912 TLC1912 TBG1912 SRK1912 SHO1912 RXS1912 RNW1912 REA1912 QUE1912 QKI1912 QAM1912 PQQ1912 PGU1912 OWY1912 ONC1912 ODG1912 NTK1912 NJO1912 MZS1912 MPW1912 MGA1912 LWE1912 LMI1912 LCM1912 KSQ1912 KIU1912 JYY1912 JPC1912 JFG1912 IVK1912 ILO1912 IBS1912 HRW1912 HIA1912 GYE1912 GOI1912 GEM1912 FUQ1912 FKU1912 FAY1912 ERC1912 EHG1912 DXK1912 DNO1912 DDS1912 CTW1912 CKA1912 CAE1912 BQI1912 BGM1912 AWQ1912 AMU1912 ACY1912 TC1912 JG1912 J1912 WVN1912:WVQ1912 WLR1912:WLU1912 WBV1912:WBY1912 VRZ1912:VSC1912 VID1912:VIG1912 UYH1912:UYK1912 UOL1912:UOO1912 UEP1912:UES1912 TUT1912:TUW1912 TKX1912:TLA1912 TBB1912:TBE1912 SRF1912:SRI1912 SHJ1912:SHM1912 RXN1912:RXQ1912 RNR1912:RNU1912 RDV1912:RDY1912 QTZ1912:QUC1912 QKD1912:QKG1912 QAH1912:QAK1912 PQL1912:PQO1912 PGP1912:PGS1912 OWT1912:OWW1912 OMX1912:ONA1912 ODB1912:ODE1912 NTF1912:NTI1912 NJJ1912:NJM1912 MZN1912:MZQ1912 MPR1912:MPU1912 MFV1912:MFY1912 LVZ1912:LWC1912 LMD1912:LMG1912 LCH1912:LCK1912 KSL1912:KSO1912 KIP1912:KIS1912 JYT1912:JYW1912 JOX1912:JPA1912 JFB1912:JFE1912 IVF1912:IVI1912 ILJ1912:ILM1912 IBN1912:IBQ1912 HRR1912:HRU1912 HHV1912:HHY1912 GXZ1912:GYC1912 GOD1912:GOG1912 GEH1912:GEK1912 FUL1912:FUO1912 FKP1912:FKS1912 FAT1912:FAW1912 EQX1912:ERA1912 EHB1912:EHE1912 DXF1912:DXI1912 DNJ1912:DNM1912 DDN1912:DDQ1912 CTR1912:CTU1912 CJV1912:CJY1912 BZZ1912:CAC1912 BQD1912:BQG1912 BGH1912:BGK1912 AWL1912:AWO1912 AMP1912:AMS1912 ACT1912:ACW1912 SX1912:TA1912 JB1912:JE1912 WVS1912 WCA1912 WLW1912 WLR3467:WLU3467 WBV3467:WBY3467 VRZ3467:VSC3467 VID3467:VIG3467 UYH3467:UYK3467 UOL3467:UOO3467 UEP3467:UES3467 TUT3467:TUW3467 TKX3467:TLA3467 TBB3467:TBE3467 SRF3467:SRI3467 SHJ3467:SHM3467 RXN3467:RXQ3467 RNR3467:RNU3467 RDV3467:RDY3467 QTZ3467:QUC3467 QKD3467:QKG3467 QAH3467:QAK3467 PQL3467:PQO3467 PGP3467:PGS3467 OWT3467:OWW3467 OMX3467:ONA3467 ODB3467:ODE3467 NTF3467:NTI3467 NJJ3467:NJM3467 MZN3467:MZQ3467 MPR3467:MPU3467 MFV3467:MFY3467 LVZ3467:LWC3467 LMD3467:LMG3467 LCH3467:LCK3467 KSL3467:KSO3467 KIP3467:KIS3467 JYT3467:JYW3467 JOX3467:JPA3467 JFB3467:JFE3467 IVF3467:IVI3467 ILJ3467:ILM3467 IBN3467:IBQ3467 HRR3467:HRU3467 HHV3467:HHY3467 GXZ3467:GYC3467 GOD3467:GOG3467 GEH3467:GEK3467 FUL3467:FUO3467 FKP3467:FKS3467 FAT3467:FAW3467 EQX3467:ERA3467 EHB3467:EHE3467 DXF3467:DXI3467 DNJ3467:DNM3467 DDN3467:DDQ3467 CTR3467:CTU3467 CJV3467:CJY3467 BZZ3467:CAC3467 BQD3467:BQG3467 BGH3467:BGK3467 AWL3467:AWO3467 AMP3467:AMS3467 ACT3467:ACW3467 SX3467:TA3467 JB3467:JE3467 J3467 WVS3467 WLW3467 WCA3467 VSE3467 VII3467 UYM3467 UOQ3467 UEU3467 TUY3467 TLC3467 TBG3467 SRK3467 SHO3467 RXS3467 RNW3467 REA3467 QUE3467 QKI3467 QAM3467 PQQ3467 PGU3467 OWY3467 ONC3467 ODG3467 NTK3467 NJO3467 MZS3467 MPW3467 MGA3467 LWE3467 LMI3467 LCM3467 KSQ3467 KIU3467 JYY3467 JPC3467 JFG3467 IVK3467 ILO3467 IBS3467 HRW3467 HIA3467 GYE3467 GOI3467 GEM3467 FUQ3467 FKU3467 FAY3467 ERC3467 EHG3467 DXK3467 DNO3467 DDS3467 CTW3467 CKA3467 CAE3467 BQI3467 BGM3467 AWQ3467 AMU3467 ACY3467 TC3467 JG3467 J1988 J2148 ACY4323 AMU4323 AWQ4323 BGM4323 BQI4323 CAE4323 CKA4323 CTW4323 DDS4323 DNO4323 DXK4323 EHG4323 ERC4323 FAY4323 FKU4323 FUQ4323 GEM4323 GOI4323 GYE4323 HIA4323 HRW4323 IBS4323 ILO4323 IVK4323 JFG4323 JPC4323 JYY4323 KIU4323 KSQ4323 LCM4323 LMI4323 LWE4323 MGA4323 MPW4323 MZS4323 NJO4323 NTK4323 ODG4323 ONC4323 OWY4323 PGU4323 PQQ4323 QAM4323 QKI4323 QUE4323 REA4323 RNW4323 RXS4323 SHO4323 SRK4323 TBG4323 TLC4323 TUY4323 UEU4323 UOQ4323 UYM4323 VII4323 VSE4323 WCA4323 WLW4323 WVS4323 J4323 JB4323:JE4323 SX4323:TA4323 ACT4323:ACW4323 AMP4323:AMS4323 AWL4323:AWO4323 BGH4323:BGK4323 BQD4323:BQG4323 BZZ4323:CAC4323 CJV4323:CJY4323 CTR4323:CTU4323 DDN4323:DDQ4323 DNJ4323:DNM4323 DXF4323:DXI4323 EHB4323:EHE4323 EQX4323:ERA4323 FAT4323:FAW4323 FKP4323:FKS4323 FUL4323:FUO4323 GEH4323:GEK4323 GOD4323:GOG4323 GXZ4323:GYC4323 HHV4323:HHY4323 HRR4323:HRU4323 IBN4323:IBQ4323 ILJ4323:ILM4323 IVF4323:IVI4323 JFB4323:JFE4323 JOX4323:JPA4323 JYT4323:JYW4323 KIP4323:KIS4323 KSL4323:KSO4323 LCH4323:LCK4323 LMD4323:LMG4323 LVZ4323:LWC4323 MFV4323:MFY4323 MPR4323:MPU4323 MZN4323:MZQ4323 NJJ4323:NJM4323 NTF4323:NTI4323 ODB4323:ODE4323 OMX4323:ONA4323 OWT4323:OWW4323 PGP4323:PGS4323 PQL4323:PQO4323 QAH4323:QAK4323 QKD4323:QKG4323 QTZ4323:QUC4323 RDV4323:RDY4323 RNR4323:RNU4323 RXN4323:RXQ4323 SHJ4323:SHM4323 SRF4323:SRI4323 TBB4323:TBE4323 TKX4323:TLA4323 TUT4323:TUW4323 UEP4323:UES4323 UOL4323:UOO4323 UYH4323:UYK4323 VID4323:VIG4323 VRZ4323:VSC4323 WBV4323:WBY4323 WLR4323:WLU4323 WVN4323:WVQ4323 JG4323 TC4323 TC4428 ACY4428 AMU4428 AWQ4428 BGM4428 BQI4428 CAE4428 CKA4428 CTW4428 DDS4428 DNO4428 DXK4428 EHG4428 ERC4428 FAY4428 FKU4428 FUQ4428 GEM4428 GOI4428 GYE4428 HIA4428 HRW4428 IBS4428 ILO4428 IVK4428 JFG4428 JPC4428 JYY4428 KIU4428 KSQ4428 LCM4428 LMI4428 LWE4428 MGA4428 MPW4428 MZS4428 NJO4428 NTK4428 ODG4428 ONC4428 OWY4428 PGU4428 PQQ4428 QAM4428 QKI4428 QUE4428 REA4428 RNW4428 RXS4428 SHO4428 SRK4428 TBG4428 TLC4428 TUY4428 UEU4428 UOQ4428 UYM4428 VII4428 VSE4428 WCA4428 WLW4428 WVS4428 WVN4428:WVQ4428 JB4428:JE4428 SX4428:TA4428 ACT4428:ACW4428 AMP4428:AMS4428 AWL4428:AWO4428 BGH4428:BGK4428 BQD4428:BQG4428 BZZ4428:CAC4428 CJV4428:CJY4428 CTR4428:CTU4428 DDN4428:DDQ4428 DNJ4428:DNM4428 DXF4428:DXI4428 EHB4428:EHE4428 EQX4428:ERA4428 FAT4428:FAW4428 FKP4428:FKS4428 FUL4428:FUO4428 GEH4428:GEK4428 GOD4428:GOG4428 GXZ4428:GYC4428 HHV4428:HHY4428 HRR4428:HRU4428 IBN4428:IBQ4428 ILJ4428:ILM4428 IVF4428:IVI4428 JFB4428:JFE4428 JOX4428:JPA4428 JYT4428:JYW4428 KIP4428:KIS4428 KSL4428:KSO4428 LCH4428:LCK4428 LMD4428:LMG4428 LVZ4428:LWC4428 MFV4428:MFY4428 MPR4428:MPU4428 MZN4428:MZQ4428 NJJ4428:NJM4428 NTF4428:NTI4428 ODB4428:ODE4428 OMX4428:ONA4428 OWT4428:OWW4428 PGP4428:PGS4428 PQL4428:PQO4428 QAH4428:QAK4428 QKD4428:QKG4428 QTZ4428:QUC4428 RDV4428:RDY4428 RNR4428:RNU4428 RXN4428:RXQ4428 SHJ4428:SHM4428 SRF4428:SRI4428 TBB4428:TBE4428 TKX4428:TLA4428 TUT4428:TUW4428 UEP4428:UES4428 UOL4428:UOO4428 UYH4428:UYK4428 VID4428:VIG4428 VRZ4428:VSC4428 WBV4428:WBY4428 WLR4428:WLU4428 J4428 JG4428 WVN3467:WVQ3467">
      <formula1>0</formula1>
      <formula2>0</formula2>
    </dataValidation>
    <dataValidation type="whole" operator="greaterThanOrEqual" allowBlank="1" showErrorMessage="1" error="Введите целое положительное число." sqref="H687:I687 WUH3092:WUI3093 HV3092:HW3093 RR3092:RS3093 ABN3092:ABO3093 ALJ3092:ALK3093 AVF3092:AVG3093 BFB3092:BFC3093 BOX3092:BOY3093 BYT3092:BYU3093 CIP3092:CIQ3093 CSL3092:CSM3093 DCH3092:DCI3093 DMD3092:DME3093 DVZ3092:DWA3093 EFV3092:EFW3093 EPR3092:EPS3093 EZN3092:EZO3093 FJJ3092:FJK3093 FTF3092:FTG3093 GDB3092:GDC3093 GMX3092:GMY3093 GWT3092:GWU3093 HGP3092:HGQ3093 HQL3092:HQM3093 IAH3092:IAI3093 IKD3092:IKE3093 ITZ3092:IUA3093 JDV3092:JDW3093 JNR3092:JNS3093 JXN3092:JXO3093 KHJ3092:KHK3093 KRF3092:KRG3093 LBB3092:LBC3093 LKX3092:LKY3093 LUT3092:LUU3093 MEP3092:MEQ3093 MOL3092:MOM3093 MYH3092:MYI3093 NID3092:NIE3093 NRZ3092:NSA3093 OBV3092:OBW3093 OLR3092:OLS3093 OVN3092:OVO3093 PFJ3092:PFK3093 PPF3092:PPG3093 PZB3092:PZC3093 QIX3092:QIY3093 QST3092:QSU3093 RCP3092:RCQ3093 RML3092:RMM3093 RWH3092:RWI3093 SGD3092:SGE3093 SPZ3092:SQA3093 SZV3092:SZW3093 TJR3092:TJS3093 TTN3092:TTO3093 UDJ3092:UDK3093 UNF3092:UNG3093 UXB3092:UXC3093 VGX3092:VGY3093 VQT3092:VQU3093 WAP3092:WAQ3093 WKL3092:WKM3093 RR3604:RS3604 ABN3604:ABO3604 ALJ3604:ALK3604 AVF3604:AVG3604 BFB3604:BFC3604 BOX3604:BOY3604 BYT3604:BYU3604 CIP3604:CIQ3604 CSL3604:CSM3604 DCH3604:DCI3604 DMD3604:DME3604 DVZ3604:DWA3604 EFV3604:EFW3604 EPR3604:EPS3604 EZN3604:EZO3604 FJJ3604:FJK3604 FTF3604:FTG3604 GDB3604:GDC3604 GMX3604:GMY3604 GWT3604:GWU3604 HGP3604:HGQ3604 HQL3604:HQM3604 IAH3604:IAI3604 IKD3604:IKE3604 ITZ3604:IUA3604 JDV3604:JDW3604 JNR3604:JNS3604 JXN3604:JXO3604 KHJ3604:KHK3604 KRF3604:KRG3604 LBB3604:LBC3604 LKX3604:LKY3604 LUT3604:LUU3604 MEP3604:MEQ3604 MOL3604:MOM3604 MYH3604:MYI3604 NID3604:NIE3604 NRZ3604:NSA3604 OBV3604:OBW3604 OLR3604:OLS3604 OVN3604:OVO3604 PFJ3604:PFK3604 PPF3604:PPG3604 PZB3604:PZC3604 QIX3604:QIY3604 QST3604:QSU3604 RCP3604:RCQ3604 RML3604:RMM3604 RWH3604:RWI3604 SGD3604:SGE3604 SPZ3604:SQA3604 SZV3604:SZW3604 TJR3604:TJS3604 TTN3604:TTO3604 UDJ3604:UDK3604 UNF3604:UNG3604 UXB3604:UXC3604 VGX3604:VGY3604 VQT3604:VQU3604 WAP3604:WAQ3604 WKL3604:WKM3604 WUH3604:WUI3604 WUH3601:WUI3601 HV3601:HW3601 RR3601:RS3601 ABN3601:ABO3601 ALJ3601:ALK3601 AVF3601:AVG3601 BFB3601:BFC3601 BOX3601:BOY3601 BYT3601:BYU3601 CIP3601:CIQ3601 CSL3601:CSM3601 DCH3601:DCI3601 DMD3601:DME3601 DVZ3601:DWA3601 EFV3601:EFW3601 EPR3601:EPS3601 EZN3601:EZO3601 FJJ3601:FJK3601 FTF3601:FTG3601 GDB3601:GDC3601 GMX3601:GMY3601 GWT3601:GWU3601 HGP3601:HGQ3601 HQL3601:HQM3601 IAH3601:IAI3601 IKD3601:IKE3601 ITZ3601:IUA3601 JDV3601:JDW3601 JNR3601:JNS3601 JXN3601:JXO3601 KHJ3601:KHK3601 KRF3601:KRG3601 LBB3601:LBC3601 LKX3601:LKY3601 LUT3601:LUU3601 MEP3601:MEQ3601 MOL3601:MOM3601 MYH3601:MYI3601 NID3601:NIE3601 NRZ3601:NSA3601 OBV3601:OBW3601 OLR3601:OLS3601 OVN3601:OVO3601 PFJ3601:PFK3601 PPF3601:PPG3601 PZB3601:PZC3601 QIX3601:QIY3601 QST3601:QSU3601 RCP3601:RCQ3601 RML3601:RMM3601 RWH3601:RWI3601 SGD3601:SGE3601 SPZ3601:SQA3601 SZV3601:SZW3601 TJR3601:TJS3601 TTN3601:TTO3601 UDJ3601:UDK3601 UNF3601:UNG3601 UXB3601:UXC3601 VGX3601:VGY3601 VQT3601:VQU3601 WAP3601:WAQ3601 WKL3601:WKM3601 HV3604:HW3604 H691:I691 VQT686:VQU686 WAP686:WAQ686 VGX686:VGY686 UXB686:UXC686 UNF686:UNG686 UDJ686:UDK686 TTN686:TTO686 TJR686:TJS686 SZV686:SZW686 SPZ686:SQA686 SGD686:SGE686 RWH686:RWI686 RML686:RMM686 RCP686:RCQ686 QST686:QSU686 QIX686:QIY686 PZB686:PZC686 PPF686:PPG686 PFJ686:PFK686 OVN686:OVO686 OLR686:OLS686 OBV686:OBW686 NRZ686:NSA686 NID686:NIE686 MYH686:MYI686 MOL686:MOM686 MEP686:MEQ686 LUT686:LUU686 LKX686:LKY686 LBB686:LBC686 KRF686:KRG686 KHJ686:KHK686 JXN686:JXO686 JNR686:JNS686 JDV686:JDW686 ITZ686:IUA686 IKD686:IKE686 IAH686:IAI686 HQL686:HQM686 HGP686:HGQ686 GWT686:GWU686 GMX686:GMY686 GDB686:GDC686 FTF686:FTG686 FJJ686:FJK686 EZN686:EZO686 EPR686:EPS686 EFV686:EFW686 DVZ686:DWA686 DMD686:DME686 DCH686:DCI686 CSL686:CSM686 CIP686:CIQ686 BYT686:BYU686 BOX686:BOY686 BFB686:BFC686 AVF686:AVG686 ALJ686:ALK686 ABN686:ABO686 RR686:RS686 HV686:HW686 WUH686:WUI686 WUH689:WUI689 WKL689:WKM689 WAP689:WAQ689 VQT689:VQU689 VGX689:VGY689 UXB689:UXC689 UNF689:UNG689 UDJ689:UDK689 TTN689:TTO689 TJR689:TJS689 SZV689:SZW689 SPZ689:SQA689 SGD689:SGE689 RWH689:RWI689 RML689:RMM689 RCP689:RCQ689 QST689:QSU689 QIX689:QIY689 PZB689:PZC689 PPF689:PPG689 PFJ689:PFK689 OVN689:OVO689 OLR689:OLS689 OBV689:OBW689 NRZ689:NSA689 NID689:NIE689 MYH689:MYI689 MOL689:MOM689 MEP689:MEQ689 LUT689:LUU689 LKX689:LKY689 LBB689:LBC689 KRF689:KRG689 KHJ689:KHK689 JXN689:JXO689 JNR689:JNS689 JDV689:JDW689 ITZ689:IUA689 IKD689:IKE689 IAH689:IAI689 HQL689:HQM689 HGP689:HGQ689 GWT689:GWU689 GMX689:GMY689 GDB689:GDC689 FTF689:FTG689 FJJ689:FJK689 EZN689:EZO689 EPR689:EPS689 EFV689:EFW689 DVZ689:DWA689 DMD689:DME689 DCH689:DCI689 CSL689:CSM689 CIP689:CIQ689 BYT689:BYU689 BOX689:BOY689 BFB689:BFC689 AVF689:AVG689 ALJ689:ALK689 ABN689:ABO689 RR689:RS689 HV689:HW689 WKL686:WKM686 H4493:I4493 VQT2186:VQU2186 WAP2186:WAQ2186 WKL2186:WKM2186 WUH2186:WUI2186 HV2186:HW2186 RR2186:RS2186 ABN2186:ABO2186 ALJ2186:ALK2186 AVF2186:AVG2186 BFB2186:BFC2186 BOX2186:BOY2186 BYT2186:BYU2186 CIP2186:CIQ2186 CSL2186:CSM2186 DCH2186:DCI2186 DMD2186:DME2186 DVZ2186:DWA2186 EFV2186:EFW2186 EPR2186:EPS2186 EZN2186:EZO2186 FJJ2186:FJK2186 FTF2186:FTG2186 GDB2186:GDC2186 GMX2186:GMY2186 GWT2186:GWU2186 HGP2186:HGQ2186 HQL2186:HQM2186 IAH2186:IAI2186 IKD2186:IKE2186 ITZ2186:IUA2186 JDV2186:JDW2186 JNR2186:JNS2186 JXN2186:JXO2186 KHJ2186:KHK2186 KRF2186:KRG2186 LBB2186:LBC2186 LKX2186:LKY2186 LUT2186:LUU2186 MEP2186:MEQ2186 MOL2186:MOM2186 MYH2186:MYI2186 NID2186:NIE2186 NRZ2186:NSA2186 OBV2186:OBW2186 OLR2186:OLS2186 OVN2186:OVO2186 PFJ2186:PFK2186 PPF2186:PPG2186 PZB2186:PZC2186 QIX2186:QIY2186 QST2186:QSU2186 RCP2186:RCQ2186 RML2186:RMM2186 RWH2186:RWI2186 SGD2186:SGE2186 SPZ2186:SQA2186 SZV2186:SZW2186 TJR2186:TJS2186 TTN2186:TTO2186 UDJ2186:UDK2186 UNF2186:UNG2186 UXB2186:UXC2186 VGX2186:VGY2186 H2185:I2186 HV3592:HW3592 RR3592:RS3592 ABN3592:ABO3592 ALJ3592:ALK3592 AVF3592:AVG3592 BFB3592:BFC3592 BOX3592:BOY3592 BYT3592:BYU3592 CIP3592:CIQ3592 CSL3592:CSM3592 DCH3592:DCI3592 DMD3592:DME3592 DVZ3592:DWA3592 EFV3592:EFW3592 EPR3592:EPS3592 EZN3592:EZO3592 FJJ3592:FJK3592 FTF3592:FTG3592 GDB3592:GDC3592 GMX3592:GMY3592 GWT3592:GWU3592 HGP3592:HGQ3592 HQL3592:HQM3592 IAH3592:IAI3592 IKD3592:IKE3592 ITZ3592:IUA3592 JDV3592:JDW3592 JNR3592:JNS3592 JXN3592:JXO3592 KHJ3592:KHK3592 KRF3592:KRG3592 LBB3592:LBC3592 LKX3592:LKY3592 LUT3592:LUU3592 MEP3592:MEQ3592 MOL3592:MOM3592 MYH3592:MYI3592 NID3592:NIE3592 NRZ3592:NSA3592 OBV3592:OBW3592 OLR3592:OLS3592 OVN3592:OVO3592 PFJ3592:PFK3592 PPF3592:PPG3592 PZB3592:PZC3592 QIX3592:QIY3592 QST3592:QSU3592 RCP3592:RCQ3592 RML3592:RMM3592 RWH3592:RWI3592 SGD3592:SGE3592 SPZ3592:SQA3592 SZV3592:SZW3592 TJR3592:TJS3592 TTN3592:TTO3592 UDJ3592:UDK3592 UNF3592:UNG3592 UXB3592:UXC3592 VGX3592:VGY3592 VQT3592:VQU3592 WAP3592:WAQ3592 WKL3592:WKM3592 WUH3592:WUI3592 H3589:I3589">
      <formula1>1</formula1>
      <formula2>0</formula2>
    </dataValidation>
    <dataValidation type="decimal" operator="greaterThan" allowBlank="1" showInputMessage="1" showErrorMessage="1" error="Введите положительное число." sqref="G4005 G2843:G2844 G1277 E1277 G1157 E1157 G2738 E2738 E2843:E2844 G1331 E1331 G1230 E1230 G1275 E4005 G2805 G4720 E4720 G2733 E2733 E2667 G2667 E2638 G2638 E3903 G3903 E2755:E2756 G2755:G2756">
      <formula1>0</formula1>
      <formula2>0</formula2>
    </dataValidation>
    <dataValidation type="textLength" operator="lessThanOrEqual" allowBlank="1" showInputMessage="1" showErrorMessage="1" error="Длина текста не должна превышать 50 символов." sqref="WLK2422:WLK2423 WVH2446 WLL2446 WBP2446 VRT2446 VHX2446 UYB2446 UOF2446 UEJ2446 TUN2446 TKR2446 TAV2446 SQZ2446 SHD2446 RXH2446 RNL2446 RDP2446 QTT2446 QJX2446 QAB2446 PQF2446 PGJ2446 OWN2446 OMR2446 OCV2446 NSZ2446 NJD2446 MZH2446 MPL2446 MFP2446 LVT2446 LLX2446 LCB2446 KSF2446 KIJ2446 JYN2446 JOR2446 JEV2446 IUZ2446 ILD2446 IBH2446 HRL2446 HHP2446 GXT2446 GNX2446 GEB2446 FUF2446 FKJ2446 FAN2446 EQR2446 EGV2446 DWZ2446 DND2446 DDH2446 CTL2446 CJP2446 BZT2446 BPX2446 BGB2446 AWF2446 AMJ2446 ACN2446 SR2446 IV2446 B2446 WLL2449 WBP2449 VRT2449 VHX2449 UYB2449 UOF2449 UEJ2449 TUN2449 TKR2449 TAV2449 SQZ2449 SHD2449 RXH2449 RNL2449 RDP2449 QTT2449 QJX2449 QAB2449 PQF2449 PGJ2449 OWN2449 OMR2449 OCV2449 NSZ2449 NJD2449 MZH2449 MPL2449 MFP2449 LVT2449 LLX2449 LCB2449 KSF2449 KIJ2449 JYN2449 JOR2449 JEV2449 IUZ2449 ILD2449 IBH2449 HRL2449 HHP2449 GXT2449 GNX2449 GEB2449 FUF2449 FKJ2449 FAN2449 EQR2449 EGV2449 DWZ2449 DND2449 DDH2449 CTL2449 CJP2449 BZT2449 BPX2449 BGB2449 AWF2449 AMJ2449 ACN2449 SR2449 IV2449 B2423 B3796 WLK3770 WBO3770 VRS3770 VHW3770 UYA3770 UOE3770 UEI3770 TUM3770 TKQ3770 TAU3770 SQY3770 SHC3770 RXG3770 RNK3770 RDO3770 QTS3770 QJW3770 QAA3770 PQE3770 PGI3770 OWM3770 OMQ3770 OCU3770 NSY3770 NJC3770 MZG3770 MPK3770 MFO3770 LVS3770 LLW3770 LCA3770 KSE3770 KII3770 JYM3770 JOQ3770 JEU3770 IUY3770 ILC3770 IBG3770 HRK3770 HHO3770 GXS3770 GNW3770 GEA3770 FUE3770 FKI3770 FAM3770 EQQ3770 EGU3770 DWY3770 DNC3770 DDG3770 CTK3770 CJO3770 BZS3770 BPW3770 BGA3770 AWE3770 AMI3770 ACM3770 SQ3770 IU3770 B3770 WVG3777:WVG3779 WLK3777:WLK3779 WBO3777:WBO3779 VRS3777:VRS3779 VHW3777:VHW3779 UYA3777:UYA3779 UOE3777:UOE3779 UEI3777:UEI3779 TUM3777:TUM3779 TKQ3777:TKQ3779 TAU3777:TAU3779 SQY3777:SQY3779 SHC3777:SHC3779 RXG3777:RXG3779 RNK3777:RNK3779 RDO3777:RDO3779 QTS3777:QTS3779 QJW3777:QJW3779 QAA3777:QAA3779 PQE3777:PQE3779 PGI3777:PGI3779 OWM3777:OWM3779 OMQ3777:OMQ3779 OCU3777:OCU3779 NSY3777:NSY3779 NJC3777:NJC3779 MZG3777:MZG3779 MPK3777:MPK3779 MFO3777:MFO3779 LVS3777:LVS3779 LLW3777:LLW3779 LCA3777:LCA3779 KSE3777:KSE3779 KII3777:KII3779 JYM3777:JYM3779 JOQ3777:JOQ3779 JEU3777:JEU3779 IUY3777:IUY3779 ILC3777:ILC3779 IBG3777:IBG3779 HRK3777:HRK3779 HHO3777:HHO3779 GXS3777:GXS3779 GNW3777:GNW3779 GEA3777:GEA3779 FUE3777:FUE3779 FKI3777:FKI3779 FAM3777:FAM3779 EQQ3777:EQQ3779 EGU3777:EGU3779 DWY3777:DWY3779 DNC3777:DNC3779 DDG3777:DDG3779 CTK3777:CTK3779 CJO3777:CJO3779 BZS3777:BZS3779 BPW3777:BPW3779 BGA3777:BGA3779 AWE3777:AWE3779 AMI3777:AMI3779 ACM3777:ACM3779 SQ3777:SQ3779 IU3777:IU3779 B2433 IU3796 SQ3796 ACM3796 AMI3796 AWE3796 BGA3796 BPW3796 BZS3796 CJO3796 CTK3796 DDG3796 DNC3796 DWY3796 EGU3796 EQQ3796 FAM3796 FKI3796 FUE3796 GEA3796 GNW3796 GXS3796 HHO3796 HRK3796 IBG3796 ILC3796 IUY3796 JEU3796 JOQ3796 JYM3796 KII3796 KSE3796 LCA3796 LLW3796 LVS3796 MFO3796 MPK3796 MZG3796 NJC3796 NSY3796 OCU3796 OMQ3796 OWM3796 PGI3796 PQE3796 QAA3796 QJW3796 QTS3796 RDO3796 RNK3796 RXG3796 SHC3796 SQY3796 TAU3796 TKQ3796 TUM3796 UEI3796 UOE3796 UYA3796 VHW3796 VRS3796 WBO3796 WLK3796 WVG3796 WVG3770 WVH2449 WVH2451 WLL2451 WBP2451 VRT2451 VHX2451 UYB2451 UOF2451 UEJ2451 TUN2451 TKR2451 TAV2451 SQZ2451 SHD2451 RXH2451 RNL2451 RDP2451 QTT2451 QJX2451 QAB2451 PQF2451 PGJ2451 OWN2451 OMR2451 OCV2451 NSZ2451 NJD2451 MZH2451 MPL2451 MFP2451 LVT2451 LLX2451 LCB2451 KSF2451 KIJ2451 JYN2451 JOR2451 JEV2451 IUZ2451 ILD2451 IBH2451 HRL2451 HHP2451 GXT2451 GNX2451 GEB2451 FUF2451 FKJ2451 FAN2451 EQR2451 EGV2451 DWZ2451 DND2451 DDH2451 CTL2451 CJP2451 BZT2451 BPX2451 BGB2451 AWF2451 AMJ2451 ACN2451 SR2451 IV2451 B2451 WVG2422:WVG2423 B3779 IU2422:IU2423 SQ2422:SQ2423 ACM2422:ACM2423 AMI2422:AMI2423 AWE2422:AWE2423 BGA2422:BGA2423 BPW2422:BPW2423 BZS2422:BZS2423 CJO2422:CJO2423 CTK2422:CTK2423 DDG2422:DDG2423 DNC2422:DNC2423 DWY2422:DWY2423 EGU2422:EGU2423 EQQ2422:EQQ2423 FAM2422:FAM2423 FKI2422:FKI2423 FUE2422:FUE2423 GEA2422:GEA2423 GNW2422:GNW2423 GXS2422:GXS2423 HHO2422:HHO2423 HRK2422:HRK2423 IBG2422:IBG2423 ILC2422:ILC2423 IUY2422:IUY2423 JEU2422:JEU2423 JOQ2422:JOQ2423 JYM2422:JYM2423 KII2422:KII2423 KSE2422:KSE2423 LCA2422:LCA2423 LLW2422:LLW2423 LVS2422:LVS2423 MFO2422:MFO2423 MPK2422:MPK2423 MZG2422:MZG2423 NJC2422:NJC2423 NSY2422:NSY2423 OCU2422:OCU2423 OMQ2422:OMQ2423 OWM2422:OWM2423 PGI2422:PGI2423 PQE2422:PQE2423 QAA2422:QAA2423 QJW2422:QJW2423 QTS2422:QTS2423 RDO2422:RDO2423 RNK2422:RNK2423 RXG2422:RXG2423 SHC2422:SHC2423 SQY2422:SQY2423 TAU2422:TAU2423 TKQ2422:TKQ2423 TUM2422:TUM2423 UEI2422:UEI2423 UOE2422:UOE2423 UYA2422:UYA2423 VHW2422:VHW2423 VRS2422:VRS2423 WBO2422:WBO2423 B915 WVG893 WLK893 WBO893 VRS893 VHW893 UYA893 UOE893 UEI893 TUM893 TKQ893 TAU893 SQY893 SHC893 RXG893 RNK893 RDO893 QTS893 QJW893 QAA893 PQE893 PGI893 OWM893 OMQ893 OCU893 NSY893 NJC893 MZG893 MPK893 MFO893 LVS893 LLW893 LCA893 KSE893 KII893 JYM893 JOQ893 JEU893 IUY893 ILC893 IBG893 HRK893 HHO893 GXS893 GNW893 GEA893 FUE893 FKI893 FAM893 EQQ893 EGU893 DWY893 DNC893 DDG893 CTK893 CJO893 BZS893 BPW893 BGA893 AWE893 AMI893 ACM893 SQ893 IU893 B893 WVG904 WLK904 WBO904 VRS904 VHW904 UYA904 UOE904 UEI904 TUM904 TKQ904 TAU904 SQY904 SHC904 RXG904 RNK904 RDO904 QTS904 QJW904 QAA904 PQE904 PGI904 OWM904 OMQ904 OCU904 NSY904 NJC904 MZG904 MPK904 MFO904 LVS904 LLW904 LCA904 KSE904 KII904 JYM904 JOQ904 JEU904 IUY904 ILC904 IBG904 HRK904 HHO904 GXS904 GNW904 GEA904 FUE904 FKI904 FAM904 EQQ904 EGU904 DWY904 DNC904 DDG904 CTK904 CJO904 BZS904 BPW904 BGA904 AWE904 AMI904 ACM904 SQ904 IU904 B904 SQ908 ACM908 AMI908 AWE908 BGA908 BPW908 BZS908 CJO908 CTK908 DDG908 DNC908 DWY908 EGU908 EQQ908 FAM908 FKI908 FUE908 GEA908 GNW908 GXS908 HHO908 HRK908 IBG908 ILC908 IUY908 JEU908 JOQ908 JYM908 KII908 KSE908 LCA908 LLW908 LVS908 MFO908 MPK908 MZG908 NJC908 NSY908 OCU908 OMQ908 OWM908 PGI908 PQE908 QAA908 QJW908 QTS908 RDO908 RNK908 RXG908 SHC908 SQY908 TAU908 TKQ908 TUM908 UEI908 UOE908 UYA908 VHW908 VRS908 WBO908 WLK908 WVG908 B908 IV915 WVH915 WLL915 WBP915 VRT915 VHX915 UYB915 UOF915 UEJ915 TUN915 TKR915 TAV915 SQZ915 SHD915 RXH915 RNL915 RDP915 QTT915 QJX915 QAB915 PQF915 PGJ915 OWN915 OMR915 OCV915 NSZ915 NJD915 MZH915 MPL915 MFP915 LVT915 LLX915 LCB915 KSF915 KIJ915 JYN915 JOR915 JEV915 IUZ915 ILD915 IBH915 HRL915 HHP915 GXT915 GNX915 GEB915 FUF915 FKJ915 FAN915 EQR915 EGV915 DWZ915 DND915 DDH915 CTL915 CJP915 BZT915 BPX915 BGB915 AWF915 AMJ915 ACN915 SR915 IU908 WVG2433 WLK2433 WBO2433 VRS2433 VHW2433 UYA2433 UOE2433 UEI2433 TUM2433 TKQ2433 TAU2433 SQY2433 SHC2433 RXG2433 RNK2433 RDO2433 QTS2433 QJW2433 QAA2433 PQE2433 PGI2433 OWM2433 OMQ2433 OCU2433 NSY2433 NJC2433 MZG2433 MPK2433 MFO2433 LVS2433 LLW2433 LCA2433 KSE2433 KII2433 JYM2433 JOQ2433 JEU2433 IUY2433 ILC2433 IBG2433 HRK2433 HHO2433 GXS2433 GNW2433 GEA2433 FUE2433 FKI2433 FAM2433 EQQ2433 EGU2433 DWY2433 DNC2433 DDG2433 CTK2433 CJO2433 BZS2433 BPW2433 BGA2433 AWE2433 AMI2433 ACM2433 SQ2433 IU2433 B3777 B2449">
      <formula1>50</formula1>
    </dataValidation>
    <dataValidation type="date" allowBlank="1" showInputMessage="1" showErrorMessage="1" error="Введите год в интервале от 1900 по 2013." sqref="WVI574 IW574 SS574 ACO574 AMK574 AWG574 BGC574 BPY574 BZU574 CJQ574 CTM574 DDI574 DNE574 DXA574 EGW574 EQS574 FAO574 FKK574 FUG574 GEC574 GNY574 GXU574 HHQ574 HRM574 IBI574 ILE574 IVA574 JEW574 JOS574 JYO574 KIK574 KSG574 LCC574 LLY574 LVU574 MFQ574 MPM574 MZI574 NJE574 NTA574 OCW574 OMS574 OWO574 PGK574 PQG574 QAC574 QJY574 QTU574 RDQ574 RNM574 RXI574 SHE574 SRA574 TAW574 TKS574 TUO574 UEK574 UOG574 UYC574 VHY574 VRU574 WBQ574 WLM574">
      <formula1>1900</formula1>
      <formula2>2013</formula2>
    </dataValidation>
    <dataValidation type="list" allowBlank="1" showInputMessage="1" showErrorMessage="1" error="Выберите значение из списка." sqref="C186 C31 C33 C1530 C2970 C1519:C1520 C1526 C1541:C1546 C1550">
      <formula1>"каркасные, сборнощитовые, крупноблочные,  мелкоблочные, кирпичные, монолитные, панельные, деревянные,"</formula1>
    </dataValidation>
    <dataValidation type="list" allowBlank="1" showInputMessage="1" showErrorMessage="1" error="Выберите значение из списка." sqref="C1534:C1535 C3028 C3032 C2995:C2996 C1507:C1512 C1521 C1476:C1496 C2968:C2969 C2971 C2973 C2976 C2990 C2978:C2983 C2999 C3001 C3011 C3017:C3020 C3025:C3026 C3022:C3023 C3070">
      <formula1>dvMKDG3O01LIST</formula1>
    </dataValidation>
  </dataValidations>
  <pageMargins left="0.23622047244094491" right="0.23622047244094491" top="0.39370078740157483" bottom="0.39370078740157483" header="0.31496062992125984" footer="0.31496062992125984"/>
  <pageSetup paperSize="9" firstPageNumber="0" fitToHeight="0" orientation="landscape" r:id="rId1"/>
  <headerFooter alignWithMargins="0"/>
  <colBreaks count="1" manualBreakCount="1">
    <brk id="18" max="1048575" man="1"/>
  </colBreaks>
  <ignoredErrors>
    <ignoredError sqref="R282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11</vt:i4>
      </vt:variant>
    </vt:vector>
  </HeadingPairs>
  <TitlesOfParts>
    <vt:vector size="14" baseType="lpstr">
      <vt:lpstr>1.перечень МКД</vt:lpstr>
      <vt:lpstr>2.виды ремонта</vt:lpstr>
      <vt:lpstr>.</vt:lpstr>
      <vt:lpstr>'.'!__xlnm._FilterDatabase</vt:lpstr>
      <vt:lpstr>'1.перечень МКД'!__xlnm._FilterDatabase</vt:lpstr>
      <vt:lpstr>'2.виды ремонта'!__xlnm._FilterDatabase</vt:lpstr>
      <vt:lpstr>__xlnm._FilterDatabase_1</vt:lpstr>
      <vt:lpstr>__xlnm._FilterDatabase_1_1</vt:lpstr>
      <vt:lpstr>__xlnm._FilterDatabase_4</vt:lpstr>
      <vt:lpstr>'.'!Заголовки_для_печати</vt:lpstr>
      <vt:lpstr>'1.перечень МКД'!Заголовки_для_печати</vt:lpstr>
      <vt:lpstr>'.'!Область_печати</vt:lpstr>
      <vt:lpstr>'1.перечень МКД'!Область_печати</vt:lpstr>
      <vt:lpstr>'2.виды ремонта'!Область_печати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Makc</dc:creator>
  <cp:lastModifiedBy>Сотрудник</cp:lastModifiedBy>
  <cp:lastPrinted>2018-03-23T10:25:32Z</cp:lastPrinted>
  <dcterms:created xsi:type="dcterms:W3CDTF">2015-08-30T08:18:40Z</dcterms:created>
  <dcterms:modified xsi:type="dcterms:W3CDTF">2018-04-18T05:07:09Z</dcterms:modified>
</cp:coreProperties>
</file>